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4545" windowWidth="14805" windowHeight="3570" firstSheet="2" activeTab="2"/>
  </bookViews>
  <sheets>
    <sheet name="NASLOVNICE NAŠE" sheetId="34" state="hidden" r:id="rId1"/>
    <sheet name="SPEC.ŠIFRE PROEK I DEKI-ТАААААА" sheetId="94" state="hidden" r:id="rId2"/>
    <sheet name="13-УСЛУГЕ-РФЗО 2021" sheetId="93" r:id="rId3"/>
    <sheet name="OPERACIJE JAN-MART 2021" sheetId="1" state="hidden" r:id="rId4"/>
    <sheet name="DTI JAN-MART 2021" sheetId="66" state="hidden" r:id="rId5"/>
    <sheet name="FIZIKALNE JAN-MART 2021" sheetId="5" state="hidden" r:id="rId6"/>
    <sheet name="ZU-ZAJEDNIČKE US JAN-MART 2021" sheetId="42" state="hidden" r:id="rId7"/>
    <sheet name="Sheet1" sheetId="52" state="hidden" r:id="rId8"/>
    <sheet name="ZA DRAGANA ZA PLAN 2020" sheetId="87" state="hidden" r:id="rId9"/>
    <sheet name="OPERACIJE APRIL-JUN 2021 " sheetId="95" state="hidden" r:id="rId10"/>
    <sheet name="DTI APRIL-JUN 2021" sheetId="96" state="hidden" r:id="rId11"/>
    <sheet name="FIZIKALNE APRIL-JUN 2021" sheetId="97" state="hidden" r:id="rId12"/>
    <sheet name="ZU-ZAJEDNIČKE US APRIL-JUN 2021" sheetId="98" state="hidden" r:id="rId13"/>
    <sheet name="OPERACIJE JUL-SEPTEMBAR 2021 " sheetId="99" state="hidden" r:id="rId14"/>
    <sheet name="DTI JUL-SEPTEMBAR 2021" sheetId="100" state="hidden" r:id="rId15"/>
    <sheet name="FIZIKALNE JUL-SEPTEMBAR 2021" sheetId="101" state="hidden" r:id="rId16"/>
    <sheet name="ZU-ZAJEDNIČKE US JUL-SEP 2021" sheetId="102" state="hidden" r:id="rId17"/>
    <sheet name="OPERACIJE OKTOBAR-DECEMBAR 2021" sheetId="103" state="hidden" r:id="rId18"/>
    <sheet name="DTI  OKTOBAR-DECEMBAR 2021" sheetId="104" state="hidden" r:id="rId19"/>
    <sheet name="FIZIKALNE OKTOBAR-DECEMBAR 2021" sheetId="105" state="hidden" r:id="rId20"/>
    <sheet name="ZU-ZAJEDNIČKE US OKTO-DECE 2021" sheetId="106" state="hidden" r:id="rId21"/>
    <sheet name="KARDIOLOGIJA 2021" sheetId="121" state="hidden" r:id="rId22"/>
  </sheets>
  <externalReferences>
    <externalReference r:id="rId23"/>
  </externalReferences>
  <definedNames>
    <definedName name="____W.O.R.K.B.O.O.K..C.O.N.T.E.N.T.S____" localSheetId="2">#REF!</definedName>
    <definedName name="____W.O.R.K.B.O.O.K..C.O.N.T.E.N.T.S____" localSheetId="18">#REF!</definedName>
    <definedName name="____W.O.R.K.B.O.O.K..C.O.N.T.E.N.T.S____" localSheetId="10">#REF!</definedName>
    <definedName name="____W.O.R.K.B.O.O.K..C.O.N.T.E.N.T.S____" localSheetId="4">#REF!</definedName>
    <definedName name="____W.O.R.K.B.O.O.K..C.O.N.T.E.N.T.S____" localSheetId="14">#REF!</definedName>
    <definedName name="____W.O.R.K.B.O.O.K..C.O.N.T.E.N.T.S____" localSheetId="11">#REF!</definedName>
    <definedName name="____W.O.R.K.B.O.O.K..C.O.N.T.E.N.T.S____" localSheetId="5">#REF!</definedName>
    <definedName name="____W.O.R.K.B.O.O.K..C.O.N.T.E.N.T.S____" localSheetId="15">#REF!</definedName>
    <definedName name="____W.O.R.K.B.O.O.K..C.O.N.T.E.N.T.S____" localSheetId="19">#REF!</definedName>
    <definedName name="____W.O.R.K.B.O.O.K..C.O.N.T.E.N.T.S____" localSheetId="21">#REF!</definedName>
    <definedName name="____W.O.R.K.B.O.O.K..C.O.N.T.E.N.T.S____" localSheetId="9">#REF!</definedName>
    <definedName name="____W.O.R.K.B.O.O.K..C.O.N.T.E.N.T.S____" localSheetId="13">#REF!</definedName>
    <definedName name="____W.O.R.K.B.O.O.K..C.O.N.T.E.N.T.S____" localSheetId="17">#REF!</definedName>
    <definedName name="____W.O.R.K.B.O.O.K..C.O.N.T.E.N.T.S____" localSheetId="1">#REF!</definedName>
    <definedName name="____W.O.R.K.B.O.O.K..C.O.N.T.E.N.T.S____" localSheetId="8">#REF!</definedName>
    <definedName name="____W.O.R.K.B.O.O.K..C.O.N.T.E.N.T.S____" localSheetId="12">#REF!</definedName>
    <definedName name="____W.O.R.K.B.O.O.K..C.O.N.T.E.N.T.S____" localSheetId="6">#REF!</definedName>
    <definedName name="____W.O.R.K.B.O.O.K..C.O.N.T.E.N.T.S____" localSheetId="16">#REF!</definedName>
    <definedName name="____W.O.R.K.B.O.O.K..C.O.N.T.E.N.T.S____" localSheetId="20">#REF!</definedName>
    <definedName name="____W.O.R.K.B.O.O.K..C.O.N.T.E.N.T.S____">#REF!</definedName>
    <definedName name="_xlnm._FilterDatabase" localSheetId="2" hidden="1">'13-УСЛУГЕ-РФЗО 2021'!$A$9:$BF$4384</definedName>
    <definedName name="_xlnm.Print_Titles" localSheetId="2">'13-УСЛУГЕ-РФЗО 2021'!$5:$9</definedName>
    <definedName name="_xlnm.Print_Titles" localSheetId="14">'DTI JUL-SEPTEMBAR 2021'!$3:$3</definedName>
    <definedName name="_xlnm.Print_Titles" localSheetId="21">'KARDIOLOGIJA 2021'!#REF!</definedName>
    <definedName name="_xlnm.Print_Titles" localSheetId="9">'OPERACIJE APRIL-JUN 2021 '!$4:$4</definedName>
    <definedName name="_xlnm.Print_Titles" localSheetId="3">'OPERACIJE JAN-MART 2021'!$4:$4</definedName>
    <definedName name="_xlnm.Print_Titles" localSheetId="13">'OPERACIJE JUL-SEPTEMBAR 2021 '!$4:$4</definedName>
    <definedName name="_xlnm.Print_Titles" localSheetId="17">'OPERACIJE OKTOBAR-DECEMBAR 2021'!$4:$4</definedName>
    <definedName name="_xlnm.Print_Titles" localSheetId="1">'SPEC.ŠIFRE PROEK I DEKI-ТАААААА'!$3:$3</definedName>
    <definedName name="_xlnm.Print_Titles" localSheetId="8">'ZA DRAGANA ZA PLAN 2020'!$2:$2</definedName>
    <definedName name="_xlnm.Print_Titles" localSheetId="12">'ZU-ZAJEDNIČKE US APRIL-JUN 2021'!$3:$3</definedName>
    <definedName name="_xlnm.Print_Titles" localSheetId="6">'ZU-ZAJEDNIČKE US JAN-MART 2021'!$3:$3</definedName>
    <definedName name="_xlnm.Print_Titles" localSheetId="16">'ZU-ZAJEDNIČKE US JUL-SEP 2021'!$3:$3</definedName>
    <definedName name="_xlnm.Print_Titles" localSheetId="20">'ZU-ZAJEDNIČKE US OKTO-DECE 2021'!$3:$3</definedName>
  </definedNames>
  <calcPr calcId="145621"/>
</workbook>
</file>

<file path=xl/calcChain.xml><?xml version="1.0" encoding="utf-8"?>
<calcChain xmlns="http://schemas.openxmlformats.org/spreadsheetml/2006/main">
  <c r="BB235" i="93" l="1"/>
  <c r="BB236" i="93"/>
  <c r="BB237" i="93"/>
  <c r="AP3147" i="93" l="1"/>
  <c r="AP1444" i="93"/>
  <c r="AP1443" i="93"/>
  <c r="AP1435" i="93"/>
  <c r="AP1150" i="93"/>
  <c r="AP1144" i="93"/>
  <c r="AP1143" i="93"/>
  <c r="AP1142" i="93"/>
  <c r="AP1137" i="93"/>
  <c r="AP815" i="93"/>
  <c r="BE1167" i="93" l="1"/>
  <c r="BB1167" i="93"/>
  <c r="AB1167" i="93"/>
  <c r="AP1166" i="93"/>
  <c r="AP1149" i="93"/>
  <c r="AP1147" i="93"/>
  <c r="AP266" i="93"/>
  <c r="AP315" i="93"/>
  <c r="AP288" i="93"/>
  <c r="AP281" i="93"/>
  <c r="AP282" i="93"/>
  <c r="AP279" i="93"/>
  <c r="AP278" i="93"/>
  <c r="AP273" i="93"/>
  <c r="AP262" i="93"/>
  <c r="AP261" i="93"/>
  <c r="AP260" i="93"/>
  <c r="AP259" i="93"/>
  <c r="AP258" i="93"/>
  <c r="AP363" i="93"/>
  <c r="AP365" i="93"/>
  <c r="AP366" i="93"/>
  <c r="AP372" i="93"/>
  <c r="AP373" i="93"/>
  <c r="AP374" i="93"/>
  <c r="AP375" i="93"/>
  <c r="AP376" i="93"/>
  <c r="AP386" i="93"/>
  <c r="AP390" i="93"/>
  <c r="AP391" i="93"/>
  <c r="AP392" i="93"/>
  <c r="AP393" i="93"/>
  <c r="AP398" i="93"/>
  <c r="AP400" i="93"/>
  <c r="AP419" i="93"/>
  <c r="AP420" i="93"/>
  <c r="AP433" i="93"/>
  <c r="AP481" i="93"/>
  <c r="AP519" i="93"/>
  <c r="AP526" i="93"/>
  <c r="AP529" i="93"/>
  <c r="AP783" i="93"/>
  <c r="AP696" i="93"/>
  <c r="AP684" i="93"/>
  <c r="AP736" i="93"/>
  <c r="AP724" i="93"/>
  <c r="AP719" i="93"/>
  <c r="AP663" i="93"/>
  <c r="AP660" i="93"/>
  <c r="AP658" i="93"/>
  <c r="AP656" i="93"/>
  <c r="AP642" i="93"/>
  <c r="AP641" i="93"/>
  <c r="AP638" i="93"/>
  <c r="AP631" i="93"/>
  <c r="AP620" i="93"/>
  <c r="AP600" i="93"/>
  <c r="AP598" i="93"/>
  <c r="AP332" i="93"/>
  <c r="AP323" i="93"/>
  <c r="AP312" i="93"/>
  <c r="AP310" i="93"/>
  <c r="AP566" i="93"/>
  <c r="AP564" i="93"/>
  <c r="AP562" i="93"/>
  <c r="AP554" i="93"/>
  <c r="AP552" i="93"/>
  <c r="AP545" i="93"/>
  <c r="AP542" i="93"/>
  <c r="AP541" i="93"/>
  <c r="AP532" i="93"/>
  <c r="AP531" i="93"/>
  <c r="AP528" i="93"/>
  <c r="AP515" i="93"/>
  <c r="AP512" i="93"/>
  <c r="AP505" i="93"/>
  <c r="AP502" i="93"/>
  <c r="AP497" i="93"/>
  <c r="AP483" i="93"/>
  <c r="AP482" i="93"/>
  <c r="AP477" i="93"/>
  <c r="AP473" i="93"/>
  <c r="AP472" i="93"/>
  <c r="AP467" i="93"/>
  <c r="AP465" i="93"/>
  <c r="AP462" i="93"/>
  <c r="AP460" i="93"/>
  <c r="AP457" i="93"/>
  <c r="AP455" i="93"/>
  <c r="AP452" i="93"/>
  <c r="AP450" i="93"/>
  <c r="AP449" i="93"/>
  <c r="AP448" i="93"/>
  <c r="AP442" i="93"/>
  <c r="AP441" i="93"/>
  <c r="AP440" i="93"/>
  <c r="AP435" i="93"/>
  <c r="AP432" i="93"/>
  <c r="AP429" i="93"/>
  <c r="AP428" i="93"/>
  <c r="AP427" i="93"/>
  <c r="AP426" i="93"/>
  <c r="AP425" i="93"/>
  <c r="AP424" i="93"/>
  <c r="AP421" i="93"/>
  <c r="AP412" i="93"/>
  <c r="AP410" i="93"/>
  <c r="AP403" i="93"/>
  <c r="AP402" i="93"/>
  <c r="AP396" i="93"/>
  <c r="AP388" i="93"/>
  <c r="AP381" i="93"/>
  <c r="AP379" i="93"/>
  <c r="AP362" i="93"/>
  <c r="AP357" i="93"/>
  <c r="AP356" i="93"/>
  <c r="AP355" i="93"/>
  <c r="AP351" i="93"/>
  <c r="AP350" i="93"/>
  <c r="AP345" i="93"/>
  <c r="AP344" i="93"/>
  <c r="AP342" i="93"/>
  <c r="AP337" i="93"/>
  <c r="AP336" i="93"/>
  <c r="AP335" i="93"/>
  <c r="AP334" i="93"/>
  <c r="AP333" i="93"/>
  <c r="AP331" i="93"/>
  <c r="AP329" i="93"/>
  <c r="AP328" i="93"/>
  <c r="AP327" i="93"/>
  <c r="AP321" i="93"/>
  <c r="AP320" i="93"/>
  <c r="AP319" i="93"/>
  <c r="AP316" i="93"/>
  <c r="AP314" i="93"/>
  <c r="AP309" i="93"/>
  <c r="AP307" i="93"/>
  <c r="AP304" i="93"/>
  <c r="AP298" i="93"/>
  <c r="AP297" i="93"/>
  <c r="AP294" i="93"/>
  <c r="AP293" i="93"/>
  <c r="AP292" i="93"/>
  <c r="AP290" i="93"/>
  <c r="AP289" i="93"/>
  <c r="AP277" i="93"/>
  <c r="AP269" i="93"/>
  <c r="AP268" i="93"/>
  <c r="AP246" i="93"/>
  <c r="AP203" i="93"/>
  <c r="AP202" i="93"/>
  <c r="AP201" i="93"/>
  <c r="AP200" i="93"/>
  <c r="AP129" i="93"/>
  <c r="AP122" i="93"/>
  <c r="AP96" i="93"/>
  <c r="AP112" i="93"/>
  <c r="BD1167" i="93" l="1"/>
  <c r="BF1167" i="93" s="1"/>
  <c r="AP2247" i="93"/>
  <c r="BE2995" i="93"/>
  <c r="BB2995" i="93"/>
  <c r="AB2995" i="93"/>
  <c r="BE2987" i="93"/>
  <c r="BB2987" i="93"/>
  <c r="AB2987" i="93"/>
  <c r="BE2973" i="93"/>
  <c r="BB2973" i="93"/>
  <c r="AB2973" i="93"/>
  <c r="BD2973" i="93" s="1"/>
  <c r="BF2973" i="93" s="1"/>
  <c r="BE2972" i="93"/>
  <c r="BB2972" i="93"/>
  <c r="BD2972" i="93" s="1"/>
  <c r="AB2972" i="93"/>
  <c r="BE2966" i="93"/>
  <c r="BB2966" i="93"/>
  <c r="AB2966" i="93"/>
  <c r="P2336" i="93"/>
  <c r="BE1145" i="93"/>
  <c r="BE1146" i="93"/>
  <c r="BB1145" i="93"/>
  <c r="BB1146" i="93"/>
  <c r="AB1145" i="93"/>
  <c r="BD1145" i="93" s="1"/>
  <c r="BF1145" i="93" s="1"/>
  <c r="AB1146" i="93"/>
  <c r="BD1146" i="93" s="1"/>
  <c r="BE1211" i="93"/>
  <c r="BB1211" i="93"/>
  <c r="AB1211" i="93"/>
  <c r="BE2249" i="93"/>
  <c r="BB2249" i="93"/>
  <c r="AB2249" i="93"/>
  <c r="BE2451" i="93"/>
  <c r="BB2451" i="93"/>
  <c r="AB2451" i="93"/>
  <c r="BE2450" i="93"/>
  <c r="BB2450" i="93"/>
  <c r="AB2450" i="93"/>
  <c r="BE2445" i="93"/>
  <c r="BB2445" i="93"/>
  <c r="AB2445" i="93"/>
  <c r="H4304" i="93"/>
  <c r="H4257" i="93"/>
  <c r="H4253" i="93"/>
  <c r="H4251" i="93"/>
  <c r="H4200" i="93"/>
  <c r="H4197" i="93"/>
  <c r="H4196" i="93"/>
  <c r="H4194" i="93"/>
  <c r="H4193" i="93"/>
  <c r="H4189" i="93"/>
  <c r="H4175" i="93"/>
  <c r="H4172" i="93"/>
  <c r="H4167" i="93"/>
  <c r="H4163" i="93"/>
  <c r="H4146" i="93"/>
  <c r="H4143" i="93"/>
  <c r="H4140" i="93"/>
  <c r="H4139" i="93"/>
  <c r="H4138" i="93"/>
  <c r="H4133" i="93"/>
  <c r="H3958" i="93"/>
  <c r="H3954" i="93"/>
  <c r="H3950" i="93"/>
  <c r="H3949" i="93"/>
  <c r="H3945" i="93"/>
  <c r="S1702" i="93"/>
  <c r="S2632" i="93"/>
  <c r="S2929" i="93"/>
  <c r="S3402" i="93"/>
  <c r="S3113" i="93"/>
  <c r="S1913" i="93"/>
  <c r="S2783" i="93"/>
  <c r="S1703" i="93"/>
  <c r="S3182" i="93"/>
  <c r="S1098" i="93"/>
  <c r="S1411" i="93"/>
  <c r="S3855" i="93"/>
  <c r="S2386" i="93"/>
  <c r="S1516" i="93"/>
  <c r="S2018" i="93"/>
  <c r="S2017" i="93"/>
  <c r="S2016" i="93"/>
  <c r="S1623" i="93"/>
  <c r="S1264" i="93"/>
  <c r="S3509" i="93"/>
  <c r="S3510" i="93"/>
  <c r="S2781" i="93"/>
  <c r="S2780" i="93"/>
  <c r="S1912" i="93"/>
  <c r="S1911" i="93"/>
  <c r="S1263" i="93"/>
  <c r="S1261" i="93"/>
  <c r="S2342" i="93"/>
  <c r="S2341" i="93"/>
  <c r="S2339" i="93"/>
  <c r="S3403" i="93"/>
  <c r="S3401" i="93"/>
  <c r="S3400" i="93"/>
  <c r="S3399" i="93"/>
  <c r="S3398" i="93"/>
  <c r="S3397" i="93"/>
  <c r="S3396" i="93"/>
  <c r="S3395" i="93"/>
  <c r="O3394" i="93"/>
  <c r="S3394" i="93"/>
  <c r="S3393" i="93"/>
  <c r="S2782" i="93"/>
  <c r="S1701" i="93"/>
  <c r="BD2995" i="93" l="1"/>
  <c r="BD2987" i="93"/>
  <c r="BF2987" i="93" s="1"/>
  <c r="BF2995" i="93"/>
  <c r="BD2966" i="93"/>
  <c r="BF2966" i="93" s="1"/>
  <c r="BF2972" i="93"/>
  <c r="BD2450" i="93"/>
  <c r="BF2450" i="93" s="1"/>
  <c r="BD2451" i="93"/>
  <c r="BF2451" i="93" s="1"/>
  <c r="BD2249" i="93"/>
  <c r="BF2249" i="93" s="1"/>
  <c r="BD1211" i="93"/>
  <c r="BF1211" i="93" s="1"/>
  <c r="BF1146" i="93"/>
  <c r="BD2445" i="93"/>
  <c r="BF2445" i="93" s="1"/>
  <c r="S1097" i="93"/>
  <c r="S1095" i="93"/>
  <c r="S1093" i="93"/>
  <c r="S3916" i="93"/>
  <c r="S1514" i="93"/>
  <c r="S1513" i="93"/>
  <c r="S2013" i="93"/>
  <c r="S1622" i="93"/>
  <c r="P4304" i="93"/>
  <c r="P4330" i="93"/>
  <c r="P4324" i="93"/>
  <c r="P4323" i="93"/>
  <c r="AP4090" i="93"/>
  <c r="AP4089" i="93"/>
  <c r="AP4084" i="93"/>
  <c r="P4077" i="93"/>
  <c r="P4073" i="93"/>
  <c r="BE4246" i="93"/>
  <c r="BB4246" i="93"/>
  <c r="AB4246" i="93"/>
  <c r="BE4241" i="93"/>
  <c r="BB4241" i="93"/>
  <c r="AB4241" i="93"/>
  <c r="BE4068" i="93"/>
  <c r="BB4068" i="93"/>
  <c r="AB4068" i="93"/>
  <c r="BB4260" i="93"/>
  <c r="BE4260" i="93"/>
  <c r="BE4261" i="93"/>
  <c r="AB4260" i="93"/>
  <c r="BD4260" i="93" s="1"/>
  <c r="BF4260" i="93" s="1"/>
  <c r="P4257" i="93"/>
  <c r="AP4213" i="93"/>
  <c r="AP4211" i="93"/>
  <c r="P4200" i="93"/>
  <c r="P4197" i="93"/>
  <c r="P4194" i="93"/>
  <c r="P4193" i="93"/>
  <c r="P4190" i="93"/>
  <c r="P4189" i="93"/>
  <c r="P4026" i="93"/>
  <c r="P4316" i="93"/>
  <c r="BE4328" i="93"/>
  <c r="BB4328" i="93"/>
  <c r="AB4328" i="93"/>
  <c r="BD4328" i="93" s="1"/>
  <c r="BF4328" i="93" s="1"/>
  <c r="BD4241" i="93" l="1"/>
  <c r="BD4246" i="93"/>
  <c r="BF4246" i="93" s="1"/>
  <c r="BF4241" i="93"/>
  <c r="BD4068" i="93"/>
  <c r="BF4068" i="93" s="1"/>
  <c r="E96" i="104"/>
  <c r="E91" i="104"/>
  <c r="E40" i="104"/>
  <c r="AP2767" i="93"/>
  <c r="AP2759" i="93"/>
  <c r="AP2758" i="93"/>
  <c r="AP2749" i="93"/>
  <c r="AP2748" i="93"/>
  <c r="BE2713" i="93"/>
  <c r="BB2713" i="93"/>
  <c r="AB2713" i="93"/>
  <c r="AP2686" i="93"/>
  <c r="AP2680" i="93"/>
  <c r="AP2668" i="93"/>
  <c r="AP2664" i="93"/>
  <c r="AP2656" i="93"/>
  <c r="AP2637" i="93"/>
  <c r="BE2971" i="93"/>
  <c r="BB2971" i="93"/>
  <c r="AB2971" i="93"/>
  <c r="BE2968" i="93"/>
  <c r="BB2968" i="93"/>
  <c r="AB2968" i="93"/>
  <c r="BE2948" i="93"/>
  <c r="BB2948" i="93"/>
  <c r="BB2949" i="93"/>
  <c r="AB2948" i="93"/>
  <c r="BD2948" i="93" s="1"/>
  <c r="BE3448" i="93"/>
  <c r="BB3448" i="93"/>
  <c r="AB3448" i="93"/>
  <c r="BD3448" i="93" s="1"/>
  <c r="BF3448" i="93" s="1"/>
  <c r="P3362" i="93"/>
  <c r="BE3359" i="93"/>
  <c r="BB3359" i="93"/>
  <c r="AB3359" i="93"/>
  <c r="P3334" i="93"/>
  <c r="P3292" i="93"/>
  <c r="P3274" i="93"/>
  <c r="P3273" i="93"/>
  <c r="P3206" i="93"/>
  <c r="P3203" i="93"/>
  <c r="BE1709" i="93"/>
  <c r="BB1709" i="93"/>
  <c r="AB1709" i="93"/>
  <c r="P2050" i="93"/>
  <c r="P1248" i="93"/>
  <c r="P1231" i="93"/>
  <c r="P2584" i="93"/>
  <c r="P2540" i="93"/>
  <c r="P2539" i="93"/>
  <c r="P2487" i="93"/>
  <c r="P2486" i="93"/>
  <c r="P2470" i="93"/>
  <c r="P2443" i="93"/>
  <c r="P2415" i="93"/>
  <c r="P2414" i="93"/>
  <c r="P2132" i="93"/>
  <c r="P2093" i="93"/>
  <c r="P2084" i="93"/>
  <c r="P2067" i="93"/>
  <c r="BE1428" i="93"/>
  <c r="BB1428" i="93"/>
  <c r="AB1428" i="93"/>
  <c r="BE1415" i="93"/>
  <c r="BB1415" i="93"/>
  <c r="AB1415" i="93"/>
  <c r="BE1506" i="93"/>
  <c r="BB1506" i="93"/>
  <c r="AB1506" i="93"/>
  <c r="P1275" i="93"/>
  <c r="P1269" i="93"/>
  <c r="BF2948" i="93" l="1"/>
  <c r="BD2713" i="93"/>
  <c r="BF2713" i="93" s="1"/>
  <c r="BD2971" i="93"/>
  <c r="BF2971" i="93" s="1"/>
  <c r="BD1709" i="93"/>
  <c r="BF1709" i="93" s="1"/>
  <c r="BD2968" i="93"/>
  <c r="BF2968" i="93" s="1"/>
  <c r="BD1428" i="93"/>
  <c r="BF1428" i="93" s="1"/>
  <c r="BD3359" i="93"/>
  <c r="BF3359" i="93" s="1"/>
  <c r="BD1415" i="93"/>
  <c r="BD1506" i="93"/>
  <c r="BF1506" i="93" s="1"/>
  <c r="BF1415" i="93"/>
  <c r="BE3649" i="93"/>
  <c r="BB3649" i="93"/>
  <c r="AB3649" i="93"/>
  <c r="BE3638" i="93"/>
  <c r="BB3638" i="93"/>
  <c r="AB3638" i="93"/>
  <c r="BE3629" i="93"/>
  <c r="BB3629" i="93"/>
  <c r="AB3629" i="93"/>
  <c r="BE3825" i="93"/>
  <c r="BB3825" i="93"/>
  <c r="AB3825" i="93"/>
  <c r="BE3821" i="93"/>
  <c r="BB3821" i="93"/>
  <c r="AB3821" i="93"/>
  <c r="BE3805" i="93"/>
  <c r="BB3805" i="93"/>
  <c r="AB3805" i="93"/>
  <c r="BE3803" i="93"/>
  <c r="BB3803" i="93"/>
  <c r="AB3803" i="93"/>
  <c r="BE3800" i="93"/>
  <c r="BB3800" i="93"/>
  <c r="AB3800" i="93"/>
  <c r="BE3787" i="93"/>
  <c r="BB3787" i="93"/>
  <c r="AB3787" i="93"/>
  <c r="BE3785" i="93"/>
  <c r="BB3785" i="93"/>
  <c r="AB3785" i="93"/>
  <c r="BE3765" i="93"/>
  <c r="BB3765" i="93"/>
  <c r="AB3765" i="93"/>
  <c r="BE3669" i="93"/>
  <c r="BB3669" i="93"/>
  <c r="AB3669" i="93"/>
  <c r="P3570" i="93"/>
  <c r="P3565" i="93"/>
  <c r="P3564" i="93"/>
  <c r="P3562" i="93"/>
  <c r="P3561" i="93"/>
  <c r="P3559" i="93"/>
  <c r="P3556" i="93"/>
  <c r="P3540" i="93"/>
  <c r="BE3531" i="93"/>
  <c r="BB3531" i="93"/>
  <c r="AB3531" i="93"/>
  <c r="P3529" i="93"/>
  <c r="P3528" i="93"/>
  <c r="AB3529" i="93"/>
  <c r="P3521" i="93"/>
  <c r="P3518" i="93"/>
  <c r="BD3787" i="93" l="1"/>
  <c r="BD3803" i="93"/>
  <c r="BF3803" i="93" s="1"/>
  <c r="BD3821" i="93"/>
  <c r="BD3649" i="93"/>
  <c r="BF3649" i="93" s="1"/>
  <c r="BD3825" i="93"/>
  <c r="BD3638" i="93"/>
  <c r="BF3638" i="93" s="1"/>
  <c r="BD3629" i="93"/>
  <c r="BF3629" i="93" s="1"/>
  <c r="BF3825" i="93"/>
  <c r="BF3821" i="93"/>
  <c r="BD3805" i="93"/>
  <c r="BF3805" i="93" s="1"/>
  <c r="BD3669" i="93"/>
  <c r="BF3669" i="93" s="1"/>
  <c r="BD3785" i="93"/>
  <c r="BF3785" i="93" s="1"/>
  <c r="BD3800" i="93"/>
  <c r="BF3800" i="93" s="1"/>
  <c r="BF3787" i="93"/>
  <c r="BD3765" i="93"/>
  <c r="BF3765" i="93" s="1"/>
  <c r="BD3531" i="93"/>
  <c r="BF3531" i="93" s="1"/>
  <c r="BE2582" i="93"/>
  <c r="BB2582" i="93"/>
  <c r="AB2582" i="93"/>
  <c r="BE2509" i="93"/>
  <c r="BB2509" i="93"/>
  <c r="AB2509" i="93"/>
  <c r="BE2473" i="93"/>
  <c r="BB2473" i="93"/>
  <c r="AB2473" i="93"/>
  <c r="BE2469" i="93"/>
  <c r="BB2469" i="93"/>
  <c r="AB2469" i="93"/>
  <c r="BE2468" i="93"/>
  <c r="BB2468" i="93"/>
  <c r="AB2468" i="93"/>
  <c r="BE2467" i="93"/>
  <c r="BB2467" i="93"/>
  <c r="AB2467" i="93"/>
  <c r="BE2390" i="93"/>
  <c r="BB2390" i="93"/>
  <c r="AB2390" i="93"/>
  <c r="BE2382" i="93"/>
  <c r="BB2382" i="93"/>
  <c r="AB2382" i="93"/>
  <c r="AB2389" i="93"/>
  <c r="AP1231" i="93"/>
  <c r="AP1221" i="93"/>
  <c r="AP1103" i="93"/>
  <c r="P1914" i="93"/>
  <c r="AP2004" i="93"/>
  <c r="AP2001" i="93"/>
  <c r="AP1999" i="93"/>
  <c r="AP1996" i="93"/>
  <c r="AP1995" i="93"/>
  <c r="AP1993" i="93"/>
  <c r="AP1982" i="93"/>
  <c r="AP1981" i="93"/>
  <c r="AP1980" i="93"/>
  <c r="AP1977" i="93"/>
  <c r="AP1973" i="93"/>
  <c r="AP1964" i="93"/>
  <c r="AP1944" i="93"/>
  <c r="BB1944" i="93" s="1"/>
  <c r="BC1942" i="93"/>
  <c r="AP1941" i="93"/>
  <c r="AP1939" i="93"/>
  <c r="AP1937" i="93"/>
  <c r="AP1931" i="93"/>
  <c r="AP1930" i="93"/>
  <c r="AP1928" i="93"/>
  <c r="AP1926" i="93"/>
  <c r="AP1920" i="93"/>
  <c r="AP1919" i="93"/>
  <c r="AP1917" i="93"/>
  <c r="AP1914" i="93"/>
  <c r="AP3073" i="93"/>
  <c r="AP3071" i="93"/>
  <c r="AP3054" i="93"/>
  <c r="AP3034" i="93"/>
  <c r="AP3033" i="93"/>
  <c r="AP3019" i="93"/>
  <c r="AP3008" i="93"/>
  <c r="BE2969" i="93"/>
  <c r="BB2969" i="93"/>
  <c r="AB2969" i="93"/>
  <c r="BE2000" i="93"/>
  <c r="BB2000" i="93"/>
  <c r="AB2000" i="93"/>
  <c r="BE1992" i="93"/>
  <c r="BB1992" i="93"/>
  <c r="AB1992" i="93"/>
  <c r="BE1983" i="93"/>
  <c r="BB1983" i="93"/>
  <c r="AB1983" i="93"/>
  <c r="BE1954" i="93"/>
  <c r="BB1954" i="93"/>
  <c r="AB1954" i="93"/>
  <c r="BE1952" i="93"/>
  <c r="BB1952" i="93"/>
  <c r="AB1952" i="93"/>
  <c r="BE1949" i="93"/>
  <c r="BB1949" i="93"/>
  <c r="AB1949" i="93"/>
  <c r="BE1947" i="93"/>
  <c r="BB1947" i="93"/>
  <c r="AB1947" i="93"/>
  <c r="BE1944" i="93"/>
  <c r="AB1944" i="93"/>
  <c r="BE1940" i="93"/>
  <c r="BB1940" i="93"/>
  <c r="AB1940" i="93"/>
  <c r="BE1927" i="93"/>
  <c r="BB1927" i="93"/>
  <c r="AB1927" i="93"/>
  <c r="BE1916" i="93"/>
  <c r="BB1916" i="93"/>
  <c r="AB1916" i="93"/>
  <c r="BE1915" i="93"/>
  <c r="BB1915" i="93"/>
  <c r="AB1915" i="93"/>
  <c r="AP3156" i="93"/>
  <c r="AP3154" i="93"/>
  <c r="AP3153" i="93"/>
  <c r="BE3138" i="93"/>
  <c r="BB3138" i="93"/>
  <c r="AB3138" i="93"/>
  <c r="AP3137" i="93"/>
  <c r="BE3136" i="93"/>
  <c r="BB3136" i="93"/>
  <c r="AB3136" i="93"/>
  <c r="AP3129" i="93"/>
  <c r="AP3118" i="93"/>
  <c r="AP3116" i="93"/>
  <c r="AP1248" i="93"/>
  <c r="AP1380" i="93"/>
  <c r="AP1305" i="93"/>
  <c r="AP1304" i="93"/>
  <c r="AP1269" i="93"/>
  <c r="BD1983" i="93" l="1"/>
  <c r="BF1983" i="93" s="1"/>
  <c r="BD1992" i="93"/>
  <c r="BF1992" i="93" s="1"/>
  <c r="BD2000" i="93"/>
  <c r="BF2000" i="93" s="1"/>
  <c r="BD2969" i="93"/>
  <c r="BF2969" i="93" s="1"/>
  <c r="BD2473" i="93"/>
  <c r="BF2473" i="93" s="1"/>
  <c r="BD2582" i="93"/>
  <c r="BF2582" i="93" s="1"/>
  <c r="BD2467" i="93"/>
  <c r="BF2467" i="93" s="1"/>
  <c r="BD2509" i="93"/>
  <c r="BF2509" i="93" s="1"/>
  <c r="BD2469" i="93"/>
  <c r="BF2469" i="93" s="1"/>
  <c r="BD2390" i="93"/>
  <c r="BF2390" i="93" s="1"/>
  <c r="BD2468" i="93"/>
  <c r="BF2468" i="93" s="1"/>
  <c r="BD2382" i="93"/>
  <c r="BF2382" i="93" s="1"/>
  <c r="BD3138" i="93"/>
  <c r="BF3138" i="93" s="1"/>
  <c r="BD1949" i="93"/>
  <c r="BF1949" i="93" s="1"/>
  <c r="BD1952" i="93"/>
  <c r="BF1952" i="93" s="1"/>
  <c r="BD1954" i="93"/>
  <c r="BF1954" i="93" s="1"/>
  <c r="BD1947" i="93"/>
  <c r="BF1947" i="93" s="1"/>
  <c r="BD1940" i="93"/>
  <c r="BF1940" i="93" s="1"/>
  <c r="BD1944" i="93"/>
  <c r="BD1927" i="93"/>
  <c r="BF1927" i="93" s="1"/>
  <c r="BF1944" i="93"/>
  <c r="BD1915" i="93"/>
  <c r="BD1916" i="93"/>
  <c r="BF1916" i="93" s="1"/>
  <c r="BF1915" i="93"/>
  <c r="BD3136" i="93"/>
  <c r="BF3136" i="93" s="1"/>
  <c r="AP1408" i="93"/>
  <c r="AP1397" i="93"/>
  <c r="AP1396" i="93"/>
  <c r="AP1394" i="93"/>
  <c r="AP1393" i="93"/>
  <c r="AP1392" i="93"/>
  <c r="AP1391" i="93"/>
  <c r="AP1384" i="93"/>
  <c r="AP1381" i="93"/>
  <c r="AP1379" i="93"/>
  <c r="AP1377" i="93"/>
  <c r="AP1376" i="93"/>
  <c r="AP1375" i="93"/>
  <c r="AP1374" i="93"/>
  <c r="AP1368" i="93"/>
  <c r="AP1366" i="93"/>
  <c r="AP1360" i="93"/>
  <c r="AP1359" i="93"/>
  <c r="AP1352" i="93"/>
  <c r="AP1346" i="93"/>
  <c r="AP1344" i="93"/>
  <c r="AP1342" i="93"/>
  <c r="AP1336" i="93"/>
  <c r="AP1330" i="93"/>
  <c r="AP1327" i="93"/>
  <c r="AP1326" i="93"/>
  <c r="AP1325" i="93"/>
  <c r="BE1323" i="93"/>
  <c r="BB1323" i="93"/>
  <c r="AB1323" i="93"/>
  <c r="AP1322" i="93"/>
  <c r="AP1318" i="93"/>
  <c r="AP1317" i="93"/>
  <c r="AP1315" i="93"/>
  <c r="BE1309" i="93"/>
  <c r="BB1309" i="93"/>
  <c r="AB1309" i="93"/>
  <c r="BE1308" i="93"/>
  <c r="BB1308" i="93"/>
  <c r="AB1308" i="93"/>
  <c r="AP1303" i="93"/>
  <c r="AP1295" i="93"/>
  <c r="AP1293" i="93"/>
  <c r="AP1292" i="93"/>
  <c r="AP1290" i="93"/>
  <c r="AP1289" i="93"/>
  <c r="AP1288" i="93"/>
  <c r="AP1287" i="93"/>
  <c r="AP1285" i="93"/>
  <c r="AP1284" i="93"/>
  <c r="AP1278" i="93"/>
  <c r="AP1277" i="93"/>
  <c r="AP1274" i="93"/>
  <c r="AP1273" i="93"/>
  <c r="AP1271" i="93"/>
  <c r="BE2377" i="93"/>
  <c r="BB2377" i="93"/>
  <c r="AB2377" i="93"/>
  <c r="P2349" i="93"/>
  <c r="P2380" i="93"/>
  <c r="P2347" i="93"/>
  <c r="BE2371" i="93"/>
  <c r="BB2371" i="93"/>
  <c r="AB2371" i="93"/>
  <c r="BE2365" i="93"/>
  <c r="BB2365" i="93"/>
  <c r="AB2365" i="93"/>
  <c r="AP3362" i="93"/>
  <c r="AP3357" i="93"/>
  <c r="AP3344" i="93"/>
  <c r="AP3341" i="93"/>
  <c r="AP3339" i="93"/>
  <c r="AP3298" i="93"/>
  <c r="AP3271" i="93"/>
  <c r="AP3265" i="93"/>
  <c r="BE3234" i="93"/>
  <c r="BB3234" i="93"/>
  <c r="AB3234" i="93"/>
  <c r="AP3232" i="93"/>
  <c r="BE3230" i="93"/>
  <c r="BB3230" i="93"/>
  <c r="AB3230" i="93"/>
  <c r="AP3225" i="93"/>
  <c r="BE3214" i="93"/>
  <c r="BB3214" i="93"/>
  <c r="AB3214" i="93"/>
  <c r="AP3486" i="93"/>
  <c r="AP3483" i="93"/>
  <c r="AP3481" i="93"/>
  <c r="AP3478" i="93"/>
  <c r="AP3476" i="93"/>
  <c r="AP3474" i="93"/>
  <c r="AP3473" i="93"/>
  <c r="AP3472" i="93"/>
  <c r="AP3470" i="93"/>
  <c r="AP3469" i="93"/>
  <c r="AP3468" i="93"/>
  <c r="AP3466" i="93"/>
  <c r="AP3465" i="93"/>
  <c r="AP3443" i="93"/>
  <c r="AP3436" i="93"/>
  <c r="AP3430" i="93"/>
  <c r="AP3423" i="93"/>
  <c r="AP3412" i="93"/>
  <c r="AP3408" i="93"/>
  <c r="AP3405" i="93"/>
  <c r="P3405" i="93"/>
  <c r="BD3214" i="93" l="1"/>
  <c r="BF3214" i="93" s="1"/>
  <c r="BD3230" i="93"/>
  <c r="BF3230" i="93" s="1"/>
  <c r="BD3234" i="93"/>
  <c r="BF3234" i="93" s="1"/>
  <c r="BD2371" i="93"/>
  <c r="BF2371" i="93" s="1"/>
  <c r="BD1323" i="93"/>
  <c r="BF1323" i="93" s="1"/>
  <c r="BD2377" i="93"/>
  <c r="BF2377" i="93" s="1"/>
  <c r="BD1309" i="93"/>
  <c r="BF1309" i="93" s="1"/>
  <c r="BD1308" i="93"/>
  <c r="BF1308" i="93" s="1"/>
  <c r="BD2365" i="93"/>
  <c r="BF2365" i="93" s="1"/>
  <c r="BE2917" i="93"/>
  <c r="BB2917" i="93"/>
  <c r="AB2917" i="93"/>
  <c r="AP2914" i="93"/>
  <c r="AP2910" i="93"/>
  <c r="AP2903" i="93"/>
  <c r="AP2902" i="93"/>
  <c r="AP2900" i="93"/>
  <c r="AP2899" i="93"/>
  <c r="AP2897" i="93"/>
  <c r="AP2896" i="93"/>
  <c r="AP2895" i="93"/>
  <c r="AP2894" i="93"/>
  <c r="AP2892" i="93"/>
  <c r="AP2890" i="93"/>
  <c r="AP2888" i="93"/>
  <c r="AP2871" i="93"/>
  <c r="BE2863" i="93"/>
  <c r="BB2863" i="93"/>
  <c r="AB2863" i="93"/>
  <c r="AP2859" i="93"/>
  <c r="AP2850" i="93"/>
  <c r="AP2848" i="93"/>
  <c r="AP2843" i="93"/>
  <c r="AP2842" i="93"/>
  <c r="BE2840" i="93"/>
  <c r="BB2840" i="93"/>
  <c r="AB2840" i="93"/>
  <c r="AP2837" i="93"/>
  <c r="AP2835" i="93"/>
  <c r="BE2834" i="93"/>
  <c r="BB2834" i="93"/>
  <c r="AB2834" i="93"/>
  <c r="AP2832" i="93"/>
  <c r="AP2830" i="93"/>
  <c r="AP2825" i="93"/>
  <c r="AP2817" i="93"/>
  <c r="AP2810" i="93"/>
  <c r="AP2809" i="93"/>
  <c r="AP2804" i="93"/>
  <c r="AP2801" i="93"/>
  <c r="AP2795" i="93"/>
  <c r="BE2792" i="93"/>
  <c r="BB2792" i="93"/>
  <c r="AB2792" i="93"/>
  <c r="AP2788" i="93"/>
  <c r="AP2787" i="93"/>
  <c r="AP2786" i="93"/>
  <c r="AP2785" i="93"/>
  <c r="P1791" i="93"/>
  <c r="P1729" i="93"/>
  <c r="P1720" i="93"/>
  <c r="P1708" i="93"/>
  <c r="AP1804" i="93"/>
  <c r="AP1791" i="93"/>
  <c r="AP1753" i="93"/>
  <c r="AP1752" i="93"/>
  <c r="AP1729" i="93"/>
  <c r="AP1720" i="93"/>
  <c r="AP1715" i="93"/>
  <c r="AP1796" i="93"/>
  <c r="AP1793" i="93"/>
  <c r="AP1786" i="93"/>
  <c r="AP1783" i="93"/>
  <c r="BE1782" i="93"/>
  <c r="BB1782" i="93"/>
  <c r="AB1782" i="93"/>
  <c r="AP1769" i="93"/>
  <c r="AP1766" i="93"/>
  <c r="BE1757" i="93"/>
  <c r="BB1757" i="93"/>
  <c r="AB1757" i="93"/>
  <c r="AP2050" i="93"/>
  <c r="AP1719" i="93"/>
  <c r="BE1354" i="93"/>
  <c r="BB1354" i="93"/>
  <c r="AB1354" i="93"/>
  <c r="AP2604" i="93"/>
  <c r="AP2592" i="93"/>
  <c r="AP2591" i="93"/>
  <c r="AP2589" i="93"/>
  <c r="AP2504" i="93"/>
  <c r="AP2502" i="93"/>
  <c r="AP2494" i="93"/>
  <c r="AP2477" i="93"/>
  <c r="AP2415" i="93"/>
  <c r="AP2401" i="93"/>
  <c r="AP2396" i="93"/>
  <c r="AP2392" i="93"/>
  <c r="P3915" i="93"/>
  <c r="AP1422" i="93"/>
  <c r="P1100" i="93"/>
  <c r="AP1179" i="93"/>
  <c r="P1101" i="93"/>
  <c r="AP1230" i="93"/>
  <c r="AP1214" i="93"/>
  <c r="AP1176" i="93"/>
  <c r="AP1175" i="93"/>
  <c r="AP1168" i="93"/>
  <c r="BE1166" i="93"/>
  <c r="BB1166" i="93"/>
  <c r="BB1169" i="93"/>
  <c r="BB1170" i="93"/>
  <c r="AB1166" i="93"/>
  <c r="AP1139" i="93"/>
  <c r="AP1133" i="93"/>
  <c r="AP1120" i="93"/>
  <c r="AP1116" i="93"/>
  <c r="AP1114" i="93"/>
  <c r="AP1105" i="93"/>
  <c r="BE1220" i="93"/>
  <c r="BB1220" i="93"/>
  <c r="AB1220" i="93"/>
  <c r="BE1219" i="93"/>
  <c r="BB1219" i="93"/>
  <c r="AB1219" i="93"/>
  <c r="BE1202" i="93"/>
  <c r="BB1202" i="93"/>
  <c r="AB1202" i="93"/>
  <c r="BE1196" i="93"/>
  <c r="BB1196" i="93"/>
  <c r="AB1196" i="93"/>
  <c r="BE1157" i="93"/>
  <c r="BB1157" i="93"/>
  <c r="AB1157" i="93"/>
  <c r="BE1128" i="93"/>
  <c r="BB1128" i="93"/>
  <c r="AB1128" i="93"/>
  <c r="AP2590" i="93"/>
  <c r="AP2539" i="93"/>
  <c r="BE2536" i="93"/>
  <c r="BB2536" i="93"/>
  <c r="AB2536" i="93"/>
  <c r="BE2516" i="93"/>
  <c r="BB2516" i="93"/>
  <c r="AB2516" i="93"/>
  <c r="BE2515" i="93"/>
  <c r="BB2515" i="93"/>
  <c r="AB2515" i="93"/>
  <c r="BE2508" i="93"/>
  <c r="BB2508" i="93"/>
  <c r="AB2508" i="93"/>
  <c r="BE2464" i="93"/>
  <c r="BB2464" i="93"/>
  <c r="AB2464" i="93"/>
  <c r="BD2917" i="93" l="1"/>
  <c r="BD2792" i="93"/>
  <c r="BF2792" i="93" s="1"/>
  <c r="BD2840" i="93"/>
  <c r="BF2840" i="93" s="1"/>
  <c r="BD2863" i="93"/>
  <c r="BF2917" i="93"/>
  <c r="BF2863" i="93"/>
  <c r="BD2834" i="93"/>
  <c r="BF2834" i="93" s="1"/>
  <c r="BD1782" i="93"/>
  <c r="BF1782" i="93" s="1"/>
  <c r="BD1757" i="93"/>
  <c r="BF1757" i="93" s="1"/>
  <c r="BD2536" i="93"/>
  <c r="BF2536" i="93" s="1"/>
  <c r="BD1354" i="93"/>
  <c r="BF1354" i="93" s="1"/>
  <c r="BD1166" i="93"/>
  <c r="BF1166" i="93" s="1"/>
  <c r="BD2516" i="93"/>
  <c r="BF2516" i="93" s="1"/>
  <c r="BD1202" i="93"/>
  <c r="BF1202" i="93" s="1"/>
  <c r="BD1220" i="93"/>
  <c r="BF1220" i="93" s="1"/>
  <c r="BD1219" i="93"/>
  <c r="BF1219" i="93" s="1"/>
  <c r="BD1196" i="93"/>
  <c r="BF1196" i="93" s="1"/>
  <c r="BD1157" i="93"/>
  <c r="BF1157" i="93" s="1"/>
  <c r="BD1128" i="93"/>
  <c r="BF1128" i="93" s="1"/>
  <c r="BD2515" i="93"/>
  <c r="BF2515" i="93" s="1"/>
  <c r="BD2508" i="93"/>
  <c r="BF2508" i="93" s="1"/>
  <c r="BD2464" i="93"/>
  <c r="BF2464" i="93" s="1"/>
  <c r="BE2438" i="93"/>
  <c r="BB2438" i="93"/>
  <c r="AB2438" i="93"/>
  <c r="BD2438" i="93" l="1"/>
  <c r="BF2438" i="93" s="1"/>
  <c r="AP1616" i="93"/>
  <c r="AP1615" i="93"/>
  <c r="BE1614" i="93"/>
  <c r="BB1614" i="93"/>
  <c r="AB1614" i="93"/>
  <c r="AP1613" i="93"/>
  <c r="AP1611" i="93"/>
  <c r="AP1607" i="93"/>
  <c r="AP1604" i="93"/>
  <c r="AP1600" i="93"/>
  <c r="AP1594" i="93"/>
  <c r="AP1593" i="93"/>
  <c r="AP1589" i="93"/>
  <c r="AP1586" i="93"/>
  <c r="AP1584" i="93"/>
  <c r="AP1561" i="93"/>
  <c r="BD1614" i="93" l="1"/>
  <c r="BF1614" i="93" s="1"/>
  <c r="AP1553" i="93"/>
  <c r="AP1551" i="93"/>
  <c r="BE1549" i="93"/>
  <c r="BB1549" i="93"/>
  <c r="AB1549" i="93"/>
  <c r="BE1543" i="93"/>
  <c r="BB1543" i="93"/>
  <c r="AB1543" i="93"/>
  <c r="AP1539" i="93"/>
  <c r="AP1534" i="93"/>
  <c r="AP1529" i="93"/>
  <c r="AP1523" i="93"/>
  <c r="AP1522" i="93"/>
  <c r="P2100" i="93"/>
  <c r="P2065" i="93"/>
  <c r="BE2046" i="93"/>
  <c r="BB2046" i="93"/>
  <c r="AB2046" i="93"/>
  <c r="P2138" i="93"/>
  <c r="P2137" i="93"/>
  <c r="P2062" i="93"/>
  <c r="AP2139" i="93"/>
  <c r="AP2138" i="93"/>
  <c r="AP2137" i="93"/>
  <c r="AP2132" i="93"/>
  <c r="AP2118" i="93"/>
  <c r="AP2117" i="93"/>
  <c r="AP2116" i="93"/>
  <c r="AP2115" i="93"/>
  <c r="AP2100" i="93"/>
  <c r="AP2095" i="93"/>
  <c r="AP2094" i="93"/>
  <c r="AP2083" i="93"/>
  <c r="AP2073" i="93"/>
  <c r="AP2062" i="93"/>
  <c r="AP2031" i="93"/>
  <c r="BB1905" i="93"/>
  <c r="BE1905" i="93"/>
  <c r="AB1905" i="93"/>
  <c r="BD1905" i="93" s="1"/>
  <c r="AP1507" i="93"/>
  <c r="AP1504" i="93"/>
  <c r="AP1501" i="93"/>
  <c r="BE1498" i="93"/>
  <c r="BB1498" i="93"/>
  <c r="AB1498" i="93"/>
  <c r="BE1497" i="93"/>
  <c r="BB1497" i="93"/>
  <c r="AB1497" i="93"/>
  <c r="AP1495" i="93"/>
  <c r="AP1446" i="93"/>
  <c r="BE1436" i="93"/>
  <c r="BB1436" i="93"/>
  <c r="AB1436" i="93"/>
  <c r="AP1434" i="93"/>
  <c r="AP1486" i="93"/>
  <c r="AP1484" i="93"/>
  <c r="AP1483" i="93"/>
  <c r="AP1482" i="93"/>
  <c r="AP1473" i="93"/>
  <c r="AP1472" i="93"/>
  <c r="AP1461" i="93"/>
  <c r="AP1455" i="93"/>
  <c r="BE1450" i="93"/>
  <c r="BB1450" i="93"/>
  <c r="AB1450" i="93"/>
  <c r="AP1641" i="93"/>
  <c r="AP1693" i="93"/>
  <c r="AP1682" i="93"/>
  <c r="AP1681" i="93"/>
  <c r="BE1656" i="93"/>
  <c r="BB1656" i="93"/>
  <c r="AB1656" i="93"/>
  <c r="AP1647" i="93"/>
  <c r="BE1643" i="93"/>
  <c r="BB1643" i="93"/>
  <c r="AB1643" i="93"/>
  <c r="AP1632" i="93"/>
  <c r="AP1625" i="93"/>
  <c r="BE1624" i="93"/>
  <c r="BB1624" i="93"/>
  <c r="AB1624" i="93"/>
  <c r="AP1409" i="93" l="1"/>
  <c r="BF1905" i="93"/>
  <c r="BD2046" i="93"/>
  <c r="BD1549" i="93"/>
  <c r="BD1643" i="93"/>
  <c r="BF1643" i="93" s="1"/>
  <c r="BD1656" i="93"/>
  <c r="BF1656" i="93" s="1"/>
  <c r="BD1543" i="93"/>
  <c r="BF1549" i="93"/>
  <c r="BF1543" i="93"/>
  <c r="BD1498" i="93"/>
  <c r="BF1498" i="93" s="1"/>
  <c r="BF2046" i="93"/>
  <c r="BD1450" i="93"/>
  <c r="BF1450" i="93" s="1"/>
  <c r="BD1497" i="93"/>
  <c r="BF1497" i="93" s="1"/>
  <c r="BD1436" i="93"/>
  <c r="BF1436" i="93" s="1"/>
  <c r="BD1624" i="93"/>
  <c r="BF1624" i="93" s="1"/>
  <c r="BE3233" i="93"/>
  <c r="BE3235" i="93"/>
  <c r="BB3233" i="93"/>
  <c r="BB3235" i="93"/>
  <c r="AB3233" i="93"/>
  <c r="BD3233" i="93" s="1"/>
  <c r="BF3233" i="93" s="1"/>
  <c r="P3572" i="93"/>
  <c r="P3530" i="93"/>
  <c r="BE2289" i="93"/>
  <c r="BB2289" i="93"/>
  <c r="AB2289" i="93"/>
  <c r="BE2285" i="93"/>
  <c r="BE2286" i="93"/>
  <c r="BB2285" i="93"/>
  <c r="AB2285" i="93"/>
  <c r="BE2274" i="93"/>
  <c r="BB2274" i="93"/>
  <c r="AB2274" i="93"/>
  <c r="BE2268" i="93"/>
  <c r="BE2269" i="93"/>
  <c r="BB2268" i="93"/>
  <c r="AB2268" i="93"/>
  <c r="AB2269" i="93"/>
  <c r="BE2233" i="93"/>
  <c r="BB2233" i="93"/>
  <c r="AB2233" i="93"/>
  <c r="BE2232" i="93"/>
  <c r="BB2232" i="93"/>
  <c r="AB2232" i="93"/>
  <c r="BD2289" i="93" l="1"/>
  <c r="BF2289" i="93" s="1"/>
  <c r="BD2233" i="93"/>
  <c r="BF2233" i="93" s="1"/>
  <c r="BD2268" i="93"/>
  <c r="BF2268" i="93" s="1"/>
  <c r="BD2274" i="93"/>
  <c r="BF2274" i="93" s="1"/>
  <c r="BD2285" i="93"/>
  <c r="BF2285" i="93" s="1"/>
  <c r="BD2232" i="93"/>
  <c r="BF2232" i="93" s="1"/>
  <c r="BE671" i="93"/>
  <c r="BB671" i="93"/>
  <c r="AB671" i="93"/>
  <c r="BE655" i="93"/>
  <c r="BB655" i="93"/>
  <c r="BB656" i="93"/>
  <c r="AB655" i="93"/>
  <c r="BD655" i="93" s="1"/>
  <c r="BE648" i="93"/>
  <c r="BB648" i="93"/>
  <c r="AB648" i="93"/>
  <c r="BE644" i="93"/>
  <c r="BB644" i="93"/>
  <c r="AB644" i="93"/>
  <c r="AP637" i="93"/>
  <c r="BE628" i="93"/>
  <c r="BB628" i="93"/>
  <c r="AB628" i="93"/>
  <c r="BE587" i="93"/>
  <c r="BB587" i="93"/>
  <c r="AB587" i="93"/>
  <c r="BE1030" i="93"/>
  <c r="BE843" i="93"/>
  <c r="BB843" i="93"/>
  <c r="AB843" i="93"/>
  <c r="BE813" i="93"/>
  <c r="BB813" i="93"/>
  <c r="AB813" i="93"/>
  <c r="BE787" i="93"/>
  <c r="BB787" i="93"/>
  <c r="AB787" i="93"/>
  <c r="BE766" i="93"/>
  <c r="BB766" i="93"/>
  <c r="AB766" i="93"/>
  <c r="BE747" i="93"/>
  <c r="BB747" i="93"/>
  <c r="AB747" i="93"/>
  <c r="BE743" i="93"/>
  <c r="BB743" i="93"/>
  <c r="AB743" i="93"/>
  <c r="BE32" i="93"/>
  <c r="BB32" i="93"/>
  <c r="AB32" i="93"/>
  <c r="BE31" i="93"/>
  <c r="BB31" i="93"/>
  <c r="AB31" i="93"/>
  <c r="BE971" i="93"/>
  <c r="BB971" i="93"/>
  <c r="AB971" i="93"/>
  <c r="BE969" i="93"/>
  <c r="BB969" i="93"/>
  <c r="AB969" i="93"/>
  <c r="BE966" i="93"/>
  <c r="BB966" i="93"/>
  <c r="AB966" i="93"/>
  <c r="BE956" i="93"/>
  <c r="BB956" i="93"/>
  <c r="AB956" i="93"/>
  <c r="BE954" i="93"/>
  <c r="BB954" i="93"/>
  <c r="AB954" i="93"/>
  <c r="AP948" i="93"/>
  <c r="BE910" i="93"/>
  <c r="BB910" i="93"/>
  <c r="AB910" i="93"/>
  <c r="AP896" i="93"/>
  <c r="AP886" i="93"/>
  <c r="AP885" i="93"/>
  <c r="AP884" i="93"/>
  <c r="AP881" i="93"/>
  <c r="BE737" i="93"/>
  <c r="BB737" i="93"/>
  <c r="AB737" i="93"/>
  <c r="BE716" i="93"/>
  <c r="BB716" i="93"/>
  <c r="AB716" i="93"/>
  <c r="BE710" i="93"/>
  <c r="BB710" i="93"/>
  <c r="BB711" i="93"/>
  <c r="AB710" i="93"/>
  <c r="BE703" i="93"/>
  <c r="BB703" i="93"/>
  <c r="AB703" i="93"/>
  <c r="BE700" i="93"/>
  <c r="BB700" i="93"/>
  <c r="AB700" i="93"/>
  <c r="AP699" i="93"/>
  <c r="BE690" i="93"/>
  <c r="BB690" i="93"/>
  <c r="AB690" i="93"/>
  <c r="P74" i="93"/>
  <c r="BE72" i="93"/>
  <c r="BB72" i="93"/>
  <c r="AB72" i="93"/>
  <c r="BE68" i="93"/>
  <c r="BB68" i="93"/>
  <c r="AB68" i="93"/>
  <c r="BE715" i="93"/>
  <c r="BE717" i="93"/>
  <c r="BB715" i="93"/>
  <c r="AB715" i="93"/>
  <c r="BE13" i="93"/>
  <c r="BB13" i="93"/>
  <c r="AB13" i="93"/>
  <c r="BE545" i="93"/>
  <c r="BE546" i="93"/>
  <c r="BB545" i="93"/>
  <c r="AB545" i="93"/>
  <c r="BE512" i="93"/>
  <c r="BB512" i="93"/>
  <c r="AB512" i="93"/>
  <c r="BE505" i="93"/>
  <c r="BB505" i="93"/>
  <c r="AB505" i="93"/>
  <c r="BE477" i="93"/>
  <c r="BB477" i="93"/>
  <c r="AB477" i="93"/>
  <c r="BE460" i="93"/>
  <c r="BB460" i="93"/>
  <c r="AB460" i="93"/>
  <c r="BE455" i="93"/>
  <c r="BB455" i="93"/>
  <c r="AB455" i="93"/>
  <c r="BE432" i="93"/>
  <c r="BB432" i="93"/>
  <c r="AB432" i="93"/>
  <c r="BE372" i="93"/>
  <c r="BB372" i="93"/>
  <c r="AB372" i="93"/>
  <c r="BE324" i="93"/>
  <c r="BB324" i="93"/>
  <c r="AB324" i="93"/>
  <c r="BE281" i="93"/>
  <c r="BB281" i="93"/>
  <c r="AB281" i="93"/>
  <c r="BE268" i="93"/>
  <c r="BB268" i="93"/>
  <c r="AB268" i="93"/>
  <c r="BE261" i="93"/>
  <c r="BB261" i="93"/>
  <c r="AB261" i="93"/>
  <c r="P146" i="93"/>
  <c r="AP150" i="93"/>
  <c r="AP149" i="93"/>
  <c r="AP148" i="93"/>
  <c r="AP147" i="93"/>
  <c r="AP146" i="93"/>
  <c r="AP39" i="93"/>
  <c r="BE35" i="93"/>
  <c r="BB35" i="93"/>
  <c r="AB35" i="93"/>
  <c r="BF655" i="93" l="1"/>
  <c r="BD969" i="93"/>
  <c r="BF969" i="93" s="1"/>
  <c r="BD971" i="93"/>
  <c r="BF971" i="93" s="1"/>
  <c r="BD843" i="93"/>
  <c r="BF843" i="93" s="1"/>
  <c r="BD671" i="93"/>
  <c r="BF671" i="93" s="1"/>
  <c r="BD648" i="93"/>
  <c r="BF648" i="93" s="1"/>
  <c r="BD644" i="93"/>
  <c r="BF644" i="93" s="1"/>
  <c r="BD628" i="93"/>
  <c r="BF628" i="93" s="1"/>
  <c r="BD587" i="93"/>
  <c r="BF587" i="93" s="1"/>
  <c r="BD747" i="93"/>
  <c r="BF747" i="93" s="1"/>
  <c r="BD787" i="93"/>
  <c r="BF787" i="93" s="1"/>
  <c r="BD813" i="93"/>
  <c r="BF813" i="93" s="1"/>
  <c r="BD766" i="93"/>
  <c r="BF766" i="93" s="1"/>
  <c r="BD743" i="93"/>
  <c r="BF743" i="93" s="1"/>
  <c r="BD31" i="93"/>
  <c r="BF31" i="93" s="1"/>
  <c r="BD32" i="93"/>
  <c r="BF32" i="93" s="1"/>
  <c r="BD910" i="93"/>
  <c r="BD954" i="93"/>
  <c r="BF954" i="93" s="1"/>
  <c r="BD966" i="93"/>
  <c r="BF966" i="93" s="1"/>
  <c r="BD956" i="93"/>
  <c r="BF956" i="93" s="1"/>
  <c r="BF910" i="93"/>
  <c r="BD703" i="93"/>
  <c r="BD737" i="93"/>
  <c r="BF737" i="93" s="1"/>
  <c r="BD716" i="93"/>
  <c r="BF716" i="93" s="1"/>
  <c r="BD710" i="93"/>
  <c r="BF710" i="93" s="1"/>
  <c r="BD715" i="93"/>
  <c r="BF715" i="93" s="1"/>
  <c r="BD700" i="93"/>
  <c r="BF700" i="93" s="1"/>
  <c r="BF703" i="93"/>
  <c r="BD72" i="93"/>
  <c r="BF72" i="93" s="1"/>
  <c r="BD690" i="93"/>
  <c r="BF690" i="93" s="1"/>
  <c r="BD477" i="93"/>
  <c r="BF477" i="93" s="1"/>
  <c r="BD505" i="93"/>
  <c r="BF505" i="93" s="1"/>
  <c r="BD512" i="93"/>
  <c r="BF512" i="93" s="1"/>
  <c r="BD545" i="93"/>
  <c r="BF545" i="93" s="1"/>
  <c r="BD68" i="93"/>
  <c r="BF68" i="93" s="1"/>
  <c r="BD13" i="93"/>
  <c r="BF13" i="93" s="1"/>
  <c r="BD460" i="93"/>
  <c r="BF460" i="93" s="1"/>
  <c r="BD455" i="93"/>
  <c r="BF455" i="93" s="1"/>
  <c r="BD432" i="93"/>
  <c r="BF432" i="93" s="1"/>
  <c r="BD35" i="93"/>
  <c r="BF35" i="93" s="1"/>
  <c r="BD372" i="93"/>
  <c r="BF372" i="93" s="1"/>
  <c r="BD268" i="93"/>
  <c r="BF268" i="93" s="1"/>
  <c r="BD324" i="93"/>
  <c r="BF324" i="93" s="1"/>
  <c r="BD281" i="93"/>
  <c r="BF281" i="93" s="1"/>
  <c r="BD261" i="93"/>
  <c r="BF261" i="93" s="1"/>
  <c r="D94" i="106"/>
  <c r="E93" i="106"/>
  <c r="C94" i="106"/>
  <c r="E92" i="106"/>
  <c r="E91" i="106"/>
  <c r="E90" i="106"/>
  <c r="E89" i="106"/>
  <c r="E88" i="106"/>
  <c r="E87" i="106"/>
  <c r="E86" i="106"/>
  <c r="E85" i="106"/>
  <c r="E84" i="106"/>
  <c r="E83" i="106"/>
  <c r="E82" i="106"/>
  <c r="E81" i="106"/>
  <c r="E80" i="106"/>
  <c r="E79" i="106"/>
  <c r="E78" i="106"/>
  <c r="E77" i="106"/>
  <c r="E76" i="106"/>
  <c r="E74" i="106"/>
  <c r="E73" i="106"/>
  <c r="E72" i="106"/>
  <c r="E71" i="106"/>
  <c r="E68" i="106"/>
  <c r="E69" i="106"/>
  <c r="E70" i="106"/>
  <c r="E75" i="106"/>
  <c r="D32" i="105"/>
  <c r="E28" i="105"/>
  <c r="C32" i="105"/>
  <c r="E112" i="104" l="1"/>
  <c r="E111" i="104"/>
  <c r="E110" i="104"/>
  <c r="E109" i="104"/>
  <c r="E108" i="104"/>
  <c r="E107" i="104"/>
  <c r="E106" i="104"/>
  <c r="E105" i="104"/>
  <c r="E104" i="104"/>
  <c r="E43" i="103" l="1"/>
  <c r="E26" i="103"/>
  <c r="E24" i="103"/>
  <c r="BE244" i="93"/>
  <c r="BB244" i="93"/>
  <c r="AB244" i="93"/>
  <c r="BD235" i="93"/>
  <c r="BE235" i="93"/>
  <c r="BD236" i="93"/>
  <c r="BE236" i="93"/>
  <c r="BE227" i="93"/>
  <c r="AB227" i="93"/>
  <c r="BD227" i="93" s="1"/>
  <c r="BD244" i="93" l="1"/>
  <c r="BF244" i="93" s="1"/>
  <c r="BF235" i="93"/>
  <c r="BF236" i="93"/>
  <c r="BF227" i="93"/>
  <c r="AL3147" i="93"/>
  <c r="AL1932" i="93"/>
  <c r="AL2680" i="93"/>
  <c r="AL2668" i="93"/>
  <c r="AL2245" i="93"/>
  <c r="AL1446" i="93"/>
  <c r="AL1443" i="93"/>
  <c r="AL1435" i="93"/>
  <c r="AL1276" i="93"/>
  <c r="AL1144" i="93"/>
  <c r="AL1142" i="93"/>
  <c r="AL1139" i="93"/>
  <c r="AL1137" i="93"/>
  <c r="BE4166" i="93" l="1"/>
  <c r="BB4166" i="93"/>
  <c r="AB4166" i="93"/>
  <c r="L4345" i="93"/>
  <c r="L4340" i="93"/>
  <c r="L4338" i="93"/>
  <c r="L4336" i="93"/>
  <c r="L4334" i="93"/>
  <c r="L4329" i="93"/>
  <c r="L4324" i="93"/>
  <c r="L4323" i="93"/>
  <c r="L4320" i="93"/>
  <c r="L4318" i="93"/>
  <c r="L4312" i="93"/>
  <c r="L4310" i="93"/>
  <c r="L4307" i="93"/>
  <c r="L4306" i="93"/>
  <c r="L4304" i="93"/>
  <c r="L4080" i="93"/>
  <c r="BE4083" i="93"/>
  <c r="BB4083" i="93"/>
  <c r="AB4083" i="93"/>
  <c r="AL4267" i="93"/>
  <c r="BE4266" i="93"/>
  <c r="BB4266" i="93"/>
  <c r="AB4266" i="93"/>
  <c r="AL4265" i="93"/>
  <c r="AL4264" i="93"/>
  <c r="L4257" i="93"/>
  <c r="L4256" i="93"/>
  <c r="L4254" i="93"/>
  <c r="L4253" i="93"/>
  <c r="L4251" i="93"/>
  <c r="AL3967" i="93"/>
  <c r="AL3965" i="93"/>
  <c r="AL3964" i="93"/>
  <c r="AL3959" i="93"/>
  <c r="L3958" i="93"/>
  <c r="L3954" i="93"/>
  <c r="L3953" i="93"/>
  <c r="L3950" i="93"/>
  <c r="L3949" i="93"/>
  <c r="L3945" i="93"/>
  <c r="BE4130" i="93"/>
  <c r="BB4130" i="93"/>
  <c r="AB4130" i="93"/>
  <c r="BE4127" i="93"/>
  <c r="BB4127" i="93"/>
  <c r="AB4127" i="93"/>
  <c r="BE4126" i="93"/>
  <c r="BB4126" i="93"/>
  <c r="AB4126" i="93"/>
  <c r="BE4285" i="93"/>
  <c r="BB4285" i="93"/>
  <c r="AB4285" i="93"/>
  <c r="AL4284" i="93"/>
  <c r="AL4283" i="93"/>
  <c r="L4281" i="93"/>
  <c r="BD4127" i="93" l="1"/>
  <c r="BF4127" i="93" s="1"/>
  <c r="BD4266" i="93"/>
  <c r="BF4266" i="93" s="1"/>
  <c r="BD4083" i="93"/>
  <c r="BF4083" i="93" s="1"/>
  <c r="BD4166" i="93"/>
  <c r="BF4166" i="93" s="1"/>
  <c r="BD4130" i="93"/>
  <c r="BF4130" i="93" s="1"/>
  <c r="BD4285" i="93"/>
  <c r="BF4285" i="93" s="1"/>
  <c r="BD4126" i="93"/>
  <c r="BF4126" i="93" s="1"/>
  <c r="BE4280" i="93"/>
  <c r="BB4280" i="93"/>
  <c r="AB4280" i="93"/>
  <c r="L4276" i="93"/>
  <c r="L4274" i="93"/>
  <c r="AL4216" i="93"/>
  <c r="AL4213" i="93"/>
  <c r="AL4211" i="93"/>
  <c r="BE4209" i="93"/>
  <c r="BB4209" i="93"/>
  <c r="AB4209" i="93"/>
  <c r="AL4205" i="93"/>
  <c r="BE4203" i="93"/>
  <c r="BB4203" i="93"/>
  <c r="BB4204" i="93"/>
  <c r="BB4206" i="93"/>
  <c r="AB4203" i="93"/>
  <c r="L4200" i="93"/>
  <c r="L4197" i="93"/>
  <c r="L4194" i="93"/>
  <c r="L4193" i="93"/>
  <c r="L4189" i="93"/>
  <c r="AL4039" i="93"/>
  <c r="AL4038" i="93"/>
  <c r="L4032" i="93"/>
  <c r="L4028" i="93"/>
  <c r="AL4157" i="93"/>
  <c r="AL4154" i="93"/>
  <c r="AL4152" i="93"/>
  <c r="AL4148" i="93"/>
  <c r="L4146" i="93"/>
  <c r="L4143" i="93"/>
  <c r="L4140" i="93"/>
  <c r="L4139" i="93"/>
  <c r="L4138" i="93"/>
  <c r="L4133" i="93"/>
  <c r="BE3921" i="93"/>
  <c r="BB3921" i="93"/>
  <c r="AB3921" i="93"/>
  <c r="BE3920" i="93"/>
  <c r="BB3920" i="93"/>
  <c r="AB3920" i="93"/>
  <c r="BE4150" i="93"/>
  <c r="BB4150" i="93"/>
  <c r="AB4150" i="93"/>
  <c r="BE4134" i="93"/>
  <c r="BB4134" i="93"/>
  <c r="AB4134" i="93"/>
  <c r="BC4110" i="93"/>
  <c r="BE3985" i="93"/>
  <c r="BB3985" i="93"/>
  <c r="AB3985" i="93"/>
  <c r="BE3984" i="93"/>
  <c r="BB3984" i="93"/>
  <c r="AB3984" i="93"/>
  <c r="AC3977" i="93"/>
  <c r="BE3973" i="93"/>
  <c r="BB3973" i="93"/>
  <c r="AB3973" i="93"/>
  <c r="BE3970" i="93"/>
  <c r="BB3970" i="93"/>
  <c r="AB3970" i="93"/>
  <c r="BE4021" i="93"/>
  <c r="AB4021" i="93"/>
  <c r="BB4021" i="93"/>
  <c r="BE4020" i="93"/>
  <c r="BB4020" i="93"/>
  <c r="AB4020" i="93"/>
  <c r="BD4280" i="93" l="1"/>
  <c r="BF4280" i="93" s="1"/>
  <c r="BD4209" i="93"/>
  <c r="BF4209" i="93" s="1"/>
  <c r="BD3921" i="93"/>
  <c r="BF3921" i="93" s="1"/>
  <c r="BD4203" i="93"/>
  <c r="BF4203" i="93" s="1"/>
  <c r="BD4134" i="93"/>
  <c r="BD4150" i="93"/>
  <c r="BD3920" i="93"/>
  <c r="BF3920" i="93" s="1"/>
  <c r="BF4150" i="93"/>
  <c r="BD3985" i="93"/>
  <c r="BD4021" i="93"/>
  <c r="BF4021" i="93" s="1"/>
  <c r="BF4134" i="93"/>
  <c r="BD3984" i="93"/>
  <c r="BF3985" i="93"/>
  <c r="BF3984" i="93"/>
  <c r="BD3970" i="93"/>
  <c r="BF3970" i="93" s="1"/>
  <c r="BD4020" i="93"/>
  <c r="BF4020" i="93" s="1"/>
  <c r="BD3973" i="93"/>
  <c r="BF3973" i="93" s="1"/>
  <c r="O2632" i="93"/>
  <c r="O2631" i="93"/>
  <c r="O2629" i="93"/>
  <c r="O2929" i="93"/>
  <c r="O3113" i="93"/>
  <c r="O3182" i="93"/>
  <c r="O2783" i="93"/>
  <c r="O1703" i="93"/>
  <c r="BE3829" i="93"/>
  <c r="BB3829" i="93"/>
  <c r="AB3829" i="93"/>
  <c r="O1098" i="93"/>
  <c r="O1097" i="93"/>
  <c r="O3489" i="93"/>
  <c r="O3855" i="93"/>
  <c r="BE3854" i="93"/>
  <c r="BB3854" i="93"/>
  <c r="AB3854" i="93"/>
  <c r="AB3853" i="93"/>
  <c r="BE3853" i="93"/>
  <c r="BB3853" i="93"/>
  <c r="O2386" i="93"/>
  <c r="O2013" i="93"/>
  <c r="O1264" i="93"/>
  <c r="O3701" i="93"/>
  <c r="AB3701" i="93" s="1"/>
  <c r="O3702" i="93"/>
  <c r="BE3703" i="93"/>
  <c r="BB3703" i="93"/>
  <c r="AB3703" i="93"/>
  <c r="BE3702" i="93"/>
  <c r="BB3702" i="93"/>
  <c r="AB3702" i="93"/>
  <c r="BE3656" i="93"/>
  <c r="BB3656" i="93"/>
  <c r="AB3656" i="93"/>
  <c r="BE3655" i="93"/>
  <c r="BB3655" i="93"/>
  <c r="AB3655" i="93"/>
  <c r="BE3828" i="93"/>
  <c r="BB3828" i="93"/>
  <c r="AB3828" i="93"/>
  <c r="O1912" i="93"/>
  <c r="O1911" i="93"/>
  <c r="O3111" i="93"/>
  <c r="O1263" i="93"/>
  <c r="O1261" i="93"/>
  <c r="O2342" i="93"/>
  <c r="O2341" i="93"/>
  <c r="O2339" i="93"/>
  <c r="O3180" i="93"/>
  <c r="O3403" i="93"/>
  <c r="O3401" i="93"/>
  <c r="O3400" i="93"/>
  <c r="O3399" i="93"/>
  <c r="O3398" i="93"/>
  <c r="O3397" i="93"/>
  <c r="O3396" i="93"/>
  <c r="O3395" i="93"/>
  <c r="O3393" i="93"/>
  <c r="AB3393" i="93" s="1"/>
  <c r="BE3393" i="93"/>
  <c r="BB3393" i="93"/>
  <c r="BB3399" i="93"/>
  <c r="O2782" i="93"/>
  <c r="O2781" i="93"/>
  <c r="O2780" i="93"/>
  <c r="O1702" i="93"/>
  <c r="O1701" i="93"/>
  <c r="O1700" i="93"/>
  <c r="AB1700" i="93" s="1"/>
  <c r="O1260" i="93"/>
  <c r="O3916" i="93"/>
  <c r="BE1096" i="93"/>
  <c r="BB1096" i="93"/>
  <c r="AB1096" i="93"/>
  <c r="BE1093" i="93"/>
  <c r="BB1093" i="93"/>
  <c r="AB1093" i="93"/>
  <c r="BE1700" i="93"/>
  <c r="BB1700" i="93"/>
  <c r="O1515" i="93"/>
  <c r="O1514" i="93"/>
  <c r="BD3828" i="93" l="1"/>
  <c r="BF3828" i="93" s="1"/>
  <c r="BD3655" i="93"/>
  <c r="BF3655" i="93" s="1"/>
  <c r="BD3854" i="93"/>
  <c r="BF3854" i="93" s="1"/>
  <c r="BD3702" i="93"/>
  <c r="BF3702" i="93" s="1"/>
  <c r="BD3703" i="93"/>
  <c r="BF3703" i="93" s="1"/>
  <c r="BD3853" i="93"/>
  <c r="BF3853" i="93" s="1"/>
  <c r="BD3829" i="93"/>
  <c r="BD1096" i="93"/>
  <c r="BF1096" i="93" s="1"/>
  <c r="BD3656" i="93"/>
  <c r="BF3656" i="93" s="1"/>
  <c r="BD1093" i="93"/>
  <c r="BF1093" i="93" s="1"/>
  <c r="BF3829" i="93"/>
  <c r="BD3393" i="93"/>
  <c r="BF3393" i="93" s="1"/>
  <c r="BD1700" i="93"/>
  <c r="BF1700" i="93" s="1"/>
  <c r="BE1517" i="93"/>
  <c r="BE1513" i="93"/>
  <c r="BE1518" i="93"/>
  <c r="BB1513" i="93"/>
  <c r="AB1513" i="93"/>
  <c r="O2017" i="93"/>
  <c r="O1815" i="93"/>
  <c r="O1410" i="93"/>
  <c r="O1621" i="93"/>
  <c r="O2165" i="93"/>
  <c r="O2164" i="93"/>
  <c r="D123" i="100"/>
  <c r="C123" i="100"/>
  <c r="E97" i="100"/>
  <c r="E96" i="100"/>
  <c r="BD1513" i="93" l="1"/>
  <c r="BF1513" i="93" s="1"/>
  <c r="AL2767" i="93"/>
  <c r="AL2761" i="93"/>
  <c r="AL2759" i="93"/>
  <c r="AL2758" i="93"/>
  <c r="AL2757" i="93"/>
  <c r="AL2756" i="93"/>
  <c r="AL2751" i="93"/>
  <c r="BE2742" i="93"/>
  <c r="BE2743" i="93"/>
  <c r="BB2742" i="93"/>
  <c r="AB2742" i="93"/>
  <c r="BE2728" i="93"/>
  <c r="BB2728" i="93"/>
  <c r="AB2728" i="93"/>
  <c r="AL2722" i="93"/>
  <c r="AL2699" i="93"/>
  <c r="AL2694" i="93"/>
  <c r="AL2686" i="93"/>
  <c r="BE2685" i="93"/>
  <c r="BB2685" i="93"/>
  <c r="AB2685" i="93"/>
  <c r="AL2679" i="93"/>
  <c r="AL2674" i="93"/>
  <c r="AL2671" i="93"/>
  <c r="AL2667" i="93"/>
  <c r="BB2667" i="93" s="1"/>
  <c r="AL2664" i="93"/>
  <c r="AL2657" i="93"/>
  <c r="BE2654" i="93"/>
  <c r="BB2654" i="93"/>
  <c r="AB2654" i="93"/>
  <c r="AL2653" i="93"/>
  <c r="AL2644" i="93"/>
  <c r="AL2641" i="93"/>
  <c r="AL2637" i="93"/>
  <c r="BE2667" i="93"/>
  <c r="AB2667" i="93"/>
  <c r="L3362" i="93"/>
  <c r="L3292" i="93"/>
  <c r="L3206" i="93"/>
  <c r="L1919" i="93"/>
  <c r="L1248" i="93"/>
  <c r="L1103" i="93"/>
  <c r="AL1101" i="93"/>
  <c r="BE3882" i="93"/>
  <c r="BB3882" i="93"/>
  <c r="AB3882" i="93"/>
  <c r="L1372" i="93"/>
  <c r="BE2485" i="93"/>
  <c r="BB2485" i="93"/>
  <c r="AB2485" i="93"/>
  <c r="BE2474" i="93"/>
  <c r="BB2474" i="93"/>
  <c r="AB2474" i="93"/>
  <c r="L2137" i="93"/>
  <c r="L2093" i="93"/>
  <c r="L2084" i="93"/>
  <c r="L2067" i="93"/>
  <c r="L2062" i="93"/>
  <c r="L2050" i="93"/>
  <c r="L2042" i="93"/>
  <c r="L2036" i="93"/>
  <c r="L2031" i="93"/>
  <c r="L2021" i="93"/>
  <c r="L3465" i="93"/>
  <c r="L3436" i="93"/>
  <c r="BE3506" i="93"/>
  <c r="BB3506" i="93"/>
  <c r="AB3506" i="93"/>
  <c r="L3503" i="93"/>
  <c r="L3502" i="93"/>
  <c r="L3501" i="93"/>
  <c r="L3491" i="93"/>
  <c r="L1275" i="93"/>
  <c r="L1269" i="93"/>
  <c r="BE3643" i="93"/>
  <c r="BB3643" i="93"/>
  <c r="AB3643" i="93"/>
  <c r="BE3640" i="93"/>
  <c r="BB3640" i="93"/>
  <c r="AB3640" i="93"/>
  <c r="BE3633" i="93"/>
  <c r="BB3633" i="93"/>
  <c r="AB3633" i="93"/>
  <c r="BE3742" i="93"/>
  <c r="BB3742" i="93"/>
  <c r="AB3742" i="93"/>
  <c r="BE3734" i="93"/>
  <c r="BB3734" i="93"/>
  <c r="AB3734" i="93"/>
  <c r="BE3729" i="93"/>
  <c r="BB3729" i="93"/>
  <c r="BB3730" i="93"/>
  <c r="AB3729" i="93"/>
  <c r="BD3729" i="93" s="1"/>
  <c r="BE3720" i="93"/>
  <c r="BB3720" i="93"/>
  <c r="AB3720" i="93"/>
  <c r="L3804" i="93"/>
  <c r="BE3697" i="93"/>
  <c r="BB3697" i="93"/>
  <c r="AB3697" i="93"/>
  <c r="BE3694" i="93"/>
  <c r="BB3694" i="93"/>
  <c r="AB3694" i="93"/>
  <c r="BE3685" i="93"/>
  <c r="BB3685" i="93"/>
  <c r="AB3685" i="93"/>
  <c r="BE3671" i="93"/>
  <c r="BB3671" i="93"/>
  <c r="AB3671" i="93"/>
  <c r="BE3840" i="93"/>
  <c r="BB3840" i="93"/>
  <c r="AB3840" i="93"/>
  <c r="L3572" i="93"/>
  <c r="L3570" i="93"/>
  <c r="L3565" i="93"/>
  <c r="L3562" i="93"/>
  <c r="L3561" i="93"/>
  <c r="L3556" i="93"/>
  <c r="BE3548" i="93"/>
  <c r="BB3548" i="93"/>
  <c r="BB3549" i="93"/>
  <c r="AB3548" i="93"/>
  <c r="BD3548" i="93" s="1"/>
  <c r="L3540" i="93"/>
  <c r="L3530" i="93"/>
  <c r="L3521" i="93"/>
  <c r="BE3520" i="93"/>
  <c r="BB3520" i="93"/>
  <c r="AB3520" i="93"/>
  <c r="L3518" i="93"/>
  <c r="BE3514" i="93"/>
  <c r="BB3514" i="93"/>
  <c r="AB3514" i="93"/>
  <c r="BE3513" i="93"/>
  <c r="BB3513" i="93"/>
  <c r="AB3513" i="93"/>
  <c r="BE3597" i="93"/>
  <c r="BB3597" i="93"/>
  <c r="AB3597" i="93"/>
  <c r="BE3555" i="93"/>
  <c r="BB3555" i="93"/>
  <c r="AB3555" i="93"/>
  <c r="BE3534" i="93"/>
  <c r="BB3534" i="93"/>
  <c r="AB3534" i="93"/>
  <c r="AL3088" i="93"/>
  <c r="BE3078" i="93"/>
  <c r="BB3078" i="93"/>
  <c r="AB3078" i="93"/>
  <c r="AL3071" i="93"/>
  <c r="BE3067" i="93"/>
  <c r="BB3067" i="93"/>
  <c r="AB3067" i="93"/>
  <c r="AL3039" i="93"/>
  <c r="AL3034" i="93"/>
  <c r="AL3019" i="93"/>
  <c r="AL3008" i="93"/>
  <c r="AL2936" i="93"/>
  <c r="AL2604" i="93"/>
  <c r="AL2591" i="93"/>
  <c r="AL2590" i="93"/>
  <c r="AL2588" i="93"/>
  <c r="AL2568" i="93"/>
  <c r="AL2504" i="93"/>
  <c r="AL2499" i="93"/>
  <c r="AL2494" i="93"/>
  <c r="AL2415" i="93"/>
  <c r="AL2401" i="93"/>
  <c r="AL2400" i="93"/>
  <c r="AL2396" i="93"/>
  <c r="AL2392" i="93"/>
  <c r="AL2391" i="93"/>
  <c r="AL2388" i="93"/>
  <c r="AL1914" i="93"/>
  <c r="AL1999" i="93"/>
  <c r="BE1997" i="93"/>
  <c r="BB1997" i="93"/>
  <c r="AB1997" i="93"/>
  <c r="BE1991" i="93"/>
  <c r="BB1991" i="93"/>
  <c r="AB1991" i="93"/>
  <c r="BE1988" i="93"/>
  <c r="BB1988" i="93"/>
  <c r="AB1988" i="93"/>
  <c r="BE1986" i="93"/>
  <c r="BB1986" i="93"/>
  <c r="AB1986" i="93"/>
  <c r="BE1984" i="93"/>
  <c r="BB1984" i="93"/>
  <c r="AB1984" i="93"/>
  <c r="AL1981" i="93"/>
  <c r="AL1977" i="93"/>
  <c r="AL1973" i="93"/>
  <c r="BE1968" i="93"/>
  <c r="BB1968" i="93"/>
  <c r="AB1968" i="93"/>
  <c r="BE1953" i="93"/>
  <c r="BB1953" i="93"/>
  <c r="AB1953" i="93"/>
  <c r="BE1935" i="93"/>
  <c r="BB1935" i="93"/>
  <c r="AB1935" i="93"/>
  <c r="AL1926" i="93"/>
  <c r="AL1285" i="93"/>
  <c r="AL1269" i="93"/>
  <c r="AL1265" i="93"/>
  <c r="BB1265" i="93" s="1"/>
  <c r="AL1268" i="93"/>
  <c r="BE1265" i="93"/>
  <c r="AB1265" i="93"/>
  <c r="AL1402" i="93"/>
  <c r="AL1397" i="93"/>
  <c r="AL1385" i="93"/>
  <c r="AL1384" i="93"/>
  <c r="AL1381" i="93"/>
  <c r="AL1380" i="93"/>
  <c r="AL1379" i="93"/>
  <c r="AL1377" i="93"/>
  <c r="AL1376" i="93"/>
  <c r="AL1375" i="93"/>
  <c r="AL1374" i="93"/>
  <c r="AL1373" i="93"/>
  <c r="AL1372" i="93"/>
  <c r="AL1366" i="93"/>
  <c r="AL1360" i="93"/>
  <c r="BE1355" i="93"/>
  <c r="BB1355" i="93"/>
  <c r="AB1355" i="93"/>
  <c r="BE1351" i="93"/>
  <c r="BB1351" i="93"/>
  <c r="AB1351" i="93"/>
  <c r="AL1346" i="93"/>
  <c r="AL1344" i="93"/>
  <c r="AL1343" i="93"/>
  <c r="AL1342" i="93"/>
  <c r="AL1330" i="93"/>
  <c r="AL1327" i="93"/>
  <c r="AL1325" i="93"/>
  <c r="AL1322" i="93"/>
  <c r="AL1321" i="93"/>
  <c r="AL1318" i="93"/>
  <c r="AL1317" i="93"/>
  <c r="AL1315" i="93"/>
  <c r="BE1311" i="93"/>
  <c r="BB1311" i="93"/>
  <c r="AB1311" i="93"/>
  <c r="BE1310" i="93"/>
  <c r="BB1310" i="93"/>
  <c r="AB1310" i="93"/>
  <c r="AL1303" i="93"/>
  <c r="AL1295" i="93"/>
  <c r="AL1293" i="93"/>
  <c r="AL1292" i="93"/>
  <c r="AL1289" i="93"/>
  <c r="AL1288" i="93"/>
  <c r="AL1287" i="93"/>
  <c r="AL1284" i="93"/>
  <c r="AL1279" i="93"/>
  <c r="AL1278" i="93"/>
  <c r="AL1277" i="93"/>
  <c r="AL1274" i="93"/>
  <c r="AL1273" i="93"/>
  <c r="L2349" i="93"/>
  <c r="L2380" i="93"/>
  <c r="L2347" i="93"/>
  <c r="BE2345" i="93"/>
  <c r="BB2345" i="93"/>
  <c r="AB2345" i="93"/>
  <c r="BE2357" i="93"/>
  <c r="BE2358" i="93"/>
  <c r="BB2357" i="93"/>
  <c r="AB2357" i="93"/>
  <c r="BE2378" i="93"/>
  <c r="BB2378" i="93"/>
  <c r="AB2378" i="93"/>
  <c r="BE2374" i="93"/>
  <c r="BB2374" i="93"/>
  <c r="AB2374" i="93"/>
  <c r="BE2370" i="93"/>
  <c r="BB2370" i="93"/>
  <c r="AB2370" i="93"/>
  <c r="BE2366" i="93"/>
  <c r="BB2366" i="93"/>
  <c r="AB2366" i="93"/>
  <c r="BE2362" i="93"/>
  <c r="BE2363" i="93"/>
  <c r="BB2363" i="93"/>
  <c r="AB2363" i="93"/>
  <c r="BB2362" i="93"/>
  <c r="AB2362" i="93"/>
  <c r="BB2358" i="93"/>
  <c r="AB2358" i="93"/>
  <c r="BE2354" i="93"/>
  <c r="BB2354" i="93"/>
  <c r="AB2354" i="93"/>
  <c r="BE2353" i="93"/>
  <c r="BB2353" i="93"/>
  <c r="AB2353" i="93"/>
  <c r="BE2343" i="93"/>
  <c r="BB2343" i="93"/>
  <c r="AB2343" i="93"/>
  <c r="AL3373" i="93"/>
  <c r="AL3362" i="93"/>
  <c r="AL3357" i="93"/>
  <c r="AL3344" i="93"/>
  <c r="AL3342" i="93"/>
  <c r="AL3341" i="93"/>
  <c r="AL3340" i="93"/>
  <c r="AL3339" i="93"/>
  <c r="AL3334" i="93"/>
  <c r="BE3320" i="93"/>
  <c r="BB3320" i="93"/>
  <c r="AB3320" i="93"/>
  <c r="BE3319" i="93"/>
  <c r="BB3319" i="93"/>
  <c r="AB3319" i="93"/>
  <c r="AL3298" i="93"/>
  <c r="AL3288" i="93"/>
  <c r="AL3283" i="93"/>
  <c r="AL3282" i="93"/>
  <c r="AL3271" i="93"/>
  <c r="AL3265" i="93"/>
  <c r="BE3245" i="93"/>
  <c r="BB3245" i="93"/>
  <c r="AB3245" i="93"/>
  <c r="AL3225" i="93"/>
  <c r="AL3217" i="93"/>
  <c r="BE3207" i="93"/>
  <c r="BB3207" i="93"/>
  <c r="AB3207" i="93"/>
  <c r="AL3206" i="93"/>
  <c r="AL3192" i="93"/>
  <c r="AL3190" i="93"/>
  <c r="AL3486" i="93"/>
  <c r="AL3483" i="93"/>
  <c r="AL3478" i="93"/>
  <c r="AL3476" i="93"/>
  <c r="AL3473" i="93"/>
  <c r="AL3472" i="93"/>
  <c r="AL3469" i="93"/>
  <c r="AL3468" i="93"/>
  <c r="AL3466" i="93"/>
  <c r="AL3465" i="93"/>
  <c r="AL3436" i="93"/>
  <c r="AL3430" i="93"/>
  <c r="AL3418" i="93"/>
  <c r="AL3412" i="93"/>
  <c r="AL3408" i="93"/>
  <c r="AL3405" i="93"/>
  <c r="L3473" i="93"/>
  <c r="L3472" i="93"/>
  <c r="L3430" i="93"/>
  <c r="AL2914" i="93"/>
  <c r="AL2912" i="93"/>
  <c r="AL2910" i="93"/>
  <c r="AL2909" i="93"/>
  <c r="AL2903" i="93"/>
  <c r="AL2902" i="93"/>
  <c r="AL2900" i="93"/>
  <c r="AL2899" i="93"/>
  <c r="AL2897" i="93"/>
  <c r="AL2895" i="93"/>
  <c r="AL2894" i="93"/>
  <c r="AL2892" i="93"/>
  <c r="AL2888" i="93"/>
  <c r="AL2883" i="93"/>
  <c r="AL2881" i="93"/>
  <c r="AL2859" i="93"/>
  <c r="AL2845" i="93"/>
  <c r="AL2843" i="93"/>
  <c r="AL2842" i="93"/>
  <c r="AL2839" i="93"/>
  <c r="AL2837" i="93"/>
  <c r="AL2835" i="93"/>
  <c r="AL2832" i="93"/>
  <c r="BE2831" i="93"/>
  <c r="BB2831" i="93"/>
  <c r="AB2831" i="93"/>
  <c r="AL2830" i="93"/>
  <c r="AL2825" i="93"/>
  <c r="BE2819" i="93"/>
  <c r="BB2819" i="93"/>
  <c r="AB2819" i="93"/>
  <c r="BE2818" i="93"/>
  <c r="BB2818" i="93"/>
  <c r="AB2818" i="93"/>
  <c r="AL2817" i="93"/>
  <c r="AL2814" i="93"/>
  <c r="AL2812" i="93"/>
  <c r="AL2810" i="93"/>
  <c r="AL2809" i="93"/>
  <c r="AL2806" i="93"/>
  <c r="AL2804" i="93"/>
  <c r="AL2802" i="93"/>
  <c r="AL2797" i="93"/>
  <c r="AL2796" i="93"/>
  <c r="AL2795" i="93"/>
  <c r="AL2794" i="93"/>
  <c r="AL2791" i="93"/>
  <c r="AL2790" i="93"/>
  <c r="AL2788" i="93"/>
  <c r="AL2787" i="93"/>
  <c r="AL2786" i="93"/>
  <c r="AL2784" i="93"/>
  <c r="L1796" i="93"/>
  <c r="L1791" i="93"/>
  <c r="L1761" i="93"/>
  <c r="L1729" i="93"/>
  <c r="L1720" i="93"/>
  <c r="L1708" i="93"/>
  <c r="AL1729" i="93"/>
  <c r="AL1804" i="93"/>
  <c r="AL1791" i="93"/>
  <c r="AL1752" i="93"/>
  <c r="AL1720" i="93"/>
  <c r="AL1715" i="93"/>
  <c r="BE1805" i="93"/>
  <c r="BB1805" i="93"/>
  <c r="AB1805" i="93"/>
  <c r="BE1712" i="93"/>
  <c r="AB1712" i="93"/>
  <c r="BB1712" i="93"/>
  <c r="BD2667" i="93" l="1"/>
  <c r="BF2667" i="93" s="1"/>
  <c r="BD2742" i="93"/>
  <c r="BD2485" i="93"/>
  <c r="BF2485" i="93" s="1"/>
  <c r="BD3882" i="93"/>
  <c r="BF3882" i="93" s="1"/>
  <c r="BD2685" i="93"/>
  <c r="BF2685" i="93" s="1"/>
  <c r="BD2654" i="93"/>
  <c r="BF2654" i="93" s="1"/>
  <c r="BD2728" i="93"/>
  <c r="BF2742" i="93"/>
  <c r="BF2728" i="93"/>
  <c r="BD2474" i="93"/>
  <c r="BF2474" i="93" s="1"/>
  <c r="BD3840" i="93"/>
  <c r="BF3840" i="93" s="1"/>
  <c r="BD3643" i="93"/>
  <c r="BF3643" i="93" s="1"/>
  <c r="BD3506" i="93"/>
  <c r="BF3506" i="93" s="1"/>
  <c r="BD3640" i="93"/>
  <c r="BF3640" i="93" s="1"/>
  <c r="BD1935" i="93"/>
  <c r="BF1935" i="93" s="1"/>
  <c r="BD3734" i="93"/>
  <c r="BF3734" i="93" s="1"/>
  <c r="BD3633" i="93"/>
  <c r="BF3633" i="93" s="1"/>
  <c r="BD3742" i="93"/>
  <c r="BF3742" i="93" s="1"/>
  <c r="BD3697" i="93"/>
  <c r="BF3697" i="93" s="1"/>
  <c r="BD3694" i="93"/>
  <c r="BF3694" i="93" s="1"/>
  <c r="BD3720" i="93"/>
  <c r="BF3720" i="93" s="1"/>
  <c r="BF3729" i="93"/>
  <c r="BD3685" i="93"/>
  <c r="BF3685" i="93" s="1"/>
  <c r="BD3597" i="93"/>
  <c r="BF3597" i="93" s="1"/>
  <c r="BD3671" i="93"/>
  <c r="BF3671" i="93" s="1"/>
  <c r="BD3514" i="93"/>
  <c r="BF3514" i="93" s="1"/>
  <c r="BD3520" i="93"/>
  <c r="BF3520" i="93" s="1"/>
  <c r="BF3548" i="93"/>
  <c r="BD3513" i="93"/>
  <c r="BF3513" i="93" s="1"/>
  <c r="BD1988" i="93"/>
  <c r="BF1988" i="93" s="1"/>
  <c r="BD1997" i="93"/>
  <c r="BF1997" i="93" s="1"/>
  <c r="BD3555" i="93"/>
  <c r="BF3555" i="93" s="1"/>
  <c r="BD3319" i="93"/>
  <c r="BF3319" i="93" s="1"/>
  <c r="BD2363" i="93"/>
  <c r="BF2363" i="93" s="1"/>
  <c r="BD2374" i="93"/>
  <c r="BF2374" i="93" s="1"/>
  <c r="BD3078" i="93"/>
  <c r="BF3078" i="93" s="1"/>
  <c r="BD3534" i="93"/>
  <c r="BF3534" i="93" s="1"/>
  <c r="BD3067" i="93"/>
  <c r="BF3067" i="93" s="1"/>
  <c r="BD2357" i="93"/>
  <c r="BF2357" i="93" s="1"/>
  <c r="BD1991" i="93"/>
  <c r="BF1991" i="93" s="1"/>
  <c r="BD1986" i="93"/>
  <c r="BD1984" i="93"/>
  <c r="BF1986" i="93"/>
  <c r="BD1953" i="93"/>
  <c r="BF1953" i="93" s="1"/>
  <c r="BD1968" i="93"/>
  <c r="BF1968" i="93" s="1"/>
  <c r="BF1984" i="93"/>
  <c r="BD1265" i="93"/>
  <c r="BF1265" i="93" s="1"/>
  <c r="BD1351" i="93"/>
  <c r="BF1351" i="93" s="1"/>
  <c r="BD3245" i="93"/>
  <c r="BF3245" i="93" s="1"/>
  <c r="BD3320" i="93"/>
  <c r="BD2358" i="93"/>
  <c r="BD2345" i="93"/>
  <c r="BF2345" i="93" s="1"/>
  <c r="BD1355" i="93"/>
  <c r="BF1355" i="93" s="1"/>
  <c r="BD1311" i="93"/>
  <c r="BF1311" i="93" s="1"/>
  <c r="BD1310" i="93"/>
  <c r="BF1310" i="93" s="1"/>
  <c r="BD2378" i="93"/>
  <c r="BF2358" i="93"/>
  <c r="BF2378" i="93"/>
  <c r="BD2370" i="93"/>
  <c r="BF2370" i="93" s="1"/>
  <c r="BD2362" i="93"/>
  <c r="BF2362" i="93" s="1"/>
  <c r="BD2366" i="93"/>
  <c r="BF2366" i="93" s="1"/>
  <c r="BD1805" i="93"/>
  <c r="BF1805" i="93" s="1"/>
  <c r="BD2343" i="93"/>
  <c r="BF2343" i="93" s="1"/>
  <c r="BD2354" i="93"/>
  <c r="BF2354" i="93" s="1"/>
  <c r="BD2353" i="93"/>
  <c r="BF2353" i="93" s="1"/>
  <c r="BF3320" i="93"/>
  <c r="BD2819" i="93"/>
  <c r="BF2819" i="93" s="1"/>
  <c r="BD2831" i="93"/>
  <c r="BF2831" i="93" s="1"/>
  <c r="BD3207" i="93"/>
  <c r="BF3207" i="93" s="1"/>
  <c r="BD2818" i="93"/>
  <c r="BF2818" i="93" s="1"/>
  <c r="BD1712" i="93"/>
  <c r="BF1712" i="93" s="1"/>
  <c r="AL1799" i="93"/>
  <c r="AL1796" i="93"/>
  <c r="AL1793" i="93"/>
  <c r="AL1787" i="93"/>
  <c r="AL1786" i="93"/>
  <c r="BE1779" i="93"/>
  <c r="BB1779" i="93"/>
  <c r="AB1779" i="93"/>
  <c r="BE1776" i="93"/>
  <c r="BB1776" i="93"/>
  <c r="AB1776" i="93"/>
  <c r="AL1772" i="93"/>
  <c r="AL1769" i="93"/>
  <c r="AL1766" i="93"/>
  <c r="AL1765" i="93"/>
  <c r="AL1756" i="93"/>
  <c r="AL1753" i="93"/>
  <c r="BE1748" i="93"/>
  <c r="BB1748" i="93"/>
  <c r="AB1748" i="93"/>
  <c r="AL1744" i="93"/>
  <c r="BE1734" i="93"/>
  <c r="BB1734" i="93"/>
  <c r="AB1734" i="93"/>
  <c r="AB1735" i="93"/>
  <c r="AL1395" i="93"/>
  <c r="AL1359" i="93"/>
  <c r="AL1332" i="93"/>
  <c r="AL1329" i="93"/>
  <c r="AL1290" i="93"/>
  <c r="AL1286" i="93"/>
  <c r="AL1270" i="93"/>
  <c r="BE2887" i="93"/>
  <c r="BB2887" i="93"/>
  <c r="AB2887" i="93"/>
  <c r="BE2798" i="93"/>
  <c r="BB2798" i="93"/>
  <c r="AB2798" i="93"/>
  <c r="AL2605" i="93"/>
  <c r="AL2593" i="93"/>
  <c r="AL2592" i="93"/>
  <c r="AL2589" i="93"/>
  <c r="AL2587" i="93"/>
  <c r="AL2578" i="93"/>
  <c r="AL2573" i="93"/>
  <c r="AL2558" i="93"/>
  <c r="AL2552" i="93"/>
  <c r="AL2548" i="93"/>
  <c r="AL2514" i="93"/>
  <c r="AL2507" i="93"/>
  <c r="AL2502" i="93"/>
  <c r="AL2498" i="93"/>
  <c r="AL2497" i="93"/>
  <c r="AL2491" i="93"/>
  <c r="AL2477" i="93"/>
  <c r="AL2472" i="93"/>
  <c r="AL2461" i="93"/>
  <c r="AL2457" i="93"/>
  <c r="AL2413" i="93"/>
  <c r="AL2412" i="93"/>
  <c r="AL2406" i="93"/>
  <c r="AL2402" i="93"/>
  <c r="AL1248" i="93"/>
  <c r="AL1235" i="93"/>
  <c r="AL1231" i="93"/>
  <c r="AL1230" i="93"/>
  <c r="AL1221" i="93"/>
  <c r="AL1210" i="93"/>
  <c r="AL1183" i="93"/>
  <c r="AL1175" i="93"/>
  <c r="AL1168" i="93"/>
  <c r="AL1159" i="93"/>
  <c r="BE1158" i="93"/>
  <c r="BB1158" i="93"/>
  <c r="AB1158" i="93"/>
  <c r="AL1133" i="93"/>
  <c r="AL1124" i="93"/>
  <c r="AL1114" i="93"/>
  <c r="AL1105" i="93"/>
  <c r="AL1107" i="93"/>
  <c r="AL1104" i="93"/>
  <c r="AL3915" i="93"/>
  <c r="L3915" i="93"/>
  <c r="L1101" i="93"/>
  <c r="L1100" i="93"/>
  <c r="AL1232" i="93"/>
  <c r="L1232" i="93"/>
  <c r="AL1179" i="93"/>
  <c r="BD2887" i="93" l="1"/>
  <c r="BD1734" i="93"/>
  <c r="BF1734" i="93" s="1"/>
  <c r="BD1748" i="93"/>
  <c r="BF1748" i="93" s="1"/>
  <c r="BD2798" i="93"/>
  <c r="BF2798" i="93" s="1"/>
  <c r="BD1779" i="93"/>
  <c r="BD1776" i="93"/>
  <c r="BF1776" i="93" s="1"/>
  <c r="BF1779" i="93"/>
  <c r="BD1158" i="93"/>
  <c r="BF1158" i="93" s="1"/>
  <c r="BF2887" i="93"/>
  <c r="BE1218" i="93"/>
  <c r="BB1218" i="93"/>
  <c r="AB1218" i="93"/>
  <c r="AL1176" i="93"/>
  <c r="AL1177" i="93"/>
  <c r="AL1171" i="93"/>
  <c r="BB1171" i="93" s="1"/>
  <c r="BE1161" i="93"/>
  <c r="BB1161" i="93"/>
  <c r="AB1161" i="93"/>
  <c r="BE1160" i="93"/>
  <c r="BB1160" i="93"/>
  <c r="AB1160" i="93"/>
  <c r="AL1131" i="93"/>
  <c r="AL1130" i="93"/>
  <c r="AL1120" i="93"/>
  <c r="AL1116" i="93"/>
  <c r="AL1103" i="93"/>
  <c r="AL1225" i="93"/>
  <c r="BE1195" i="93"/>
  <c r="BB1195" i="93"/>
  <c r="AB1195" i="93"/>
  <c r="AL1178" i="93"/>
  <c r="BE2603" i="93"/>
  <c r="BB2603" i="93"/>
  <c r="AB2603" i="93"/>
  <c r="AL2562" i="93"/>
  <c r="AL2559" i="93"/>
  <c r="AL2539" i="93"/>
  <c r="BE2529" i="93"/>
  <c r="BB2529" i="93"/>
  <c r="AB2529" i="93"/>
  <c r="BE2519" i="93"/>
  <c r="BB2519" i="93"/>
  <c r="AB2519" i="93"/>
  <c r="BE2518" i="93"/>
  <c r="BB2518" i="93"/>
  <c r="AB2518" i="93"/>
  <c r="BE2517" i="93"/>
  <c r="BB2517" i="93"/>
  <c r="AB2517" i="93"/>
  <c r="AL2513" i="93"/>
  <c r="BE2483" i="93"/>
  <c r="BB2483" i="93"/>
  <c r="AB2483" i="93"/>
  <c r="BE2462" i="93"/>
  <c r="BE2463" i="93"/>
  <c r="BB2462" i="93"/>
  <c r="AB2462" i="93"/>
  <c r="AL1615" i="93"/>
  <c r="AL1611" i="93"/>
  <c r="AL1606" i="93"/>
  <c r="AL1604" i="93"/>
  <c r="BE1603" i="93"/>
  <c r="BB1603" i="93"/>
  <c r="AB1603" i="93"/>
  <c r="AL1600" i="93"/>
  <c r="AL1594" i="93"/>
  <c r="AL1593" i="93"/>
  <c r="AL1586" i="93"/>
  <c r="BE1576" i="93"/>
  <c r="BB1576" i="93"/>
  <c r="AB1576" i="93"/>
  <c r="BE1575" i="93"/>
  <c r="BB1575" i="93"/>
  <c r="AB1575" i="93"/>
  <c r="AL1551" i="93"/>
  <c r="BE1547" i="93"/>
  <c r="BB1547" i="93"/>
  <c r="AB1547" i="93"/>
  <c r="AL1540" i="93"/>
  <c r="AL1539" i="93"/>
  <c r="AL1529" i="93"/>
  <c r="AL1527" i="93"/>
  <c r="AL1526" i="93"/>
  <c r="AL1523" i="93"/>
  <c r="AL1522" i="93"/>
  <c r="L2138" i="93"/>
  <c r="L2132" i="93"/>
  <c r="L2118" i="93"/>
  <c r="L2100" i="93"/>
  <c r="L2094" i="93"/>
  <c r="L2073" i="93"/>
  <c r="BE2038" i="93"/>
  <c r="BB2038" i="93"/>
  <c r="AB2038" i="93"/>
  <c r="AL2139" i="93"/>
  <c r="AL2138" i="93"/>
  <c r="AL2137" i="93"/>
  <c r="AL2132" i="93"/>
  <c r="AL2120" i="93"/>
  <c r="AL2118" i="93"/>
  <c r="AL2117" i="93"/>
  <c r="AL2116" i="93"/>
  <c r="AL2104" i="93"/>
  <c r="AL2100" i="93"/>
  <c r="AL2095" i="93"/>
  <c r="AL2094" i="93"/>
  <c r="BE2077" i="93"/>
  <c r="BB2077" i="93"/>
  <c r="AB2077" i="93"/>
  <c r="AL2073" i="93"/>
  <c r="AL2062" i="93"/>
  <c r="AL2050" i="93"/>
  <c r="BE1863" i="93"/>
  <c r="BB1863" i="93"/>
  <c r="AB1863" i="93"/>
  <c r="AL1507" i="93"/>
  <c r="AL1504" i="93"/>
  <c r="AL1501" i="93"/>
  <c r="AL1495" i="93"/>
  <c r="AL1422" i="93"/>
  <c r="AL1444" i="93"/>
  <c r="AL1438" i="93"/>
  <c r="AL1434" i="93"/>
  <c r="BE1508" i="93"/>
  <c r="BB1508" i="93"/>
  <c r="AB1508" i="93"/>
  <c r="BE1493" i="93"/>
  <c r="BB1493" i="93"/>
  <c r="AB1493" i="93"/>
  <c r="AL1486" i="93"/>
  <c r="AL1484" i="93"/>
  <c r="AL1483" i="93"/>
  <c r="AL1482" i="93"/>
  <c r="AL1481" i="93"/>
  <c r="AL1473" i="93"/>
  <c r="AL1472" i="93"/>
  <c r="AL1461" i="93"/>
  <c r="BE1457" i="93"/>
  <c r="BB1457" i="93"/>
  <c r="AB1457" i="93"/>
  <c r="AL1455" i="93"/>
  <c r="BE1432" i="93"/>
  <c r="BB1432" i="93"/>
  <c r="AB1432" i="93"/>
  <c r="AL1641" i="93"/>
  <c r="AL1693" i="93"/>
  <c r="AL1689" i="93"/>
  <c r="AL1682" i="93"/>
  <c r="AL1681" i="93"/>
  <c r="BE1673" i="93"/>
  <c r="AB1673" i="93"/>
  <c r="BB1673" i="93"/>
  <c r="AL1647" i="93"/>
  <c r="AL1632" i="93"/>
  <c r="BE1627" i="93"/>
  <c r="BB1627" i="93"/>
  <c r="BB1628" i="93"/>
  <c r="AB1627" i="93"/>
  <c r="AL1625" i="93"/>
  <c r="BE2953" i="93"/>
  <c r="BB2953" i="93"/>
  <c r="AB2953" i="93"/>
  <c r="BD1160" i="93" l="1"/>
  <c r="BF1160" i="93" s="1"/>
  <c r="BD2529" i="93"/>
  <c r="BF2529" i="93" s="1"/>
  <c r="BD1161" i="93"/>
  <c r="BF1161" i="93" s="1"/>
  <c r="BD2953" i="93"/>
  <c r="BF2953" i="93" s="1"/>
  <c r="BD2603" i="93"/>
  <c r="BF2603" i="93" s="1"/>
  <c r="BD1218" i="93"/>
  <c r="BF1218" i="93" s="1"/>
  <c r="BD1195" i="93"/>
  <c r="BF1195" i="93" s="1"/>
  <c r="BD2519" i="93"/>
  <c r="BD2518" i="93"/>
  <c r="BF2518" i="93" s="1"/>
  <c r="BF2519" i="93"/>
  <c r="BD1673" i="93"/>
  <c r="BF1673" i="93" s="1"/>
  <c r="BD1493" i="93"/>
  <c r="BF1493" i="93" s="1"/>
  <c r="BD1508" i="93"/>
  <c r="BF1508" i="93" s="1"/>
  <c r="BD2077" i="93"/>
  <c r="BD1547" i="93"/>
  <c r="BD1576" i="93"/>
  <c r="BF1576" i="93" s="1"/>
  <c r="BD2483" i="93"/>
  <c r="BF2483" i="93" s="1"/>
  <c r="BD2517" i="93"/>
  <c r="BF2517" i="93" s="1"/>
  <c r="BD1603" i="93"/>
  <c r="BF1603" i="93" s="1"/>
  <c r="BD2038" i="93"/>
  <c r="BF2038" i="93" s="1"/>
  <c r="BD2462" i="93"/>
  <c r="BF2462" i="93" s="1"/>
  <c r="BD1575" i="93"/>
  <c r="BF1575" i="93" s="1"/>
  <c r="BF1547" i="93"/>
  <c r="BF2077" i="93"/>
  <c r="BD1863" i="93"/>
  <c r="BF1863" i="93" s="1"/>
  <c r="BD1457" i="93"/>
  <c r="BF1457" i="93" s="1"/>
  <c r="BD1432" i="93"/>
  <c r="BF1432" i="93" s="1"/>
  <c r="BD1627" i="93"/>
  <c r="BF1627" i="93" s="1"/>
  <c r="BE1909" i="93"/>
  <c r="BB1909" i="93"/>
  <c r="AB1909" i="93"/>
  <c r="BE1843" i="93"/>
  <c r="BB1843" i="93"/>
  <c r="AB1843" i="93"/>
  <c r="BE1840" i="93"/>
  <c r="BB1840" i="93"/>
  <c r="AB1840" i="93"/>
  <c r="BE1839" i="93"/>
  <c r="BB1839" i="93"/>
  <c r="AB1839" i="93"/>
  <c r="BE1838" i="93"/>
  <c r="BE1841" i="93"/>
  <c r="BB1838" i="93"/>
  <c r="AB1838" i="93"/>
  <c r="BE1371" i="93"/>
  <c r="BB1371" i="93"/>
  <c r="AB1371" i="93"/>
  <c r="BE3543" i="93"/>
  <c r="BB3543" i="93"/>
  <c r="AB3543" i="93"/>
  <c r="BE2175" i="93"/>
  <c r="BB2175" i="93"/>
  <c r="AB2175" i="93"/>
  <c r="BE2154" i="93"/>
  <c r="BB2154" i="93"/>
  <c r="AB2154" i="93"/>
  <c r="BC930" i="93"/>
  <c r="BC862" i="93"/>
  <c r="BC382" i="93"/>
  <c r="BC260" i="93"/>
  <c r="BD3543" i="93" l="1"/>
  <c r="BF3543" i="93" s="1"/>
  <c r="BD1909" i="93"/>
  <c r="BF1909" i="93" s="1"/>
  <c r="BD1371" i="93"/>
  <c r="BF1371" i="93" s="1"/>
  <c r="BD1839" i="93"/>
  <c r="BF1839" i="93" s="1"/>
  <c r="BD1840" i="93"/>
  <c r="BF1840" i="93" s="1"/>
  <c r="BD1843" i="93"/>
  <c r="BF1843" i="93" s="1"/>
  <c r="BD1838" i="93"/>
  <c r="BF1838" i="93" s="1"/>
  <c r="BD2175" i="93"/>
  <c r="BD2154" i="93"/>
  <c r="BF2154" i="93" s="1"/>
  <c r="BF2175" i="93"/>
  <c r="AL309" i="93"/>
  <c r="AL297" i="93"/>
  <c r="AL288" i="93"/>
  <c r="BE278" i="93"/>
  <c r="AL783" i="93"/>
  <c r="AL202" i="93"/>
  <c r="BE662" i="93"/>
  <c r="BB662" i="93"/>
  <c r="AB662" i="93"/>
  <c r="BE643" i="93"/>
  <c r="BB643" i="93"/>
  <c r="AB643" i="93"/>
  <c r="BE807" i="93"/>
  <c r="BB807" i="93"/>
  <c r="AB807" i="93"/>
  <c r="BE800" i="93"/>
  <c r="BB800" i="93"/>
  <c r="AB800" i="93"/>
  <c r="BE765" i="93"/>
  <c r="BB765" i="93"/>
  <c r="AB765" i="93"/>
  <c r="BE3386" i="93"/>
  <c r="BB3386" i="93"/>
  <c r="AB3386" i="93"/>
  <c r="BE3373" i="93"/>
  <c r="BB3373" i="93"/>
  <c r="AB3373" i="93"/>
  <c r="BE3321" i="93"/>
  <c r="BB3321" i="93"/>
  <c r="AB3321" i="93"/>
  <c r="AB3322" i="93"/>
  <c r="BE916" i="93"/>
  <c r="BB916" i="93"/>
  <c r="AB916" i="93"/>
  <c r="BE3211" i="93"/>
  <c r="BB3211" i="93"/>
  <c r="AB3211" i="93"/>
  <c r="BE728" i="93"/>
  <c r="BB728" i="93"/>
  <c r="BB729" i="93"/>
  <c r="AB728" i="93"/>
  <c r="BE2302" i="93"/>
  <c r="BB2302" i="93"/>
  <c r="AB2302" i="93"/>
  <c r="BE1706" i="93"/>
  <c r="BB1706" i="93"/>
  <c r="AB1706" i="93"/>
  <c r="BE463" i="93"/>
  <c r="BB463" i="93"/>
  <c r="BB464" i="93"/>
  <c r="AB463" i="93"/>
  <c r="BE461" i="93"/>
  <c r="BB461" i="93"/>
  <c r="AB461" i="93"/>
  <c r="BE399" i="93"/>
  <c r="BB399" i="93"/>
  <c r="AB399" i="93"/>
  <c r="BE295" i="93"/>
  <c r="BB295" i="93"/>
  <c r="AB295" i="93"/>
  <c r="BE525" i="93"/>
  <c r="BB525" i="93"/>
  <c r="AB525" i="93"/>
  <c r="BE1439" i="93"/>
  <c r="BB1439" i="93"/>
  <c r="AB1439" i="93"/>
  <c r="E36" i="99"/>
  <c r="E14" i="99"/>
  <c r="AL642" i="93"/>
  <c r="AL639" i="93"/>
  <c r="BE618" i="93"/>
  <c r="BE619" i="93"/>
  <c r="BB618" i="93"/>
  <c r="AB618" i="93"/>
  <c r="AB619" i="93"/>
  <c r="AL605" i="93"/>
  <c r="L1038" i="93"/>
  <c r="BE1031" i="93"/>
  <c r="BB1031" i="93"/>
  <c r="AB1031" i="93"/>
  <c r="BE1046" i="93"/>
  <c r="BB1046" i="93"/>
  <c r="AB1046" i="93"/>
  <c r="L1008" i="93"/>
  <c r="AB1008" i="93" s="1"/>
  <c r="BE1008" i="93"/>
  <c r="BB1011" i="93"/>
  <c r="BB1008" i="93"/>
  <c r="BB1012" i="93"/>
  <c r="L1019" i="93"/>
  <c r="BE1048" i="93"/>
  <c r="BB1048" i="93"/>
  <c r="AB1048" i="93"/>
  <c r="BE1077" i="93"/>
  <c r="BB1077" i="93"/>
  <c r="AB1077" i="93"/>
  <c r="BB835" i="93"/>
  <c r="AB835" i="93"/>
  <c r="BE835" i="93"/>
  <c r="BE823" i="93"/>
  <c r="BB823" i="93"/>
  <c r="AB823" i="93"/>
  <c r="BE812" i="93"/>
  <c r="BB812" i="93"/>
  <c r="AB812" i="93"/>
  <c r="AL804" i="93"/>
  <c r="BE792" i="93"/>
  <c r="BB792" i="93"/>
  <c r="AB792" i="93"/>
  <c r="BE764" i="93"/>
  <c r="BB764" i="93"/>
  <c r="AB764" i="93"/>
  <c r="AL752" i="93"/>
  <c r="BE28" i="93"/>
  <c r="BB28" i="93"/>
  <c r="AB28" i="93"/>
  <c r="BE26" i="93"/>
  <c r="BB26" i="93"/>
  <c r="AB26" i="93"/>
  <c r="BE984" i="93"/>
  <c r="BB984" i="93"/>
  <c r="AB984" i="93"/>
  <c r="BE983" i="93"/>
  <c r="BB983" i="93"/>
  <c r="AB983" i="93"/>
  <c r="BE965" i="93"/>
  <c r="BB965" i="93"/>
  <c r="AB965" i="93"/>
  <c r="BE964" i="93"/>
  <c r="BB964" i="93"/>
  <c r="AB964" i="93"/>
  <c r="AL963" i="93"/>
  <c r="BB963" i="93" s="1"/>
  <c r="BE959" i="93"/>
  <c r="BB959" i="93"/>
  <c r="AB959" i="93"/>
  <c r="AL952" i="93"/>
  <c r="BB952" i="93" s="1"/>
  <c r="AL948" i="93"/>
  <c r="AL946" i="93"/>
  <c r="AL939" i="93"/>
  <c r="BE935" i="93"/>
  <c r="BB935" i="93"/>
  <c r="AB935" i="93"/>
  <c r="AL919" i="93"/>
  <c r="AL896" i="93"/>
  <c r="AL884" i="93"/>
  <c r="AL881" i="93"/>
  <c r="BE877" i="93"/>
  <c r="BB877" i="93"/>
  <c r="AB877" i="93"/>
  <c r="BE995" i="93"/>
  <c r="BB995" i="93"/>
  <c r="AB995" i="93"/>
  <c r="BE732" i="93"/>
  <c r="BB732" i="93"/>
  <c r="AB732" i="93"/>
  <c r="AB733" i="93"/>
  <c r="BE721" i="93"/>
  <c r="BB721" i="93"/>
  <c r="AB721" i="93"/>
  <c r="BE704" i="93"/>
  <c r="BB704" i="93"/>
  <c r="AB704" i="93"/>
  <c r="AL695" i="93"/>
  <c r="L74" i="93"/>
  <c r="AB74" i="93" s="1"/>
  <c r="BE74" i="93"/>
  <c r="BB74" i="93"/>
  <c r="AL529" i="93"/>
  <c r="BE520" i="93"/>
  <c r="BB520" i="93"/>
  <c r="AB520" i="93"/>
  <c r="AL519" i="93"/>
  <c r="AL374" i="93"/>
  <c r="AL332" i="93"/>
  <c r="AL315" i="93"/>
  <c r="AL450" i="93"/>
  <c r="AL423" i="93"/>
  <c r="AL375" i="93"/>
  <c r="AL310" i="93"/>
  <c r="BE14" i="93"/>
  <c r="BB14" i="93"/>
  <c r="AB14" i="93"/>
  <c r="BE12" i="93"/>
  <c r="BB12" i="93"/>
  <c r="AB12" i="93"/>
  <c r="AL526" i="93"/>
  <c r="BE498" i="93"/>
  <c r="BB498" i="93"/>
  <c r="AB498" i="93"/>
  <c r="BE491" i="93"/>
  <c r="BB491" i="93"/>
  <c r="AB491" i="93"/>
  <c r="AL481" i="93"/>
  <c r="BE452" i="93"/>
  <c r="BB452" i="93"/>
  <c r="AB452" i="93"/>
  <c r="BE444" i="93"/>
  <c r="BB444" i="93"/>
  <c r="AB444" i="93"/>
  <c r="AL441" i="93"/>
  <c r="AL407" i="93"/>
  <c r="AL400" i="93"/>
  <c r="AL398" i="93"/>
  <c r="AL393" i="93"/>
  <c r="BE377" i="93"/>
  <c r="BE378" i="93"/>
  <c r="BB377" i="93"/>
  <c r="AB377" i="93"/>
  <c r="BC344" i="93"/>
  <c r="BC342" i="93"/>
  <c r="BE276" i="93"/>
  <c r="BB276" i="93"/>
  <c r="AB276" i="93"/>
  <c r="AL270" i="93"/>
  <c r="BE49" i="93"/>
  <c r="BB49" i="93"/>
  <c r="AB49" i="93"/>
  <c r="BE188" i="93"/>
  <c r="BB188" i="93"/>
  <c r="AB188" i="93"/>
  <c r="L149" i="93"/>
  <c r="L148" i="93"/>
  <c r="L146" i="93"/>
  <c r="BE167" i="93"/>
  <c r="BB167" i="93"/>
  <c r="AB167" i="93"/>
  <c r="BE154" i="93"/>
  <c r="BB154" i="93"/>
  <c r="AB154" i="93"/>
  <c r="AL149" i="93"/>
  <c r="AL147" i="93"/>
  <c r="AL146" i="93"/>
  <c r="BE145" i="93"/>
  <c r="BB145" i="93"/>
  <c r="AB145" i="93"/>
  <c r="BE143" i="93"/>
  <c r="BB143" i="93"/>
  <c r="AB143" i="93"/>
  <c r="BE138" i="93"/>
  <c r="BB138" i="93"/>
  <c r="AB138" i="93"/>
  <c r="AL130" i="93"/>
  <c r="AL129" i="93"/>
  <c r="BE106" i="93"/>
  <c r="BB106" i="93"/>
  <c r="AB106" i="93"/>
  <c r="AL39" i="93"/>
  <c r="BE37" i="93"/>
  <c r="BB37" i="93"/>
  <c r="AB37" i="93"/>
  <c r="BE802" i="93"/>
  <c r="BB802" i="93"/>
  <c r="AB802" i="93"/>
  <c r="BE759" i="93"/>
  <c r="BB759" i="93"/>
  <c r="AB759" i="93"/>
  <c r="BE981" i="93"/>
  <c r="BB981" i="93"/>
  <c r="AB981" i="93"/>
  <c r="AB982" i="93"/>
  <c r="BE963" i="93"/>
  <c r="AB963" i="93"/>
  <c r="BE952" i="93"/>
  <c r="AB952" i="93"/>
  <c r="BE945" i="93"/>
  <c r="BB945" i="93"/>
  <c r="AB945" i="93"/>
  <c r="BC946" i="93"/>
  <c r="BE871" i="93"/>
  <c r="BB871" i="93"/>
  <c r="AB871" i="93"/>
  <c r="BB861" i="93"/>
  <c r="BB240" i="93"/>
  <c r="BD240" i="93" s="1"/>
  <c r="BE240" i="93"/>
  <c r="BE237" i="93"/>
  <c r="BD237" i="93"/>
  <c r="BE232" i="93"/>
  <c r="BB232" i="93"/>
  <c r="AB232" i="93"/>
  <c r="BE220" i="93"/>
  <c r="BB220" i="93"/>
  <c r="AB220" i="93"/>
  <c r="BE216" i="93"/>
  <c r="BB216" i="93"/>
  <c r="BB217" i="93"/>
  <c r="AB216" i="93"/>
  <c r="BF240" i="93" l="1"/>
  <c r="BD1008" i="93"/>
  <c r="BF1008" i="93" s="1"/>
  <c r="BD3373" i="93"/>
  <c r="BD3386" i="93"/>
  <c r="BF3386" i="93" s="1"/>
  <c r="BD800" i="93"/>
  <c r="BF800" i="93" s="1"/>
  <c r="BD1706" i="93"/>
  <c r="BF1706" i="93" s="1"/>
  <c r="BD807" i="93"/>
  <c r="BF807" i="93" s="1"/>
  <c r="BD2302" i="93"/>
  <c r="BF2302" i="93" s="1"/>
  <c r="BD765" i="93"/>
  <c r="BF765" i="93" s="1"/>
  <c r="BD662" i="93"/>
  <c r="BF662" i="93" s="1"/>
  <c r="BD643" i="93"/>
  <c r="BF643" i="93" s="1"/>
  <c r="BD3321" i="93"/>
  <c r="BF3373" i="93"/>
  <c r="BD3211" i="93"/>
  <c r="BF3211" i="93" s="1"/>
  <c r="BD916" i="93"/>
  <c r="BF3321" i="93"/>
  <c r="BF916" i="93"/>
  <c r="BD525" i="93"/>
  <c r="BF525" i="93" s="1"/>
  <c r="BD461" i="93"/>
  <c r="BF461" i="93" s="1"/>
  <c r="BD728" i="93"/>
  <c r="BF728" i="93" s="1"/>
  <c r="BD1048" i="93"/>
  <c r="BF1048" i="93" s="1"/>
  <c r="BD1046" i="93"/>
  <c r="BF1046" i="93" s="1"/>
  <c r="BD463" i="93"/>
  <c r="BD1439" i="93"/>
  <c r="BF1439" i="93" s="1"/>
  <c r="BD295" i="93"/>
  <c r="BF295" i="93" s="1"/>
  <c r="BD399" i="93"/>
  <c r="BF399" i="93" s="1"/>
  <c r="BF463" i="93"/>
  <c r="BD618" i="93"/>
  <c r="BF618" i="93" s="1"/>
  <c r="BD1031" i="93"/>
  <c r="BD1077" i="93"/>
  <c r="BF1077" i="93" s="1"/>
  <c r="BD984" i="93"/>
  <c r="BF984" i="93" s="1"/>
  <c r="BD823" i="93"/>
  <c r="BF823" i="93" s="1"/>
  <c r="BF1031" i="93"/>
  <c r="BD983" i="93"/>
  <c r="BF983" i="93" s="1"/>
  <c r="BD835" i="93"/>
  <c r="BF835" i="93" s="1"/>
  <c r="BD812" i="93"/>
  <c r="BF812" i="93" s="1"/>
  <c r="BD764" i="93"/>
  <c r="BF764" i="93" s="1"/>
  <c r="BD792" i="93"/>
  <c r="BF792" i="93" s="1"/>
  <c r="BD28" i="93"/>
  <c r="BF28" i="93" s="1"/>
  <c r="BD26" i="93"/>
  <c r="BF26" i="93" s="1"/>
  <c r="BD964" i="93"/>
  <c r="BF964" i="93" s="1"/>
  <c r="BD965" i="93"/>
  <c r="BF965" i="93" s="1"/>
  <c r="BD959" i="93"/>
  <c r="BF959" i="93" s="1"/>
  <c r="BD935" i="93"/>
  <c r="BF935" i="93" s="1"/>
  <c r="BD877" i="93"/>
  <c r="BD995" i="93"/>
  <c r="BF995" i="93" s="1"/>
  <c r="BF877" i="93"/>
  <c r="BD759" i="93"/>
  <c r="BD802" i="93"/>
  <c r="BF802" i="93" s="1"/>
  <c r="BD721" i="93"/>
  <c r="BF721" i="93" s="1"/>
  <c r="BD732" i="93"/>
  <c r="BF732" i="93" s="1"/>
  <c r="BD498" i="93"/>
  <c r="BF498" i="93" s="1"/>
  <c r="BD704" i="93"/>
  <c r="BF704" i="93" s="1"/>
  <c r="BD154" i="93"/>
  <c r="BF154" i="93" s="1"/>
  <c r="BD167" i="93"/>
  <c r="BF167" i="93" s="1"/>
  <c r="BD49" i="93"/>
  <c r="BF49" i="93" s="1"/>
  <c r="BD14" i="93"/>
  <c r="BF14" i="93" s="1"/>
  <c r="BD74" i="93"/>
  <c r="BF74" i="93" s="1"/>
  <c r="BD520" i="93"/>
  <c r="BF520" i="93" s="1"/>
  <c r="BD452" i="93"/>
  <c r="BF452" i="93" s="1"/>
  <c r="BD491" i="93"/>
  <c r="BF491" i="93" s="1"/>
  <c r="BD12" i="93"/>
  <c r="BF12" i="93" s="1"/>
  <c r="BD276" i="93"/>
  <c r="BF276" i="93" s="1"/>
  <c r="BD377" i="93"/>
  <c r="BF377" i="93" s="1"/>
  <c r="BD444" i="93"/>
  <c r="BF444" i="93" s="1"/>
  <c r="BD188" i="93"/>
  <c r="BF188" i="93" s="1"/>
  <c r="BD138" i="93"/>
  <c r="BF138" i="93" s="1"/>
  <c r="BD145" i="93"/>
  <c r="BF145" i="93" s="1"/>
  <c r="BD143" i="93"/>
  <c r="BF143" i="93" s="1"/>
  <c r="BD37" i="93"/>
  <c r="BF37" i="93" s="1"/>
  <c r="BD106" i="93"/>
  <c r="BF106" i="93" s="1"/>
  <c r="BF759" i="93"/>
  <c r="BD963" i="93"/>
  <c r="BF963" i="93" s="1"/>
  <c r="BD981" i="93"/>
  <c r="BF981" i="93" s="1"/>
  <c r="BD952" i="93"/>
  <c r="BF952" i="93" s="1"/>
  <c r="BD945" i="93"/>
  <c r="BF945" i="93" s="1"/>
  <c r="BF237" i="93"/>
  <c r="BD871" i="93"/>
  <c r="BF871" i="93" s="1"/>
  <c r="BD232" i="93"/>
  <c r="BF232" i="93" s="1"/>
  <c r="BD220" i="93"/>
  <c r="BF220" i="93" s="1"/>
  <c r="BD216" i="93"/>
  <c r="BF216" i="93" s="1"/>
  <c r="D98" i="102"/>
  <c r="E97" i="102"/>
  <c r="C98" i="102"/>
  <c r="E96" i="102"/>
  <c r="E95" i="102"/>
  <c r="E94" i="102"/>
  <c r="E93" i="102"/>
  <c r="E92" i="102"/>
  <c r="E91" i="102"/>
  <c r="E90" i="102"/>
  <c r="E89" i="102"/>
  <c r="E88" i="102"/>
  <c r="E87" i="102"/>
  <c r="E86" i="102"/>
  <c r="E85" i="102"/>
  <c r="E84" i="102"/>
  <c r="E82" i="102"/>
  <c r="E81" i="102"/>
  <c r="E80" i="102"/>
  <c r="E79" i="102"/>
  <c r="E78" i="102"/>
  <c r="E77" i="102"/>
  <c r="E76" i="102"/>
  <c r="E75" i="102"/>
  <c r="E74" i="102"/>
  <c r="E73" i="102"/>
  <c r="E72" i="102"/>
  <c r="E71" i="102"/>
  <c r="E63" i="102"/>
  <c r="E64" i="102"/>
  <c r="E65" i="102"/>
  <c r="E66" i="102"/>
  <c r="E67" i="102"/>
  <c r="E68" i="102"/>
  <c r="E69" i="102"/>
  <c r="E70" i="102"/>
  <c r="E83" i="102"/>
  <c r="E62" i="102"/>
  <c r="E32" i="101"/>
  <c r="E31" i="101"/>
  <c r="E30" i="101"/>
  <c r="E29" i="101"/>
  <c r="E28" i="101"/>
  <c r="E27" i="101"/>
  <c r="E26" i="101"/>
  <c r="E25" i="101"/>
  <c r="E24" i="101"/>
  <c r="E23" i="101"/>
  <c r="E22" i="101"/>
  <c r="E118" i="100"/>
  <c r="E117" i="100"/>
  <c r="E116" i="100"/>
  <c r="E115" i="100"/>
  <c r="E103" i="100"/>
  <c r="E101" i="100"/>
  <c r="E98" i="100"/>
  <c r="E87" i="100"/>
  <c r="E86" i="100"/>
  <c r="E85" i="100"/>
  <c r="E84" i="100"/>
  <c r="E83" i="100"/>
  <c r="E82" i="100"/>
  <c r="E81" i="100"/>
  <c r="E80" i="100"/>
  <c r="E79" i="100"/>
  <c r="E78" i="100"/>
  <c r="E77" i="100"/>
  <c r="BC1231" i="93" l="1"/>
  <c r="AC1231" i="93"/>
  <c r="K3916" i="93" l="1"/>
  <c r="K3402" i="93"/>
  <c r="K3400" i="93"/>
  <c r="K3182" i="93"/>
  <c r="K3179" i="93"/>
  <c r="K3113" i="93"/>
  <c r="K2929" i="93"/>
  <c r="K2783" i="93"/>
  <c r="K2632" i="93"/>
  <c r="K2386" i="93"/>
  <c r="K2384" i="93"/>
  <c r="K2383" i="93"/>
  <c r="K2342" i="93"/>
  <c r="K2339" i="93"/>
  <c r="K2165" i="93"/>
  <c r="K2164" i="93"/>
  <c r="K2013" i="93"/>
  <c r="K1912" i="93"/>
  <c r="K1817" i="93"/>
  <c r="K1815" i="93"/>
  <c r="K1702" i="93"/>
  <c r="K1412" i="93"/>
  <c r="K1264" i="93"/>
  <c r="K1097" i="93"/>
  <c r="K1095" i="93"/>
  <c r="BE2988" i="93" l="1"/>
  <c r="BB2988" i="93"/>
  <c r="AB2988" i="93"/>
  <c r="BE2978" i="93"/>
  <c r="BB2978" i="93"/>
  <c r="AB2978" i="93"/>
  <c r="BE2967" i="93"/>
  <c r="BB2967" i="93"/>
  <c r="AB2967" i="93"/>
  <c r="BD2967" i="93" l="1"/>
  <c r="BF2967" i="93" s="1"/>
  <c r="BD2988" i="93"/>
  <c r="BD2978" i="93"/>
  <c r="BF2988" i="93"/>
  <c r="BF2978" i="93"/>
  <c r="BE2662" i="93"/>
  <c r="BB2662" i="93"/>
  <c r="AB2662" i="93"/>
  <c r="BD2662" i="93" l="1"/>
  <c r="BF2662" i="93" s="1"/>
  <c r="AC2336" i="93"/>
  <c r="BE3369" i="93"/>
  <c r="BB3369" i="93"/>
  <c r="AB3369" i="93"/>
  <c r="BE3272" i="93"/>
  <c r="BB3272" i="93"/>
  <c r="AB3272" i="93"/>
  <c r="BD3272" i="93" l="1"/>
  <c r="BF3272" i="93" s="1"/>
  <c r="BD3369" i="93"/>
  <c r="BF3369" i="93" s="1"/>
  <c r="D84" i="98"/>
  <c r="C84" i="98"/>
  <c r="K3489" i="93"/>
  <c r="K3855" i="93"/>
  <c r="BE3763" i="93" l="1"/>
  <c r="BB3763" i="93"/>
  <c r="AB3763" i="93"/>
  <c r="K3509" i="93"/>
  <c r="BD3763" i="93" l="1"/>
  <c r="BF3763" i="93" s="1"/>
  <c r="BE1816" i="93" l="1"/>
  <c r="BB1816" i="93"/>
  <c r="AB1816" i="93"/>
  <c r="AB1817" i="93"/>
  <c r="BD1816" i="93" l="1"/>
  <c r="BF1816" i="93" s="1"/>
  <c r="AH4181" i="93"/>
  <c r="AH4179" i="93"/>
  <c r="AH4176" i="93"/>
  <c r="AH3966" i="93"/>
  <c r="AH3965" i="93"/>
  <c r="AH3964" i="93"/>
  <c r="AH3959" i="93"/>
  <c r="BE4129" i="93"/>
  <c r="BE4131" i="93"/>
  <c r="BB4129" i="93"/>
  <c r="BB4131" i="93"/>
  <c r="AB4129" i="93"/>
  <c r="AB4131" i="93"/>
  <c r="AH4281" i="93"/>
  <c r="AC4232" i="93"/>
  <c r="BC4216" i="93"/>
  <c r="AH4213" i="93"/>
  <c r="AH4205" i="93"/>
  <c r="BB4205" i="93" s="1"/>
  <c r="BE4177" i="93"/>
  <c r="BB4177" i="93"/>
  <c r="AB4177" i="93"/>
  <c r="AC4196" i="93"/>
  <c r="AH4154" i="93"/>
  <c r="AH4152" i="93"/>
  <c r="AH4148" i="93"/>
  <c r="AC3927" i="93"/>
  <c r="AC4142" i="93"/>
  <c r="AC4076" i="93"/>
  <c r="AC4051" i="93"/>
  <c r="AC4011" i="93"/>
  <c r="BE4007" i="93"/>
  <c r="BB4007" i="93"/>
  <c r="AB4007" i="93"/>
  <c r="BD4177" i="93" l="1"/>
  <c r="BF4177" i="93" s="1"/>
  <c r="BD4131" i="93"/>
  <c r="BD4129" i="93"/>
  <c r="BF4129" i="93" s="1"/>
  <c r="BF4131" i="93"/>
  <c r="BD4007" i="93"/>
  <c r="BF4007" i="93" s="1"/>
  <c r="AH2415" i="93"/>
  <c r="H2415" i="93"/>
  <c r="AH2767" i="93"/>
  <c r="AH2761" i="93"/>
  <c r="AH2759" i="93"/>
  <c r="AH2758" i="93"/>
  <c r="AH2757" i="93"/>
  <c r="AH2752" i="93"/>
  <c r="AH2751" i="93"/>
  <c r="AH2722" i="93"/>
  <c r="AH2694" i="93"/>
  <c r="AH2686" i="93"/>
  <c r="AH2680" i="93"/>
  <c r="AH2668" i="93"/>
  <c r="AH2664" i="93"/>
  <c r="BE2660" i="93"/>
  <c r="BB2660" i="93"/>
  <c r="AB2660" i="93"/>
  <c r="AH2657" i="93"/>
  <c r="AH2653" i="93"/>
  <c r="AH2644" i="93"/>
  <c r="AH2637" i="93"/>
  <c r="BE3911" i="93"/>
  <c r="BB3911" i="93"/>
  <c r="AB3911" i="93"/>
  <c r="BE2984" i="93"/>
  <c r="BB2984" i="93"/>
  <c r="AB2984" i="93"/>
  <c r="AB2985" i="93"/>
  <c r="BE2975" i="93"/>
  <c r="BB2975" i="93"/>
  <c r="AB2975" i="93"/>
  <c r="H3362" i="93"/>
  <c r="H3273" i="93"/>
  <c r="H3222" i="93"/>
  <c r="H3206" i="93"/>
  <c r="H3203" i="93"/>
  <c r="H3901" i="93"/>
  <c r="H3899" i="93"/>
  <c r="H3898" i="93"/>
  <c r="H3897" i="93"/>
  <c r="H3896" i="93"/>
  <c r="H3894" i="93"/>
  <c r="H3893" i="93"/>
  <c r="H3892" i="93"/>
  <c r="H3891" i="93"/>
  <c r="H3890" i="93"/>
  <c r="H3889" i="93"/>
  <c r="H3888" i="93"/>
  <c r="H3887" i="93"/>
  <c r="H3886" i="93"/>
  <c r="H3885" i="93"/>
  <c r="BE3884" i="93"/>
  <c r="BB3884" i="93"/>
  <c r="AB3884" i="93"/>
  <c r="BE3883" i="93"/>
  <c r="BB3883" i="93"/>
  <c r="AB3883" i="93"/>
  <c r="BE3881" i="93"/>
  <c r="BE3885" i="93"/>
  <c r="BB3881" i="93"/>
  <c r="AB3881" i="93"/>
  <c r="H3878" i="93"/>
  <c r="H3877" i="93"/>
  <c r="BD3884" i="93" l="1"/>
  <c r="BF3884" i="93" s="1"/>
  <c r="BD3911" i="93"/>
  <c r="BD2660" i="93"/>
  <c r="BF2660" i="93" s="1"/>
  <c r="BF3911" i="93"/>
  <c r="BD3883" i="93"/>
  <c r="BF3883" i="93" s="1"/>
  <c r="BD2984" i="93"/>
  <c r="BF2984" i="93" s="1"/>
  <c r="BD2975" i="93"/>
  <c r="BF2975" i="93" s="1"/>
  <c r="BD3881" i="93"/>
  <c r="BF3881" i="93" s="1"/>
  <c r="H1103" i="93"/>
  <c r="H1100" i="93"/>
  <c r="H2084" i="93" l="1"/>
  <c r="H2050" i="93"/>
  <c r="BE1489" i="93"/>
  <c r="BB1489" i="93"/>
  <c r="AB1489" i="93"/>
  <c r="H3562" i="93"/>
  <c r="H3556" i="93"/>
  <c r="H1269" i="93"/>
  <c r="BD1489" i="93" l="1"/>
  <c r="BF1489" i="93" s="1"/>
  <c r="BE3745" i="93"/>
  <c r="BB3745" i="93"/>
  <c r="AB3745" i="93"/>
  <c r="BE3724" i="93"/>
  <c r="BB3724" i="93"/>
  <c r="AB3724" i="93"/>
  <c r="BE3710" i="93"/>
  <c r="BB3710" i="93"/>
  <c r="AB3710" i="93"/>
  <c r="BE3811" i="93"/>
  <c r="BB3811" i="93"/>
  <c r="AB3811" i="93"/>
  <c r="AC3680" i="93"/>
  <c r="H3572" i="93"/>
  <c r="H3570" i="93"/>
  <c r="H3568" i="93"/>
  <c r="H3565" i="93"/>
  <c r="H3561" i="93"/>
  <c r="BE3550" i="93"/>
  <c r="BB3550" i="93"/>
  <c r="BB3551" i="93"/>
  <c r="AB3550" i="93"/>
  <c r="BD3550" i="93" s="1"/>
  <c r="AB3551" i="93"/>
  <c r="H3542" i="93"/>
  <c r="H3541" i="93"/>
  <c r="H3540" i="93"/>
  <c r="H3530" i="93"/>
  <c r="H3521" i="93"/>
  <c r="H3519" i="93"/>
  <c r="H3518" i="93"/>
  <c r="BE3598" i="93"/>
  <c r="BB3598" i="93"/>
  <c r="AB3598" i="93"/>
  <c r="BC1978" i="93"/>
  <c r="AH3063" i="93"/>
  <c r="AH3034" i="93"/>
  <c r="AH3019" i="93"/>
  <c r="AH3008" i="93"/>
  <c r="AH2936" i="93"/>
  <c r="BE1989" i="93"/>
  <c r="BB1989" i="93"/>
  <c r="AB1989" i="93"/>
  <c r="AH1981" i="93"/>
  <c r="AH1977" i="93"/>
  <c r="BE1961" i="93"/>
  <c r="BB1961" i="93"/>
  <c r="AB1961" i="93"/>
  <c r="BC1955" i="93"/>
  <c r="AH3156" i="93"/>
  <c r="AH3154" i="93"/>
  <c r="AH3153" i="93"/>
  <c r="AH3148" i="93"/>
  <c r="AH3127" i="93"/>
  <c r="AH3126" i="93"/>
  <c r="AH3121" i="93"/>
  <c r="AH3116" i="93"/>
  <c r="AB3177" i="93"/>
  <c r="AH1305" i="93"/>
  <c r="BD3598" i="93" l="1"/>
  <c r="BD3811" i="93"/>
  <c r="BD3724" i="93"/>
  <c r="BF3724" i="93" s="1"/>
  <c r="BD3710" i="93"/>
  <c r="BF3710" i="93" s="1"/>
  <c r="BD3745" i="93"/>
  <c r="BF3745" i="93" s="1"/>
  <c r="BF3811" i="93"/>
  <c r="BD1961" i="93"/>
  <c r="BF3550" i="93"/>
  <c r="BF3598" i="93"/>
  <c r="BD1989" i="93"/>
  <c r="BF1989" i="93" s="1"/>
  <c r="BF1961" i="93"/>
  <c r="AH1402" i="93"/>
  <c r="AH1397" i="93"/>
  <c r="AH1385" i="93"/>
  <c r="AH1384" i="93"/>
  <c r="AH1381" i="93"/>
  <c r="AH1380" i="93"/>
  <c r="AH1379" i="93"/>
  <c r="AH1377" i="93"/>
  <c r="AH1375" i="93"/>
  <c r="AH1374" i="93"/>
  <c r="AH1372" i="93"/>
  <c r="AH1366" i="93"/>
  <c r="AH1330" i="93"/>
  <c r="AH1327" i="93"/>
  <c r="AH1325" i="93"/>
  <c r="AH1322" i="93"/>
  <c r="AH1321" i="93"/>
  <c r="AH1318" i="93"/>
  <c r="AH1317" i="93"/>
  <c r="AH1315" i="93"/>
  <c r="AH1303" i="93"/>
  <c r="AH1295" i="93"/>
  <c r="AH1293" i="93"/>
  <c r="AH1292" i="93"/>
  <c r="AH1289" i="93"/>
  <c r="AH1288" i="93"/>
  <c r="AH1287" i="93"/>
  <c r="AH1285" i="93"/>
  <c r="AH1284" i="93"/>
  <c r="AH1278" i="93"/>
  <c r="AH1277" i="93"/>
  <c r="AH1274" i="93"/>
  <c r="AH1273" i="93"/>
  <c r="H2349" i="93"/>
  <c r="BE3388" i="93"/>
  <c r="BB3388" i="93"/>
  <c r="AB3388" i="93"/>
  <c r="AH3362" i="93"/>
  <c r="AH3357" i="93"/>
  <c r="AH3344" i="93"/>
  <c r="AH3342" i="93"/>
  <c r="AH3341" i="93"/>
  <c r="AH3340" i="93"/>
  <c r="AH3339" i="93"/>
  <c r="AH3334" i="93"/>
  <c r="AH3298" i="93"/>
  <c r="AH3283" i="93"/>
  <c r="AH3282" i="93"/>
  <c r="AH3271" i="93"/>
  <c r="AH3265" i="93"/>
  <c r="BE3226" i="93"/>
  <c r="BB3226" i="93"/>
  <c r="AB3226" i="93"/>
  <c r="AH3225" i="93"/>
  <c r="AH3206" i="93"/>
  <c r="AH3192" i="93"/>
  <c r="AH3483" i="93"/>
  <c r="AH3473" i="93"/>
  <c r="AH3472" i="93"/>
  <c r="AH3469" i="93"/>
  <c r="AH3465" i="93"/>
  <c r="BD3226" i="93" l="1"/>
  <c r="BF3226" i="93" s="1"/>
  <c r="BD3388" i="93"/>
  <c r="BF3388" i="93" s="1"/>
  <c r="AH3449" i="93"/>
  <c r="AH3436" i="93"/>
  <c r="AH3430" i="93"/>
  <c r="AH3412" i="93"/>
  <c r="AH3405" i="93"/>
  <c r="H3412" i="93"/>
  <c r="AH3474" i="93"/>
  <c r="AH3468" i="93"/>
  <c r="AH2914" i="93"/>
  <c r="AH2910" i="93"/>
  <c r="AH2909" i="93"/>
  <c r="AH2902" i="93"/>
  <c r="AH2900" i="93"/>
  <c r="AH2899" i="93"/>
  <c r="AH2897" i="93"/>
  <c r="AH2895" i="93"/>
  <c r="AH2894" i="93"/>
  <c r="AH2892" i="93"/>
  <c r="AH2888" i="93"/>
  <c r="AH2883" i="93"/>
  <c r="AH2881" i="93"/>
  <c r="AH2879" i="93"/>
  <c r="BE2852" i="93"/>
  <c r="BB2852" i="93"/>
  <c r="AB2852" i="93"/>
  <c r="BE2851" i="93"/>
  <c r="BB2851" i="93"/>
  <c r="BB2853" i="93"/>
  <c r="AB2851" i="93"/>
  <c r="AH2845" i="93"/>
  <c r="AH2843" i="93"/>
  <c r="AH2842" i="93"/>
  <c r="AH2839" i="93"/>
  <c r="AH2835" i="93"/>
  <c r="AH2832" i="93"/>
  <c r="AH2830" i="93"/>
  <c r="AH2817" i="93"/>
  <c r="AH2814" i="93"/>
  <c r="AH2812" i="93"/>
  <c r="AH2811" i="93"/>
  <c r="AH2810" i="93"/>
  <c r="AH2809" i="93"/>
  <c r="AH2804" i="93"/>
  <c r="AH2802" i="93"/>
  <c r="AH2801" i="93"/>
  <c r="AH2797" i="93"/>
  <c r="AH2795" i="93"/>
  <c r="AH2794" i="93"/>
  <c r="AH2790" i="93"/>
  <c r="AH2787" i="93"/>
  <c r="AH2786" i="93"/>
  <c r="BB2786" i="93" s="1"/>
  <c r="BE2808" i="93"/>
  <c r="BB2808" i="93"/>
  <c r="AB2808" i="93"/>
  <c r="H1796" i="93"/>
  <c r="H1791" i="93"/>
  <c r="H1720" i="93"/>
  <c r="H1708" i="93"/>
  <c r="AH1804" i="93"/>
  <c r="AH1791" i="93"/>
  <c r="AH1729" i="93"/>
  <c r="AH1720" i="93"/>
  <c r="AH1715" i="93"/>
  <c r="AH1796" i="93"/>
  <c r="AH1793" i="93"/>
  <c r="AH1769" i="93"/>
  <c r="AH1766" i="93"/>
  <c r="AH1752" i="93"/>
  <c r="BE1725" i="93"/>
  <c r="BB1725" i="93"/>
  <c r="AB1725" i="93"/>
  <c r="AH1719" i="93"/>
  <c r="BE1401" i="93"/>
  <c r="BB1401" i="93"/>
  <c r="AB1401" i="93"/>
  <c r="BE1399" i="93"/>
  <c r="BB1399" i="93"/>
  <c r="AB1399" i="93"/>
  <c r="AH1395" i="93"/>
  <c r="AH1392" i="93"/>
  <c r="AH1360" i="93"/>
  <c r="AH1359" i="93"/>
  <c r="BE1350" i="93"/>
  <c r="BB1350" i="93"/>
  <c r="AB1350" i="93"/>
  <c r="BE1338" i="93"/>
  <c r="BB1338" i="93"/>
  <c r="AB1338" i="93"/>
  <c r="AH1332" i="93"/>
  <c r="AH1329" i="93"/>
  <c r="BE1291" i="93"/>
  <c r="BB1291" i="93"/>
  <c r="AB1291" i="93"/>
  <c r="AH1279" i="93"/>
  <c r="BD1725" i="93" l="1"/>
  <c r="BF1725" i="93" s="1"/>
  <c r="BD2852" i="93"/>
  <c r="BF2852" i="93" s="1"/>
  <c r="BD2851" i="93"/>
  <c r="BD2808" i="93"/>
  <c r="BF2851" i="93"/>
  <c r="BF2808" i="93"/>
  <c r="BD1338" i="93"/>
  <c r="BF1338" i="93" s="1"/>
  <c r="BD1401" i="93"/>
  <c r="BF1401" i="93" s="1"/>
  <c r="BD1350" i="93"/>
  <c r="BF1350" i="93" s="1"/>
  <c r="BD1399" i="93"/>
  <c r="BF1399" i="93" s="1"/>
  <c r="BD1291" i="93"/>
  <c r="BF1291" i="93" s="1"/>
  <c r="BE1400" i="93"/>
  <c r="BB1400" i="93"/>
  <c r="AB1400" i="93"/>
  <c r="BE1387" i="93"/>
  <c r="BB1387" i="93"/>
  <c r="AB1387" i="93"/>
  <c r="BE1280" i="93"/>
  <c r="BB1280" i="93"/>
  <c r="AB1280" i="93"/>
  <c r="AH2604" i="93"/>
  <c r="AH2592" i="93"/>
  <c r="AH2591" i="93"/>
  <c r="AH2590" i="93"/>
  <c r="AH2588" i="93"/>
  <c r="AH2587" i="93"/>
  <c r="AH2578" i="93"/>
  <c r="AH2573" i="93"/>
  <c r="AH2568" i="93"/>
  <c r="AH2552" i="93"/>
  <c r="AH2514" i="93"/>
  <c r="AH2504" i="93"/>
  <c r="AH2502" i="93"/>
  <c r="AH2499" i="93"/>
  <c r="AH2494" i="93"/>
  <c r="AH2491" i="93"/>
  <c r="AH2477" i="93"/>
  <c r="AH2472" i="93"/>
  <c r="AH2461" i="93"/>
  <c r="AH2413" i="93"/>
  <c r="AH2412" i="93"/>
  <c r="AH2406" i="93"/>
  <c r="AH2402" i="93"/>
  <c r="AH2401" i="93"/>
  <c r="AH2400" i="93"/>
  <c r="AH2397" i="93"/>
  <c r="AH2396" i="93"/>
  <c r="AH2392" i="93"/>
  <c r="AH2391" i="93"/>
  <c r="AH2388" i="93"/>
  <c r="H3915" i="93"/>
  <c r="H1248" i="93"/>
  <c r="AH1101" i="93"/>
  <c r="H1101" i="93"/>
  <c r="AH1248" i="93"/>
  <c r="AH1231" i="93"/>
  <c r="AH1230" i="93"/>
  <c r="AH1175" i="93"/>
  <c r="AH1168" i="93"/>
  <c r="BE1164" i="93"/>
  <c r="BB1164" i="93"/>
  <c r="AB1164" i="93"/>
  <c r="AH1124" i="93"/>
  <c r="AH1114" i="93"/>
  <c r="AH1103" i="93"/>
  <c r="BD1164" i="93" l="1"/>
  <c r="BD1400" i="93"/>
  <c r="BF1400" i="93" s="1"/>
  <c r="BD1387" i="93"/>
  <c r="BF1387" i="93" s="1"/>
  <c r="BD1280" i="93"/>
  <c r="BF1280" i="93" s="1"/>
  <c r="BF1164" i="93"/>
  <c r="BE2606" i="93"/>
  <c r="BB2606" i="93"/>
  <c r="AB2606" i="93"/>
  <c r="AH2559" i="93"/>
  <c r="AH2539" i="93"/>
  <c r="AH2513" i="93"/>
  <c r="AH1600" i="93"/>
  <c r="AH1593" i="93"/>
  <c r="BE1587" i="93"/>
  <c r="BB1587" i="93"/>
  <c r="AB1587" i="93"/>
  <c r="AH1551" i="93"/>
  <c r="BE1542" i="93"/>
  <c r="BB1542" i="93"/>
  <c r="AB1542" i="93"/>
  <c r="AH1539" i="93"/>
  <c r="AH1529" i="93"/>
  <c r="AH1522" i="93"/>
  <c r="H2138" i="93"/>
  <c r="H2132" i="93"/>
  <c r="H2100" i="93"/>
  <c r="H2031" i="93"/>
  <c r="H2062" i="93"/>
  <c r="AH2138" i="93"/>
  <c r="AH2132" i="93"/>
  <c r="BE2121" i="93"/>
  <c r="BB2121" i="93"/>
  <c r="AB2121" i="93"/>
  <c r="AH2118" i="93"/>
  <c r="AH2117" i="93"/>
  <c r="AH2116" i="93"/>
  <c r="AH2100" i="93"/>
  <c r="AH2095" i="93"/>
  <c r="AH2094" i="93"/>
  <c r="AH2073" i="93"/>
  <c r="AH2062" i="93"/>
  <c r="BE1864" i="93"/>
  <c r="BB1864" i="93"/>
  <c r="AB1864" i="93"/>
  <c r="BE1847" i="93"/>
  <c r="BB1847" i="93"/>
  <c r="AB1847" i="93"/>
  <c r="AH1507" i="93"/>
  <c r="AH1504" i="93"/>
  <c r="AH1501" i="93"/>
  <c r="AH1422" i="93"/>
  <c r="AH1419" i="93"/>
  <c r="AH1444" i="93"/>
  <c r="AH1443" i="93"/>
  <c r="BC1442" i="93"/>
  <c r="AH1435" i="93"/>
  <c r="BE1502" i="93"/>
  <c r="BB1502" i="93"/>
  <c r="AB1502" i="93"/>
  <c r="AH1486" i="93"/>
  <c r="AH1484" i="93"/>
  <c r="BE1479" i="93"/>
  <c r="BB1479" i="93"/>
  <c r="AB1479" i="93"/>
  <c r="AH1472" i="93"/>
  <c r="BE1464" i="93"/>
  <c r="BB1464" i="93"/>
  <c r="AB1464" i="93"/>
  <c r="BE1463" i="93"/>
  <c r="BB1463" i="93"/>
  <c r="AB1463" i="93"/>
  <c r="AH1461" i="93"/>
  <c r="AH1455" i="93"/>
  <c r="BE1427" i="93"/>
  <c r="BB1427" i="93"/>
  <c r="AB1427" i="93"/>
  <c r="AH1693" i="93"/>
  <c r="BE1670" i="93"/>
  <c r="BB1670" i="93"/>
  <c r="AB1670" i="93"/>
  <c r="BE1669" i="93"/>
  <c r="BB1669" i="93"/>
  <c r="AB1669" i="93"/>
  <c r="AH1632" i="93"/>
  <c r="BE3223" i="93"/>
  <c r="BB3223" i="93"/>
  <c r="AB3223" i="93"/>
  <c r="BE3545" i="93"/>
  <c r="BB3545" i="93"/>
  <c r="AB3545" i="93"/>
  <c r="BE3544" i="93"/>
  <c r="BB3544" i="93"/>
  <c r="BB3546" i="93"/>
  <c r="AB3544" i="93"/>
  <c r="BD3544" i="93" l="1"/>
  <c r="BD1542" i="93"/>
  <c r="BF1542" i="93" s="1"/>
  <c r="BD2606" i="93"/>
  <c r="BF2606" i="93" s="1"/>
  <c r="BD1587" i="93"/>
  <c r="BF1587" i="93" s="1"/>
  <c r="BD1847" i="93"/>
  <c r="BF1847" i="93" s="1"/>
  <c r="BD2121" i="93"/>
  <c r="BF2121" i="93" s="1"/>
  <c r="BD1864" i="93"/>
  <c r="BF1864" i="93" s="1"/>
  <c r="BD1670" i="93"/>
  <c r="BF1670" i="93" s="1"/>
  <c r="BF3544" i="93"/>
  <c r="BD3223" i="93"/>
  <c r="BF3223" i="93" s="1"/>
  <c r="BD1669" i="93"/>
  <c r="BF1669" i="93" s="1"/>
  <c r="BD1427" i="93"/>
  <c r="BF1427" i="93" s="1"/>
  <c r="BD1463" i="93"/>
  <c r="BF1463" i="93" s="1"/>
  <c r="BD1502" i="93"/>
  <c r="BF1502" i="93" s="1"/>
  <c r="BD1479" i="93"/>
  <c r="BF1479" i="93" s="1"/>
  <c r="BD1464" i="93"/>
  <c r="BF1464" i="93" s="1"/>
  <c r="BD3545" i="93"/>
  <c r="BF3545" i="93" s="1"/>
  <c r="BE3525" i="93"/>
  <c r="BB3525" i="93"/>
  <c r="AB3525" i="93"/>
  <c r="AH390" i="93"/>
  <c r="AH605" i="93"/>
  <c r="AH825" i="93"/>
  <c r="BE796" i="93"/>
  <c r="BB796" i="93"/>
  <c r="AB796" i="93"/>
  <c r="BE788" i="93"/>
  <c r="BB788" i="93"/>
  <c r="AB788" i="93"/>
  <c r="BE767" i="93"/>
  <c r="BB767" i="93"/>
  <c r="AB767" i="93"/>
  <c r="BE746" i="93"/>
  <c r="BE748" i="93"/>
  <c r="BB746" i="93"/>
  <c r="BB748" i="93"/>
  <c r="AB746" i="93"/>
  <c r="BE899" i="93"/>
  <c r="BE900" i="93"/>
  <c r="BB899" i="93"/>
  <c r="AB899" i="93"/>
  <c r="AH884" i="93"/>
  <c r="BD796" i="93" l="1"/>
  <c r="BF796" i="93" s="1"/>
  <c r="BD3525" i="93"/>
  <c r="BF3525" i="93" s="1"/>
  <c r="BD899" i="93"/>
  <c r="BF899" i="93" s="1"/>
  <c r="BD788" i="93"/>
  <c r="BF788" i="93" s="1"/>
  <c r="BD767" i="93"/>
  <c r="BF767" i="93" s="1"/>
  <c r="BD746" i="93"/>
  <c r="BF746" i="93" s="1"/>
  <c r="AH529" i="93"/>
  <c r="BE468" i="93"/>
  <c r="BB468" i="93"/>
  <c r="AB468" i="93"/>
  <c r="AH420" i="93"/>
  <c r="AH315" i="93"/>
  <c r="BE423" i="93"/>
  <c r="BB423" i="93"/>
  <c r="AB423" i="93"/>
  <c r="AH392" i="93"/>
  <c r="AH375" i="93"/>
  <c r="AH374" i="93"/>
  <c r="AH441" i="93"/>
  <c r="AH398" i="93"/>
  <c r="BE358" i="93"/>
  <c r="BB358" i="93"/>
  <c r="AB358" i="93"/>
  <c r="BC309" i="93"/>
  <c r="H146" i="93"/>
  <c r="BE187" i="93"/>
  <c r="BB187" i="93"/>
  <c r="AB187" i="93"/>
  <c r="AH149" i="93"/>
  <c r="AH148" i="93"/>
  <c r="AH146" i="93"/>
  <c r="AH129" i="93"/>
  <c r="BE100" i="93"/>
  <c r="BB100" i="93"/>
  <c r="AB100" i="93"/>
  <c r="BD468" i="93" l="1"/>
  <c r="BF468" i="93" s="1"/>
  <c r="BD358" i="93"/>
  <c r="BD423" i="93"/>
  <c r="BF423" i="93" s="1"/>
  <c r="BF358" i="93"/>
  <c r="BD187" i="93"/>
  <c r="BD100" i="93"/>
  <c r="BF100" i="93" s="1"/>
  <c r="BF187" i="93"/>
  <c r="E83" i="98"/>
  <c r="E82" i="98"/>
  <c r="E81" i="98"/>
  <c r="E80" i="98"/>
  <c r="E79" i="98"/>
  <c r="E78" i="98"/>
  <c r="E77" i="98"/>
  <c r="E76" i="98"/>
  <c r="E75" i="98"/>
  <c r="E74" i="98"/>
  <c r="E73" i="98"/>
  <c r="E72" i="98"/>
  <c r="E71" i="98"/>
  <c r="E70" i="98"/>
  <c r="E69" i="98"/>
  <c r="E68" i="98"/>
  <c r="E67" i="98"/>
  <c r="E66" i="98"/>
  <c r="E65" i="98"/>
  <c r="E64" i="98"/>
  <c r="E63" i="98"/>
  <c r="E62" i="98"/>
  <c r="E61" i="98"/>
  <c r="E60" i="98"/>
  <c r="E59" i="98"/>
  <c r="E58" i="98"/>
  <c r="E57" i="98"/>
  <c r="E56" i="98"/>
  <c r="E55" i="98"/>
  <c r="E54" i="98"/>
  <c r="E53" i="98"/>
  <c r="E52" i="98"/>
  <c r="D35" i="97"/>
  <c r="E30" i="97"/>
  <c r="C35" i="97"/>
  <c r="E29" i="97"/>
  <c r="E28" i="97"/>
  <c r="E27" i="97"/>
  <c r="E26" i="97"/>
  <c r="E25" i="97"/>
  <c r="E24" i="97"/>
  <c r="E104" i="96"/>
  <c r="E103" i="96"/>
  <c r="E102" i="96"/>
  <c r="E101" i="96"/>
  <c r="E77" i="96"/>
  <c r="E76" i="96"/>
  <c r="E75" i="96"/>
  <c r="E74" i="96"/>
  <c r="E73" i="96"/>
  <c r="E32" i="96"/>
  <c r="H14" i="94" l="1"/>
  <c r="AD2400" i="93"/>
  <c r="G3580" i="93"/>
  <c r="D4304" i="93" l="1"/>
  <c r="G3953" i="93"/>
  <c r="G3950" i="93"/>
  <c r="G3949" i="93"/>
  <c r="G3945" i="93"/>
  <c r="G3402" i="93"/>
  <c r="G2632" i="93"/>
  <c r="G1702" i="93"/>
  <c r="G1260" i="93"/>
  <c r="G1097" i="93"/>
  <c r="C65" i="66"/>
  <c r="BE1298" i="93"/>
  <c r="BE1299" i="93"/>
  <c r="BB1298" i="93"/>
  <c r="BB1299" i="93"/>
  <c r="AB1298" i="93"/>
  <c r="BE2777" i="93"/>
  <c r="BB2777" i="93"/>
  <c r="AB2777" i="93"/>
  <c r="BE2964" i="93"/>
  <c r="BB2964" i="93"/>
  <c r="AB2964" i="93"/>
  <c r="BE2960" i="93"/>
  <c r="BB2960" i="93"/>
  <c r="AB2960" i="93"/>
  <c r="D3362" i="93"/>
  <c r="D1248" i="93"/>
  <c r="D1103" i="93"/>
  <c r="D1100" i="93"/>
  <c r="D3901" i="93"/>
  <c r="D3899" i="93"/>
  <c r="D3898" i="93"/>
  <c r="D3897" i="93"/>
  <c r="D3896" i="93"/>
  <c r="D3894" i="93"/>
  <c r="D3893" i="93"/>
  <c r="D3892" i="93"/>
  <c r="D3891" i="93"/>
  <c r="D3890" i="93"/>
  <c r="D3889" i="93"/>
  <c r="D3888" i="93"/>
  <c r="D3887" i="93"/>
  <c r="D3886" i="93"/>
  <c r="D3885" i="93"/>
  <c r="D3878" i="93"/>
  <c r="D3877" i="93"/>
  <c r="BE3880" i="93"/>
  <c r="BB3880" i="93"/>
  <c r="AB3880" i="93"/>
  <c r="D1372" i="93"/>
  <c r="D1322" i="93"/>
  <c r="D3503" i="93"/>
  <c r="D3502" i="93"/>
  <c r="D3501" i="93"/>
  <c r="D3491" i="93"/>
  <c r="D1796" i="93"/>
  <c r="BC1802" i="93"/>
  <c r="AD1791" i="93"/>
  <c r="AD1729" i="93"/>
  <c r="AD1720" i="93"/>
  <c r="AD1402" i="93"/>
  <c r="BB1402" i="93" s="1"/>
  <c r="AD1397" i="93"/>
  <c r="AD1395" i="93"/>
  <c r="AD1384" i="93"/>
  <c r="AD1380" i="93"/>
  <c r="AD1379" i="93"/>
  <c r="AD1377" i="93"/>
  <c r="AD1372" i="93"/>
  <c r="AD1366" i="93"/>
  <c r="AD1360" i="93"/>
  <c r="AD1359" i="93"/>
  <c r="BB1359" i="93" s="1"/>
  <c r="AD1330" i="93"/>
  <c r="AD1329" i="93"/>
  <c r="BE1328" i="93"/>
  <c r="BB1328" i="93"/>
  <c r="AB1328" i="93"/>
  <c r="AD1327" i="93"/>
  <c r="BB1327" i="93" s="1"/>
  <c r="AD1325" i="93"/>
  <c r="AD1322" i="93"/>
  <c r="AD1318" i="93"/>
  <c r="AD1317" i="93"/>
  <c r="AD1315" i="93"/>
  <c r="BB1315" i="93" s="1"/>
  <c r="AD1303" i="93"/>
  <c r="BE1301" i="93"/>
  <c r="BB1301" i="93"/>
  <c r="AB1301" i="93"/>
  <c r="AD1295" i="93"/>
  <c r="AD1293" i="93"/>
  <c r="AD1292" i="93"/>
  <c r="AD1290" i="93"/>
  <c r="AD1289" i="93"/>
  <c r="AD1288" i="93"/>
  <c r="AD1287" i="93"/>
  <c r="AD1286" i="93"/>
  <c r="AD1285" i="93"/>
  <c r="AD1284" i="93"/>
  <c r="AD1279" i="93"/>
  <c r="AD1278" i="93"/>
  <c r="AD1274" i="93"/>
  <c r="AD1273" i="93"/>
  <c r="AD1270" i="93"/>
  <c r="BE3365" i="93"/>
  <c r="BE3366" i="93"/>
  <c r="BE3367" i="93"/>
  <c r="BE3368" i="93"/>
  <c r="BB3365" i="93"/>
  <c r="BB3366" i="93"/>
  <c r="BB3367" i="93"/>
  <c r="BB3368" i="93"/>
  <c r="AB3365" i="93"/>
  <c r="AB3366" i="93"/>
  <c r="AB3367" i="93"/>
  <c r="AB3368" i="93"/>
  <c r="AB3370" i="93"/>
  <c r="BE3364" i="93"/>
  <c r="BB3364" i="93"/>
  <c r="AB3364" i="93"/>
  <c r="BE3363" i="93"/>
  <c r="BB3363" i="93"/>
  <c r="AB3363" i="93"/>
  <c r="BE3290" i="93"/>
  <c r="BB3290" i="93"/>
  <c r="AB3290" i="93"/>
  <c r="BE2838" i="93"/>
  <c r="BB2838" i="93"/>
  <c r="AB2838" i="93"/>
  <c r="BE1398" i="93"/>
  <c r="BE1402" i="93"/>
  <c r="BB1398" i="93"/>
  <c r="AB1398" i="93"/>
  <c r="AB1402" i="93"/>
  <c r="BE1389" i="93"/>
  <c r="BB1389" i="93"/>
  <c r="AB1389" i="93"/>
  <c r="BE1388" i="93"/>
  <c r="BB1388" i="93"/>
  <c r="AB1388" i="93"/>
  <c r="BE1370" i="93"/>
  <c r="BB1370" i="93"/>
  <c r="AB1370" i="93"/>
  <c r="BE1359" i="93"/>
  <c r="AB1359" i="93"/>
  <c r="BE1327" i="93"/>
  <c r="AB1327" i="93"/>
  <c r="BE1271" i="93"/>
  <c r="BE1272" i="93"/>
  <c r="BE1273" i="93"/>
  <c r="BB1271" i="93"/>
  <c r="BB1272" i="93"/>
  <c r="AB1271" i="93"/>
  <c r="BE2609" i="93"/>
  <c r="BB2609" i="93"/>
  <c r="AB2609" i="93"/>
  <c r="BE2393" i="93"/>
  <c r="BB2393" i="93"/>
  <c r="AB2393" i="93"/>
  <c r="D3915" i="93"/>
  <c r="D1405" i="93"/>
  <c r="D1307" i="93"/>
  <c r="AB1307" i="93" s="1"/>
  <c r="D1273" i="93"/>
  <c r="BE1405" i="93"/>
  <c r="BE1404" i="93"/>
  <c r="BB1405" i="93"/>
  <c r="AB1405" i="93"/>
  <c r="BE1340" i="93"/>
  <c r="BB1340" i="93"/>
  <c r="AB1340" i="93"/>
  <c r="BE1337" i="93"/>
  <c r="BB1337" i="93"/>
  <c r="AB1337" i="93"/>
  <c r="BE1314" i="93"/>
  <c r="BB1314" i="93"/>
  <c r="AB1314" i="93"/>
  <c r="BE1307" i="93"/>
  <c r="BB1307" i="93"/>
  <c r="AB1299" i="93"/>
  <c r="BE1294" i="93"/>
  <c r="BE1295" i="93"/>
  <c r="BB1294" i="93"/>
  <c r="AB1294" i="93"/>
  <c r="G3182" i="93"/>
  <c r="G2783" i="93"/>
  <c r="BE1703" i="93"/>
  <c r="BB1703" i="93"/>
  <c r="AB1703" i="93"/>
  <c r="G3489" i="93"/>
  <c r="G3855" i="93"/>
  <c r="G1264" i="93"/>
  <c r="BE2630" i="93"/>
  <c r="BB2630" i="93"/>
  <c r="AB2630" i="93"/>
  <c r="G1263" i="93"/>
  <c r="G1261" i="93"/>
  <c r="BE1262" i="93"/>
  <c r="BB1262" i="93"/>
  <c r="AB1262" i="93"/>
  <c r="G3916" i="93"/>
  <c r="BD1299" i="93" l="1"/>
  <c r="BD1314" i="93"/>
  <c r="BD3880" i="93"/>
  <c r="BF3880" i="93" s="1"/>
  <c r="BD2964" i="93"/>
  <c r="BF2964" i="93" s="1"/>
  <c r="BD2960" i="93"/>
  <c r="BF2960" i="93" s="1"/>
  <c r="BD2777" i="93"/>
  <c r="BF2777" i="93" s="1"/>
  <c r="BD1298" i="93"/>
  <c r="BF1298" i="93" s="1"/>
  <c r="BF1314" i="93"/>
  <c r="BF1299" i="93"/>
  <c r="BD3364" i="93"/>
  <c r="BF3364" i="93" s="1"/>
  <c r="BD1328" i="93"/>
  <c r="BF1328" i="93" s="1"/>
  <c r="BD2393" i="93"/>
  <c r="BF2393" i="93" s="1"/>
  <c r="BD1301" i="93"/>
  <c r="BF1301" i="93" s="1"/>
  <c r="BD3367" i="93"/>
  <c r="BF3367" i="93" s="1"/>
  <c r="BD3365" i="93"/>
  <c r="BF3365" i="93" s="1"/>
  <c r="BD3368" i="93"/>
  <c r="BD3366" i="93"/>
  <c r="BF3366" i="93" s="1"/>
  <c r="BF3368" i="93"/>
  <c r="BD3363" i="93"/>
  <c r="BF3363" i="93" s="1"/>
  <c r="BD3290" i="93"/>
  <c r="BF3290" i="93" s="1"/>
  <c r="BD2838" i="93"/>
  <c r="BF2838" i="93" s="1"/>
  <c r="BD1398" i="93"/>
  <c r="BF1398" i="93" s="1"/>
  <c r="BD1294" i="93"/>
  <c r="BF1294" i="93" s="1"/>
  <c r="BD2609" i="93"/>
  <c r="BD1359" i="93"/>
  <c r="BF1359" i="93" s="1"/>
  <c r="BD1389" i="93"/>
  <c r="BF1389" i="93" s="1"/>
  <c r="BD1402" i="93"/>
  <c r="BF1402" i="93" s="1"/>
  <c r="BD1370" i="93"/>
  <c r="BF1370" i="93" s="1"/>
  <c r="BD1388" i="93"/>
  <c r="BF1388" i="93" s="1"/>
  <c r="BD1327" i="93"/>
  <c r="BF1327" i="93" s="1"/>
  <c r="BD1271" i="93"/>
  <c r="BF1271" i="93" s="1"/>
  <c r="BF2609" i="93"/>
  <c r="BD1405" i="93"/>
  <c r="BF1405" i="93" s="1"/>
  <c r="BD1340" i="93"/>
  <c r="BF1340" i="93" s="1"/>
  <c r="BD1337" i="93"/>
  <c r="BF1337" i="93" s="1"/>
  <c r="BD1307" i="93"/>
  <c r="BF1307" i="93" s="1"/>
  <c r="BD1703" i="93"/>
  <c r="BF1703" i="93" s="1"/>
  <c r="BD2630" i="93"/>
  <c r="BF2630" i="93" s="1"/>
  <c r="BD1262" i="93"/>
  <c r="BF1262" i="93" s="1"/>
  <c r="D4329" i="93"/>
  <c r="D4323" i="93"/>
  <c r="D4312" i="93"/>
  <c r="D4345" i="93"/>
  <c r="D4340" i="93"/>
  <c r="D4338" i="93"/>
  <c r="D4336" i="93"/>
  <c r="D4334" i="93"/>
  <c r="D4324" i="93"/>
  <c r="D4320" i="93"/>
  <c r="D4318" i="93"/>
  <c r="D4310" i="93"/>
  <c r="D4307" i="93"/>
  <c r="D4306" i="93"/>
  <c r="AD3965" i="93"/>
  <c r="AD3964" i="93"/>
  <c r="BE3947" i="93"/>
  <c r="BB3947" i="93"/>
  <c r="AB3947" i="93"/>
  <c r="BC4157" i="93"/>
  <c r="BE4262" i="93"/>
  <c r="BB4262" i="93"/>
  <c r="AB4262" i="93"/>
  <c r="BE4254" i="93"/>
  <c r="BB4254" i="93"/>
  <c r="AB4254" i="93"/>
  <c r="AD529" i="93"/>
  <c r="BE521" i="93"/>
  <c r="BB521" i="93"/>
  <c r="AB521" i="93"/>
  <c r="AD351" i="93"/>
  <c r="BE516" i="93"/>
  <c r="BB516" i="93"/>
  <c r="AB516" i="93"/>
  <c r="BE269" i="93"/>
  <c r="BB269" i="93"/>
  <c r="AB269" i="93"/>
  <c r="BG1262" i="93" l="1"/>
  <c r="BD4262" i="93"/>
  <c r="BF4262" i="93" s="1"/>
  <c r="BD3947" i="93"/>
  <c r="BF3947" i="93" s="1"/>
  <c r="BD516" i="93"/>
  <c r="BF516" i="93" s="1"/>
  <c r="BD521" i="93"/>
  <c r="BF521" i="93" s="1"/>
  <c r="BD4254" i="93"/>
  <c r="BF4254" i="93" s="1"/>
  <c r="BD269" i="93"/>
  <c r="BF269" i="93" s="1"/>
  <c r="BB949" i="93"/>
  <c r="AB897" i="93"/>
  <c r="BF4361" i="93" l="1"/>
  <c r="AB3487" i="93" l="1"/>
  <c r="AC3390" i="93"/>
  <c r="AC3371" i="93"/>
  <c r="AC3370" i="93"/>
  <c r="AC2337" i="93"/>
  <c r="AC2292" i="93"/>
  <c r="AC2152" i="93"/>
  <c r="AC1511" i="93"/>
  <c r="AC1407" i="93"/>
  <c r="AC1406" i="93"/>
  <c r="AC3401" i="93" l="1"/>
  <c r="AC3399" i="93"/>
  <c r="AC3398" i="93"/>
  <c r="AC3397" i="93"/>
  <c r="AC3396" i="93"/>
  <c r="AC3395" i="93"/>
  <c r="AC3394" i="93"/>
  <c r="AC2928" i="93"/>
  <c r="AC2297" i="93"/>
  <c r="AC1515" i="93"/>
  <c r="AC1263" i="93"/>
  <c r="AC4224" i="93"/>
  <c r="BE4052" i="93"/>
  <c r="AB3879" i="93"/>
  <c r="AB3895" i="93"/>
  <c r="AB3900" i="93"/>
  <c r="AB3902" i="93"/>
  <c r="AB3903" i="93"/>
  <c r="AB3874" i="93"/>
  <c r="AB3875" i="93"/>
  <c r="AB3876" i="93"/>
  <c r="AB3399" i="93"/>
  <c r="AB3398" i="93"/>
  <c r="AB3397" i="93"/>
  <c r="AB3401" i="93"/>
  <c r="AB3402" i="93"/>
  <c r="AB3400" i="93"/>
  <c r="AB3396" i="93"/>
  <c r="AB3395" i="93"/>
  <c r="AC2017" i="93"/>
  <c r="AC2387" i="93"/>
  <c r="AB3403" i="93"/>
  <c r="AC3403" i="93"/>
  <c r="AC2929" i="93"/>
  <c r="AC2783" i="93"/>
  <c r="AC2386" i="93"/>
  <c r="AC2018" i="93"/>
  <c r="AC3181" i="93"/>
  <c r="AC3112" i="93"/>
  <c r="AC2782" i="93"/>
  <c r="AC2385" i="93"/>
  <c r="AC2165" i="93"/>
  <c r="AC1912" i="93"/>
  <c r="AC1817" i="93"/>
  <c r="AC1702" i="93"/>
  <c r="AC1622" i="93"/>
  <c r="AC1411" i="93"/>
  <c r="AC1097" i="93"/>
  <c r="AC2164" i="93"/>
  <c r="AC2629" i="93"/>
  <c r="AC2384" i="93"/>
  <c r="AC2296" i="93"/>
  <c r="AC2162" i="93"/>
  <c r="AC1911" i="93"/>
  <c r="AC1815" i="93"/>
  <c r="AC1701" i="93"/>
  <c r="AC1621" i="93"/>
  <c r="AC1514" i="93"/>
  <c r="AC1410" i="93"/>
  <c r="AC1261" i="93"/>
  <c r="AC2781" i="93"/>
  <c r="AC3180" i="93"/>
  <c r="AC3400" i="93"/>
  <c r="AC3578" i="93"/>
  <c r="AC3916" i="93"/>
  <c r="AC2161" i="93"/>
  <c r="AC2013" i="93"/>
  <c r="AC2160" i="93"/>
  <c r="AB3394" i="93"/>
  <c r="AC3577" i="93"/>
  <c r="AC2926" i="93"/>
  <c r="AC2780" i="93"/>
  <c r="AC2628" i="93"/>
  <c r="AC2383" i="93"/>
  <c r="AC2294" i="93"/>
  <c r="AC2010" i="93"/>
  <c r="AC1699" i="93"/>
  <c r="AC1259" i="93"/>
  <c r="AC4293" i="93"/>
  <c r="AC4279" i="93"/>
  <c r="AC4172" i="93"/>
  <c r="AC4012" i="93"/>
  <c r="AC3978" i="93"/>
  <c r="AC4171" i="93"/>
  <c r="AC4102" i="93"/>
  <c r="AC4231" i="93"/>
  <c r="AC4195" i="93"/>
  <c r="AC4169" i="93"/>
  <c r="AC4140" i="93"/>
  <c r="AC4228" i="93"/>
  <c r="AC4168" i="93"/>
  <c r="AC4029" i="93"/>
  <c r="AC4276" i="93"/>
  <c r="AC4167" i="93"/>
  <c r="AC4137" i="93"/>
  <c r="AC3948" i="93"/>
  <c r="AC4274" i="93"/>
  <c r="AC4163" i="93"/>
  <c r="AC4099" i="93"/>
  <c r="AC4045" i="93"/>
  <c r="AC3971" i="93"/>
  <c r="AC3919" i="93"/>
  <c r="AC4223" i="93"/>
  <c r="AC4304" i="93"/>
  <c r="AB3957" i="93"/>
  <c r="BE4342" i="93" l="1"/>
  <c r="BB4342" i="93"/>
  <c r="AB4342" i="93"/>
  <c r="BE4316" i="93"/>
  <c r="BB4316" i="93"/>
  <c r="AB4316" i="93"/>
  <c r="BE4313" i="93"/>
  <c r="BB4313" i="93"/>
  <c r="AB4313" i="93"/>
  <c r="BE4286" i="93"/>
  <c r="BB4286" i="93"/>
  <c r="AB4286" i="93"/>
  <c r="BE4278" i="93"/>
  <c r="BB4278" i="93"/>
  <c r="AB4278" i="93"/>
  <c r="BE4268" i="93"/>
  <c r="BB4268" i="93"/>
  <c r="AB4268" i="93"/>
  <c r="BE4255" i="93"/>
  <c r="BB4255" i="93"/>
  <c r="AB4255" i="93"/>
  <c r="BE4187" i="93"/>
  <c r="BB4187" i="93"/>
  <c r="AB4187" i="93"/>
  <c r="BE4178" i="93"/>
  <c r="BB4178" i="93"/>
  <c r="AB4178" i="93"/>
  <c r="BE4162" i="93"/>
  <c r="BB4162" i="93"/>
  <c r="AB4162" i="93"/>
  <c r="BE4158" i="93"/>
  <c r="BB4158" i="93"/>
  <c r="AB4158" i="93"/>
  <c r="BE4113" i="93"/>
  <c r="BB4113" i="93"/>
  <c r="AB4113" i="93"/>
  <c r="BE4093" i="93"/>
  <c r="BB4093" i="93"/>
  <c r="AB4093" i="93"/>
  <c r="BE4088" i="93"/>
  <c r="BB4088" i="93"/>
  <c r="AB4088" i="93"/>
  <c r="BE4086" i="93"/>
  <c r="BB4086" i="93"/>
  <c r="AB4086" i="93"/>
  <c r="BE4043" i="93"/>
  <c r="BB4043" i="93"/>
  <c r="AB4043" i="93"/>
  <c r="BE4027" i="93"/>
  <c r="BB4027" i="93"/>
  <c r="AB4027" i="93"/>
  <c r="BE4025" i="93"/>
  <c r="BB4025" i="93"/>
  <c r="AB4025" i="93"/>
  <c r="BE4003" i="93"/>
  <c r="BB4003" i="93"/>
  <c r="AB4003" i="93"/>
  <c r="BB3968" i="93"/>
  <c r="AB3968" i="93"/>
  <c r="BE3968" i="93"/>
  <c r="BE3960" i="93"/>
  <c r="BB3960" i="93"/>
  <c r="AB3960" i="93"/>
  <c r="BE3944" i="93"/>
  <c r="BB3944" i="93"/>
  <c r="AB3944" i="93"/>
  <c r="AB3948" i="93"/>
  <c r="BE3941" i="93"/>
  <c r="BB3941" i="93"/>
  <c r="AB3941" i="93"/>
  <c r="BE3934" i="93"/>
  <c r="BB3934" i="93"/>
  <c r="AB3934" i="93"/>
  <c r="BB3913" i="93"/>
  <c r="AB3913" i="93"/>
  <c r="BE3913" i="93"/>
  <c r="BE3905" i="93"/>
  <c r="BB3905" i="93"/>
  <c r="AB3905" i="93"/>
  <c r="BE3873" i="93"/>
  <c r="BB3873" i="93"/>
  <c r="AB3873" i="93"/>
  <c r="BE3861" i="93"/>
  <c r="BB3861" i="93"/>
  <c r="AB3861" i="93"/>
  <c r="BE3855" i="93"/>
  <c r="BB3855" i="93"/>
  <c r="AB3855" i="93"/>
  <c r="BE3850" i="93"/>
  <c r="BB3850" i="93"/>
  <c r="AB3850" i="93"/>
  <c r="BE3816" i="93"/>
  <c r="BB3816" i="93"/>
  <c r="AB3816" i="93"/>
  <c r="BE3808" i="93"/>
  <c r="BB3808" i="93"/>
  <c r="AB3808" i="93"/>
  <c r="BE3790" i="93"/>
  <c r="BB3790" i="93"/>
  <c r="AB3790" i="93"/>
  <c r="BE3773" i="93"/>
  <c r="BB3773" i="93"/>
  <c r="AB3773" i="93"/>
  <c r="BE3764" i="93"/>
  <c r="BE3768" i="93"/>
  <c r="BE3770" i="93"/>
  <c r="BE3771" i="93"/>
  <c r="BB3764" i="93"/>
  <c r="BB3768" i="93"/>
  <c r="BB3770" i="93"/>
  <c r="AB3768" i="93"/>
  <c r="BD3768" i="93" s="1"/>
  <c r="AB3764" i="93"/>
  <c r="BD3764" i="93" s="1"/>
  <c r="BF3764" i="93" s="1"/>
  <c r="BE3756" i="93"/>
  <c r="BB3756" i="93"/>
  <c r="AB3756" i="93"/>
  <c r="BE3754" i="93"/>
  <c r="BB3754" i="93"/>
  <c r="AB3754" i="93"/>
  <c r="BE3751" i="93"/>
  <c r="BB3751" i="93"/>
  <c r="AB3751" i="93"/>
  <c r="BE3727" i="93"/>
  <c r="BB3727" i="93"/>
  <c r="AB3727" i="93"/>
  <c r="BE3679" i="93"/>
  <c r="BE3680" i="93"/>
  <c r="BE3682" i="93"/>
  <c r="BE3686" i="93"/>
  <c r="BE3689" i="93"/>
  <c r="BB3679" i="93"/>
  <c r="BB3680" i="93"/>
  <c r="BB3682" i="93"/>
  <c r="BB3686" i="93"/>
  <c r="BB3689" i="93"/>
  <c r="AB3679" i="93"/>
  <c r="AB3680" i="93"/>
  <c r="AB3682" i="93"/>
  <c r="AB3686" i="93"/>
  <c r="AB3689" i="93"/>
  <c r="BE3663" i="93"/>
  <c r="BB3663" i="93"/>
  <c r="BB3664" i="93"/>
  <c r="AB3663" i="93"/>
  <c r="BD3663" i="93" s="1"/>
  <c r="BE3645" i="93"/>
  <c r="BB3645" i="93"/>
  <c r="AB3645" i="93"/>
  <c r="BE3621" i="93"/>
  <c r="BE3596" i="93"/>
  <c r="BE3606" i="93"/>
  <c r="BB3596" i="93"/>
  <c r="BB3606" i="93"/>
  <c r="AB3596" i="93"/>
  <c r="BD3596" i="93" s="1"/>
  <c r="BF3596" i="93" s="1"/>
  <c r="AB3606" i="93"/>
  <c r="BD3606" i="93" s="1"/>
  <c r="BE3579" i="93"/>
  <c r="BE3580" i="93"/>
  <c r="BB3579" i="93"/>
  <c r="BB3580" i="93"/>
  <c r="AB3579" i="93"/>
  <c r="AB3580" i="93"/>
  <c r="BD3580" i="93" s="1"/>
  <c r="BE3571" i="93"/>
  <c r="BB3571" i="93"/>
  <c r="AB3571" i="93"/>
  <c r="BE3549" i="93"/>
  <c r="BE3554" i="93"/>
  <c r="BB3554" i="93"/>
  <c r="AB3549" i="93"/>
  <c r="BD3549" i="93" s="1"/>
  <c r="AB3554" i="93"/>
  <c r="BD3554" i="93" s="1"/>
  <c r="BE3532" i="93"/>
  <c r="BB3532" i="93"/>
  <c r="AB3532" i="93"/>
  <c r="BE3509" i="93"/>
  <c r="BB3509" i="93"/>
  <c r="AB3509" i="93"/>
  <c r="BE3505" i="93"/>
  <c r="BB3505" i="93"/>
  <c r="AB3505" i="93"/>
  <c r="BE3500" i="93"/>
  <c r="BB3500" i="93"/>
  <c r="AB3500" i="93"/>
  <c r="BE3490" i="93"/>
  <c r="BB3490" i="93"/>
  <c r="AB3490" i="93"/>
  <c r="BE3489" i="93"/>
  <c r="BB3489" i="93"/>
  <c r="AB3489" i="93"/>
  <c r="BE3421" i="93"/>
  <c r="BE3437" i="93"/>
  <c r="BE3447" i="93"/>
  <c r="BE3467" i="93"/>
  <c r="BB3421" i="93"/>
  <c r="BB3437" i="93"/>
  <c r="BB3447" i="93"/>
  <c r="BB3467" i="93"/>
  <c r="AB3421" i="93"/>
  <c r="BD3421" i="93" s="1"/>
  <c r="BF3421" i="93" s="1"/>
  <c r="AB3437" i="93"/>
  <c r="BD3437" i="93" s="1"/>
  <c r="BF3437" i="93" s="1"/>
  <c r="AB3447" i="93"/>
  <c r="BD3447" i="93" s="1"/>
  <c r="BF3447" i="93" s="1"/>
  <c r="AB3467" i="93"/>
  <c r="BD3467" i="93" s="1"/>
  <c r="BF3467" i="93" s="1"/>
  <c r="BE3402" i="93"/>
  <c r="BB3402" i="93"/>
  <c r="BE3392" i="93"/>
  <c r="BB3392" i="93"/>
  <c r="AB3392" i="93"/>
  <c r="BE3356" i="93"/>
  <c r="BE3372" i="93"/>
  <c r="BE3374" i="93"/>
  <c r="BE3375" i="93"/>
  <c r="BE3376" i="93"/>
  <c r="BE3377" i="93"/>
  <c r="BE3378" i="93"/>
  <c r="BE3379" i="93"/>
  <c r="BE3381" i="93"/>
  <c r="BE3382" i="93"/>
  <c r="BE3383" i="93"/>
  <c r="BE3384" i="93"/>
  <c r="BE3385" i="93"/>
  <c r="BE3389" i="93"/>
  <c r="BB3356" i="93"/>
  <c r="BB3372" i="93"/>
  <c r="BB3374" i="93"/>
  <c r="BB3375" i="93"/>
  <c r="BB3376" i="93"/>
  <c r="BB3377" i="93"/>
  <c r="BB3378" i="93"/>
  <c r="BB3379" i="93"/>
  <c r="BB3381" i="93"/>
  <c r="BB3382" i="93"/>
  <c r="BB3383" i="93"/>
  <c r="BB3384" i="93"/>
  <c r="BB3385" i="93"/>
  <c r="BB3389" i="93"/>
  <c r="AB3356" i="93"/>
  <c r="BD3356" i="93" s="1"/>
  <c r="AB3372" i="93"/>
  <c r="BD3372" i="93" s="1"/>
  <c r="BF3372" i="93" s="1"/>
  <c r="AB3374" i="93"/>
  <c r="BD3374" i="93" s="1"/>
  <c r="BF3374" i="93" s="1"/>
  <c r="AB3375" i="93"/>
  <c r="BD3375" i="93" s="1"/>
  <c r="BF3375" i="93" s="1"/>
  <c r="AB3376" i="93"/>
  <c r="BD3376" i="93" s="1"/>
  <c r="BF3376" i="93" s="1"/>
  <c r="AB3377" i="93"/>
  <c r="BD3377" i="93" s="1"/>
  <c r="BF3377" i="93" s="1"/>
  <c r="AB3378" i="93"/>
  <c r="BD3378" i="93" s="1"/>
  <c r="BF3378" i="93" s="1"/>
  <c r="AB3379" i="93"/>
  <c r="BD3379" i="93" s="1"/>
  <c r="BF3379" i="93" s="1"/>
  <c r="AB3381" i="93"/>
  <c r="BD3381" i="93" s="1"/>
  <c r="BF3381" i="93" s="1"/>
  <c r="AB3382" i="93"/>
  <c r="BD3382" i="93" s="1"/>
  <c r="BF3382" i="93" s="1"/>
  <c r="AB3383" i="93"/>
  <c r="BD3383" i="93" s="1"/>
  <c r="BF3383" i="93" s="1"/>
  <c r="AB3384" i="93"/>
  <c r="BD3384" i="93" s="1"/>
  <c r="BF3384" i="93" s="1"/>
  <c r="AB3385" i="93"/>
  <c r="BD3385" i="93" s="1"/>
  <c r="BF3385" i="93" s="1"/>
  <c r="AB3389" i="93"/>
  <c r="BD3389" i="93" s="1"/>
  <c r="BF3389" i="93" s="1"/>
  <c r="BE3332" i="93"/>
  <c r="BE3347" i="93"/>
  <c r="BB3332" i="93"/>
  <c r="BB3347" i="93"/>
  <c r="AB3332" i="93"/>
  <c r="BD3332" i="93" s="1"/>
  <c r="AB3347" i="93"/>
  <c r="BD3347" i="93" s="1"/>
  <c r="BF3347" i="93" s="1"/>
  <c r="BE3328" i="93"/>
  <c r="BB3328" i="93"/>
  <c r="AB3328" i="93"/>
  <c r="BE3318" i="93"/>
  <c r="BB3318" i="93"/>
  <c r="AB3318" i="93"/>
  <c r="BE3297" i="93"/>
  <c r="BE3299" i="93"/>
  <c r="BE3185" i="93"/>
  <c r="BB3297" i="93"/>
  <c r="BB3299" i="93"/>
  <c r="AB3297" i="93"/>
  <c r="BD3297" i="93" s="1"/>
  <c r="AB3299" i="93"/>
  <c r="BD3299" i="93" s="1"/>
  <c r="BE3264" i="93"/>
  <c r="BE3268" i="93"/>
  <c r="BE3270" i="93"/>
  <c r="BE3274" i="93"/>
  <c r="BB3264" i="93"/>
  <c r="BB3268" i="93"/>
  <c r="BB3270" i="93"/>
  <c r="BB3274" i="93"/>
  <c r="AB3264" i="93"/>
  <c r="BD3264" i="93" s="1"/>
  <c r="AB3268" i="93"/>
  <c r="BD3268" i="93" s="1"/>
  <c r="BF3268" i="93" s="1"/>
  <c r="AB3270" i="93"/>
  <c r="BD3270" i="93" s="1"/>
  <c r="BF3270" i="93" s="1"/>
  <c r="AB3274" i="93"/>
  <c r="BD3274" i="93" s="1"/>
  <c r="BF3274" i="93" s="1"/>
  <c r="BE3203" i="93"/>
  <c r="BE3224" i="93"/>
  <c r="BB3203" i="93"/>
  <c r="BB3224" i="93"/>
  <c r="AB3203" i="93"/>
  <c r="BD3203" i="93" s="1"/>
  <c r="BF3203" i="93" s="1"/>
  <c r="AB3224" i="93"/>
  <c r="BE3186" i="93"/>
  <c r="BB3186" i="93"/>
  <c r="AB3186" i="93"/>
  <c r="BE3172" i="93"/>
  <c r="BE3175" i="93"/>
  <c r="BB3172" i="93"/>
  <c r="BB3175" i="93"/>
  <c r="AB3172" i="93"/>
  <c r="BD3172" i="93" s="1"/>
  <c r="AB3175" i="93"/>
  <c r="BB3144" i="93"/>
  <c r="BB3142" i="93"/>
  <c r="BB3145" i="93"/>
  <c r="BB3146" i="93"/>
  <c r="BB3151" i="93"/>
  <c r="AB3142" i="93"/>
  <c r="AB3144" i="93"/>
  <c r="BD3144" i="93" s="1"/>
  <c r="AB3145" i="93"/>
  <c r="AB3146" i="93"/>
  <c r="AB3151" i="93"/>
  <c r="BE3142" i="93"/>
  <c r="BE3144" i="93"/>
  <c r="BE3145" i="93"/>
  <c r="BE3146" i="93"/>
  <c r="BE3132" i="93"/>
  <c r="BB3132" i="93"/>
  <c r="AB3132" i="93"/>
  <c r="BE3131" i="93"/>
  <c r="BE3151" i="93"/>
  <c r="BB3131" i="93"/>
  <c r="AB3131" i="93"/>
  <c r="BE3119" i="93"/>
  <c r="BE3124" i="93"/>
  <c r="BE3125" i="93"/>
  <c r="BE3129" i="93"/>
  <c r="BE3115" i="93"/>
  <c r="BB3119" i="93"/>
  <c r="BB3124" i="93"/>
  <c r="BB3125" i="93"/>
  <c r="BB3129" i="93"/>
  <c r="AB3119" i="93"/>
  <c r="BD3119" i="93" s="1"/>
  <c r="AB3124" i="93"/>
  <c r="AB3125" i="93"/>
  <c r="BD3125" i="93" s="1"/>
  <c r="AB3129" i="93"/>
  <c r="BD3129" i="93" s="1"/>
  <c r="BE3110" i="93"/>
  <c r="BB3110" i="93"/>
  <c r="AB3110" i="93"/>
  <c r="BE2983" i="93"/>
  <c r="BE2994" i="93"/>
  <c r="BE3012" i="93"/>
  <c r="BE3069" i="93"/>
  <c r="BE3102" i="93"/>
  <c r="BB2983" i="93"/>
  <c r="BB2994" i="93"/>
  <c r="BB3012" i="93"/>
  <c r="BB3069" i="93"/>
  <c r="BB3102" i="93"/>
  <c r="BB2954" i="93"/>
  <c r="BB2955" i="93"/>
  <c r="AB2983" i="93"/>
  <c r="AB2994" i="93"/>
  <c r="AB3012" i="93"/>
  <c r="AB3069" i="93"/>
  <c r="AB3102" i="93"/>
  <c r="BE2963" i="93"/>
  <c r="BE2970" i="93"/>
  <c r="BE2981" i="93"/>
  <c r="BB2963" i="93"/>
  <c r="BB2970" i="93"/>
  <c r="BB2981" i="93"/>
  <c r="AB2963" i="93"/>
  <c r="AB2970" i="93"/>
  <c r="AB2981" i="93"/>
  <c r="BE2952" i="93"/>
  <c r="BB2952" i="93"/>
  <c r="AB2952" i="93"/>
  <c r="BE2901" i="93"/>
  <c r="BE2904" i="93"/>
  <c r="BE2905" i="93"/>
  <c r="BE2825" i="93"/>
  <c r="AB2904" i="93"/>
  <c r="AB2905" i="93"/>
  <c r="BB2901" i="93"/>
  <c r="BB2904" i="93"/>
  <c r="BB2905" i="93"/>
  <c r="AB2901" i="93"/>
  <c r="BE2898" i="93"/>
  <c r="BE2858" i="93"/>
  <c r="BE2861" i="93"/>
  <c r="BB2858" i="93"/>
  <c r="BB2861" i="93"/>
  <c r="BB2898" i="93"/>
  <c r="AB2858" i="93"/>
  <c r="AB2861" i="93"/>
  <c r="AB2898" i="93"/>
  <c r="BE2853" i="93"/>
  <c r="AB2853" i="93"/>
  <c r="BE2828" i="93"/>
  <c r="BB2828" i="93"/>
  <c r="AB2828" i="93"/>
  <c r="BE2824" i="93"/>
  <c r="BB2824" i="93"/>
  <c r="AB2824" i="93"/>
  <c r="BE2805" i="93"/>
  <c r="BB2805" i="93"/>
  <c r="AB2805" i="93"/>
  <c r="BE2803" i="93"/>
  <c r="BB2803" i="93"/>
  <c r="AB2803" i="93"/>
  <c r="BE2765" i="93"/>
  <c r="BB2765" i="93"/>
  <c r="AB2765" i="93"/>
  <c r="BE2760" i="93"/>
  <c r="BB2760" i="93"/>
  <c r="AB2760" i="93"/>
  <c r="BE2747" i="93"/>
  <c r="BB2747" i="93"/>
  <c r="AB2747" i="93"/>
  <c r="BE2745" i="93"/>
  <c r="BB2745" i="93"/>
  <c r="AB2745" i="93"/>
  <c r="BE2738" i="93"/>
  <c r="BB2738" i="93"/>
  <c r="AB2738" i="93"/>
  <c r="BE2714" i="93"/>
  <c r="BB2714" i="93"/>
  <c r="AB2714" i="93"/>
  <c r="BE2707" i="93"/>
  <c r="BB2707" i="93"/>
  <c r="AB2707" i="93"/>
  <c r="BE2688" i="93"/>
  <c r="BB2688" i="93"/>
  <c r="AB2688" i="93"/>
  <c r="BE2681" i="93"/>
  <c r="BB2681" i="93"/>
  <c r="AB2681" i="93"/>
  <c r="BE2659" i="93"/>
  <c r="BB2659" i="93"/>
  <c r="AB2659" i="93"/>
  <c r="BE2655" i="93"/>
  <c r="BB2655" i="93"/>
  <c r="AB2655" i="93"/>
  <c r="BE2639" i="93"/>
  <c r="BB2639" i="93"/>
  <c r="AB2639" i="93"/>
  <c r="BE2611" i="93"/>
  <c r="BB2611" i="93"/>
  <c r="AB2611" i="93"/>
  <c r="BE2610" i="93"/>
  <c r="BB2610" i="93"/>
  <c r="AB2610" i="93"/>
  <c r="BE2569" i="93"/>
  <c r="BE2570" i="93"/>
  <c r="BE2571" i="93"/>
  <c r="BE2579" i="93"/>
  <c r="BE2586" i="93"/>
  <c r="BE2598" i="93"/>
  <c r="BB2569" i="93"/>
  <c r="BB2570" i="93"/>
  <c r="BB2571" i="93"/>
  <c r="BB2579" i="93"/>
  <c r="BB2586" i="93"/>
  <c r="BB2598" i="93"/>
  <c r="BB2427" i="93"/>
  <c r="AB2569" i="93"/>
  <c r="AB2570" i="93"/>
  <c r="AB2571" i="93"/>
  <c r="AB2579" i="93"/>
  <c r="AB2586" i="93"/>
  <c r="AB2598" i="93"/>
  <c r="BE2460" i="93"/>
  <c r="BE2470" i="93"/>
  <c r="BE2432" i="93"/>
  <c r="BE2434" i="93"/>
  <c r="BE2448" i="93"/>
  <c r="BE2452" i="93"/>
  <c r="BE2456" i="93"/>
  <c r="BE2478" i="93"/>
  <c r="BE2482" i="93"/>
  <c r="BE2537" i="93"/>
  <c r="BE2545" i="93"/>
  <c r="BB2432" i="93"/>
  <c r="BB2434" i="93"/>
  <c r="BB2448" i="93"/>
  <c r="BB2452" i="93"/>
  <c r="BB2456" i="93"/>
  <c r="BB2460" i="93"/>
  <c r="BB2470" i="93"/>
  <c r="BB2478" i="93"/>
  <c r="BB2482" i="93"/>
  <c r="BB2537" i="93"/>
  <c r="BB2545" i="93"/>
  <c r="AB2432" i="93"/>
  <c r="AB2434" i="93"/>
  <c r="AB2448" i="93"/>
  <c r="AB2452" i="93"/>
  <c r="AB2456" i="93"/>
  <c r="AB2460" i="93"/>
  <c r="AB2470" i="93"/>
  <c r="AB2478" i="93"/>
  <c r="AB2482" i="93"/>
  <c r="AB2537" i="93"/>
  <c r="AB2545" i="93"/>
  <c r="BE2426" i="93"/>
  <c r="BB2426" i="93"/>
  <c r="AB2426" i="93"/>
  <c r="BE2361" i="93"/>
  <c r="BE2364" i="93"/>
  <c r="BE2367" i="93"/>
  <c r="BE2372" i="93"/>
  <c r="BE2373" i="93"/>
  <c r="BE2375" i="93"/>
  <c r="BB2361" i="93"/>
  <c r="BB2364" i="93"/>
  <c r="BB2367" i="93"/>
  <c r="BB2372" i="93"/>
  <c r="BB2373" i="93"/>
  <c r="BB2375" i="93"/>
  <c r="BB2348" i="93"/>
  <c r="AB2356" i="93"/>
  <c r="AB2361" i="93"/>
  <c r="BD2361" i="93" s="1"/>
  <c r="BF2361" i="93" s="1"/>
  <c r="AB2364" i="93"/>
  <c r="BD2364" i="93" s="1"/>
  <c r="BF2364" i="93" s="1"/>
  <c r="AB2367" i="93"/>
  <c r="AB2372" i="93"/>
  <c r="AB2373" i="93"/>
  <c r="BD2373" i="93" s="1"/>
  <c r="BF2373" i="93" s="1"/>
  <c r="AB2375" i="93"/>
  <c r="BD2375" i="93" s="1"/>
  <c r="BF2375" i="93" s="1"/>
  <c r="BE2356" i="93"/>
  <c r="BB2356" i="93"/>
  <c r="BD2356" i="93" s="1"/>
  <c r="BE2355" i="93"/>
  <c r="BB2355" i="93"/>
  <c r="AB2355" i="93"/>
  <c r="BE2346" i="93"/>
  <c r="BB2346" i="93"/>
  <c r="AB2346" i="93"/>
  <c r="BE2341" i="93"/>
  <c r="BB2341" i="93"/>
  <c r="AB2341" i="93"/>
  <c r="BE2340" i="93"/>
  <c r="BB2340" i="93"/>
  <c r="AB2340" i="93"/>
  <c r="BE2336" i="93"/>
  <c r="BB2336" i="93"/>
  <c r="AB2336" i="93"/>
  <c r="BE2335" i="93"/>
  <c r="BB2335" i="93"/>
  <c r="AB2335" i="93"/>
  <c r="BE2333" i="93"/>
  <c r="BB2333" i="93"/>
  <c r="AB2333" i="93"/>
  <c r="BE2324" i="93"/>
  <c r="BB2324" i="93"/>
  <c r="AB2324" i="93"/>
  <c r="BE2317" i="93"/>
  <c r="BB2317" i="93"/>
  <c r="AB2317" i="93"/>
  <c r="BE2287" i="93"/>
  <c r="BB2287" i="93"/>
  <c r="AB2287" i="93"/>
  <c r="BE2248" i="93"/>
  <c r="BB2248" i="93"/>
  <c r="AB2248" i="93"/>
  <c r="BE2247" i="93"/>
  <c r="BB2247" i="93"/>
  <c r="AB2247" i="93"/>
  <c r="BE2246" i="93"/>
  <c r="BB2246" i="93"/>
  <c r="AB2246" i="93"/>
  <c r="BE2241" i="93"/>
  <c r="G37" i="94" s="1"/>
  <c r="BB2241" i="93"/>
  <c r="AB2241" i="93"/>
  <c r="BE2208" i="93"/>
  <c r="BB2208" i="93"/>
  <c r="AB2208" i="93"/>
  <c r="BE2202" i="93"/>
  <c r="BB2202" i="93"/>
  <c r="AB2202" i="93"/>
  <c r="BE2199" i="93"/>
  <c r="BB2199" i="93"/>
  <c r="AB2199" i="93"/>
  <c r="BE2167" i="93"/>
  <c r="BB2167" i="93"/>
  <c r="AB2167" i="93"/>
  <c r="BE2128" i="93"/>
  <c r="BB2128" i="93"/>
  <c r="AB2128" i="93"/>
  <c r="BE2090" i="93"/>
  <c r="BB2090" i="93"/>
  <c r="AB2090" i="93"/>
  <c r="BE2084" i="93"/>
  <c r="BB2084" i="93"/>
  <c r="AB2084" i="93"/>
  <c r="BE2064" i="93"/>
  <c r="BB2064" i="93"/>
  <c r="AB2064" i="93"/>
  <c r="BE2063" i="93"/>
  <c r="BB2063" i="93"/>
  <c r="AB2063" i="93"/>
  <c r="BE2054" i="93"/>
  <c r="BB2054" i="93"/>
  <c r="AB2054" i="93"/>
  <c r="BE2044" i="93"/>
  <c r="BB2044" i="93"/>
  <c r="AB2044" i="93"/>
  <c r="BF3554" i="93" l="1"/>
  <c r="BF3549" i="93"/>
  <c r="BD3175" i="93"/>
  <c r="BG3175" i="93" s="1"/>
  <c r="BF3768" i="93"/>
  <c r="BD3142" i="93"/>
  <c r="BG3142" i="93" s="1"/>
  <c r="BD3124" i="93"/>
  <c r="BG3124" i="93" s="1"/>
  <c r="BF3175" i="93"/>
  <c r="BF3172" i="93"/>
  <c r="BD2367" i="93"/>
  <c r="BF2367" i="93" s="1"/>
  <c r="BD2372" i="93"/>
  <c r="BF2372" i="93" s="1"/>
  <c r="BF3663" i="93"/>
  <c r="BF2356" i="93"/>
  <c r="BF3125" i="93"/>
  <c r="BF3119" i="93"/>
  <c r="BF3299" i="93"/>
  <c r="BF3144" i="93"/>
  <c r="BF3129" i="93"/>
  <c r="BF3124" i="93"/>
  <c r="BF3142" i="93"/>
  <c r="BF3297" i="93"/>
  <c r="BG3580" i="93"/>
  <c r="BF3580" i="93"/>
  <c r="BG3606" i="93"/>
  <c r="BF3606" i="93"/>
  <c r="BG3332" i="93"/>
  <c r="BF3332" i="93"/>
  <c r="BG3356" i="93"/>
  <c r="BF3356" i="93"/>
  <c r="BG3264" i="93"/>
  <c r="BF3264" i="93"/>
  <c r="BD2545" i="93"/>
  <c r="BD2482" i="93"/>
  <c r="BD2470" i="93"/>
  <c r="BF2470" i="93" s="1"/>
  <c r="BD2456" i="93"/>
  <c r="BD2448" i="93"/>
  <c r="BD2432" i="93"/>
  <c r="BF2432" i="93" s="1"/>
  <c r="BD2537" i="93"/>
  <c r="BF2537" i="93" s="1"/>
  <c r="BD2478" i="93"/>
  <c r="BF2478" i="93" s="1"/>
  <c r="BD2460" i="93"/>
  <c r="BD2452" i="93"/>
  <c r="BD2434" i="93"/>
  <c r="BF2434" i="93" s="1"/>
  <c r="BD2901" i="93"/>
  <c r="BD2745" i="93"/>
  <c r="BF2745" i="93" s="1"/>
  <c r="BD3579" i="93"/>
  <c r="BF3579" i="93" s="1"/>
  <c r="BD3131" i="93"/>
  <c r="BD3505" i="93"/>
  <c r="BD3532" i="93"/>
  <c r="BD3686" i="93"/>
  <c r="BD3680" i="93"/>
  <c r="BD3727" i="93"/>
  <c r="BD3790" i="93"/>
  <c r="BD3816" i="93"/>
  <c r="BF3816" i="93" s="1"/>
  <c r="BD3855" i="93"/>
  <c r="BD3873" i="93"/>
  <c r="BF3873" i="93" s="1"/>
  <c r="BD3941" i="93"/>
  <c r="BF3941" i="93" s="1"/>
  <c r="BD3944" i="93"/>
  <c r="BD4043" i="93"/>
  <c r="BD4088" i="93"/>
  <c r="BD4113" i="93"/>
  <c r="BD4162" i="93"/>
  <c r="BD4255" i="93"/>
  <c r="BF4255" i="93" s="1"/>
  <c r="BD4278" i="93"/>
  <c r="BD4313" i="93"/>
  <c r="BD4342" i="93"/>
  <c r="BD3151" i="93"/>
  <c r="BD3905" i="93"/>
  <c r="BD2044" i="93"/>
  <c r="BD2128" i="93"/>
  <c r="BD2199" i="93"/>
  <c r="BD2208" i="93"/>
  <c r="BD2248" i="93"/>
  <c r="BD2336" i="93"/>
  <c r="BF2336" i="93" s="1"/>
  <c r="BD2598" i="93"/>
  <c r="BF2598" i="93" s="1"/>
  <c r="BD2579" i="93"/>
  <c r="BF2579" i="93" s="1"/>
  <c r="BD2570" i="93"/>
  <c r="BF2570" i="93" s="1"/>
  <c r="BD2765" i="93"/>
  <c r="BD2828" i="93"/>
  <c r="BD2898" i="93"/>
  <c r="BD2858" i="93"/>
  <c r="BD3069" i="93"/>
  <c r="BD2994" i="93"/>
  <c r="BF2994" i="93" s="1"/>
  <c r="BD3145" i="93"/>
  <c r="BD3392" i="93"/>
  <c r="BD3489" i="93"/>
  <c r="BD3571" i="93"/>
  <c r="BD3689" i="93"/>
  <c r="BD3682" i="93"/>
  <c r="BF3682" i="93" s="1"/>
  <c r="BD3679" i="93"/>
  <c r="BD3756" i="93"/>
  <c r="BD3808" i="93"/>
  <c r="BD3861" i="93"/>
  <c r="BF3861" i="93" s="1"/>
  <c r="BD3934" i="93"/>
  <c r="BD3968" i="93"/>
  <c r="BF3968" i="93" s="1"/>
  <c r="BD4003" i="93"/>
  <c r="BF4003" i="93" s="1"/>
  <c r="BD4086" i="93"/>
  <c r="BD4093" i="93"/>
  <c r="BF4093" i="93" s="1"/>
  <c r="BD4158" i="93"/>
  <c r="BF4158" i="93" s="1"/>
  <c r="BD4178" i="93"/>
  <c r="BD4187" i="93"/>
  <c r="BD4268" i="93"/>
  <c r="BD4286" i="93"/>
  <c r="BD4316" i="93"/>
  <c r="BD4027" i="93"/>
  <c r="BF4027" i="93" s="1"/>
  <c r="BD4025" i="93"/>
  <c r="BD3960" i="93"/>
  <c r="BD3645" i="93"/>
  <c r="BD3913" i="93"/>
  <c r="BD3850" i="93"/>
  <c r="BD3500" i="93"/>
  <c r="BD3490" i="93"/>
  <c r="BF3490" i="93" s="1"/>
  <c r="BD3773" i="93"/>
  <c r="BG3768" i="93"/>
  <c r="BG3764" i="93"/>
  <c r="BD3754" i="93"/>
  <c r="BD3751" i="93"/>
  <c r="BG3663" i="93"/>
  <c r="BG3596" i="93"/>
  <c r="BG3549" i="93"/>
  <c r="BG3554" i="93"/>
  <c r="BD3509" i="93"/>
  <c r="BD3402" i="93"/>
  <c r="BF3402" i="93" s="1"/>
  <c r="BG3421" i="93"/>
  <c r="BG2356" i="93"/>
  <c r="BG3467" i="93"/>
  <c r="BG3447" i="93"/>
  <c r="BG3437" i="93"/>
  <c r="BD2090" i="93"/>
  <c r="BD2287" i="93"/>
  <c r="BD2760" i="93"/>
  <c r="BD3132" i="93"/>
  <c r="BD3146" i="93"/>
  <c r="BD3224" i="93"/>
  <c r="BF3224" i="93" s="1"/>
  <c r="BG3389" i="93"/>
  <c r="BG3385" i="93"/>
  <c r="BG3384" i="93"/>
  <c r="BG3383" i="93"/>
  <c r="BG3382" i="93"/>
  <c r="BG3381" i="93"/>
  <c r="BG3379" i="93"/>
  <c r="BG3378" i="93"/>
  <c r="BG3377" i="93"/>
  <c r="BG3376" i="93"/>
  <c r="BG3375" i="93"/>
  <c r="BG3374" i="93"/>
  <c r="BG3372" i="93"/>
  <c r="BD3328" i="93"/>
  <c r="BD3318" i="93"/>
  <c r="BG3347" i="93"/>
  <c r="BG3297" i="93"/>
  <c r="BG3299" i="93"/>
  <c r="BG3274" i="93"/>
  <c r="BG3270" i="93"/>
  <c r="BG3268" i="93"/>
  <c r="BG3203" i="93"/>
  <c r="BD3186" i="93"/>
  <c r="BG3172" i="93"/>
  <c r="BG3144" i="93"/>
  <c r="BD3110" i="93"/>
  <c r="BG3129" i="93"/>
  <c r="BG3125" i="93"/>
  <c r="BG3119" i="93"/>
  <c r="BD2970" i="93"/>
  <c r="BF2970" i="93" s="1"/>
  <c r="BD3102" i="93"/>
  <c r="BD3012" i="93"/>
  <c r="BF3012" i="93" s="1"/>
  <c r="BD2983" i="93"/>
  <c r="BF2983" i="93" s="1"/>
  <c r="BD2905" i="93"/>
  <c r="BD2904" i="93"/>
  <c r="BF2904" i="93" s="1"/>
  <c r="BD2981" i="93"/>
  <c r="BD2963" i="93"/>
  <c r="BF2963" i="93" s="1"/>
  <c r="BD2952" i="93"/>
  <c r="BF2952" i="93" s="1"/>
  <c r="BD2861" i="93"/>
  <c r="BF2861" i="93" s="1"/>
  <c r="BD2803" i="93"/>
  <c r="BD2824" i="93"/>
  <c r="BD2853" i="93"/>
  <c r="BF2853" i="93" s="1"/>
  <c r="BD2805" i="93"/>
  <c r="BF2805" i="93" s="1"/>
  <c r="BD2335" i="93"/>
  <c r="BF2335" i="93" s="1"/>
  <c r="BD2747" i="93"/>
  <c r="BD2681" i="93"/>
  <c r="BD2707" i="93"/>
  <c r="BD2738" i="93"/>
  <c r="BF2738" i="93" s="1"/>
  <c r="BD2639" i="93"/>
  <c r="BD2688" i="93"/>
  <c r="BF2688" i="93" s="1"/>
  <c r="BD2714" i="93"/>
  <c r="BD2659" i="93"/>
  <c r="BD2655" i="93"/>
  <c r="BF2655" i="93" s="1"/>
  <c r="BD2340" i="93"/>
  <c r="BD2610" i="93"/>
  <c r="BF2610" i="93" s="1"/>
  <c r="BD2063" i="93"/>
  <c r="BD2611" i="93"/>
  <c r="BD2586" i="93"/>
  <c r="BF2586" i="93" s="1"/>
  <c r="BD2571" i="93"/>
  <c r="BF2571" i="93" s="1"/>
  <c r="BD2569" i="93"/>
  <c r="BF2569" i="93" s="1"/>
  <c r="BD2426" i="93"/>
  <c r="BG2373" i="93"/>
  <c r="BG2361" i="93"/>
  <c r="BG2375" i="93"/>
  <c r="BG2364" i="93"/>
  <c r="BD2355" i="93"/>
  <c r="BD2346" i="93"/>
  <c r="BD2341" i="93"/>
  <c r="BF2341" i="93" s="1"/>
  <c r="BD2333" i="93"/>
  <c r="BD2324" i="93"/>
  <c r="BD2317" i="93"/>
  <c r="BD2247" i="93"/>
  <c r="BD2246" i="93"/>
  <c r="BD2241" i="93"/>
  <c r="F37" i="94" s="1"/>
  <c r="BD2167" i="93"/>
  <c r="BD2202" i="93"/>
  <c r="BD2084" i="93"/>
  <c r="BF2084" i="93" s="1"/>
  <c r="BD2064" i="93"/>
  <c r="BD2054" i="93"/>
  <c r="BE1996" i="93"/>
  <c r="BB1996" i="93"/>
  <c r="AB1996" i="93"/>
  <c r="BE1995" i="93"/>
  <c r="BB1995" i="93"/>
  <c r="AB1995" i="93"/>
  <c r="BE1990" i="93"/>
  <c r="BB1990" i="93"/>
  <c r="AB1990" i="93"/>
  <c r="BE1965" i="93"/>
  <c r="BB1965" i="93"/>
  <c r="AB1965" i="93"/>
  <c r="BE1978" i="93"/>
  <c r="BB1978" i="93"/>
  <c r="AB1978" i="93"/>
  <c r="BE1976" i="93"/>
  <c r="BB1976" i="93"/>
  <c r="AB1976" i="93"/>
  <c r="BE1959" i="93"/>
  <c r="BB1959" i="93"/>
  <c r="AB1959" i="93"/>
  <c r="BE1955" i="93"/>
  <c r="BB1955" i="93"/>
  <c r="AB1955" i="93"/>
  <c r="BE1951" i="93"/>
  <c r="BB1951" i="93"/>
  <c r="AB1951" i="93"/>
  <c r="BE1942" i="93"/>
  <c r="BB1942" i="93"/>
  <c r="AB1942" i="93"/>
  <c r="BE1913" i="93"/>
  <c r="BB1913" i="93"/>
  <c r="AB1913" i="93"/>
  <c r="BE1894" i="93"/>
  <c r="BB1894" i="93"/>
  <c r="BB1822" i="93"/>
  <c r="AB1894" i="93"/>
  <c r="BE1868" i="93"/>
  <c r="BB1868" i="93"/>
  <c r="AB1868" i="93"/>
  <c r="BE1829" i="93"/>
  <c r="BB1829" i="93"/>
  <c r="AB1829" i="93"/>
  <c r="BE1819" i="93"/>
  <c r="BB1819" i="93"/>
  <c r="AB1819" i="93"/>
  <c r="BG3873" i="93" l="1"/>
  <c r="BG2372" i="93"/>
  <c r="BG2367" i="93"/>
  <c r="BG3968" i="93"/>
  <c r="BG4286" i="93"/>
  <c r="BF4286" i="93"/>
  <c r="BG4268" i="93"/>
  <c r="BF4268" i="93"/>
  <c r="BG4187" i="93"/>
  <c r="BF4187" i="93"/>
  <c r="BG4162" i="93"/>
  <c r="BF4162" i="93"/>
  <c r="BG4113" i="93"/>
  <c r="BF4113" i="93"/>
  <c r="BG4086" i="93"/>
  <c r="BF4086" i="93"/>
  <c r="BG4088" i="93"/>
  <c r="BF4088" i="93"/>
  <c r="BG4025" i="93"/>
  <c r="BF4025" i="93"/>
  <c r="BG4043" i="93"/>
  <c r="BF4043" i="93"/>
  <c r="BG4316" i="93"/>
  <c r="BF4316" i="93"/>
  <c r="BG4342" i="93"/>
  <c r="BF4342" i="93"/>
  <c r="BG4313" i="93"/>
  <c r="BF4313" i="93"/>
  <c r="BG4278" i="93"/>
  <c r="BF4278" i="93"/>
  <c r="BG4178" i="93"/>
  <c r="BF4178" i="93"/>
  <c r="BG3960" i="93"/>
  <c r="BF3960" i="93"/>
  <c r="BG3944" i="93"/>
  <c r="BF3944" i="93"/>
  <c r="BG3934" i="93"/>
  <c r="BF3934" i="93"/>
  <c r="BG3913" i="93"/>
  <c r="BF3913" i="93"/>
  <c r="BG3905" i="93"/>
  <c r="BF3905" i="93"/>
  <c r="BG3855" i="93"/>
  <c r="BF3855" i="93"/>
  <c r="BG3850" i="93"/>
  <c r="BF3850" i="93"/>
  <c r="BG3808" i="93"/>
  <c r="BF3808" i="93"/>
  <c r="BG3790" i="93"/>
  <c r="BF3790" i="93"/>
  <c r="BG3773" i="93"/>
  <c r="BF3773" i="93"/>
  <c r="BG3754" i="93"/>
  <c r="BF3754" i="93"/>
  <c r="BG3751" i="93"/>
  <c r="BF3751" i="93"/>
  <c r="BG3756" i="93"/>
  <c r="BF3756" i="93"/>
  <c r="BG3727" i="93"/>
  <c r="BF3727" i="93"/>
  <c r="BG3679" i="93"/>
  <c r="BF3679" i="93"/>
  <c r="BG3689" i="93"/>
  <c r="BF3689" i="93"/>
  <c r="BG3680" i="93"/>
  <c r="BF3680" i="93"/>
  <c r="BG3686" i="93"/>
  <c r="BF3686" i="93"/>
  <c r="BG3645" i="93"/>
  <c r="BF3645" i="93"/>
  <c r="BG3509" i="93"/>
  <c r="BF3509" i="93"/>
  <c r="BG3571" i="93"/>
  <c r="BF3571" i="93"/>
  <c r="BG3532" i="93"/>
  <c r="BF3532" i="93"/>
  <c r="BG3489" i="93"/>
  <c r="BF3489" i="93"/>
  <c r="BG3505" i="93"/>
  <c r="BF3505" i="93"/>
  <c r="BG3500" i="93"/>
  <c r="BF3500" i="93"/>
  <c r="BG3392" i="93"/>
  <c r="BF3392" i="93"/>
  <c r="BG3328" i="93"/>
  <c r="BF3328" i="93"/>
  <c r="BG3186" i="93"/>
  <c r="BF3186" i="93"/>
  <c r="BG3318" i="93"/>
  <c r="BF3318" i="93"/>
  <c r="BG3110" i="93"/>
  <c r="BF3110" i="93"/>
  <c r="BG3132" i="93"/>
  <c r="BF3132" i="93"/>
  <c r="BG3145" i="93"/>
  <c r="BF3145" i="93"/>
  <c r="BG3146" i="93"/>
  <c r="BF3146" i="93"/>
  <c r="BG3151" i="93"/>
  <c r="BF3151" i="93"/>
  <c r="BG3131" i="93"/>
  <c r="BF3131" i="93"/>
  <c r="BG3102" i="93"/>
  <c r="BF3102" i="93"/>
  <c r="BG3069" i="93"/>
  <c r="BF3069" i="93"/>
  <c r="BG2981" i="93"/>
  <c r="BF2981" i="93"/>
  <c r="BG2824" i="93"/>
  <c r="BF2824" i="93"/>
  <c r="BG2898" i="93"/>
  <c r="BF2898" i="93"/>
  <c r="BG2901" i="93"/>
  <c r="BF2901" i="93"/>
  <c r="BG2803" i="93"/>
  <c r="BF2803" i="93"/>
  <c r="BG2905" i="93"/>
  <c r="BF2905" i="93"/>
  <c r="BG2858" i="93"/>
  <c r="BF2858" i="93"/>
  <c r="BG2828" i="93"/>
  <c r="BF2828" i="93"/>
  <c r="BG2714" i="93"/>
  <c r="BF2714" i="93"/>
  <c r="BG2639" i="93"/>
  <c r="BF2639" i="93"/>
  <c r="BG2707" i="93"/>
  <c r="BF2707" i="93"/>
  <c r="BG2747" i="93"/>
  <c r="BF2747" i="93"/>
  <c r="BG2765" i="93"/>
  <c r="BF2765" i="93"/>
  <c r="BG2659" i="93"/>
  <c r="BF2659" i="93"/>
  <c r="BG2681" i="93"/>
  <c r="BF2681" i="93"/>
  <c r="BG2760" i="93"/>
  <c r="BF2760" i="93"/>
  <c r="BG2426" i="93"/>
  <c r="BF2426" i="93"/>
  <c r="BG2611" i="93"/>
  <c r="BF2611" i="93"/>
  <c r="BG2452" i="93"/>
  <c r="BF2452" i="93"/>
  <c r="BG2456" i="93"/>
  <c r="BF2456" i="93"/>
  <c r="BG2482" i="93"/>
  <c r="BF2482" i="93"/>
  <c r="BG2460" i="93"/>
  <c r="BF2460" i="93"/>
  <c r="BG2448" i="93"/>
  <c r="BF2448" i="93"/>
  <c r="BG2545" i="93"/>
  <c r="BF2545" i="93"/>
  <c r="BG2346" i="93"/>
  <c r="BF2346" i="93"/>
  <c r="BG2355" i="93"/>
  <c r="BF2355" i="93"/>
  <c r="BG2340" i="93"/>
  <c r="BF2340" i="93"/>
  <c r="BG2317" i="93"/>
  <c r="BF2317" i="93"/>
  <c r="BG2333" i="93"/>
  <c r="BF2333" i="93"/>
  <c r="BG2324" i="93"/>
  <c r="BF2324" i="93"/>
  <c r="BG2167" i="93"/>
  <c r="BF2167" i="93"/>
  <c r="BG2246" i="93"/>
  <c r="BF2246" i="93"/>
  <c r="BG2287" i="93"/>
  <c r="BF2287" i="93"/>
  <c r="BG2208" i="93"/>
  <c r="BF2208" i="93"/>
  <c r="BG2202" i="93"/>
  <c r="BF2202" i="93"/>
  <c r="BG2241" i="93"/>
  <c r="BF2241" i="93"/>
  <c r="BG2247" i="93"/>
  <c r="BF2247" i="93"/>
  <c r="BG2248" i="93"/>
  <c r="BF2248" i="93"/>
  <c r="BG2199" i="93"/>
  <c r="BF2199" i="93"/>
  <c r="BG2054" i="93"/>
  <c r="BF2054" i="93"/>
  <c r="BG2128" i="93"/>
  <c r="BF2128" i="93"/>
  <c r="BG2064" i="93"/>
  <c r="BF2064" i="93"/>
  <c r="BG2063" i="93"/>
  <c r="BF2063" i="93"/>
  <c r="BG2090" i="93"/>
  <c r="BF2090" i="93"/>
  <c r="BG2044" i="93"/>
  <c r="BF2044" i="93"/>
  <c r="BG3402" i="93"/>
  <c r="BG2470" i="93"/>
  <c r="BG2432" i="93"/>
  <c r="BG2478" i="93"/>
  <c r="BG2434" i="93"/>
  <c r="BG2537" i="93"/>
  <c r="BG4027" i="93"/>
  <c r="BG2598" i="93"/>
  <c r="BG2745" i="93"/>
  <c r="BG2994" i="93"/>
  <c r="BG3682" i="93"/>
  <c r="BG3816" i="93"/>
  <c r="BG2805" i="93"/>
  <c r="BG3861" i="93"/>
  <c r="BG4255" i="93"/>
  <c r="BG2570" i="93"/>
  <c r="BG3490" i="93"/>
  <c r="BG2335" i="93"/>
  <c r="BG3579" i="93"/>
  <c r="BG3941" i="93"/>
  <c r="BG2336" i="93"/>
  <c r="BG4003" i="93"/>
  <c r="BG4093" i="93"/>
  <c r="BG2579" i="93"/>
  <c r="BD1894" i="93"/>
  <c r="BF1894" i="93" s="1"/>
  <c r="BG4158" i="93"/>
  <c r="BG2586" i="93"/>
  <c r="BG2983" i="93"/>
  <c r="BG2571" i="93"/>
  <c r="BG2861" i="93"/>
  <c r="BG2904" i="93"/>
  <c r="BG3224" i="93"/>
  <c r="BG2970" i="93"/>
  <c r="BG3012" i="93"/>
  <c r="BG2963" i="93"/>
  <c r="BG2952" i="93"/>
  <c r="BG2853" i="93"/>
  <c r="BG2688" i="93"/>
  <c r="BG2738" i="93"/>
  <c r="BG2655" i="93"/>
  <c r="BG2084" i="93"/>
  <c r="BG2569" i="93"/>
  <c r="BG2610" i="93"/>
  <c r="BG2341" i="93"/>
  <c r="BD1978" i="93"/>
  <c r="BF1978" i="93" s="1"/>
  <c r="BD1996" i="93"/>
  <c r="BF1996" i="93" s="1"/>
  <c r="BD1819" i="93"/>
  <c r="BF1819" i="93" s="1"/>
  <c r="BD1868" i="93"/>
  <c r="BD1995" i="93"/>
  <c r="BD1990" i="93"/>
  <c r="BD1965" i="93"/>
  <c r="BF1965" i="93" s="1"/>
  <c r="BD1942" i="93"/>
  <c r="BD1955" i="93"/>
  <c r="BD1976" i="93"/>
  <c r="BG1978" i="93"/>
  <c r="BD1951" i="93"/>
  <c r="BD1959" i="93"/>
  <c r="BD1913" i="93"/>
  <c r="BF1913" i="93" s="1"/>
  <c r="BD1829" i="93"/>
  <c r="BE1780" i="93"/>
  <c r="BB1780" i="93"/>
  <c r="AB1780" i="93"/>
  <c r="BE1749" i="93"/>
  <c r="BB1749" i="93"/>
  <c r="AB1746" i="93"/>
  <c r="AB1749" i="93"/>
  <c r="BE1746" i="93"/>
  <c r="BB1746" i="93"/>
  <c r="BE1741" i="93"/>
  <c r="BB1741" i="93"/>
  <c r="AB1741" i="93"/>
  <c r="BE1737" i="93"/>
  <c r="BB1737" i="93"/>
  <c r="AB1737" i="93"/>
  <c r="BE1652" i="93"/>
  <c r="BB1652" i="93"/>
  <c r="AB1652" i="93"/>
  <c r="BE1623" i="93"/>
  <c r="BB1623" i="93"/>
  <c r="AB1623" i="93"/>
  <c r="BE1596" i="93"/>
  <c r="BB1596" i="93"/>
  <c r="AB1596" i="93"/>
  <c r="BE1582" i="93"/>
  <c r="BB1582" i="93"/>
  <c r="AB1582" i="93"/>
  <c r="BE1565" i="93"/>
  <c r="BB1565" i="93"/>
  <c r="AB1565" i="93"/>
  <c r="BE1556" i="93"/>
  <c r="BB1556" i="93"/>
  <c r="AB1556" i="93"/>
  <c r="BE1516" i="93"/>
  <c r="BB1516" i="93"/>
  <c r="AB1516" i="93"/>
  <c r="BE1510" i="93"/>
  <c r="BB1510" i="93"/>
  <c r="AB1510" i="93"/>
  <c r="BE1477" i="93"/>
  <c r="BB1477" i="93"/>
  <c r="AB1477" i="93"/>
  <c r="BE1468" i="93"/>
  <c r="BB1468" i="93"/>
  <c r="AB1468" i="93"/>
  <c r="BE1454" i="93"/>
  <c r="BB1454" i="93"/>
  <c r="AB1454" i="93"/>
  <c r="BE1451" i="93"/>
  <c r="BB1451" i="93"/>
  <c r="AB1451" i="93"/>
  <c r="BE1412" i="93"/>
  <c r="BB1412" i="93"/>
  <c r="AB1412" i="93"/>
  <c r="BE1395" i="93"/>
  <c r="BB1356" i="93"/>
  <c r="BB1357" i="93"/>
  <c r="BB1367" i="93"/>
  <c r="BB1369" i="93"/>
  <c r="BB1378" i="93"/>
  <c r="BB1382" i="93"/>
  <c r="BB1386" i="93"/>
  <c r="BB1391" i="93"/>
  <c r="BB1392" i="93"/>
  <c r="BB1393" i="93"/>
  <c r="BB1394" i="93"/>
  <c r="BB1395" i="93"/>
  <c r="AB1356" i="93"/>
  <c r="AB1357" i="93"/>
  <c r="BD1357" i="93" s="1"/>
  <c r="AB1367" i="93"/>
  <c r="BD1367" i="93" s="1"/>
  <c r="AB1369" i="93"/>
  <c r="BD1369" i="93" s="1"/>
  <c r="AB1378" i="93"/>
  <c r="BD1378" i="93" s="1"/>
  <c r="AB1382" i="93"/>
  <c r="BD1382" i="93" s="1"/>
  <c r="AB1386" i="93"/>
  <c r="BD1386" i="93" s="1"/>
  <c r="AB1391" i="93"/>
  <c r="BD1391" i="93" s="1"/>
  <c r="AB1392" i="93"/>
  <c r="BD1392" i="93" s="1"/>
  <c r="AB1393" i="93"/>
  <c r="BD1393" i="93" s="1"/>
  <c r="AB1394" i="93"/>
  <c r="BD1394" i="93" s="1"/>
  <c r="AB1395" i="93"/>
  <c r="BD1356" i="93"/>
  <c r="BE1356" i="93"/>
  <c r="BE1357" i="93"/>
  <c r="BE1367" i="93"/>
  <c r="BE1369" i="93"/>
  <c r="BE1378" i="93"/>
  <c r="BE1382" i="93"/>
  <c r="BE1386" i="93"/>
  <c r="BE1391" i="93"/>
  <c r="BE1392" i="93"/>
  <c r="BE1393" i="93"/>
  <c r="BE1336" i="93"/>
  <c r="BE1341" i="93"/>
  <c r="BB1336" i="93"/>
  <c r="BB1341" i="93"/>
  <c r="AB1336" i="93"/>
  <c r="AB1341" i="93"/>
  <c r="BE1326" i="93"/>
  <c r="BE1331" i="93"/>
  <c r="BE1333" i="93"/>
  <c r="BE1394" i="93"/>
  <c r="BB1326" i="93"/>
  <c r="BB1331" i="93"/>
  <c r="BB1333" i="93"/>
  <c r="AB1326" i="93"/>
  <c r="AB1331" i="93"/>
  <c r="AB1333" i="93"/>
  <c r="BE1324" i="93"/>
  <c r="BB1324" i="93"/>
  <c r="AB1324" i="93"/>
  <c r="BE1320" i="93"/>
  <c r="BB1320" i="93"/>
  <c r="AB1320" i="93"/>
  <c r="BE1319" i="93"/>
  <c r="BB1319" i="93"/>
  <c r="AB1319" i="93"/>
  <c r="BE1297" i="93"/>
  <c r="BE1300" i="93"/>
  <c r="BE1302" i="93"/>
  <c r="BB1297" i="93"/>
  <c r="BB1300" i="93"/>
  <c r="BB1302" i="93"/>
  <c r="AB1297" i="93"/>
  <c r="AB1300" i="93"/>
  <c r="AB1302" i="93"/>
  <c r="BE1283" i="93"/>
  <c r="BB1283" i="93"/>
  <c r="AB1283" i="93"/>
  <c r="BE1270" i="93"/>
  <c r="BB1270" i="93"/>
  <c r="AB1270" i="93"/>
  <c r="BE1264" i="93"/>
  <c r="BB1260" i="93"/>
  <c r="BB1263" i="93"/>
  <c r="BB1264" i="93"/>
  <c r="AB1264" i="93"/>
  <c r="BE1260" i="93"/>
  <c r="AB1260" i="93"/>
  <c r="BE1216" i="93"/>
  <c r="BB1216" i="93"/>
  <c r="AB1216" i="93"/>
  <c r="BE1173" i="93"/>
  <c r="BB1173" i="93"/>
  <c r="AB1173" i="93"/>
  <c r="BE1169" i="93"/>
  <c r="BE1104" i="93"/>
  <c r="AB1169" i="93"/>
  <c r="BE1155" i="93"/>
  <c r="BB1155" i="93"/>
  <c r="AB1155" i="93"/>
  <c r="BE1135" i="93"/>
  <c r="BB1135" i="93"/>
  <c r="AB1135" i="93"/>
  <c r="BE1134" i="93"/>
  <c r="BB1134" i="93"/>
  <c r="AB1134" i="93"/>
  <c r="BE1132" i="93"/>
  <c r="BB1132" i="93"/>
  <c r="AB1132" i="93"/>
  <c r="BE1129" i="93"/>
  <c r="BB1129" i="93"/>
  <c r="AB1129" i="93"/>
  <c r="BE1123" i="93"/>
  <c r="BB1123" i="93"/>
  <c r="AB1123" i="93"/>
  <c r="BE1110" i="93"/>
  <c r="BB1110" i="93"/>
  <c r="AB1110" i="93"/>
  <c r="BE1098" i="93"/>
  <c r="BB1098" i="93"/>
  <c r="AB1098" i="93"/>
  <c r="BD1336" i="93" l="1"/>
  <c r="BF1336" i="93" s="1"/>
  <c r="BD1395" i="93"/>
  <c r="BG1395" i="93" s="1"/>
  <c r="BG1894" i="93"/>
  <c r="BF1393" i="93"/>
  <c r="BF1391" i="93"/>
  <c r="BF1382" i="93"/>
  <c r="BF1369" i="93"/>
  <c r="BF1357" i="93"/>
  <c r="BF1356" i="93"/>
  <c r="BF1394" i="93"/>
  <c r="BF1392" i="93"/>
  <c r="BF1386" i="93"/>
  <c r="BF1378" i="93"/>
  <c r="BF1367" i="93"/>
  <c r="BG1951" i="93"/>
  <c r="BF1951" i="93"/>
  <c r="BG1976" i="93"/>
  <c r="BF1976" i="93"/>
  <c r="BG1942" i="93"/>
  <c r="BF1942" i="93"/>
  <c r="BG1990" i="93"/>
  <c r="BF1990" i="93"/>
  <c r="BG1959" i="93"/>
  <c r="BF1959" i="93"/>
  <c r="BG1955" i="93"/>
  <c r="BF1955" i="93"/>
  <c r="BG1995" i="93"/>
  <c r="BF1995" i="93"/>
  <c r="BG1829" i="93"/>
  <c r="BF1829" i="93"/>
  <c r="BG1868" i="93"/>
  <c r="BF1868" i="93"/>
  <c r="BG1336" i="93"/>
  <c r="BD1516" i="93"/>
  <c r="BD1749" i="93"/>
  <c r="BF1749" i="93" s="1"/>
  <c r="BG1819" i="93"/>
  <c r="BG1996" i="93"/>
  <c r="BG1386" i="93"/>
  <c r="BG1965" i="93"/>
  <c r="BG1392" i="93"/>
  <c r="BG1356" i="93"/>
  <c r="BG1394" i="93"/>
  <c r="BG1378" i="93"/>
  <c r="BG1367" i="93"/>
  <c r="BG1393" i="93"/>
  <c r="BG1391" i="93"/>
  <c r="BG1382" i="93"/>
  <c r="BG1369" i="93"/>
  <c r="BG1357" i="93"/>
  <c r="BD1216" i="93"/>
  <c r="BD1333" i="93"/>
  <c r="BD1326" i="93"/>
  <c r="BD1412" i="93"/>
  <c r="BD1454" i="93"/>
  <c r="BF1454" i="93" s="1"/>
  <c r="BD1477" i="93"/>
  <c r="BD1556" i="93"/>
  <c r="BD1565" i="93"/>
  <c r="BF1565" i="93" s="1"/>
  <c r="BD1596" i="93"/>
  <c r="BF1596" i="93" s="1"/>
  <c r="BG1913" i="93"/>
  <c r="BD1169" i="93"/>
  <c r="BD1173" i="93"/>
  <c r="BD1623" i="93"/>
  <c r="BF1623" i="93" s="1"/>
  <c r="BD1746" i="93"/>
  <c r="BD1510" i="93"/>
  <c r="BD1780" i="93"/>
  <c r="BD1652" i="93"/>
  <c r="BF1652" i="93" s="1"/>
  <c r="BD1741" i="93"/>
  <c r="BD1737" i="93"/>
  <c r="BD1582" i="93"/>
  <c r="BD1468" i="93"/>
  <c r="BD1451" i="93"/>
  <c r="BD1331" i="93"/>
  <c r="BD1341" i="93"/>
  <c r="BD1324" i="93"/>
  <c r="BF1324" i="93" s="1"/>
  <c r="BD1320" i="93"/>
  <c r="BF1320" i="93" s="1"/>
  <c r="BD1260" i="93"/>
  <c r="BF1260" i="93" s="1"/>
  <c r="BD1264" i="93"/>
  <c r="BF1264" i="93" s="1"/>
  <c r="BD1283" i="93"/>
  <c r="BF1283" i="93" s="1"/>
  <c r="BD1300" i="93"/>
  <c r="BD1319" i="93"/>
  <c r="BF1319" i="93" s="1"/>
  <c r="BD1302" i="93"/>
  <c r="BD1297" i="93"/>
  <c r="BD1270" i="93"/>
  <c r="BF1270" i="93" s="1"/>
  <c r="BD1155" i="93"/>
  <c r="BD1123" i="93"/>
  <c r="BF1123" i="93" s="1"/>
  <c r="BD1132" i="93"/>
  <c r="BD1135" i="93"/>
  <c r="BD1129" i="93"/>
  <c r="BD1134" i="93"/>
  <c r="BF1134" i="93" s="1"/>
  <c r="BD1110" i="93"/>
  <c r="BD1098" i="93"/>
  <c r="BF1098" i="93" s="1"/>
  <c r="BE1080" i="93"/>
  <c r="BB1080" i="93"/>
  <c r="AB1080" i="93"/>
  <c r="BE1061" i="93"/>
  <c r="BB1061" i="93"/>
  <c r="AB1061" i="93"/>
  <c r="BE1059" i="93"/>
  <c r="BB1059" i="93"/>
  <c r="AB1059" i="93"/>
  <c r="BE1051" i="93"/>
  <c r="BE1050" i="93"/>
  <c r="BB1051" i="93"/>
  <c r="AB1051" i="93"/>
  <c r="BE1042" i="93"/>
  <c r="BB1042" i="93"/>
  <c r="AB1042" i="93"/>
  <c r="BE1026" i="93"/>
  <c r="BE1027" i="93"/>
  <c r="BB1026" i="93"/>
  <c r="BB1027" i="93"/>
  <c r="AB1026" i="93"/>
  <c r="BD1026" i="93" s="1"/>
  <c r="AB1027" i="93"/>
  <c r="BD1027" i="93" s="1"/>
  <c r="BF1027" i="93" s="1"/>
  <c r="BE1014" i="93"/>
  <c r="BB1014" i="93"/>
  <c r="AB1014" i="93"/>
  <c r="BE992" i="93"/>
  <c r="BB992" i="93"/>
  <c r="AB992" i="93"/>
  <c r="BE967" i="93"/>
  <c r="BE970" i="93"/>
  <c r="BB967" i="93"/>
  <c r="BB970" i="93"/>
  <c r="AB967" i="93"/>
  <c r="AB970" i="93"/>
  <c r="BE946" i="93"/>
  <c r="BB946" i="93"/>
  <c r="AB946" i="93"/>
  <c r="BE889" i="93"/>
  <c r="AB889" i="93"/>
  <c r="BB889" i="93"/>
  <c r="BE862" i="93"/>
  <c r="BE874" i="93"/>
  <c r="BB862" i="93"/>
  <c r="BB874" i="93"/>
  <c r="AB862" i="93"/>
  <c r="BD862" i="93" s="1"/>
  <c r="BF862" i="93" s="1"/>
  <c r="AB874" i="93"/>
  <c r="BE857" i="93"/>
  <c r="AB857" i="93"/>
  <c r="BB857" i="93"/>
  <c r="BE856" i="93"/>
  <c r="BB856" i="93"/>
  <c r="AB856" i="93"/>
  <c r="BE849" i="93"/>
  <c r="BE851" i="93"/>
  <c r="BE852" i="93"/>
  <c r="BE850" i="93"/>
  <c r="BB849" i="93"/>
  <c r="BB851" i="93"/>
  <c r="BB852" i="93"/>
  <c r="AB849" i="93"/>
  <c r="AB851" i="93"/>
  <c r="AB852" i="93"/>
  <c r="BE837" i="93"/>
  <c r="BB837" i="93"/>
  <c r="AB837" i="93"/>
  <c r="BE801" i="93"/>
  <c r="BB801" i="93"/>
  <c r="AB801" i="93"/>
  <c r="BE775" i="93"/>
  <c r="BB775" i="93"/>
  <c r="AB775" i="93"/>
  <c r="BE749" i="93"/>
  <c r="AB749" i="93"/>
  <c r="BB749" i="93"/>
  <c r="BE739" i="93"/>
  <c r="BB739" i="93"/>
  <c r="AB739" i="93"/>
  <c r="BE726" i="93"/>
  <c r="BB726" i="93"/>
  <c r="AB726" i="93"/>
  <c r="BE725" i="93"/>
  <c r="BB725" i="93"/>
  <c r="AB725" i="93"/>
  <c r="BB717" i="93"/>
  <c r="AB717" i="93"/>
  <c r="BE712" i="93"/>
  <c r="BB712" i="93"/>
  <c r="AB712" i="93"/>
  <c r="BE705" i="93"/>
  <c r="BB705" i="93"/>
  <c r="AB705" i="93"/>
  <c r="BE680" i="93"/>
  <c r="BB680" i="93"/>
  <c r="AB680" i="93"/>
  <c r="BE661" i="93"/>
  <c r="BB661" i="93"/>
  <c r="AB661" i="93"/>
  <c r="BE610" i="93"/>
  <c r="BB610" i="93"/>
  <c r="AB610" i="93"/>
  <c r="BE614" i="93"/>
  <c r="BB614" i="93"/>
  <c r="AB614" i="93"/>
  <c r="BE582" i="93"/>
  <c r="BE592" i="93"/>
  <c r="BE594" i="93"/>
  <c r="BE575" i="93"/>
  <c r="BB582" i="93"/>
  <c r="BB592" i="93"/>
  <c r="BB594" i="93"/>
  <c r="BB575" i="93"/>
  <c r="BB576" i="93"/>
  <c r="AB582" i="93"/>
  <c r="AB592" i="93"/>
  <c r="AB594" i="93"/>
  <c r="BE578" i="93"/>
  <c r="BB578" i="93"/>
  <c r="AB578" i="93"/>
  <c r="AB575" i="93"/>
  <c r="BD575" i="93" s="1"/>
  <c r="BE559" i="93"/>
  <c r="BE560" i="93"/>
  <c r="BE561" i="93"/>
  <c r="BB559" i="93"/>
  <c r="BB560" i="93"/>
  <c r="BB561" i="93"/>
  <c r="AB559" i="93"/>
  <c r="AB560" i="93"/>
  <c r="AB561" i="93"/>
  <c r="BE557" i="93"/>
  <c r="BB557" i="93"/>
  <c r="AB557" i="93"/>
  <c r="BE551" i="93"/>
  <c r="BE262" i="93"/>
  <c r="BB551" i="93"/>
  <c r="AB551" i="93"/>
  <c r="BE517" i="93"/>
  <c r="BB517" i="93"/>
  <c r="AB517" i="93"/>
  <c r="BE488" i="93"/>
  <c r="BB488" i="93"/>
  <c r="AB488" i="93"/>
  <c r="BE480" i="93"/>
  <c r="BB480" i="93"/>
  <c r="AB480" i="93"/>
  <c r="BE465" i="93"/>
  <c r="BE466" i="93"/>
  <c r="BB465" i="93"/>
  <c r="BB466" i="93"/>
  <c r="AB465" i="93"/>
  <c r="AB466" i="93"/>
  <c r="BD466" i="93" s="1"/>
  <c r="BF466" i="93" s="1"/>
  <c r="AB464" i="93"/>
  <c r="BE464" i="93"/>
  <c r="BE459" i="93"/>
  <c r="AB459" i="93"/>
  <c r="BB459" i="93"/>
  <c r="BE456" i="93"/>
  <c r="BB456" i="93"/>
  <c r="AB456" i="93"/>
  <c r="BE443" i="93"/>
  <c r="BB443" i="93"/>
  <c r="AB443" i="93"/>
  <c r="BE437" i="93"/>
  <c r="BB437" i="93"/>
  <c r="AB437" i="93"/>
  <c r="BE422" i="93"/>
  <c r="BB422" i="93"/>
  <c r="AB422" i="93"/>
  <c r="BE406" i="93"/>
  <c r="BB406" i="93"/>
  <c r="AB406" i="93"/>
  <c r="BE382" i="93"/>
  <c r="AB382" i="93"/>
  <c r="BB382" i="93"/>
  <c r="BB371" i="93"/>
  <c r="AB371" i="93"/>
  <c r="BE371" i="93"/>
  <c r="BE337" i="93"/>
  <c r="BB337" i="93"/>
  <c r="AB337" i="93"/>
  <c r="BE306" i="93"/>
  <c r="BB306" i="93"/>
  <c r="BB262" i="93"/>
  <c r="AB306" i="93"/>
  <c r="BD717" i="93" l="1"/>
  <c r="BF717" i="93" s="1"/>
  <c r="BF575" i="93"/>
  <c r="BF1395" i="93"/>
  <c r="BF1026" i="93"/>
  <c r="BF1135" i="93"/>
  <c r="BF1110" i="93"/>
  <c r="BG1749" i="93"/>
  <c r="BD306" i="93"/>
  <c r="BG306" i="93" s="1"/>
  <c r="BD465" i="93"/>
  <c r="BF465" i="93" s="1"/>
  <c r="BF306" i="93"/>
  <c r="BG1737" i="93"/>
  <c r="BF1737" i="93"/>
  <c r="BG1741" i="93"/>
  <c r="BF1741" i="93"/>
  <c r="BG1780" i="93"/>
  <c r="BF1780" i="93"/>
  <c r="BG1746" i="93"/>
  <c r="BF1746" i="93"/>
  <c r="BG1582" i="93"/>
  <c r="BF1582" i="93"/>
  <c r="BG1556" i="93"/>
  <c r="BF1556" i="93"/>
  <c r="BG1516" i="93"/>
  <c r="BF1516" i="93"/>
  <c r="BG1451" i="93"/>
  <c r="BF1451" i="93"/>
  <c r="BG1510" i="93"/>
  <c r="BF1510" i="93"/>
  <c r="BG1477" i="93"/>
  <c r="BF1477" i="93"/>
  <c r="BG1412" i="93"/>
  <c r="BF1412" i="93"/>
  <c r="BG1468" i="93"/>
  <c r="BF1468" i="93"/>
  <c r="BG1302" i="93"/>
  <c r="BF1302" i="93"/>
  <c r="BG1300" i="93"/>
  <c r="BF1300" i="93"/>
  <c r="BG1341" i="93"/>
  <c r="BF1341" i="93"/>
  <c r="BG1333" i="93"/>
  <c r="BF1333" i="93"/>
  <c r="BG1297" i="93"/>
  <c r="BF1297" i="93"/>
  <c r="BG1331" i="93"/>
  <c r="BF1331" i="93"/>
  <c r="BG1326" i="93"/>
  <c r="BF1326" i="93"/>
  <c r="BG1169" i="93"/>
  <c r="BF1169" i="93"/>
  <c r="BG1129" i="93"/>
  <c r="BF1129" i="93"/>
  <c r="BG1132" i="93"/>
  <c r="BF1132" i="93"/>
  <c r="BG1155" i="93"/>
  <c r="BF1155" i="93"/>
  <c r="BG1173" i="93"/>
  <c r="BF1173" i="93"/>
  <c r="BG1216" i="93"/>
  <c r="BF1216" i="93"/>
  <c r="BD874" i="93"/>
  <c r="BF874" i="93" s="1"/>
  <c r="BG466" i="93"/>
  <c r="BG862" i="93"/>
  <c r="BG1027" i="93"/>
  <c r="BG874" i="93"/>
  <c r="BG1026" i="93"/>
  <c r="BD1042" i="93"/>
  <c r="BF1042" i="93" s="1"/>
  <c r="BG1454" i="93"/>
  <c r="BG1652" i="93"/>
  <c r="BD775" i="93"/>
  <c r="BF775" i="93" s="1"/>
  <c r="BD967" i="93"/>
  <c r="BF967" i="93" s="1"/>
  <c r="BD992" i="93"/>
  <c r="BF992" i="93" s="1"/>
  <c r="BG1596" i="93"/>
  <c r="BD1061" i="93"/>
  <c r="BF1061" i="93" s="1"/>
  <c r="BG1565" i="93"/>
  <c r="BG1623" i="93"/>
  <c r="BD946" i="93"/>
  <c r="BF946" i="93" s="1"/>
  <c r="BD551" i="93"/>
  <c r="BF551" i="93" s="1"/>
  <c r="BD560" i="93"/>
  <c r="BF560" i="93" s="1"/>
  <c r="BD661" i="93"/>
  <c r="BF661" i="93" s="1"/>
  <c r="BD726" i="93"/>
  <c r="BF726" i="93" s="1"/>
  <c r="BD852" i="93"/>
  <c r="BF852" i="93" s="1"/>
  <c r="BD849" i="93"/>
  <c r="BF849" i="93" s="1"/>
  <c r="BD970" i="93"/>
  <c r="BD1080" i="93"/>
  <c r="BD837" i="93"/>
  <c r="BF837" i="93" s="1"/>
  <c r="BD1014" i="93"/>
  <c r="BF1014" i="93" s="1"/>
  <c r="BG1098" i="93"/>
  <c r="BG1110" i="93"/>
  <c r="BG1134" i="93"/>
  <c r="BG1135" i="93"/>
  <c r="BG1123" i="93"/>
  <c r="BG1270" i="93"/>
  <c r="BG1319" i="93"/>
  <c r="BG1283" i="93"/>
  <c r="BG1260" i="93"/>
  <c r="BG1324" i="93"/>
  <c r="BD851" i="93"/>
  <c r="BF851" i="93" s="1"/>
  <c r="BG1264" i="93"/>
  <c r="BG1320" i="93"/>
  <c r="BD1051" i="93"/>
  <c r="BD1059" i="93"/>
  <c r="BF1059" i="93" s="1"/>
  <c r="BD889" i="93"/>
  <c r="BF889" i="93" s="1"/>
  <c r="BD857" i="93"/>
  <c r="BF857" i="93" s="1"/>
  <c r="BD856" i="93"/>
  <c r="BF856" i="93" s="1"/>
  <c r="BD801" i="93"/>
  <c r="BF801" i="93" s="1"/>
  <c r="BD749" i="93"/>
  <c r="BF749" i="93" s="1"/>
  <c r="BD561" i="93"/>
  <c r="BF561" i="93" s="1"/>
  <c r="BD559" i="93"/>
  <c r="BF559" i="93" s="1"/>
  <c r="BD592" i="93"/>
  <c r="BF592" i="93" s="1"/>
  <c r="BD610" i="93"/>
  <c r="BF610" i="93" s="1"/>
  <c r="BD739" i="93"/>
  <c r="BF739" i="93" s="1"/>
  <c r="BD725" i="93"/>
  <c r="BF725" i="93" s="1"/>
  <c r="BD680" i="93"/>
  <c r="BF680" i="93" s="1"/>
  <c r="BD712" i="93"/>
  <c r="BF712" i="93" s="1"/>
  <c r="BD705" i="93"/>
  <c r="BF705" i="93" s="1"/>
  <c r="BD594" i="93"/>
  <c r="BF594" i="93" s="1"/>
  <c r="BD582" i="93"/>
  <c r="BF582" i="93" s="1"/>
  <c r="BD614" i="93"/>
  <c r="BF614" i="93" s="1"/>
  <c r="BD578" i="93"/>
  <c r="BF578" i="93" s="1"/>
  <c r="BD557" i="93"/>
  <c r="BF557" i="93" s="1"/>
  <c r="BD517" i="93"/>
  <c r="BF517" i="93" s="1"/>
  <c r="BD488" i="93"/>
  <c r="BF488" i="93" s="1"/>
  <c r="BD480" i="93"/>
  <c r="BF480" i="93" s="1"/>
  <c r="BD464" i="93"/>
  <c r="BF464" i="93" s="1"/>
  <c r="BD456" i="93"/>
  <c r="BF456" i="93" s="1"/>
  <c r="BD459" i="93"/>
  <c r="BF459" i="93" s="1"/>
  <c r="BD443" i="93"/>
  <c r="BF443" i="93" s="1"/>
  <c r="BD437" i="93"/>
  <c r="BF437" i="93" s="1"/>
  <c r="BD422" i="93"/>
  <c r="BF422" i="93" s="1"/>
  <c r="BD406" i="93"/>
  <c r="BF406" i="93" s="1"/>
  <c r="BD371" i="93"/>
  <c r="BF371" i="93" s="1"/>
  <c r="BD382" i="93"/>
  <c r="BF382" i="93" s="1"/>
  <c r="BD337" i="93"/>
  <c r="BF337" i="93" s="1"/>
  <c r="BE243" i="93"/>
  <c r="BB243" i="93"/>
  <c r="AB243" i="93"/>
  <c r="BE233" i="93"/>
  <c r="BB233" i="93"/>
  <c r="AB233" i="93"/>
  <c r="BE219" i="93"/>
  <c r="BB219" i="93"/>
  <c r="AB219" i="93"/>
  <c r="BE214" i="93"/>
  <c r="BB214" i="93"/>
  <c r="AB214" i="93"/>
  <c r="BE213" i="93"/>
  <c r="BB213" i="93"/>
  <c r="AB213" i="93"/>
  <c r="BE193" i="93"/>
  <c r="BB193" i="93"/>
  <c r="AB193" i="93"/>
  <c r="BE180" i="93"/>
  <c r="BB180" i="93"/>
  <c r="AB180" i="93"/>
  <c r="BE144" i="93"/>
  <c r="BB144" i="93"/>
  <c r="AB144" i="93"/>
  <c r="BE141" i="93"/>
  <c r="BB141" i="93"/>
  <c r="AB141" i="93"/>
  <c r="BE119" i="93"/>
  <c r="BB119" i="93"/>
  <c r="AB119" i="93"/>
  <c r="BE73" i="93"/>
  <c r="BB73" i="93"/>
  <c r="AB73" i="93"/>
  <c r="BB70" i="93"/>
  <c r="AB70" i="93"/>
  <c r="BE70" i="93"/>
  <c r="BE66" i="93"/>
  <c r="BB66" i="93"/>
  <c r="AB66" i="93"/>
  <c r="BE63" i="93"/>
  <c r="BB63" i="93"/>
  <c r="AB63" i="93"/>
  <c r="BE46" i="93"/>
  <c r="BB46" i="93"/>
  <c r="AB46" i="93"/>
  <c r="BB45" i="93"/>
  <c r="AB45" i="93"/>
  <c r="BE45" i="93"/>
  <c r="BE44" i="93"/>
  <c r="BB44" i="93"/>
  <c r="AB44" i="93"/>
  <c r="BE36" i="93"/>
  <c r="BE34" i="93"/>
  <c r="BB34" i="93"/>
  <c r="AB34" i="93"/>
  <c r="BG465" i="93" l="1"/>
  <c r="BG1080" i="93"/>
  <c r="BF1080" i="93"/>
  <c r="BG1051" i="93"/>
  <c r="BF1051" i="93"/>
  <c r="BG970" i="93"/>
  <c r="BF970" i="93"/>
  <c r="BG801" i="93"/>
  <c r="BG1042" i="93"/>
  <c r="BG992" i="93"/>
  <c r="BG857" i="93"/>
  <c r="BG775" i="93"/>
  <c r="BG517" i="93"/>
  <c r="BG443" i="93"/>
  <c r="BG851" i="93"/>
  <c r="BG614" i="93"/>
  <c r="BG371" i="93"/>
  <c r="BG1061" i="93"/>
  <c r="BG852" i="93"/>
  <c r="BG561" i="93"/>
  <c r="BG967" i="93"/>
  <c r="BG726" i="93"/>
  <c r="BG705" i="93"/>
  <c r="BG560" i="93"/>
  <c r="BG488" i="93"/>
  <c r="BG464" i="93"/>
  <c r="BG437" i="93"/>
  <c r="BG946" i="93"/>
  <c r="BG725" i="93"/>
  <c r="BG680" i="93"/>
  <c r="BG582" i="93"/>
  <c r="BG578" i="93"/>
  <c r="BG382" i="93"/>
  <c r="BG1059" i="93"/>
  <c r="BG1014" i="93"/>
  <c r="BG889" i="93"/>
  <c r="BG856" i="93"/>
  <c r="BG749" i="93"/>
  <c r="BG717" i="93"/>
  <c r="BG661" i="93"/>
  <c r="BG592" i="93"/>
  <c r="BG557" i="93"/>
  <c r="BG456" i="93"/>
  <c r="BG406" i="93"/>
  <c r="BG849" i="93"/>
  <c r="BG837" i="93"/>
  <c r="BG739" i="93"/>
  <c r="BG712" i="93"/>
  <c r="BG610" i="93"/>
  <c r="BG594" i="93"/>
  <c r="BG559" i="93"/>
  <c r="BG551" i="93"/>
  <c r="BG480" i="93"/>
  <c r="BG459" i="93"/>
  <c r="BG422" i="93"/>
  <c r="BG337" i="93"/>
  <c r="BD193" i="93"/>
  <c r="BF193" i="93" s="1"/>
  <c r="BD34" i="93"/>
  <c r="BF34" i="93" s="1"/>
  <c r="BD44" i="93"/>
  <c r="BF44" i="93" s="1"/>
  <c r="BD66" i="93"/>
  <c r="BF66" i="93" s="1"/>
  <c r="BD70" i="93"/>
  <c r="BD73" i="93"/>
  <c r="BF73" i="93" s="1"/>
  <c r="BD180" i="93"/>
  <c r="BF180" i="93" s="1"/>
  <c r="BD219" i="93"/>
  <c r="BF219" i="93" s="1"/>
  <c r="BD243" i="93"/>
  <c r="BF243" i="93" s="1"/>
  <c r="BD63" i="93"/>
  <c r="BF63" i="93" s="1"/>
  <c r="BD46" i="93"/>
  <c r="BF46" i="93" s="1"/>
  <c r="BD233" i="93"/>
  <c r="BF233" i="93" s="1"/>
  <c r="BD214" i="93"/>
  <c r="BF214" i="93" s="1"/>
  <c r="BD213" i="93"/>
  <c r="BF213" i="93" s="1"/>
  <c r="BD119" i="93"/>
  <c r="BF119" i="93" s="1"/>
  <c r="BD144" i="93"/>
  <c r="BF144" i="93" s="1"/>
  <c r="BD141" i="93"/>
  <c r="BF141" i="93" s="1"/>
  <c r="BD45" i="93"/>
  <c r="BF45" i="93" s="1"/>
  <c r="BH569" i="93"/>
  <c r="BG70" i="93" l="1"/>
  <c r="BF70" i="93"/>
  <c r="BG66" i="93"/>
  <c r="BG45" i="93"/>
  <c r="BG44" i="93"/>
  <c r="BG63" i="93"/>
  <c r="BG73" i="93"/>
  <c r="BG46" i="93"/>
  <c r="BG34" i="93"/>
  <c r="BG144" i="93"/>
  <c r="BG219" i="93"/>
  <c r="BG180" i="93"/>
  <c r="BG214" i="93"/>
  <c r="BG213" i="93"/>
  <c r="BG141" i="93"/>
  <c r="BE4256" i="93"/>
  <c r="BE4257" i="93"/>
  <c r="BB4256" i="93"/>
  <c r="AB4256" i="93"/>
  <c r="AB4030" i="93"/>
  <c r="BB4030" i="93"/>
  <c r="BE4030" i="93"/>
  <c r="AC3761" i="93"/>
  <c r="BD4256" i="93" l="1"/>
  <c r="BF4256" i="93" s="1"/>
  <c r="BD4030" i="93"/>
  <c r="BG4361" i="93"/>
  <c r="BG4030" i="93" l="1"/>
  <c r="BF4030" i="93"/>
  <c r="BG4256" i="93"/>
  <c r="BB3746" i="93"/>
  <c r="BE3824" i="93"/>
  <c r="BC2381" i="93"/>
  <c r="BE2182" i="93" l="1"/>
  <c r="AB1908" i="93"/>
  <c r="BB1908" i="93"/>
  <c r="BE1908" i="93"/>
  <c r="AB1499" i="93"/>
  <c r="BB1499" i="93"/>
  <c r="BE1499" i="93"/>
  <c r="BD1908" i="93" l="1"/>
  <c r="BF1908" i="93" s="1"/>
  <c r="BD1499" i="93"/>
  <c r="BF1499" i="93" s="1"/>
  <c r="BC1091" i="93"/>
  <c r="BG1908" i="93" l="1"/>
  <c r="BG1499" i="93"/>
  <c r="BE977" i="93"/>
  <c r="BB977" i="93"/>
  <c r="AB977" i="93"/>
  <c r="BB892" i="93"/>
  <c r="BB891" i="93"/>
  <c r="BD977" i="93" l="1"/>
  <c r="BF977" i="93" s="1"/>
  <c r="BB17" i="93"/>
  <c r="BB18" i="93"/>
  <c r="BB19" i="93"/>
  <c r="BB20" i="93"/>
  <c r="BB21" i="93"/>
  <c r="AB18" i="93"/>
  <c r="AB19" i="93"/>
  <c r="AB20" i="93"/>
  <c r="BD18" i="93" l="1"/>
  <c r="BF18" i="93" s="1"/>
  <c r="BG977" i="93"/>
  <c r="BD19" i="93"/>
  <c r="BF19" i="93" s="1"/>
  <c r="BE601" i="93"/>
  <c r="BE300" i="93"/>
  <c r="BE369" i="93"/>
  <c r="BG18" i="93" l="1"/>
  <c r="BG19" i="93"/>
  <c r="D12" i="121" l="1"/>
  <c r="D15" i="121" s="1"/>
  <c r="BE2775" i="93" l="1"/>
  <c r="BB2775" i="93"/>
  <c r="AB2775" i="93"/>
  <c r="BE2774" i="93"/>
  <c r="BB2774" i="93"/>
  <c r="AB2774" i="93"/>
  <c r="BD2775" i="93" l="1"/>
  <c r="BF2775" i="93" s="1"/>
  <c r="BD2774" i="93"/>
  <c r="BF2774" i="93" s="1"/>
  <c r="BE3642" i="93"/>
  <c r="BB3642" i="93"/>
  <c r="AB3642" i="93"/>
  <c r="BE3799" i="93"/>
  <c r="BB3799" i="93"/>
  <c r="AB3799" i="93"/>
  <c r="BE3846" i="93"/>
  <c r="BB3846" i="93"/>
  <c r="AB3846" i="93"/>
  <c r="BE1960" i="93"/>
  <c r="BB1960" i="93"/>
  <c r="AB1960" i="93"/>
  <c r="BE1306" i="93"/>
  <c r="BB1306" i="93"/>
  <c r="AB1306" i="93"/>
  <c r="BE3463" i="93"/>
  <c r="BB3463" i="93"/>
  <c r="AB3463" i="93"/>
  <c r="BE3459" i="93"/>
  <c r="BB3459" i="93"/>
  <c r="AB3459" i="93"/>
  <c r="BE3454" i="93"/>
  <c r="BB3454" i="93"/>
  <c r="AB3454" i="93"/>
  <c r="BE3446" i="93"/>
  <c r="BB3446" i="93"/>
  <c r="AB3446" i="93"/>
  <c r="BE3444" i="93"/>
  <c r="BB3444" i="93"/>
  <c r="AB3444" i="93"/>
  <c r="BE3415" i="93"/>
  <c r="BB3415" i="93"/>
  <c r="AB3415" i="93"/>
  <c r="BE3296" i="93"/>
  <c r="BB3296" i="93"/>
  <c r="AB3296" i="93"/>
  <c r="BE3200" i="93"/>
  <c r="BB3200" i="93"/>
  <c r="AB3200" i="93"/>
  <c r="BE2857" i="93"/>
  <c r="BB2857" i="93"/>
  <c r="AB2857" i="93"/>
  <c r="BE2800" i="93"/>
  <c r="BB2800" i="93"/>
  <c r="AB2800" i="93"/>
  <c r="BE2807" i="93"/>
  <c r="BB2807" i="93"/>
  <c r="AB2807" i="93"/>
  <c r="BE1802" i="93"/>
  <c r="BB1802" i="93"/>
  <c r="AB1802" i="93"/>
  <c r="BE1704" i="93"/>
  <c r="BE1707" i="93"/>
  <c r="BB1704" i="93"/>
  <c r="AB1704" i="93"/>
  <c r="BE1238" i="93"/>
  <c r="BB1238" i="93"/>
  <c r="AB1238" i="93"/>
  <c r="BE1126" i="93"/>
  <c r="BB1126" i="93"/>
  <c r="AB1126" i="93"/>
  <c r="BE2500" i="93"/>
  <c r="BB2500" i="93"/>
  <c r="AB2500" i="93"/>
  <c r="AB2501" i="93"/>
  <c r="BE2398" i="93"/>
  <c r="BB2398" i="93"/>
  <c r="AB2398" i="93"/>
  <c r="BG2774" i="93" l="1"/>
  <c r="BG2775" i="93"/>
  <c r="BD3799" i="93"/>
  <c r="BF3799" i="93" s="1"/>
  <c r="BD3846" i="93"/>
  <c r="BF3846" i="93" s="1"/>
  <c r="BD3642" i="93"/>
  <c r="BF3642" i="93" s="1"/>
  <c r="BD1960" i="93"/>
  <c r="BF1960" i="93" s="1"/>
  <c r="BD1306" i="93"/>
  <c r="BD3454" i="93"/>
  <c r="BF3454" i="93" s="1"/>
  <c r="BD3463" i="93"/>
  <c r="BF3463" i="93" s="1"/>
  <c r="BD3459" i="93"/>
  <c r="BF3459" i="93" s="1"/>
  <c r="BD3200" i="93"/>
  <c r="BF3200" i="93" s="1"/>
  <c r="BD3415" i="93"/>
  <c r="BF3415" i="93" s="1"/>
  <c r="BD3446" i="93"/>
  <c r="BF3446" i="93" s="1"/>
  <c r="BD3444" i="93"/>
  <c r="BF3444" i="93" s="1"/>
  <c r="BD2857" i="93"/>
  <c r="BF2857" i="93" s="1"/>
  <c r="BD3296" i="93"/>
  <c r="BF3296" i="93" s="1"/>
  <c r="BD1126" i="93"/>
  <c r="BF1126" i="93" s="1"/>
  <c r="BD1802" i="93"/>
  <c r="BF1802" i="93" s="1"/>
  <c r="BD2800" i="93"/>
  <c r="BF2800" i="93" s="1"/>
  <c r="BD1704" i="93"/>
  <c r="BF1704" i="93" s="1"/>
  <c r="BD2807" i="93"/>
  <c r="BF2807" i="93" s="1"/>
  <c r="BD1238" i="93"/>
  <c r="BF1238" i="93" s="1"/>
  <c r="BD2398" i="93"/>
  <c r="BF2398" i="93" s="1"/>
  <c r="BD2500" i="93"/>
  <c r="BF2500" i="93" s="1"/>
  <c r="BF1306" i="93" l="1"/>
  <c r="BG3846" i="93"/>
  <c r="BG3463" i="93"/>
  <c r="BG3444" i="93"/>
  <c r="BG2800" i="93"/>
  <c r="BG1704" i="93"/>
  <c r="BG2398" i="93"/>
  <c r="BG3799" i="93"/>
  <c r="BG1306" i="93"/>
  <c r="BG3446" i="93"/>
  <c r="BG3296" i="93"/>
  <c r="BG2807" i="93"/>
  <c r="BG1238" i="93"/>
  <c r="BG3642" i="93"/>
  <c r="BG1960" i="93"/>
  <c r="BG3454" i="93"/>
  <c r="BG3200" i="93"/>
  <c r="BG1802" i="93"/>
  <c r="BG2500" i="93"/>
  <c r="BG3459" i="93"/>
  <c r="BG3415" i="93"/>
  <c r="BG2857" i="93"/>
  <c r="BG1126" i="93"/>
  <c r="BE1664" i="93"/>
  <c r="BB1664" i="93"/>
  <c r="AB1664" i="93"/>
  <c r="BE1655" i="93"/>
  <c r="BB1655" i="93"/>
  <c r="BB1657" i="93"/>
  <c r="AB1655" i="93"/>
  <c r="BD1664" i="93" l="1"/>
  <c r="BF1664" i="93" s="1"/>
  <c r="BD1655" i="93"/>
  <c r="BF1655" i="93" s="1"/>
  <c r="BE668" i="93"/>
  <c r="BB668" i="93"/>
  <c r="AB668" i="93"/>
  <c r="BE580" i="93"/>
  <c r="BB580" i="93"/>
  <c r="AB580" i="93"/>
  <c r="BE1003" i="93"/>
  <c r="BB1003" i="93"/>
  <c r="AB1003" i="93"/>
  <c r="BE988" i="93"/>
  <c r="BB987" i="93"/>
  <c r="BB988" i="93"/>
  <c r="AB988" i="93"/>
  <c r="BE973" i="93"/>
  <c r="BB973" i="93"/>
  <c r="BB974" i="93"/>
  <c r="AB973" i="93"/>
  <c r="BE913" i="93"/>
  <c r="BB913" i="93"/>
  <c r="AB913" i="93"/>
  <c r="BG1655" i="93" l="1"/>
  <c r="BG1664" i="93"/>
  <c r="BD1003" i="93"/>
  <c r="BF1003" i="93" s="1"/>
  <c r="BD668" i="93"/>
  <c r="BF668" i="93" s="1"/>
  <c r="BD988" i="93"/>
  <c r="BF988" i="93" s="1"/>
  <c r="BD580" i="93"/>
  <c r="BF580" i="93" s="1"/>
  <c r="BD973" i="93"/>
  <c r="BF973" i="93" s="1"/>
  <c r="BD913" i="93"/>
  <c r="BF913" i="93" s="1"/>
  <c r="BE727" i="93"/>
  <c r="BB727" i="93"/>
  <c r="AB727" i="93"/>
  <c r="BE713" i="93"/>
  <c r="BB713" i="93"/>
  <c r="AB713" i="93"/>
  <c r="BE702" i="93"/>
  <c r="BB702" i="93"/>
  <c r="AB702" i="93"/>
  <c r="BE681" i="93"/>
  <c r="BB681" i="93"/>
  <c r="AB681" i="93"/>
  <c r="BE508" i="93"/>
  <c r="BB508" i="93"/>
  <c r="AB508" i="93"/>
  <c r="BE384" i="93"/>
  <c r="BE344" i="93"/>
  <c r="BB344" i="93"/>
  <c r="AB344" i="93"/>
  <c r="BE317" i="93"/>
  <c r="BB317" i="93"/>
  <c r="AB317" i="93"/>
  <c r="BE99" i="93"/>
  <c r="BB99" i="93"/>
  <c r="AB99" i="93"/>
  <c r="BE248" i="93"/>
  <c r="BB248" i="93"/>
  <c r="AB248" i="93"/>
  <c r="BE215" i="93"/>
  <c r="BB215" i="93"/>
  <c r="AB215" i="93"/>
  <c r="BG973" i="93" l="1"/>
  <c r="BG580" i="93"/>
  <c r="BG913" i="93"/>
  <c r="BG1003" i="93"/>
  <c r="BG668" i="93"/>
  <c r="BG988" i="93"/>
  <c r="BD713" i="93"/>
  <c r="BF713" i="93" s="1"/>
  <c r="BD702" i="93"/>
  <c r="BF702" i="93" s="1"/>
  <c r="BD727" i="93"/>
  <c r="BF727" i="93" s="1"/>
  <c r="BD681" i="93"/>
  <c r="BF681" i="93" s="1"/>
  <c r="BD248" i="93"/>
  <c r="BF248" i="93" s="1"/>
  <c r="BD344" i="93"/>
  <c r="BF344" i="93" s="1"/>
  <c r="BD508" i="93"/>
  <c r="BF508" i="93" s="1"/>
  <c r="BD215" i="93"/>
  <c r="BF215" i="93" s="1"/>
  <c r="BD99" i="93"/>
  <c r="BF99" i="93" s="1"/>
  <c r="BD317" i="93"/>
  <c r="BF317" i="93" s="1"/>
  <c r="BG681" i="93" l="1"/>
  <c r="BG713" i="93"/>
  <c r="BG727" i="93"/>
  <c r="BG215" i="93"/>
  <c r="BG248" i="93"/>
  <c r="BG99" i="93"/>
  <c r="BG317" i="93"/>
  <c r="BG702" i="93"/>
  <c r="BG508" i="93"/>
  <c r="BG344" i="93"/>
  <c r="BB3113" i="93" l="1"/>
  <c r="BE4221" i="93"/>
  <c r="BB4221" i="93"/>
  <c r="AB4221" i="93"/>
  <c r="BD4221" i="93" l="1"/>
  <c r="BF4221" i="93" s="1"/>
  <c r="AB3130" i="93"/>
  <c r="BE3903" i="93"/>
  <c r="BB3903" i="93"/>
  <c r="BE3871" i="93"/>
  <c r="BB3871" i="93"/>
  <c r="AB3871" i="93"/>
  <c r="BE1618" i="93"/>
  <c r="BB1618" i="93"/>
  <c r="AB1618" i="93"/>
  <c r="BE2151" i="93"/>
  <c r="BB2151" i="93"/>
  <c r="AB2151" i="93"/>
  <c r="BE2150" i="93"/>
  <c r="BB2150" i="93"/>
  <c r="AB2150" i="93"/>
  <c r="BE2148" i="93"/>
  <c r="BE2149" i="93"/>
  <c r="BB2149" i="93"/>
  <c r="AB2149" i="93"/>
  <c r="BB2148" i="93"/>
  <c r="AB2148" i="93"/>
  <c r="BE2147" i="93"/>
  <c r="BB2147" i="93"/>
  <c r="AB2147" i="93"/>
  <c r="BE2146" i="93"/>
  <c r="BB2146" i="93"/>
  <c r="AB2146" i="93"/>
  <c r="BE3641" i="93"/>
  <c r="BB3641" i="93"/>
  <c r="AB3641" i="93"/>
  <c r="BE3639" i="93"/>
  <c r="BB3639" i="93"/>
  <c r="AB3639" i="93"/>
  <c r="BE3624" i="93"/>
  <c r="BB3624" i="93"/>
  <c r="AB3624" i="93"/>
  <c r="BE3623" i="93"/>
  <c r="BB3623" i="93"/>
  <c r="AB3623" i="93"/>
  <c r="BE3814" i="93"/>
  <c r="BB3814" i="93"/>
  <c r="AB3814" i="93"/>
  <c r="BE3664" i="93"/>
  <c r="AB3664" i="93"/>
  <c r="AB3665" i="93"/>
  <c r="BE3845" i="93"/>
  <c r="BB3845" i="93"/>
  <c r="AB3845" i="93"/>
  <c r="BE3542" i="93"/>
  <c r="BB3542" i="93"/>
  <c r="AB3542" i="93"/>
  <c r="BE3535" i="93"/>
  <c r="BB3535" i="93"/>
  <c r="AB3535" i="93"/>
  <c r="BE3515" i="93"/>
  <c r="BB3515" i="93"/>
  <c r="AB3515" i="93"/>
  <c r="BE3533" i="93"/>
  <c r="BB3533" i="93"/>
  <c r="AB3533" i="93"/>
  <c r="BE3133" i="93"/>
  <c r="BE3134" i="93"/>
  <c r="BB3133" i="93"/>
  <c r="AB3133" i="93"/>
  <c r="BE1373" i="93"/>
  <c r="BE1374" i="93"/>
  <c r="BB1372" i="93"/>
  <c r="BB1373" i="93"/>
  <c r="AB1373" i="93"/>
  <c r="BE1363" i="93"/>
  <c r="BB1363" i="93"/>
  <c r="AB1363" i="93"/>
  <c r="BE2878" i="93"/>
  <c r="BB2878" i="93"/>
  <c r="AB2878" i="93"/>
  <c r="BE2789" i="93"/>
  <c r="BB2789" i="93"/>
  <c r="AB2789" i="93"/>
  <c r="BE2331" i="93"/>
  <c r="BB2331" i="93"/>
  <c r="AB2331" i="93"/>
  <c r="BE2307" i="93"/>
  <c r="BB2307" i="93"/>
  <c r="AB2307" i="93"/>
  <c r="BE2299" i="93"/>
  <c r="BB2299" i="93"/>
  <c r="AB2299" i="93"/>
  <c r="BE1750" i="93"/>
  <c r="BB1750" i="93"/>
  <c r="AB1750" i="93"/>
  <c r="BE1733" i="93"/>
  <c r="BB1733" i="93"/>
  <c r="AB1733" i="93"/>
  <c r="BE1214" i="93"/>
  <c r="BB1214" i="93"/>
  <c r="AB1214" i="93"/>
  <c r="BE1239" i="93"/>
  <c r="BB1239" i="93"/>
  <c r="AB1239" i="93"/>
  <c r="BE1201" i="93"/>
  <c r="BB1201" i="93"/>
  <c r="AB1201" i="93"/>
  <c r="BE1186" i="93"/>
  <c r="BB1186" i="93"/>
  <c r="AB1186" i="93"/>
  <c r="BE1170" i="93"/>
  <c r="AB1170" i="93"/>
  <c r="BE1127" i="93"/>
  <c r="BB1127" i="93"/>
  <c r="AB1127" i="93"/>
  <c r="BG4221" i="93" l="1"/>
  <c r="BD3871" i="93"/>
  <c r="BF3871" i="93" s="1"/>
  <c r="BD2147" i="93"/>
  <c r="BD1618" i="93"/>
  <c r="BD3845" i="93"/>
  <c r="BF3845" i="93" s="1"/>
  <c r="BD3664" i="93"/>
  <c r="BF3664" i="93" s="1"/>
  <c r="BD3814" i="93"/>
  <c r="BF3814" i="93" s="1"/>
  <c r="BD3641" i="93"/>
  <c r="BF3641" i="93" s="1"/>
  <c r="BD2150" i="93"/>
  <c r="BF2150" i="93" s="1"/>
  <c r="BD3903" i="93"/>
  <c r="BF3903" i="93" s="1"/>
  <c r="BD3623" i="93"/>
  <c r="BF3623" i="93" s="1"/>
  <c r="BD3639" i="93"/>
  <c r="BF3639" i="93" s="1"/>
  <c r="BD2148" i="93"/>
  <c r="BF2148" i="93" s="1"/>
  <c r="BD2151" i="93"/>
  <c r="BF2151" i="93" s="1"/>
  <c r="BD2149" i="93"/>
  <c r="BF2149" i="93" s="1"/>
  <c r="BD2146" i="93"/>
  <c r="BF2146" i="93" s="1"/>
  <c r="BD3624" i="93"/>
  <c r="BF3624" i="93" s="1"/>
  <c r="BD2331" i="93"/>
  <c r="BF2331" i="93" s="1"/>
  <c r="BD2878" i="93"/>
  <c r="BF2878" i="93" s="1"/>
  <c r="BD3542" i="93"/>
  <c r="BF3542" i="93" s="1"/>
  <c r="BD3535" i="93"/>
  <c r="BF3535" i="93" s="1"/>
  <c r="BD3533" i="93"/>
  <c r="BF3533" i="93" s="1"/>
  <c r="BD3515" i="93"/>
  <c r="BF3515" i="93" s="1"/>
  <c r="BD3133" i="93"/>
  <c r="BF3133" i="93" s="1"/>
  <c r="BD1363" i="93"/>
  <c r="BF1363" i="93" s="1"/>
  <c r="BD2789" i="93"/>
  <c r="BF2789" i="93" s="1"/>
  <c r="BD1373" i="93"/>
  <c r="BF1373" i="93" s="1"/>
  <c r="BD1214" i="93"/>
  <c r="BF1214" i="93" s="1"/>
  <c r="BD2307" i="93"/>
  <c r="BF2307" i="93" s="1"/>
  <c r="BD2299" i="93"/>
  <c r="BF2299" i="93" s="1"/>
  <c r="BD1750" i="93"/>
  <c r="BF1750" i="93" s="1"/>
  <c r="BD1733" i="93"/>
  <c r="BF1733" i="93" s="1"/>
  <c r="BD1201" i="93"/>
  <c r="BF1201" i="93" s="1"/>
  <c r="BD1127" i="93"/>
  <c r="BF1127" i="93" s="1"/>
  <c r="BD1170" i="93"/>
  <c r="BF1170" i="93" s="1"/>
  <c r="BD1186" i="93"/>
  <c r="BF1186" i="93" s="1"/>
  <c r="BD1239" i="93"/>
  <c r="BF1239" i="93" s="1"/>
  <c r="BG2147" i="93" l="1"/>
  <c r="BF2147" i="93"/>
  <c r="BG1618" i="93"/>
  <c r="BF1618" i="93"/>
  <c r="BG1170" i="93"/>
  <c r="BG3903" i="93"/>
  <c r="BG2150" i="93"/>
  <c r="BG2146" i="93"/>
  <c r="BG3624" i="93"/>
  <c r="BG3515" i="93"/>
  <c r="BG1373" i="93"/>
  <c r="BG2307" i="93"/>
  <c r="BG1201" i="93"/>
  <c r="BG3871" i="93"/>
  <c r="BG2148" i="93"/>
  <c r="BG3639" i="93"/>
  <c r="BG3814" i="93"/>
  <c r="BG3845" i="93"/>
  <c r="BG3533" i="93"/>
  <c r="BG2878" i="93"/>
  <c r="BG2299" i="93"/>
  <c r="BG1214" i="93"/>
  <c r="BG1186" i="93"/>
  <c r="BG2149" i="93"/>
  <c r="BG3641" i="93"/>
  <c r="BG3542" i="93"/>
  <c r="BG2789" i="93"/>
  <c r="BG1750" i="93"/>
  <c r="BG2151" i="93"/>
  <c r="BG3623" i="93"/>
  <c r="BG3664" i="93"/>
  <c r="BG3535" i="93"/>
  <c r="BG3133" i="93"/>
  <c r="BG1363" i="93"/>
  <c r="BG2331" i="93"/>
  <c r="BG1733" i="93"/>
  <c r="BG1239" i="93"/>
  <c r="BG1127" i="93"/>
  <c r="BE2453" i="93"/>
  <c r="BB2453" i="93"/>
  <c r="BB2454" i="93"/>
  <c r="AB2453" i="93"/>
  <c r="BE2124" i="93"/>
  <c r="BB2124" i="93"/>
  <c r="AB2124" i="93"/>
  <c r="BE2122" i="93"/>
  <c r="BB2122" i="93"/>
  <c r="AB2122" i="93"/>
  <c r="BE1850" i="93"/>
  <c r="BB1850" i="93"/>
  <c r="BB1851" i="93"/>
  <c r="AB1850" i="93"/>
  <c r="BD2453" i="93" l="1"/>
  <c r="BF2453" i="93" s="1"/>
  <c r="BD2122" i="93"/>
  <c r="BF2122" i="93" s="1"/>
  <c r="BD2124" i="93"/>
  <c r="BF2124" i="93" s="1"/>
  <c r="BD1850" i="93"/>
  <c r="BF1850" i="93" s="1"/>
  <c r="BE1459" i="93"/>
  <c r="BB1459" i="93"/>
  <c r="AB1459" i="93"/>
  <c r="BE1644" i="93"/>
  <c r="BB1644" i="93"/>
  <c r="AB1644" i="93"/>
  <c r="BE3209" i="93"/>
  <c r="BB3209" i="93"/>
  <c r="AB3209" i="93"/>
  <c r="BE3205" i="93"/>
  <c r="BB3205" i="93"/>
  <c r="AB3205" i="93"/>
  <c r="BE2581" i="93"/>
  <c r="BB2581" i="93"/>
  <c r="AB2581" i="93"/>
  <c r="BG2122" i="93" l="1"/>
  <c r="BG2124" i="93"/>
  <c r="BG2453" i="93"/>
  <c r="BG1850" i="93"/>
  <c r="BD3205" i="93"/>
  <c r="BF3205" i="93" s="1"/>
  <c r="BD3209" i="93"/>
  <c r="BF3209" i="93" s="1"/>
  <c r="BD1459" i="93"/>
  <c r="BF1459" i="93" s="1"/>
  <c r="BD1644" i="93"/>
  <c r="BF1644" i="93" s="1"/>
  <c r="BD2581" i="93"/>
  <c r="BF2581" i="93" s="1"/>
  <c r="BE2216" i="93"/>
  <c r="BB2216" i="93"/>
  <c r="AB2216" i="93"/>
  <c r="BE2189" i="93"/>
  <c r="BB2189" i="93"/>
  <c r="AB2189" i="93"/>
  <c r="BE1035" i="93"/>
  <c r="BB1035" i="93"/>
  <c r="AB1035" i="93"/>
  <c r="BE1029" i="93"/>
  <c r="BB1029" i="93"/>
  <c r="AB1029" i="93"/>
  <c r="AB1032" i="93"/>
  <c r="BE1058" i="93"/>
  <c r="BB1058" i="93"/>
  <c r="AB1058" i="93"/>
  <c r="BG3209" i="93" l="1"/>
  <c r="BG1644" i="93"/>
  <c r="BG1459" i="93"/>
  <c r="BG2581" i="93"/>
  <c r="BG3205" i="93"/>
  <c r="BD1035" i="93"/>
  <c r="BF1035" i="93" s="1"/>
  <c r="BD1058" i="93"/>
  <c r="BF1058" i="93" s="1"/>
  <c r="BD2216" i="93"/>
  <c r="BF2216" i="93" s="1"/>
  <c r="BD2189" i="93"/>
  <c r="BF2189" i="93" s="1"/>
  <c r="BD1029" i="93"/>
  <c r="BF1029" i="93" s="1"/>
  <c r="BE961" i="93"/>
  <c r="BB961" i="93"/>
  <c r="AB961" i="93"/>
  <c r="BB685" i="93"/>
  <c r="BE686" i="93"/>
  <c r="BB686" i="93"/>
  <c r="AB686" i="93"/>
  <c r="BE513" i="93"/>
  <c r="BB513" i="93"/>
  <c r="AB513" i="93"/>
  <c r="BE379" i="93"/>
  <c r="BB379" i="93"/>
  <c r="AB379" i="93"/>
  <c r="BE342" i="93"/>
  <c r="BB342" i="93"/>
  <c r="AB342" i="93"/>
  <c r="BE195" i="93"/>
  <c r="BB195" i="93"/>
  <c r="AB195" i="93"/>
  <c r="BG1058" i="93" l="1"/>
  <c r="BG1029" i="93"/>
  <c r="BG2189" i="93"/>
  <c r="BG2216" i="93"/>
  <c r="BG1035" i="93"/>
  <c r="BD379" i="93"/>
  <c r="BF379" i="93" s="1"/>
  <c r="BD961" i="93"/>
  <c r="BF961" i="93" s="1"/>
  <c r="BD686" i="93"/>
  <c r="BF686" i="93" s="1"/>
  <c r="BD513" i="93"/>
  <c r="BF513" i="93" s="1"/>
  <c r="BD342" i="93"/>
  <c r="BF342" i="93" s="1"/>
  <c r="BD195" i="93"/>
  <c r="BF195" i="93" s="1"/>
  <c r="BE40" i="93"/>
  <c r="BB40" i="93"/>
  <c r="AB40" i="93"/>
  <c r="BB212" i="93"/>
  <c r="BG686" i="93" l="1"/>
  <c r="BG961" i="93"/>
  <c r="BG342" i="93"/>
  <c r="BG379" i="93"/>
  <c r="BG513" i="93"/>
  <c r="BG195" i="93"/>
  <c r="BD40" i="93"/>
  <c r="BF40" i="93" s="1"/>
  <c r="E57" i="103"/>
  <c r="BE798" i="93"/>
  <c r="BB798" i="93"/>
  <c r="AB798" i="93"/>
  <c r="BE771" i="93"/>
  <c r="BB771" i="93"/>
  <c r="AB771" i="93"/>
  <c r="BE763" i="93"/>
  <c r="BB763" i="93"/>
  <c r="AB763" i="93"/>
  <c r="BE980" i="93"/>
  <c r="BB980" i="93"/>
  <c r="AB980" i="93"/>
  <c r="BE975" i="93"/>
  <c r="BB975" i="93"/>
  <c r="AB975" i="93"/>
  <c r="BE923" i="93"/>
  <c r="BB923" i="93"/>
  <c r="AB923" i="93"/>
  <c r="BE912" i="93"/>
  <c r="BB912" i="93"/>
  <c r="AB912" i="93"/>
  <c r="BE909" i="93"/>
  <c r="BB909" i="93"/>
  <c r="AB909" i="93"/>
  <c r="BE904" i="93"/>
  <c r="BB904" i="93"/>
  <c r="AB904" i="93"/>
  <c r="BE903" i="93"/>
  <c r="BB903" i="93"/>
  <c r="AB903" i="93"/>
  <c r="BE718" i="93"/>
  <c r="BB718" i="93"/>
  <c r="AB718" i="93"/>
  <c r="BE687" i="93"/>
  <c r="BB687" i="93"/>
  <c r="AB687" i="93"/>
  <c r="BB16" i="93"/>
  <c r="AB16" i="93"/>
  <c r="AB17" i="93"/>
  <c r="BE563" i="93"/>
  <c r="BB563" i="93"/>
  <c r="AB563" i="93"/>
  <c r="BE339" i="93"/>
  <c r="BB339" i="93"/>
  <c r="AB339" i="93"/>
  <c r="BE302" i="93"/>
  <c r="BB302" i="93"/>
  <c r="AB302" i="93"/>
  <c r="BE275" i="93"/>
  <c r="BB275" i="93"/>
  <c r="AB275" i="93"/>
  <c r="BE165" i="93"/>
  <c r="BB165" i="93"/>
  <c r="AB165" i="93"/>
  <c r="BE953" i="93"/>
  <c r="BB953" i="93"/>
  <c r="AB953" i="93"/>
  <c r="BE231" i="93"/>
  <c r="BB231" i="93"/>
  <c r="AB231" i="93"/>
  <c r="BE229" i="93"/>
  <c r="BB229" i="93"/>
  <c r="AB229" i="93"/>
  <c r="BE4219" i="93"/>
  <c r="BB4219" i="93"/>
  <c r="AB4219" i="93"/>
  <c r="BE2683" i="93"/>
  <c r="BB2683" i="93"/>
  <c r="AB2683" i="93"/>
  <c r="BE2661" i="93"/>
  <c r="BB2661" i="93"/>
  <c r="AB2661" i="93"/>
  <c r="AB2663" i="93"/>
  <c r="BB3824" i="93"/>
  <c r="AB3824" i="93"/>
  <c r="BE3422" i="93"/>
  <c r="BB3422" i="93"/>
  <c r="AB3422" i="93"/>
  <c r="BE3278" i="93"/>
  <c r="BB3278" i="93"/>
  <c r="AB3278" i="93"/>
  <c r="BE3220" i="93"/>
  <c r="BB3220" i="93"/>
  <c r="AB3220" i="93"/>
  <c r="BE2884" i="93"/>
  <c r="BB2884" i="93"/>
  <c r="AB2884" i="93"/>
  <c r="BE2813" i="93"/>
  <c r="BB2813" i="93"/>
  <c r="AB2813" i="93"/>
  <c r="BE2821" i="93"/>
  <c r="BB2821" i="93"/>
  <c r="AB2821" i="93"/>
  <c r="BE2337" i="93"/>
  <c r="BB2337" i="93"/>
  <c r="AB2337" i="93"/>
  <c r="BG40" i="93" l="1"/>
  <c r="BD3824" i="93"/>
  <c r="BF3824" i="93" s="1"/>
  <c r="BD798" i="93"/>
  <c r="BF798" i="93" s="1"/>
  <c r="BD771" i="93"/>
  <c r="BF771" i="93" s="1"/>
  <c r="BD980" i="93"/>
  <c r="BF980" i="93" s="1"/>
  <c r="BD4219" i="93"/>
  <c r="BF4219" i="93" s="1"/>
  <c r="BD923" i="93"/>
  <c r="BF923" i="93" s="1"/>
  <c r="BD763" i="93"/>
  <c r="BF763" i="93" s="1"/>
  <c r="BD953" i="93"/>
  <c r="BF953" i="93" s="1"/>
  <c r="BD975" i="93"/>
  <c r="BF975" i="93" s="1"/>
  <c r="BD912" i="93"/>
  <c r="BF912" i="93" s="1"/>
  <c r="BD909" i="93"/>
  <c r="BF909" i="93" s="1"/>
  <c r="BD904" i="93"/>
  <c r="BF904" i="93" s="1"/>
  <c r="BD302" i="93"/>
  <c r="BF302" i="93" s="1"/>
  <c r="BD563" i="93"/>
  <c r="BF563" i="93" s="1"/>
  <c r="BD903" i="93"/>
  <c r="BF903" i="93" s="1"/>
  <c r="BD718" i="93"/>
  <c r="BF718" i="93" s="1"/>
  <c r="BD16" i="93"/>
  <c r="BF16" i="93" s="1"/>
  <c r="BD687" i="93"/>
  <c r="BF687" i="93" s="1"/>
  <c r="BD339" i="93"/>
  <c r="BF339" i="93" s="1"/>
  <c r="BD275" i="93"/>
  <c r="BF275" i="93" s="1"/>
  <c r="BD231" i="93"/>
  <c r="BF231" i="93" s="1"/>
  <c r="BD165" i="93"/>
  <c r="BF165" i="93" s="1"/>
  <c r="BD2683" i="93"/>
  <c r="BF2683" i="93" s="1"/>
  <c r="BD229" i="93"/>
  <c r="BF229" i="93" s="1"/>
  <c r="BD2661" i="93"/>
  <c r="BF2661" i="93" s="1"/>
  <c r="BD2337" i="93"/>
  <c r="BF2337" i="93" s="1"/>
  <c r="BD2884" i="93"/>
  <c r="BF2884" i="93" s="1"/>
  <c r="BD3220" i="93"/>
  <c r="BF3220" i="93" s="1"/>
  <c r="BD3278" i="93"/>
  <c r="BF3278" i="93" s="1"/>
  <c r="BD3422" i="93"/>
  <c r="BF3422" i="93" s="1"/>
  <c r="BD2813" i="93"/>
  <c r="BF2813" i="93" s="1"/>
  <c r="BD2821" i="93"/>
  <c r="BF2821" i="93" s="1"/>
  <c r="BE2613" i="93"/>
  <c r="BB2613" i="93"/>
  <c r="AB2613" i="93"/>
  <c r="BG904" i="93" l="1"/>
  <c r="BG909" i="93"/>
  <c r="BG912" i="93"/>
  <c r="BG718" i="93"/>
  <c r="BG903" i="93"/>
  <c r="BG16" i="93"/>
  <c r="BG3824" i="93"/>
  <c r="BG771" i="93"/>
  <c r="BG923" i="93"/>
  <c r="BG563" i="93"/>
  <c r="BG165" i="93"/>
  <c r="BG4219" i="93"/>
  <c r="BG3422" i="93"/>
  <c r="BG2813" i="93"/>
  <c r="BG798" i="93"/>
  <c r="BG975" i="93"/>
  <c r="BG339" i="93"/>
  <c r="BG953" i="93"/>
  <c r="BG2683" i="93"/>
  <c r="BG2884" i="93"/>
  <c r="BG980" i="93"/>
  <c r="BG687" i="93"/>
  <c r="BG302" i="93"/>
  <c r="BG231" i="93"/>
  <c r="BG2661" i="93"/>
  <c r="BG3220" i="93"/>
  <c r="BG2337" i="93"/>
  <c r="BG763" i="93"/>
  <c r="BG275" i="93"/>
  <c r="BG229" i="93"/>
  <c r="BG3278" i="93"/>
  <c r="BG2821" i="93"/>
  <c r="BD2613" i="93"/>
  <c r="BF2613" i="93" s="1"/>
  <c r="BE4237" i="93"/>
  <c r="BB4237" i="93"/>
  <c r="AB4237" i="93"/>
  <c r="BE4242" i="93"/>
  <c r="BB4242" i="93"/>
  <c r="AB4242" i="93"/>
  <c r="BE4211" i="93"/>
  <c r="BB4211" i="93"/>
  <c r="AB4211" i="93"/>
  <c r="BE4179" i="93"/>
  <c r="BB4179" i="93"/>
  <c r="AB4179" i="93"/>
  <c r="BE4147" i="93"/>
  <c r="BE4141" i="93"/>
  <c r="BB4147" i="93"/>
  <c r="BB4141" i="93"/>
  <c r="AB4147" i="93"/>
  <c r="AB4141" i="93"/>
  <c r="BE4152" i="93"/>
  <c r="BB4152" i="93"/>
  <c r="AB4152" i="93"/>
  <c r="AB4144" i="93"/>
  <c r="BE3926" i="93"/>
  <c r="BB3926" i="93"/>
  <c r="BE4184" i="93"/>
  <c r="BB4184" i="93"/>
  <c r="AB4184" i="93"/>
  <c r="BE4165" i="93"/>
  <c r="BB4165" i="93"/>
  <c r="AB4165" i="93"/>
  <c r="AB4304" i="93"/>
  <c r="BB4305" i="93"/>
  <c r="BB4304" i="93"/>
  <c r="BE4331" i="93"/>
  <c r="BB4331" i="93"/>
  <c r="AB4331" i="93"/>
  <c r="BE4317" i="93"/>
  <c r="BB4317" i="93"/>
  <c r="AB4317" i="93"/>
  <c r="BE4311" i="93"/>
  <c r="BB4311" i="93"/>
  <c r="AB4311" i="93"/>
  <c r="BE4305" i="93"/>
  <c r="AB4305" i="93"/>
  <c r="BE4304" i="93"/>
  <c r="BB4309" i="93"/>
  <c r="BE4229" i="93"/>
  <c r="BB4229" i="93"/>
  <c r="AB4229" i="93"/>
  <c r="BE4226" i="93"/>
  <c r="BB4226" i="93"/>
  <c r="AB4226" i="93"/>
  <c r="BE4222" i="93"/>
  <c r="BB4222" i="93"/>
  <c r="AB4222" i="93"/>
  <c r="BE3963" i="93"/>
  <c r="BB3963" i="93"/>
  <c r="AB3963" i="93"/>
  <c r="BE3948" i="93"/>
  <c r="BB3948" i="93"/>
  <c r="BE4296" i="93"/>
  <c r="BB4296" i="93"/>
  <c r="AB4296" i="93"/>
  <c r="BE4277" i="93"/>
  <c r="BB4277" i="93"/>
  <c r="AB4277" i="93"/>
  <c r="BE3930" i="93"/>
  <c r="BB3930" i="93"/>
  <c r="AB3930" i="93"/>
  <c r="BE4145" i="93"/>
  <c r="BB4145" i="93"/>
  <c r="AB4145" i="93"/>
  <c r="BE4053" i="93"/>
  <c r="BB4053" i="93"/>
  <c r="AB4053" i="93"/>
  <c r="BE3972" i="93"/>
  <c r="BB3972" i="93"/>
  <c r="AB3972" i="93"/>
  <c r="BE4019" i="93"/>
  <c r="BB4019" i="93"/>
  <c r="AB4019" i="93"/>
  <c r="BE4013" i="93"/>
  <c r="BB4013" i="93"/>
  <c r="BB4011" i="93"/>
  <c r="AB4013" i="93"/>
  <c r="AB4011" i="93"/>
  <c r="BE4010" i="93"/>
  <c r="BB4010" i="93"/>
  <c r="AB4010" i="93"/>
  <c r="BE4116" i="93"/>
  <c r="BB4116" i="93"/>
  <c r="AB4116" i="93"/>
  <c r="E26" i="105"/>
  <c r="E25" i="105"/>
  <c r="E24" i="105"/>
  <c r="E23" i="105"/>
  <c r="BE3113" i="93"/>
  <c r="AB3113" i="93"/>
  <c r="BE2011" i="93"/>
  <c r="BB2011" i="93"/>
  <c r="AB2011" i="93"/>
  <c r="AB2012" i="93"/>
  <c r="BE2015" i="93"/>
  <c r="BB2015" i="93"/>
  <c r="AB2015" i="93"/>
  <c r="BE1814" i="93"/>
  <c r="BB1814" i="93"/>
  <c r="AB1814" i="93"/>
  <c r="AB1815" i="93"/>
  <c r="BE2159" i="93"/>
  <c r="BB2159" i="93"/>
  <c r="AB2159" i="93"/>
  <c r="E55" i="106"/>
  <c r="E54" i="106"/>
  <c r="E53" i="106"/>
  <c r="E52" i="106"/>
  <c r="E51" i="106"/>
  <c r="E50" i="106"/>
  <c r="E49" i="106"/>
  <c r="E28" i="106"/>
  <c r="E27" i="106"/>
  <c r="E25" i="106"/>
  <c r="BE3886" i="93"/>
  <c r="BE3887" i="93"/>
  <c r="BE3888" i="93"/>
  <c r="BE3889" i="93"/>
  <c r="BE3890" i="93"/>
  <c r="BE3891" i="93"/>
  <c r="BE3892" i="93"/>
  <c r="BE3893" i="93"/>
  <c r="BE3894" i="93"/>
  <c r="BE3895" i="93"/>
  <c r="BE3896" i="93"/>
  <c r="BE3897" i="93"/>
  <c r="BE3898" i="93"/>
  <c r="BE3899" i="93"/>
  <c r="BE3900" i="93"/>
  <c r="BE3901" i="93"/>
  <c r="BE3902" i="93"/>
  <c r="BB3886" i="93"/>
  <c r="BB3887" i="93"/>
  <c r="BB3888" i="93"/>
  <c r="BB3889" i="93"/>
  <c r="BB3890" i="93"/>
  <c r="BB3891" i="93"/>
  <c r="BB3892" i="93"/>
  <c r="BB3893" i="93"/>
  <c r="BB3894" i="93"/>
  <c r="BB3895" i="93"/>
  <c r="BB3896" i="93"/>
  <c r="BB3897" i="93"/>
  <c r="BB3898" i="93"/>
  <c r="BB3899" i="93"/>
  <c r="BB3900" i="93"/>
  <c r="BB3901" i="93"/>
  <c r="BB3902" i="93"/>
  <c r="BE2476" i="93"/>
  <c r="BB2476" i="93"/>
  <c r="AB2476" i="93"/>
  <c r="E78" i="104"/>
  <c r="E76" i="104"/>
  <c r="E74" i="104"/>
  <c r="E73" i="104"/>
  <c r="E72" i="104"/>
  <c r="E69" i="104"/>
  <c r="E50" i="104"/>
  <c r="E44" i="104"/>
  <c r="E43" i="104"/>
  <c r="E29" i="104"/>
  <c r="E17" i="104"/>
  <c r="BE2773" i="93"/>
  <c r="BB2773" i="93"/>
  <c r="AB2773" i="93"/>
  <c r="BE2768" i="93"/>
  <c r="BB2768" i="93"/>
  <c r="AB2768" i="93"/>
  <c r="BE2741" i="93"/>
  <c r="BB2741" i="93"/>
  <c r="AB2741" i="93"/>
  <c r="BE2736" i="93"/>
  <c r="BB2736" i="93"/>
  <c r="AB2736" i="93"/>
  <c r="BE2715" i="93"/>
  <c r="BB2715" i="93"/>
  <c r="BB2716" i="93"/>
  <c r="AB2715" i="93"/>
  <c r="BD4331" i="93" l="1"/>
  <c r="BF4331" i="93" s="1"/>
  <c r="BD4237" i="93"/>
  <c r="BF4237" i="93" s="1"/>
  <c r="BD4141" i="93"/>
  <c r="BF4141" i="93" s="1"/>
  <c r="BD4147" i="93"/>
  <c r="BF4147" i="93" s="1"/>
  <c r="BG2613" i="93"/>
  <c r="BD3902" i="93"/>
  <c r="BF3902" i="93" s="1"/>
  <c r="BD4152" i="93"/>
  <c r="BF4152" i="93" s="1"/>
  <c r="BD4211" i="93"/>
  <c r="BF4211" i="93" s="1"/>
  <c r="BD4179" i="93"/>
  <c r="BF4179" i="93" s="1"/>
  <c r="BD4242" i="93"/>
  <c r="BF4242" i="93" s="1"/>
  <c r="BD3113" i="93"/>
  <c r="BF3113" i="93" s="1"/>
  <c r="BD4184" i="93"/>
  <c r="BF4184" i="93" s="1"/>
  <c r="BD4165" i="93"/>
  <c r="BF4165" i="93" s="1"/>
  <c r="BD4304" i="93"/>
  <c r="BF4304" i="93" s="1"/>
  <c r="BD4311" i="93"/>
  <c r="BF4311" i="93" s="1"/>
  <c r="BD4317" i="93"/>
  <c r="BF4317" i="93" s="1"/>
  <c r="BD4229" i="93"/>
  <c r="BF4229" i="93" s="1"/>
  <c r="BD4305" i="93"/>
  <c r="BF4305" i="93" s="1"/>
  <c r="BD4145" i="93"/>
  <c r="BF4145" i="93" s="1"/>
  <c r="BD3948" i="93"/>
  <c r="BF3948" i="93" s="1"/>
  <c r="BD3963" i="93"/>
  <c r="BF3963" i="93" s="1"/>
  <c r="BD4277" i="93"/>
  <c r="BF4277" i="93" s="1"/>
  <c r="BD4296" i="93"/>
  <c r="BF4296" i="93" s="1"/>
  <c r="BD4226" i="93"/>
  <c r="BF4226" i="93" s="1"/>
  <c r="BD4222" i="93"/>
  <c r="BF4222" i="93" s="1"/>
  <c r="BD3900" i="93"/>
  <c r="BF3900" i="93" s="1"/>
  <c r="BD3895" i="93"/>
  <c r="BF3895" i="93" s="1"/>
  <c r="BD4019" i="93"/>
  <c r="BF4019" i="93" s="1"/>
  <c r="BD4053" i="93"/>
  <c r="BF4053" i="93" s="1"/>
  <c r="BD3930" i="93"/>
  <c r="BF3930" i="93" s="1"/>
  <c r="BD4116" i="93"/>
  <c r="BF4116" i="93" s="1"/>
  <c r="BD3972" i="93"/>
  <c r="BF3972" i="93" s="1"/>
  <c r="BD4010" i="93"/>
  <c r="BF4010" i="93" s="1"/>
  <c r="BD4013" i="93"/>
  <c r="BF4013" i="93" s="1"/>
  <c r="BD2476" i="93"/>
  <c r="BF2476" i="93" s="1"/>
  <c r="BD2015" i="93"/>
  <c r="BF2015" i="93" s="1"/>
  <c r="BD2011" i="93"/>
  <c r="BF2011" i="93" s="1"/>
  <c r="BD2768" i="93"/>
  <c r="BF2768" i="93" s="1"/>
  <c r="BD2159" i="93"/>
  <c r="BF2159" i="93" s="1"/>
  <c r="BD1814" i="93"/>
  <c r="BF1814" i="93" s="1"/>
  <c r="BD2773" i="93"/>
  <c r="BF2773" i="93" s="1"/>
  <c r="BD2736" i="93"/>
  <c r="BF2736" i="93" s="1"/>
  <c r="BD2741" i="93"/>
  <c r="BF2741" i="93" s="1"/>
  <c r="BD2715" i="93"/>
  <c r="BF2715" i="93" s="1"/>
  <c r="BE2778" i="93"/>
  <c r="BE2686" i="93"/>
  <c r="BE2687" i="93"/>
  <c r="BE2689" i="93"/>
  <c r="BE2690" i="93"/>
  <c r="BB2689" i="93"/>
  <c r="AB2689" i="93"/>
  <c r="BE2678" i="93"/>
  <c r="BB2678" i="93"/>
  <c r="AB2678" i="93"/>
  <c r="BE2666" i="93"/>
  <c r="BB2666" i="93"/>
  <c r="AB2666" i="93"/>
  <c r="BB2687" i="93"/>
  <c r="BB2690" i="93"/>
  <c r="AB2687" i="93"/>
  <c r="BE2998" i="93"/>
  <c r="BE2999" i="93"/>
  <c r="BB2998" i="93"/>
  <c r="AB2998" i="93"/>
  <c r="BE2965" i="93"/>
  <c r="BB2965" i="93"/>
  <c r="AB2965" i="93"/>
  <c r="BE3275" i="93"/>
  <c r="BB3275" i="93"/>
  <c r="AB3275" i="93"/>
  <c r="BG4331" i="93" l="1"/>
  <c r="BG4237" i="93"/>
  <c r="BG4141" i="93"/>
  <c r="BG4147" i="93"/>
  <c r="BG4211" i="93"/>
  <c r="BG4165" i="93"/>
  <c r="BG4317" i="93"/>
  <c r="BG4304" i="93"/>
  <c r="BG4222" i="93"/>
  <c r="BG4277" i="93"/>
  <c r="BG4145" i="93"/>
  <c r="BG4010" i="93"/>
  <c r="BG2011" i="93"/>
  <c r="BG3895" i="93"/>
  <c r="BG2476" i="93"/>
  <c r="BG2741" i="93"/>
  <c r="BG4152" i="93"/>
  <c r="BG4226" i="93"/>
  <c r="BG4296" i="93"/>
  <c r="BG3972" i="93"/>
  <c r="BG3113" i="93"/>
  <c r="BG3900" i="93"/>
  <c r="BG4053" i="93"/>
  <c r="BG2768" i="93"/>
  <c r="BG4179" i="93"/>
  <c r="BG4184" i="93"/>
  <c r="BG4305" i="93"/>
  <c r="BG4229" i="93"/>
  <c r="BG3948" i="93"/>
  <c r="BG3930" i="93"/>
  <c r="BG4013" i="93"/>
  <c r="BG4116" i="93"/>
  <c r="BG2159" i="93"/>
  <c r="BG2773" i="93"/>
  <c r="BG4311" i="93"/>
  <c r="BG3963" i="93"/>
  <c r="BG2015" i="93"/>
  <c r="BG2715" i="93"/>
  <c r="BG4242" i="93"/>
  <c r="BG4019" i="93"/>
  <c r="BG1814" i="93"/>
  <c r="BG3902" i="93"/>
  <c r="BG2736" i="93"/>
  <c r="BD2687" i="93"/>
  <c r="BF2687" i="93" s="1"/>
  <c r="BD2998" i="93"/>
  <c r="BF2998" i="93" s="1"/>
  <c r="BD3275" i="93"/>
  <c r="BF3275" i="93" s="1"/>
  <c r="BD2965" i="93"/>
  <c r="BF2965" i="93" s="1"/>
  <c r="BD2689" i="93"/>
  <c r="BF2689" i="93" s="1"/>
  <c r="BD2666" i="93"/>
  <c r="BF2666" i="93" s="1"/>
  <c r="BD2678" i="93"/>
  <c r="BF2678" i="93" s="1"/>
  <c r="BE2143" i="93"/>
  <c r="BB2143" i="93"/>
  <c r="AB2143" i="93"/>
  <c r="BE3622" i="93"/>
  <c r="BB3622" i="93"/>
  <c r="AB3622" i="93"/>
  <c r="BE3619" i="93"/>
  <c r="BB3619" i="93"/>
  <c r="AB3619" i="93"/>
  <c r="BE3757" i="93"/>
  <c r="BB3757" i="93"/>
  <c r="AB3757" i="93"/>
  <c r="BE3758" i="93"/>
  <c r="BB3758" i="93"/>
  <c r="AB3758" i="93"/>
  <c r="BE3692" i="93"/>
  <c r="BB3692" i="93"/>
  <c r="AB3692" i="93"/>
  <c r="BE3678" i="93"/>
  <c r="BB3678" i="93"/>
  <c r="AB3678" i="93"/>
  <c r="BE3677" i="93"/>
  <c r="BB3677" i="93"/>
  <c r="AB3677" i="93"/>
  <c r="BE3670" i="93"/>
  <c r="BB3670" i="93"/>
  <c r="AB3670" i="93"/>
  <c r="BE3522" i="93"/>
  <c r="BB3522" i="93"/>
  <c r="AB3522" i="93"/>
  <c r="BE3582" i="93"/>
  <c r="BB3582" i="93"/>
  <c r="AB3582" i="93"/>
  <c r="BE3495" i="93"/>
  <c r="BB3495" i="93"/>
  <c r="AB3495" i="93"/>
  <c r="BE3494" i="93"/>
  <c r="BB3494" i="93"/>
  <c r="AB3494" i="93"/>
  <c r="BE3493" i="93"/>
  <c r="BB3493" i="93"/>
  <c r="AB3493" i="93"/>
  <c r="BE3100" i="93"/>
  <c r="BB3100" i="93"/>
  <c r="AB3100" i="93"/>
  <c r="BE3093" i="93"/>
  <c r="BB3093" i="93"/>
  <c r="AB3093" i="93"/>
  <c r="BE3082" i="93"/>
  <c r="BB3082" i="93"/>
  <c r="AB3082" i="93"/>
  <c r="BE3080" i="93"/>
  <c r="BB3080" i="93"/>
  <c r="AB3080" i="93"/>
  <c r="BE3053" i="93"/>
  <c r="BB3053" i="93"/>
  <c r="AB3053" i="93"/>
  <c r="BE3051" i="93"/>
  <c r="BB3051" i="93"/>
  <c r="AB3051" i="93"/>
  <c r="BE3043" i="93"/>
  <c r="BB3043" i="93"/>
  <c r="AB3043" i="93"/>
  <c r="BE3013" i="93"/>
  <c r="BB3013" i="93"/>
  <c r="AB3013" i="93"/>
  <c r="BE3001" i="93"/>
  <c r="BE3002" i="93"/>
  <c r="BB3001" i="93"/>
  <c r="AB3001" i="93"/>
  <c r="BE2990" i="93"/>
  <c r="BB2990" i="93"/>
  <c r="BB2991" i="93"/>
  <c r="AB2990" i="93"/>
  <c r="BE2950" i="93"/>
  <c r="BB2950" i="93"/>
  <c r="AB2950" i="93"/>
  <c r="BE3141" i="93"/>
  <c r="BB3141" i="93"/>
  <c r="AB3141" i="93"/>
  <c r="BE3130" i="93"/>
  <c r="BB3130" i="93"/>
  <c r="BE3162" i="93"/>
  <c r="BB3162" i="93"/>
  <c r="BB3163" i="93"/>
  <c r="AB3162" i="93"/>
  <c r="BE3165" i="93"/>
  <c r="BB3165" i="93"/>
  <c r="AB3165" i="93"/>
  <c r="BE1364" i="93"/>
  <c r="BB1364" i="93"/>
  <c r="AB1364" i="93"/>
  <c r="BE1362" i="93"/>
  <c r="BB1362" i="93"/>
  <c r="AB1362" i="93"/>
  <c r="BE2352" i="93"/>
  <c r="BB2352" i="93"/>
  <c r="AB2352" i="93"/>
  <c r="BG2678" i="93" l="1"/>
  <c r="BG2998" i="93"/>
  <c r="BG3275" i="93"/>
  <c r="BG2689" i="93"/>
  <c r="BG2666" i="93"/>
  <c r="BG2965" i="93"/>
  <c r="BG2687" i="93"/>
  <c r="BD3582" i="93"/>
  <c r="BF3582" i="93" s="1"/>
  <c r="BD3522" i="93"/>
  <c r="BF3522" i="93" s="1"/>
  <c r="BD3692" i="93"/>
  <c r="BF3692" i="93" s="1"/>
  <c r="BD3619" i="93"/>
  <c r="BF3619" i="93" s="1"/>
  <c r="BD3758" i="93"/>
  <c r="BF3758" i="93" s="1"/>
  <c r="BD2143" i="93"/>
  <c r="BF2143" i="93" s="1"/>
  <c r="BD3757" i="93"/>
  <c r="BF3757" i="93" s="1"/>
  <c r="BD3622" i="93"/>
  <c r="BF3622" i="93" s="1"/>
  <c r="BD3678" i="93"/>
  <c r="BF3678" i="93" s="1"/>
  <c r="BD3677" i="93"/>
  <c r="BF3677" i="93" s="1"/>
  <c r="BD3670" i="93"/>
  <c r="BF3670" i="93" s="1"/>
  <c r="BD3082" i="93"/>
  <c r="BF3082" i="93" s="1"/>
  <c r="BD3495" i="93"/>
  <c r="BF3495" i="93" s="1"/>
  <c r="BD3494" i="93"/>
  <c r="BF3494" i="93" s="1"/>
  <c r="BD3493" i="93"/>
  <c r="BF3493" i="93" s="1"/>
  <c r="BD3093" i="93"/>
  <c r="BF3093" i="93" s="1"/>
  <c r="BD3100" i="93"/>
  <c r="BF3100" i="93" s="1"/>
  <c r="BD3080" i="93"/>
  <c r="BF3080" i="93" s="1"/>
  <c r="BD3053" i="93"/>
  <c r="BF3053" i="93" s="1"/>
  <c r="BD3001" i="93"/>
  <c r="BF3001" i="93" s="1"/>
  <c r="BD3051" i="93"/>
  <c r="BF3051" i="93" s="1"/>
  <c r="BD3130" i="93"/>
  <c r="BF3130" i="93" s="1"/>
  <c r="BD3141" i="93"/>
  <c r="BF3141" i="93" s="1"/>
  <c r="BD3013" i="93"/>
  <c r="BF3013" i="93" s="1"/>
  <c r="BD3043" i="93"/>
  <c r="BF3043" i="93" s="1"/>
  <c r="BD2950" i="93"/>
  <c r="BF2950" i="93" s="1"/>
  <c r="BD2990" i="93"/>
  <c r="BF2990" i="93" s="1"/>
  <c r="BD3165" i="93"/>
  <c r="BF3165" i="93" s="1"/>
  <c r="BD3162" i="93"/>
  <c r="BF3162" i="93" s="1"/>
  <c r="BD1362" i="93"/>
  <c r="BF1362" i="93" s="1"/>
  <c r="BD1364" i="93"/>
  <c r="BF1364" i="93" s="1"/>
  <c r="BD2352" i="93"/>
  <c r="BF2352" i="93" s="1"/>
  <c r="BE3424" i="93"/>
  <c r="BE3425" i="93"/>
  <c r="BB3424" i="93"/>
  <c r="BB3425" i="93"/>
  <c r="AB3424" i="93"/>
  <c r="AB3425" i="93"/>
  <c r="BG3082" i="93" l="1"/>
  <c r="BG2143" i="93"/>
  <c r="BG3130" i="93"/>
  <c r="BG3677" i="93"/>
  <c r="BG2352" i="93"/>
  <c r="BG3757" i="93"/>
  <c r="BG3670" i="93"/>
  <c r="BG3493" i="93"/>
  <c r="BG1364" i="93"/>
  <c r="BG3758" i="93"/>
  <c r="BG3582" i="93"/>
  <c r="BG3100" i="93"/>
  <c r="BG3051" i="93"/>
  <c r="BG2990" i="93"/>
  <c r="BG3053" i="93"/>
  <c r="BG3162" i="93"/>
  <c r="BG3622" i="93"/>
  <c r="BG3678" i="93"/>
  <c r="BG3495" i="93"/>
  <c r="BG3093" i="93"/>
  <c r="BG3043" i="93"/>
  <c r="BG3619" i="93"/>
  <c r="BG3692" i="93"/>
  <c r="BG3522" i="93"/>
  <c r="BG3494" i="93"/>
  <c r="BG3080" i="93"/>
  <c r="BG3001" i="93"/>
  <c r="BG2950" i="93"/>
  <c r="BG1362" i="93"/>
  <c r="BG3013" i="93"/>
  <c r="BG3141" i="93"/>
  <c r="BG3165" i="93"/>
  <c r="BD3424" i="93"/>
  <c r="BF3424" i="93" s="1"/>
  <c r="BD3425" i="93"/>
  <c r="BF3425" i="93" s="1"/>
  <c r="BE3346" i="93"/>
  <c r="BB3346" i="93"/>
  <c r="AB3346" i="93"/>
  <c r="BE3228" i="93"/>
  <c r="BB3228" i="93"/>
  <c r="AB3228" i="93"/>
  <c r="BE3212" i="93"/>
  <c r="BB3212" i="93"/>
  <c r="AB3212" i="93"/>
  <c r="BE3208" i="93"/>
  <c r="BB3208" i="93"/>
  <c r="AB3208" i="93"/>
  <c r="BG3424" i="93" l="1"/>
  <c r="BG3425" i="93"/>
  <c r="BD3212" i="93"/>
  <c r="BF3212" i="93" s="1"/>
  <c r="BD3228" i="93"/>
  <c r="BF3228" i="93" s="1"/>
  <c r="BD3346" i="93"/>
  <c r="BF3346" i="93" s="1"/>
  <c r="BD3208" i="93"/>
  <c r="BF3208" i="93" s="1"/>
  <c r="BE2856" i="93"/>
  <c r="BB2856" i="93"/>
  <c r="AB2856" i="93"/>
  <c r="BB2806" i="93"/>
  <c r="BE2806" i="93"/>
  <c r="AB2806" i="93"/>
  <c r="BE2323" i="93"/>
  <c r="BB2323" i="93"/>
  <c r="AB2323" i="93"/>
  <c r="BE2312" i="93"/>
  <c r="BB2312" i="93"/>
  <c r="AB2312" i="93"/>
  <c r="BE1767" i="93"/>
  <c r="BB1767" i="93"/>
  <c r="AB1767" i="93"/>
  <c r="BE1764" i="93"/>
  <c r="BB1764" i="93"/>
  <c r="AB1764" i="93"/>
  <c r="BE1763" i="93"/>
  <c r="BB1763" i="93"/>
  <c r="AB1763" i="93"/>
  <c r="BE1760" i="93"/>
  <c r="BB1760" i="93"/>
  <c r="AB1760" i="93"/>
  <c r="BE1759" i="93"/>
  <c r="BB1759" i="93"/>
  <c r="AB1759" i="93"/>
  <c r="BE1754" i="93"/>
  <c r="BB1754" i="93"/>
  <c r="AB1754" i="93"/>
  <c r="BE1739" i="93"/>
  <c r="BB1739" i="93"/>
  <c r="AB1739" i="93"/>
  <c r="BB1738" i="93"/>
  <c r="BE1736" i="93"/>
  <c r="BB1736" i="93"/>
  <c r="BB1740" i="93"/>
  <c r="AB1736" i="93"/>
  <c r="BE1721" i="93"/>
  <c r="BB1721" i="93"/>
  <c r="AB1721" i="93"/>
  <c r="BE1718" i="93"/>
  <c r="BB1718" i="93"/>
  <c r="AB1718" i="93"/>
  <c r="BE1705" i="93"/>
  <c r="BB1705" i="93"/>
  <c r="AB1705" i="93"/>
  <c r="BG3346" i="93" l="1"/>
  <c r="BG3212" i="93"/>
  <c r="BG3208" i="93"/>
  <c r="BG3228" i="93"/>
  <c r="BD2856" i="93"/>
  <c r="BF2856" i="93" s="1"/>
  <c r="BD2323" i="93"/>
  <c r="BF2323" i="93" s="1"/>
  <c r="BD1754" i="93"/>
  <c r="BF1754" i="93" s="1"/>
  <c r="BD1759" i="93"/>
  <c r="BF1759" i="93" s="1"/>
  <c r="BD1760" i="93"/>
  <c r="BF1760" i="93" s="1"/>
  <c r="BD1767" i="93"/>
  <c r="BF1767" i="93" s="1"/>
  <c r="BD2806" i="93"/>
  <c r="BF2806" i="93" s="1"/>
  <c r="BD2312" i="93"/>
  <c r="BF2312" i="93" s="1"/>
  <c r="BD1764" i="93"/>
  <c r="BF1764" i="93" s="1"/>
  <c r="BD1763" i="93"/>
  <c r="BF1763" i="93" s="1"/>
  <c r="BD1705" i="93"/>
  <c r="BF1705" i="93" s="1"/>
  <c r="BD1718" i="93"/>
  <c r="BF1718" i="93" s="1"/>
  <c r="BD1721" i="93"/>
  <c r="BF1721" i="93" s="1"/>
  <c r="BD1739" i="93"/>
  <c r="BF1739" i="93" s="1"/>
  <c r="BD1736" i="93"/>
  <c r="BF1736" i="93" s="1"/>
  <c r="BE1250" i="93"/>
  <c r="BB1250" i="93"/>
  <c r="AB1250" i="93"/>
  <c r="BE1213" i="93"/>
  <c r="BB1213" i="93"/>
  <c r="AB1213" i="93"/>
  <c r="BE1200" i="93"/>
  <c r="BB1200" i="93"/>
  <c r="AB1200" i="93"/>
  <c r="BE1181" i="93"/>
  <c r="BB1181" i="93"/>
  <c r="AB1181" i="93"/>
  <c r="BE1162" i="93"/>
  <c r="BB1162" i="93"/>
  <c r="AB1162" i="93"/>
  <c r="BE1115" i="93"/>
  <c r="BB1115" i="93"/>
  <c r="AB1115" i="93"/>
  <c r="BE1109" i="93"/>
  <c r="BB1109" i="93"/>
  <c r="AB1109" i="93"/>
  <c r="BE2575" i="93"/>
  <c r="BB2575" i="93"/>
  <c r="AB2575" i="93"/>
  <c r="BE2419" i="93"/>
  <c r="BB2419" i="93"/>
  <c r="AB2419" i="93"/>
  <c r="BE2566" i="93"/>
  <c r="BB2566" i="93"/>
  <c r="AB2566" i="93"/>
  <c r="BE1731" i="93"/>
  <c r="BB1731" i="93"/>
  <c r="AB1731" i="93"/>
  <c r="BE1583" i="93"/>
  <c r="BB1583" i="93"/>
  <c r="AB1583" i="93"/>
  <c r="BE1566" i="93"/>
  <c r="BB1566" i="93"/>
  <c r="AB1566" i="93"/>
  <c r="BE1560" i="93"/>
  <c r="BB1560" i="93"/>
  <c r="AB1560" i="93"/>
  <c r="BE1541" i="93"/>
  <c r="BB1541" i="93"/>
  <c r="AB1541" i="93"/>
  <c r="BE1533" i="93"/>
  <c r="BB1533" i="93"/>
  <c r="AB1533" i="93"/>
  <c r="BE1530" i="93"/>
  <c r="BB1530" i="93"/>
  <c r="AB1530" i="93"/>
  <c r="BE1519" i="93"/>
  <c r="BB1517" i="93"/>
  <c r="AB1517" i="93"/>
  <c r="BD1517" i="93" l="1"/>
  <c r="BF1517" i="93" s="1"/>
  <c r="BG1764" i="93"/>
  <c r="BG1754" i="93"/>
  <c r="BG1736" i="93"/>
  <c r="BG2323" i="93"/>
  <c r="BG1718" i="93"/>
  <c r="BG2312" i="93"/>
  <c r="BG1759" i="93"/>
  <c r="BG2806" i="93"/>
  <c r="BG1767" i="93"/>
  <c r="BG1760" i="93"/>
  <c r="BG1721" i="93"/>
  <c r="BG1705" i="93"/>
  <c r="BG2856" i="93"/>
  <c r="BG1763" i="93"/>
  <c r="BG1739" i="93"/>
  <c r="BD2419" i="93"/>
  <c r="BD1213" i="93"/>
  <c r="BF1213" i="93" s="1"/>
  <c r="BD1250" i="93"/>
  <c r="BF1250" i="93" s="1"/>
  <c r="BD1200" i="93"/>
  <c r="BF1200" i="93" s="1"/>
  <c r="BD1181" i="93"/>
  <c r="BF1181" i="93" s="1"/>
  <c r="BD1115" i="93"/>
  <c r="BF1115" i="93" s="1"/>
  <c r="BD1162" i="93"/>
  <c r="BF1162" i="93" s="1"/>
  <c r="BD1109" i="93"/>
  <c r="BF1109" i="93" s="1"/>
  <c r="BD1583" i="93"/>
  <c r="BF1583" i="93" s="1"/>
  <c r="BD1731" i="93"/>
  <c r="BF1731" i="93" s="1"/>
  <c r="BD2575" i="93"/>
  <c r="BF2575" i="93" s="1"/>
  <c r="BD2566" i="93"/>
  <c r="BF2566" i="93" s="1"/>
  <c r="BD1530" i="93"/>
  <c r="BF1530" i="93" s="1"/>
  <c r="BD1541" i="93"/>
  <c r="BF1541" i="93" s="1"/>
  <c r="BD1560" i="93"/>
  <c r="BF1560" i="93" s="1"/>
  <c r="BD1566" i="93"/>
  <c r="BF1566" i="93" s="1"/>
  <c r="BD1533" i="93"/>
  <c r="BF1533" i="93" s="1"/>
  <c r="BE2070" i="93"/>
  <c r="BB2070" i="93"/>
  <c r="BB2071" i="93"/>
  <c r="AB2070" i="93"/>
  <c r="BE2029" i="93"/>
  <c r="BB2029" i="93"/>
  <c r="AB2029" i="93"/>
  <c r="BE2131" i="93"/>
  <c r="BB2131" i="93"/>
  <c r="AB2131" i="93"/>
  <c r="BE2004" i="93"/>
  <c r="BE1269" i="93"/>
  <c r="BE1893" i="93"/>
  <c r="BB1893" i="93"/>
  <c r="AB1893" i="93"/>
  <c r="BE1892" i="93"/>
  <c r="BB1892" i="93"/>
  <c r="AB1892" i="93"/>
  <c r="BE1891" i="93"/>
  <c r="BB1891" i="93"/>
  <c r="AB1891" i="93"/>
  <c r="BE1876" i="93"/>
  <c r="BB1876" i="93"/>
  <c r="AB1876" i="93"/>
  <c r="BE1860" i="93"/>
  <c r="BB1860" i="93"/>
  <c r="AB1860" i="93"/>
  <c r="BG2419" i="93" l="1"/>
  <c r="BF2419" i="93"/>
  <c r="BG1250" i="93"/>
  <c r="BG1517" i="93"/>
  <c r="BG1181" i="93"/>
  <c r="BG1566" i="93"/>
  <c r="BG1200" i="93"/>
  <c r="BG1109" i="93"/>
  <c r="BG2566" i="93"/>
  <c r="BG1560" i="93"/>
  <c r="BG1533" i="93"/>
  <c r="BG1162" i="93"/>
  <c r="BG2575" i="93"/>
  <c r="BG1583" i="93"/>
  <c r="BG1541" i="93"/>
  <c r="BG1213" i="93"/>
  <c r="BG1115" i="93"/>
  <c r="BG1731" i="93"/>
  <c r="BG1530" i="93"/>
  <c r="BD1891" i="93"/>
  <c r="BF1891" i="93" s="1"/>
  <c r="BD1876" i="93"/>
  <c r="BF1876" i="93" s="1"/>
  <c r="BD2131" i="93"/>
  <c r="BF2131" i="93" s="1"/>
  <c r="BD2029" i="93"/>
  <c r="BF2029" i="93" s="1"/>
  <c r="BD2070" i="93"/>
  <c r="BF2070" i="93" s="1"/>
  <c r="BD1893" i="93"/>
  <c r="BF1893" i="93" s="1"/>
  <c r="BD1892" i="93"/>
  <c r="BF1892" i="93" s="1"/>
  <c r="BD1860" i="93"/>
  <c r="BF1860" i="93" s="1"/>
  <c r="BE1845" i="93"/>
  <c r="BB1845" i="93"/>
  <c r="AB1845" i="93"/>
  <c r="AB1846" i="93"/>
  <c r="BE1842" i="93"/>
  <c r="BB1842" i="93"/>
  <c r="AB1842" i="93"/>
  <c r="BE1831" i="93"/>
  <c r="BB1831" i="93"/>
  <c r="AB1831" i="93"/>
  <c r="BE1437" i="93"/>
  <c r="BB1437" i="93"/>
  <c r="AB1437" i="93"/>
  <c r="BE1453" i="93"/>
  <c r="BB1453" i="93"/>
  <c r="AB1453" i="93"/>
  <c r="BE1414" i="93"/>
  <c r="BB1414" i="93"/>
  <c r="AB1414" i="93"/>
  <c r="BE1679" i="93"/>
  <c r="BB1679" i="93"/>
  <c r="AB1679" i="93"/>
  <c r="BE1639" i="93"/>
  <c r="BB1639" i="93"/>
  <c r="AB1639" i="93"/>
  <c r="BE1633" i="93"/>
  <c r="BB1633" i="93"/>
  <c r="AB1633" i="93"/>
  <c r="BE2276" i="93"/>
  <c r="BB2276" i="93"/>
  <c r="AB2276" i="93"/>
  <c r="BE2227" i="93"/>
  <c r="BB2227" i="93"/>
  <c r="AB2227" i="93"/>
  <c r="BE2217" i="93"/>
  <c r="BB2217" i="93"/>
  <c r="AB2217" i="93"/>
  <c r="BE2190" i="93"/>
  <c r="BB2190" i="93"/>
  <c r="AB2190" i="93"/>
  <c r="BB2182" i="93"/>
  <c r="AB2182" i="93"/>
  <c r="BE2180" i="93"/>
  <c r="BB2180" i="93"/>
  <c r="AB2180" i="93"/>
  <c r="BE2178" i="93"/>
  <c r="BB2178" i="93"/>
  <c r="AB2178" i="93"/>
  <c r="BE2173" i="93"/>
  <c r="BB2173" i="93"/>
  <c r="AB2173" i="93"/>
  <c r="BE2170" i="93"/>
  <c r="BB2170" i="93"/>
  <c r="AB2170" i="93"/>
  <c r="C59" i="103"/>
  <c r="E38" i="103"/>
  <c r="E32" i="103"/>
  <c r="E25" i="103"/>
  <c r="E22" i="103"/>
  <c r="E16" i="103"/>
  <c r="E15" i="103"/>
  <c r="E10" i="103"/>
  <c r="E9" i="103"/>
  <c r="E8" i="103"/>
  <c r="BG2070" i="93" l="1"/>
  <c r="BG2029" i="93"/>
  <c r="BG1876" i="93"/>
  <c r="BG1893" i="93"/>
  <c r="BG1860" i="93"/>
  <c r="BG2131" i="93"/>
  <c r="BG1892" i="93"/>
  <c r="BG1891" i="93"/>
  <c r="BD2182" i="93"/>
  <c r="BF2182" i="93" s="1"/>
  <c r="BD2227" i="93"/>
  <c r="BF2227" i="93" s="1"/>
  <c r="BD2170" i="93"/>
  <c r="BF2170" i="93" s="1"/>
  <c r="BD2173" i="93"/>
  <c r="BF2173" i="93" s="1"/>
  <c r="BD2217" i="93"/>
  <c r="BF2217" i="93" s="1"/>
  <c r="BD2190" i="93"/>
  <c r="BF2190" i="93" s="1"/>
  <c r="BD1845" i="93"/>
  <c r="BF1845" i="93" s="1"/>
  <c r="BD1639" i="93"/>
  <c r="BF1639" i="93" s="1"/>
  <c r="BD1679" i="93"/>
  <c r="BF1679" i="93" s="1"/>
  <c r="BD1453" i="93"/>
  <c r="BF1453" i="93" s="1"/>
  <c r="BD1437" i="93"/>
  <c r="BF1437" i="93" s="1"/>
  <c r="BD1831" i="93"/>
  <c r="BF1831" i="93" s="1"/>
  <c r="BD1842" i="93"/>
  <c r="BF1842" i="93" s="1"/>
  <c r="BD1414" i="93"/>
  <c r="BF1414" i="93" s="1"/>
  <c r="BD2276" i="93"/>
  <c r="BF2276" i="93" s="1"/>
  <c r="BD1633" i="93"/>
  <c r="BF1633" i="93" s="1"/>
  <c r="BD2180" i="93"/>
  <c r="BF2180" i="93" s="1"/>
  <c r="BD2178" i="93"/>
  <c r="BF2178" i="93" s="1"/>
  <c r="BG1414" i="93" l="1"/>
  <c r="BG1639" i="93"/>
  <c r="BG2178" i="93"/>
  <c r="BG2173" i="93"/>
  <c r="BG1453" i="93"/>
  <c r="BG2227" i="93"/>
  <c r="BG1831" i="93"/>
  <c r="BG2182" i="93"/>
  <c r="BG1845" i="93"/>
  <c r="BG1679" i="93"/>
  <c r="BG2217" i="93"/>
  <c r="BG1842" i="93"/>
  <c r="BG2276" i="93"/>
  <c r="BG2180" i="93"/>
  <c r="BG2170" i="93"/>
  <c r="BG1437" i="93"/>
  <c r="BG1633" i="93"/>
  <c r="BG2190" i="93"/>
  <c r="BE651" i="93"/>
  <c r="BB651" i="93"/>
  <c r="AB651" i="93"/>
  <c r="BE608" i="93"/>
  <c r="BB608" i="93"/>
  <c r="AB608" i="93"/>
  <c r="BE606" i="93"/>
  <c r="BB606" i="93"/>
  <c r="AB606" i="93"/>
  <c r="BE595" i="93"/>
  <c r="BB595" i="93"/>
  <c r="AB595" i="93"/>
  <c r="BE590" i="93"/>
  <c r="BB590" i="93"/>
  <c r="AB590" i="93"/>
  <c r="BE583" i="93"/>
  <c r="BB583" i="93"/>
  <c r="AB583" i="93"/>
  <c r="BE581" i="93"/>
  <c r="BB581" i="93"/>
  <c r="AB581" i="93"/>
  <c r="BD651" i="93" l="1"/>
  <c r="BF651" i="93" s="1"/>
  <c r="BD608" i="93"/>
  <c r="BF608" i="93" s="1"/>
  <c r="BD606" i="93"/>
  <c r="BF606" i="93" s="1"/>
  <c r="BD595" i="93"/>
  <c r="BF595" i="93" s="1"/>
  <c r="BD590" i="93"/>
  <c r="BF590" i="93" s="1"/>
  <c r="BD583" i="93"/>
  <c r="BF583" i="93" s="1"/>
  <c r="BD581" i="93"/>
  <c r="BF581" i="93" s="1"/>
  <c r="BG583" i="93" l="1"/>
  <c r="BG595" i="93"/>
  <c r="BG581" i="93"/>
  <c r="BG651" i="93"/>
  <c r="BG590" i="93"/>
  <c r="BG606" i="93"/>
  <c r="BG608" i="93"/>
  <c r="BE611" i="93"/>
  <c r="BB611" i="93"/>
  <c r="BB612" i="93"/>
  <c r="AB611" i="93"/>
  <c r="BE1064" i="93"/>
  <c r="BB1064" i="93"/>
  <c r="AB1064" i="93"/>
  <c r="BB1050" i="93"/>
  <c r="AB1050" i="93"/>
  <c r="BE1047" i="93"/>
  <c r="BB1047" i="93"/>
  <c r="AB1047" i="93"/>
  <c r="BE1044" i="93"/>
  <c r="BB1044" i="93"/>
  <c r="AB1044" i="93"/>
  <c r="BE1015" i="93"/>
  <c r="BB1015" i="93"/>
  <c r="AB1015" i="93"/>
  <c r="BE816" i="93"/>
  <c r="BB816" i="93"/>
  <c r="AB816" i="93"/>
  <c r="BE809" i="93"/>
  <c r="BB809" i="93"/>
  <c r="AB809" i="93"/>
  <c r="BE794" i="93"/>
  <c r="BB794" i="93"/>
  <c r="AB794" i="93"/>
  <c r="BE777" i="93"/>
  <c r="BB777" i="93"/>
  <c r="AB777" i="93"/>
  <c r="BE770" i="93"/>
  <c r="BB770" i="93"/>
  <c r="AB770" i="93"/>
  <c r="BE758" i="93"/>
  <c r="BB758" i="93"/>
  <c r="AB758" i="93"/>
  <c r="BE996" i="93"/>
  <c r="BB996" i="93"/>
  <c r="AB996" i="93"/>
  <c r="BE991" i="93"/>
  <c r="BB991" i="93"/>
  <c r="AB991" i="93"/>
  <c r="BE990" i="93"/>
  <c r="BB990" i="93"/>
  <c r="AB990" i="93"/>
  <c r="BE960" i="93"/>
  <c r="BB960" i="93"/>
  <c r="AB960" i="93"/>
  <c r="BE863" i="93"/>
  <c r="BB863" i="93"/>
  <c r="AB863" i="93"/>
  <c r="BE740" i="93"/>
  <c r="BB740" i="93"/>
  <c r="AB740" i="93"/>
  <c r="BB695" i="93"/>
  <c r="BE677" i="93"/>
  <c r="BB677" i="93"/>
  <c r="AB677" i="93"/>
  <c r="BE676" i="93"/>
  <c r="BB676" i="93"/>
  <c r="AB676" i="93"/>
  <c r="BE695" i="93"/>
  <c r="AB695" i="93"/>
  <c r="BE57" i="93"/>
  <c r="BB57" i="93"/>
  <c r="AB57" i="93"/>
  <c r="BE56" i="93"/>
  <c r="BB56" i="93"/>
  <c r="AB56" i="93"/>
  <c r="BD1050" i="93" l="1"/>
  <c r="BF1050" i="93" s="1"/>
  <c r="BD1064" i="93"/>
  <c r="BF1064" i="93" s="1"/>
  <c r="BD996" i="93"/>
  <c r="BF996" i="93" s="1"/>
  <c r="BD611" i="93"/>
  <c r="BF611" i="93" s="1"/>
  <c r="BD1044" i="93"/>
  <c r="BF1044" i="93" s="1"/>
  <c r="BD1047" i="93"/>
  <c r="BF1047" i="93" s="1"/>
  <c r="BD1015" i="93"/>
  <c r="BF1015" i="93" s="1"/>
  <c r="BD816" i="93"/>
  <c r="BF816" i="93" s="1"/>
  <c r="BD809" i="93"/>
  <c r="BF809" i="93" s="1"/>
  <c r="BD777" i="93"/>
  <c r="BF777" i="93" s="1"/>
  <c r="BD794" i="93"/>
  <c r="BF794" i="93" s="1"/>
  <c r="BD863" i="93"/>
  <c r="BF863" i="93" s="1"/>
  <c r="BD991" i="93"/>
  <c r="BF991" i="93" s="1"/>
  <c r="BD770" i="93"/>
  <c r="BF770" i="93" s="1"/>
  <c r="BD758" i="93"/>
  <c r="BF758" i="93" s="1"/>
  <c r="BD990" i="93"/>
  <c r="BF990" i="93" s="1"/>
  <c r="BD960" i="93"/>
  <c r="BF960" i="93" s="1"/>
  <c r="BD740" i="93"/>
  <c r="BF740" i="93" s="1"/>
  <c r="BD677" i="93"/>
  <c r="BF677" i="93" s="1"/>
  <c r="BD695" i="93"/>
  <c r="BF695" i="93" s="1"/>
  <c r="BD676" i="93"/>
  <c r="BF676" i="93" s="1"/>
  <c r="BD57" i="93"/>
  <c r="BF57" i="93" s="1"/>
  <c r="BD56" i="93"/>
  <c r="BF56" i="93" s="1"/>
  <c r="BD20" i="93"/>
  <c r="BF20" i="93" s="1"/>
  <c r="BE11" i="93"/>
  <c r="BB11" i="93"/>
  <c r="AB11" i="93"/>
  <c r="BG1064" i="93" l="1"/>
  <c r="BG991" i="93"/>
  <c r="BG611" i="93"/>
  <c r="BG1015" i="93"/>
  <c r="BG863" i="93"/>
  <c r="BG996" i="93"/>
  <c r="BG809" i="93"/>
  <c r="BG677" i="93"/>
  <c r="BG960" i="93"/>
  <c r="BG56" i="93"/>
  <c r="BG20" i="93"/>
  <c r="BG1047" i="93"/>
  <c r="BG770" i="93"/>
  <c r="BG57" i="93"/>
  <c r="BG777" i="93"/>
  <c r="BG740" i="93"/>
  <c r="BG1044" i="93"/>
  <c r="BG794" i="93"/>
  <c r="BG695" i="93"/>
  <c r="BG1050" i="93"/>
  <c r="BG816" i="93"/>
  <c r="BG758" i="93"/>
  <c r="BG990" i="93"/>
  <c r="BG676" i="93"/>
  <c r="BD11" i="93"/>
  <c r="BF11" i="93" s="1"/>
  <c r="BD17" i="93"/>
  <c r="BF17" i="93" s="1"/>
  <c r="BE558" i="93"/>
  <c r="BB558" i="93"/>
  <c r="AB558" i="93"/>
  <c r="BE556" i="93"/>
  <c r="BB556" i="93"/>
  <c r="AB556" i="93"/>
  <c r="BG17" i="93" l="1"/>
  <c r="BG11" i="93"/>
  <c r="BD558" i="93"/>
  <c r="BF558" i="93" s="1"/>
  <c r="BD556" i="93"/>
  <c r="BF556" i="93" s="1"/>
  <c r="BE507" i="93"/>
  <c r="BB507" i="93"/>
  <c r="AB507" i="93"/>
  <c r="BE486" i="93"/>
  <c r="BB486" i="93"/>
  <c r="AB486" i="93"/>
  <c r="BE473" i="93"/>
  <c r="BB473" i="93"/>
  <c r="AB473" i="93"/>
  <c r="BE436" i="93"/>
  <c r="BB436" i="93"/>
  <c r="AB436" i="93"/>
  <c r="BE413" i="93"/>
  <c r="BB413" i="93"/>
  <c r="AB413" i="93"/>
  <c r="BE370" i="93"/>
  <c r="BB370" i="93"/>
  <c r="AB370" i="93"/>
  <c r="BE282" i="93"/>
  <c r="BB282" i="93"/>
  <c r="AB282" i="93"/>
  <c r="BE61" i="93"/>
  <c r="BB61" i="93"/>
  <c r="AB61" i="93"/>
  <c r="BE50" i="93"/>
  <c r="BB50" i="93"/>
  <c r="AB50" i="93"/>
  <c r="BE136" i="93"/>
  <c r="BB136" i="93"/>
  <c r="AB136" i="93"/>
  <c r="BE135" i="93"/>
  <c r="BB135" i="93"/>
  <c r="AB135" i="93"/>
  <c r="BE105" i="93"/>
  <c r="BB105" i="93"/>
  <c r="AB105" i="93"/>
  <c r="BE90" i="93"/>
  <c r="BB90" i="93"/>
  <c r="AB90" i="93"/>
  <c r="BE43" i="93"/>
  <c r="BB43" i="93"/>
  <c r="AB43" i="93"/>
  <c r="BE38" i="93"/>
  <c r="BB38" i="93"/>
  <c r="AB38" i="93"/>
  <c r="BE834" i="93"/>
  <c r="BB834" i="93"/>
  <c r="AB834" i="93"/>
  <c r="BE829" i="93"/>
  <c r="BB829" i="93"/>
  <c r="AB829" i="93"/>
  <c r="BE762" i="93"/>
  <c r="BB762" i="93"/>
  <c r="AB762" i="93"/>
  <c r="BE917" i="93"/>
  <c r="BB917" i="93"/>
  <c r="AB917" i="93"/>
  <c r="BE234" i="93"/>
  <c r="BB234" i="93"/>
  <c r="BD234" i="93" s="1"/>
  <c r="BE228" i="93"/>
  <c r="BB228" i="93"/>
  <c r="BB230" i="93"/>
  <c r="AB228" i="93"/>
  <c r="BF234" i="93" l="1"/>
  <c r="BG558" i="93"/>
  <c r="BG556" i="93"/>
  <c r="BG234" i="93"/>
  <c r="BD486" i="93"/>
  <c r="BF486" i="93" s="1"/>
  <c r="BD436" i="93"/>
  <c r="BF436" i="93" s="1"/>
  <c r="BD507" i="93"/>
  <c r="BF507" i="93" s="1"/>
  <c r="BD473" i="93"/>
  <c r="BF473" i="93" s="1"/>
  <c r="BD413" i="93"/>
  <c r="BF413" i="93" s="1"/>
  <c r="BD370" i="93"/>
  <c r="BF370" i="93" s="1"/>
  <c r="BD834" i="93"/>
  <c r="BF834" i="93" s="1"/>
  <c r="BD282" i="93"/>
  <c r="BF282" i="93" s="1"/>
  <c r="BD917" i="93"/>
  <c r="BF917" i="93" s="1"/>
  <c r="BD829" i="93"/>
  <c r="BF829" i="93" s="1"/>
  <c r="BD136" i="93"/>
  <c r="BF136" i="93" s="1"/>
  <c r="BD50" i="93"/>
  <c r="BF50" i="93" s="1"/>
  <c r="BD61" i="93"/>
  <c r="BF61" i="93" s="1"/>
  <c r="BD135" i="93"/>
  <c r="BF135" i="93" s="1"/>
  <c r="BD105" i="93"/>
  <c r="BF105" i="93" s="1"/>
  <c r="BD90" i="93"/>
  <c r="BF90" i="93" s="1"/>
  <c r="BD43" i="93"/>
  <c r="BF43" i="93" s="1"/>
  <c r="BD38" i="93"/>
  <c r="BF38" i="93" s="1"/>
  <c r="BD762" i="93"/>
  <c r="BF762" i="93" s="1"/>
  <c r="BD228" i="93"/>
  <c r="BF228" i="93" s="1"/>
  <c r="BE217" i="93"/>
  <c r="AB217" i="93"/>
  <c r="BE207" i="93"/>
  <c r="BB207" i="93"/>
  <c r="AB207" i="93"/>
  <c r="BG413" i="93" l="1"/>
  <c r="BG917" i="93"/>
  <c r="BG507" i="93"/>
  <c r="BG370" i="93"/>
  <c r="BG136" i="93"/>
  <c r="BG38" i="93"/>
  <c r="BG486" i="93"/>
  <c r="BG50" i="93"/>
  <c r="BG105" i="93"/>
  <c r="BG43" i="93"/>
  <c r="BG762" i="93"/>
  <c r="BG436" i="93"/>
  <c r="BG61" i="93"/>
  <c r="BG829" i="93"/>
  <c r="BG473" i="93"/>
  <c r="BG282" i="93"/>
  <c r="BG135" i="93"/>
  <c r="BG90" i="93"/>
  <c r="BG834" i="93"/>
  <c r="BG228" i="93"/>
  <c r="BD217" i="93"/>
  <c r="BF217" i="93" s="1"/>
  <c r="BD207" i="93"/>
  <c r="BF207" i="93" s="1"/>
  <c r="BG217" i="93" l="1"/>
  <c r="BG207" i="93"/>
  <c r="BE23" i="93"/>
  <c r="BE24" i="93"/>
  <c r="BE25" i="93"/>
  <c r="BE27" i="93"/>
  <c r="BE29" i="93"/>
  <c r="BE30" i="93"/>
  <c r="BE39" i="93"/>
  <c r="BE41" i="93"/>
  <c r="BE42" i="93"/>
  <c r="BE48" i="93"/>
  <c r="BE51" i="93"/>
  <c r="BE53" i="93"/>
  <c r="BE54" i="93"/>
  <c r="BE58" i="93"/>
  <c r="BE59" i="93"/>
  <c r="BE60" i="93"/>
  <c r="BE62" i="93"/>
  <c r="BE64" i="93"/>
  <c r="BE65" i="93"/>
  <c r="BE67" i="93"/>
  <c r="BE69" i="93"/>
  <c r="BE71" i="93"/>
  <c r="BE76" i="93"/>
  <c r="BE77" i="93"/>
  <c r="BE79" i="93"/>
  <c r="BE81" i="93"/>
  <c r="BE83" i="93"/>
  <c r="BE84" i="93"/>
  <c r="BE85" i="93"/>
  <c r="BE86" i="93"/>
  <c r="BE87" i="93"/>
  <c r="BE88" i="93"/>
  <c r="BE89" i="93"/>
  <c r="BE91" i="93"/>
  <c r="BE92" i="93"/>
  <c r="BE93" i="93"/>
  <c r="BE94" i="93"/>
  <c r="BE95" i="93"/>
  <c r="BE96" i="93"/>
  <c r="BE97" i="93"/>
  <c r="BE98" i="93"/>
  <c r="BE101" i="93"/>
  <c r="BE102" i="93"/>
  <c r="BE103" i="93"/>
  <c r="BE104" i="93"/>
  <c r="BE107" i="93"/>
  <c r="BE108" i="93"/>
  <c r="BE109" i="93"/>
  <c r="BE110" i="93"/>
  <c r="BE111" i="93"/>
  <c r="BE112" i="93"/>
  <c r="BE113" i="93"/>
  <c r="BE114" i="93"/>
  <c r="BE115" i="93"/>
  <c r="BE116" i="93"/>
  <c r="BE117" i="93"/>
  <c r="BE118" i="93"/>
  <c r="BE120" i="93"/>
  <c r="BE121" i="93"/>
  <c r="BE122" i="93"/>
  <c r="BE123" i="93"/>
  <c r="BE124" i="93"/>
  <c r="BE125" i="93"/>
  <c r="BE126" i="93"/>
  <c r="BE127" i="93"/>
  <c r="BE128" i="93"/>
  <c r="BE129" i="93"/>
  <c r="BE130" i="93"/>
  <c r="BE131" i="93"/>
  <c r="BE132" i="93"/>
  <c r="BE133" i="93"/>
  <c r="BE134" i="93"/>
  <c r="BE137" i="93"/>
  <c r="BE139" i="93"/>
  <c r="BE140" i="93"/>
  <c r="BE142" i="93"/>
  <c r="BE146" i="93"/>
  <c r="BE147" i="93"/>
  <c r="BE148" i="93"/>
  <c r="BE149" i="93"/>
  <c r="BE150" i="93"/>
  <c r="BE151" i="93"/>
  <c r="BE152" i="93"/>
  <c r="BE153" i="93"/>
  <c r="BE155" i="93"/>
  <c r="BE156" i="93"/>
  <c r="BE157" i="93"/>
  <c r="BE158" i="93"/>
  <c r="BE159" i="93"/>
  <c r="BE160" i="93"/>
  <c r="BE161" i="93"/>
  <c r="BE162" i="93"/>
  <c r="BE163" i="93"/>
  <c r="BE164" i="93"/>
  <c r="BE166" i="93"/>
  <c r="BE168" i="93"/>
  <c r="BE169" i="93"/>
  <c r="BE170" i="93"/>
  <c r="BE171" i="93"/>
  <c r="BE172" i="93"/>
  <c r="BE173" i="93"/>
  <c r="BE174" i="93"/>
  <c r="BE175" i="93"/>
  <c r="BE176" i="93"/>
  <c r="BE177" i="93"/>
  <c r="BE178" i="93"/>
  <c r="BE179" i="93"/>
  <c r="BE181" i="93"/>
  <c r="BE182" i="93"/>
  <c r="BE183" i="93"/>
  <c r="BE184" i="93"/>
  <c r="BE185" i="93"/>
  <c r="BE186" i="93"/>
  <c r="BE189" i="93"/>
  <c r="BE190" i="93"/>
  <c r="BE191" i="93"/>
  <c r="BE192" i="93"/>
  <c r="BE194" i="93"/>
  <c r="BE196" i="93"/>
  <c r="BE197" i="93"/>
  <c r="BE199" i="93"/>
  <c r="BE200" i="93"/>
  <c r="BE201" i="93"/>
  <c r="BE202" i="93"/>
  <c r="BE203" i="93"/>
  <c r="BE204" i="93"/>
  <c r="BE205" i="93"/>
  <c r="BE206" i="93"/>
  <c r="BE208" i="93"/>
  <c r="BE209" i="93"/>
  <c r="BE210" i="93"/>
  <c r="BE211" i="93"/>
  <c r="BE212" i="93"/>
  <c r="BE224" i="93"/>
  <c r="BE218" i="93"/>
  <c r="BE221" i="93"/>
  <c r="BE222" i="93"/>
  <c r="BE223" i="93"/>
  <c r="BE225" i="93"/>
  <c r="BE226" i="93"/>
  <c r="BE230" i="93"/>
  <c r="BE238" i="93"/>
  <c r="BE239" i="93"/>
  <c r="BE241" i="93"/>
  <c r="BE242" i="93"/>
  <c r="BE245" i="93"/>
  <c r="BE246" i="93"/>
  <c r="BE247" i="93"/>
  <c r="BE249" i="93"/>
  <c r="BE250" i="93"/>
  <c r="G34" i="94" s="1"/>
  <c r="BE251" i="93"/>
  <c r="BE252" i="93"/>
  <c r="BE254" i="93"/>
  <c r="BE256" i="93"/>
  <c r="BE258" i="93"/>
  <c r="BE259" i="93"/>
  <c r="BE260" i="93"/>
  <c r="BE263" i="93"/>
  <c r="BE264" i="93"/>
  <c r="BE265" i="93"/>
  <c r="BE266" i="93"/>
  <c r="BE267" i="93"/>
  <c r="BE270" i="93"/>
  <c r="BE271" i="93"/>
  <c r="BE272" i="93"/>
  <c r="BE273" i="93"/>
  <c r="BE274" i="93"/>
  <c r="BE277" i="93"/>
  <c r="BE279" i="93"/>
  <c r="BE280" i="93"/>
  <c r="BE283" i="93"/>
  <c r="BE284" i="93"/>
  <c r="BE285" i="93"/>
  <c r="BE286" i="93"/>
  <c r="BE287" i="93"/>
  <c r="BE288" i="93"/>
  <c r="BE289" i="93"/>
  <c r="BE290" i="93"/>
  <c r="BE291" i="93"/>
  <c r="BE292" i="93"/>
  <c r="BE293" i="93"/>
  <c r="BE294" i="93"/>
  <c r="BE296" i="93"/>
  <c r="BE297" i="93"/>
  <c r="BE298" i="93"/>
  <c r="BE299" i="93"/>
  <c r="BE301" i="93"/>
  <c r="BE303" i="93"/>
  <c r="BE304" i="93"/>
  <c r="BE305" i="93"/>
  <c r="BE307" i="93"/>
  <c r="BE308" i="93"/>
  <c r="BE309" i="93"/>
  <c r="BE310" i="93"/>
  <c r="BE311" i="93"/>
  <c r="BE312" i="93"/>
  <c r="BE313" i="93"/>
  <c r="BE314" i="93"/>
  <c r="BE315" i="93"/>
  <c r="BE316" i="93"/>
  <c r="BE318" i="93"/>
  <c r="BE319" i="93"/>
  <c r="BE320" i="93"/>
  <c r="BE321" i="93"/>
  <c r="BE322" i="93"/>
  <c r="BE323" i="93"/>
  <c r="BE325" i="93"/>
  <c r="BE326" i="93"/>
  <c r="BE327" i="93"/>
  <c r="BE328" i="93"/>
  <c r="BE329" i="93"/>
  <c r="BE330" i="93"/>
  <c r="BE331" i="93"/>
  <c r="BE332" i="93"/>
  <c r="BE333" i="93"/>
  <c r="BE334" i="93"/>
  <c r="BE335" i="93"/>
  <c r="BE336" i="93"/>
  <c r="BE338" i="93"/>
  <c r="BE340" i="93"/>
  <c r="BE341" i="93"/>
  <c r="BE343" i="93"/>
  <c r="BE345" i="93"/>
  <c r="BE346" i="93"/>
  <c r="BE347" i="93"/>
  <c r="BE348" i="93"/>
  <c r="BE349" i="93"/>
  <c r="BE350" i="93"/>
  <c r="BE351" i="93"/>
  <c r="BE352" i="93"/>
  <c r="BE353" i="93"/>
  <c r="BE354" i="93"/>
  <c r="BE355" i="93"/>
  <c r="BE356" i="93"/>
  <c r="BE357" i="93"/>
  <c r="BE359" i="93"/>
  <c r="BE360" i="93"/>
  <c r="BE361" i="93"/>
  <c r="BE362" i="93"/>
  <c r="BE364" i="93"/>
  <c r="BE363" i="93"/>
  <c r="BE365" i="93"/>
  <c r="BE366" i="93"/>
  <c r="BE367" i="93"/>
  <c r="BE368" i="93"/>
  <c r="BE373" i="93"/>
  <c r="BE374" i="93"/>
  <c r="BE375" i="93"/>
  <c r="BE376" i="93"/>
  <c r="BE380" i="93"/>
  <c r="BE381" i="93"/>
  <c r="BE385" i="93"/>
  <c r="BE383" i="93"/>
  <c r="BE386" i="93"/>
  <c r="BE387" i="93"/>
  <c r="BE388" i="93"/>
  <c r="BE389" i="93"/>
  <c r="BE390" i="93"/>
  <c r="BE391" i="93"/>
  <c r="BE392" i="93"/>
  <c r="BE393" i="93"/>
  <c r="BE394" i="93"/>
  <c r="BE395" i="93"/>
  <c r="BE396" i="93"/>
  <c r="BE397" i="93"/>
  <c r="BE398" i="93"/>
  <c r="BE400" i="93"/>
  <c r="BE401" i="93"/>
  <c r="BE402" i="93"/>
  <c r="BE403" i="93"/>
  <c r="BE404" i="93"/>
  <c r="BE405" i="93"/>
  <c r="BE407" i="93"/>
  <c r="BE408" i="93"/>
  <c r="BE409" i="93"/>
  <c r="BE410" i="93"/>
  <c r="BE411" i="93"/>
  <c r="BE412" i="93"/>
  <c r="BE414" i="93"/>
  <c r="BE415" i="93"/>
  <c r="BE416" i="93"/>
  <c r="BE417" i="93"/>
  <c r="BE418" i="93"/>
  <c r="BE419" i="93"/>
  <c r="BE420" i="93"/>
  <c r="BE421" i="93"/>
  <c r="BE424" i="93"/>
  <c r="BE425" i="93"/>
  <c r="BE426" i="93"/>
  <c r="BE427" i="93"/>
  <c r="BE428" i="93"/>
  <c r="BE429" i="93"/>
  <c r="BE430" i="93"/>
  <c r="BE431" i="93"/>
  <c r="BE433" i="93"/>
  <c r="BE434" i="93"/>
  <c r="BE435" i="93"/>
  <c r="BE438" i="93"/>
  <c r="BE439" i="93"/>
  <c r="BE440" i="93"/>
  <c r="BE441" i="93"/>
  <c r="BE442" i="93"/>
  <c r="BE445" i="93"/>
  <c r="BE446" i="93"/>
  <c r="BE447" i="93"/>
  <c r="BE448" i="93"/>
  <c r="BE449" i="93"/>
  <c r="BE450" i="93"/>
  <c r="BE451" i="93"/>
  <c r="BE453" i="93"/>
  <c r="BE454" i="93"/>
  <c r="BE457" i="93"/>
  <c r="BE458" i="93"/>
  <c r="BE462" i="93"/>
  <c r="BE467" i="93"/>
  <c r="BE469" i="93"/>
  <c r="BE470" i="93"/>
  <c r="BE471" i="93"/>
  <c r="BE472" i="93"/>
  <c r="BE474" i="93"/>
  <c r="BE475" i="93"/>
  <c r="BE476" i="93"/>
  <c r="BE478" i="93"/>
  <c r="BE479" i="93"/>
  <c r="BE481" i="93"/>
  <c r="BE482" i="93"/>
  <c r="BE483" i="93"/>
  <c r="BE484" i="93"/>
  <c r="BE485" i="93"/>
  <c r="BE487" i="93"/>
  <c r="BE489" i="93"/>
  <c r="BE490" i="93"/>
  <c r="BE492" i="93"/>
  <c r="BE493" i="93"/>
  <c r="BE494" i="93"/>
  <c r="BE495" i="93"/>
  <c r="BE496" i="93"/>
  <c r="BE497" i="93"/>
  <c r="BE499" i="93"/>
  <c r="BE500" i="93"/>
  <c r="BE501" i="93"/>
  <c r="BE502" i="93"/>
  <c r="BE503" i="93"/>
  <c r="BE504" i="93"/>
  <c r="BE506" i="93"/>
  <c r="BE509" i="93"/>
  <c r="BE510" i="93"/>
  <c r="BE511" i="93"/>
  <c r="BE514" i="93"/>
  <c r="BE515" i="93"/>
  <c r="BE518" i="93"/>
  <c r="BE519" i="93"/>
  <c r="BE522" i="93"/>
  <c r="BE523" i="93"/>
  <c r="BE524" i="93"/>
  <c r="BE526" i="93"/>
  <c r="BE527" i="93"/>
  <c r="BE528" i="93"/>
  <c r="BE529" i="93"/>
  <c r="BE530" i="93"/>
  <c r="BE531" i="93"/>
  <c r="BE532" i="93"/>
  <c r="BE533" i="93"/>
  <c r="BE534" i="93"/>
  <c r="BE535" i="93"/>
  <c r="BE536" i="93"/>
  <c r="BE537" i="93"/>
  <c r="BE538" i="93"/>
  <c r="BE539" i="93"/>
  <c r="BE540" i="93"/>
  <c r="BE541" i="93"/>
  <c r="BE542" i="93"/>
  <c r="BE543" i="93"/>
  <c r="BE544" i="93"/>
  <c r="BE547" i="93"/>
  <c r="BE548" i="93"/>
  <c r="BE549" i="93"/>
  <c r="BE550" i="93"/>
  <c r="BE552" i="93"/>
  <c r="BE553" i="93"/>
  <c r="BE554" i="93"/>
  <c r="BE555" i="93"/>
  <c r="BE562" i="93"/>
  <c r="BE564" i="93"/>
  <c r="BE565" i="93"/>
  <c r="BE566" i="93"/>
  <c r="BE568" i="93"/>
  <c r="BE570" i="93"/>
  <c r="BE571" i="93"/>
  <c r="BE572" i="93"/>
  <c r="BE573" i="93"/>
  <c r="BE574" i="93"/>
  <c r="BE576" i="93"/>
  <c r="BE577" i="93"/>
  <c r="BE579" i="93"/>
  <c r="BE584" i="93"/>
  <c r="BE585" i="93"/>
  <c r="BE586" i="93"/>
  <c r="BE588" i="93"/>
  <c r="BE589" i="93"/>
  <c r="BE591" i="93"/>
  <c r="BE593" i="93"/>
  <c r="BE596" i="93"/>
  <c r="BE597" i="93"/>
  <c r="BE598" i="93"/>
  <c r="BE599" i="93"/>
  <c r="BE600" i="93"/>
  <c r="BE602" i="93"/>
  <c r="BE603" i="93"/>
  <c r="BE604" i="93"/>
  <c r="BE605" i="93"/>
  <c r="BE607" i="93"/>
  <c r="BE609" i="93"/>
  <c r="BE612" i="93"/>
  <c r="BE613" i="93"/>
  <c r="BE615" i="93"/>
  <c r="BE616" i="93"/>
  <c r="BE617" i="93"/>
  <c r="G4" i="94"/>
  <c r="BE620" i="93"/>
  <c r="BE621" i="93"/>
  <c r="BE622" i="93"/>
  <c r="BE623" i="93"/>
  <c r="BE624" i="93"/>
  <c r="BE625" i="93"/>
  <c r="BE626" i="93"/>
  <c r="BE627" i="93"/>
  <c r="BE629" i="93"/>
  <c r="BE630" i="93"/>
  <c r="BE631" i="93"/>
  <c r="BE632" i="93"/>
  <c r="BE633" i="93"/>
  <c r="BE634" i="93"/>
  <c r="BE635" i="93"/>
  <c r="BE636" i="93"/>
  <c r="BE637" i="93"/>
  <c r="BE638" i="93"/>
  <c r="BE639" i="93"/>
  <c r="BE640" i="93"/>
  <c r="BE641" i="93"/>
  <c r="BE642" i="93"/>
  <c r="BE645" i="93"/>
  <c r="BE646" i="93"/>
  <c r="BE647" i="93"/>
  <c r="BE649" i="93"/>
  <c r="BE650" i="93"/>
  <c r="BE652" i="93"/>
  <c r="BE653" i="93"/>
  <c r="BE654" i="93"/>
  <c r="BE656" i="93"/>
  <c r="BE657" i="93"/>
  <c r="BE658" i="93"/>
  <c r="BE659" i="93"/>
  <c r="BE660" i="93"/>
  <c r="BE663" i="93"/>
  <c r="BE664" i="93"/>
  <c r="BE665" i="93"/>
  <c r="BE666" i="93"/>
  <c r="BE667" i="93"/>
  <c r="BE669" i="93"/>
  <c r="BE670" i="93"/>
  <c r="BE673" i="93"/>
  <c r="BE674" i="93"/>
  <c r="BE675" i="93"/>
  <c r="BE678" i="93"/>
  <c r="BE679" i="93"/>
  <c r="BE682" i="93"/>
  <c r="BE683" i="93"/>
  <c r="BE684" i="93"/>
  <c r="BE685" i="93"/>
  <c r="BE688" i="93"/>
  <c r="G5" i="94" s="1"/>
  <c r="BE689" i="93"/>
  <c r="G6" i="94" s="1"/>
  <c r="BE691" i="93"/>
  <c r="BE692" i="93"/>
  <c r="BE693" i="93"/>
  <c r="BE694" i="93"/>
  <c r="BE696" i="93"/>
  <c r="BE697" i="93"/>
  <c r="BE698" i="93"/>
  <c r="BE699" i="93"/>
  <c r="BE701" i="93"/>
  <c r="BE706" i="93"/>
  <c r="BE707" i="93"/>
  <c r="BE708" i="93"/>
  <c r="BE709" i="93"/>
  <c r="BE711" i="93"/>
  <c r="BE714" i="93"/>
  <c r="BE719" i="93"/>
  <c r="G7" i="94" s="1"/>
  <c r="BE720" i="93"/>
  <c r="BE722" i="93"/>
  <c r="BE723" i="93"/>
  <c r="BE724" i="93"/>
  <c r="BE729" i="93"/>
  <c r="BE730" i="93"/>
  <c r="BE731" i="93"/>
  <c r="BE733" i="93"/>
  <c r="G8" i="94" s="1"/>
  <c r="BE734" i="93"/>
  <c r="BE735" i="93"/>
  <c r="BE736" i="93"/>
  <c r="BE738" i="93"/>
  <c r="G49" i="94" s="1"/>
  <c r="BE742" i="93"/>
  <c r="BE744" i="93"/>
  <c r="BE745" i="93"/>
  <c r="BE750" i="93"/>
  <c r="BE751" i="93"/>
  <c r="BE752" i="93"/>
  <c r="BE753" i="93"/>
  <c r="BE754" i="93"/>
  <c r="BE755" i="93"/>
  <c r="BE756" i="93"/>
  <c r="BE757" i="93"/>
  <c r="BE760" i="93"/>
  <c r="BE761" i="93"/>
  <c r="BE768" i="93"/>
  <c r="BE769" i="93"/>
  <c r="BE772" i="93"/>
  <c r="BE773" i="93"/>
  <c r="BE774" i="93"/>
  <c r="BE776" i="93"/>
  <c r="BE778" i="93"/>
  <c r="BE779" i="93"/>
  <c r="BE780" i="93"/>
  <c r="BE781" i="93"/>
  <c r="BE782" i="93"/>
  <c r="BE783" i="93"/>
  <c r="BE784" i="93"/>
  <c r="BE785" i="93"/>
  <c r="BE786" i="93"/>
  <c r="BE789" i="93"/>
  <c r="BE790" i="93"/>
  <c r="BE791" i="93"/>
  <c r="BE793" i="93"/>
  <c r="BE795" i="93"/>
  <c r="BE797" i="93"/>
  <c r="BE799" i="93"/>
  <c r="BE803" i="93"/>
  <c r="BE804" i="93"/>
  <c r="BE805" i="93"/>
  <c r="BE806" i="93"/>
  <c r="BE808" i="93"/>
  <c r="BE810" i="93"/>
  <c r="BE811" i="93"/>
  <c r="BE814" i="93"/>
  <c r="BE815" i="93"/>
  <c r="G9" i="94" s="1"/>
  <c r="BE817" i="93"/>
  <c r="BE818" i="93"/>
  <c r="BE819" i="93"/>
  <c r="G10" i="94" s="1"/>
  <c r="BE820" i="93"/>
  <c r="BE821" i="93"/>
  <c r="BE822" i="93"/>
  <c r="BE824" i="93"/>
  <c r="BE825" i="93"/>
  <c r="BE826" i="93"/>
  <c r="BE827" i="93"/>
  <c r="BE828" i="93"/>
  <c r="BE830" i="93"/>
  <c r="BE831" i="93"/>
  <c r="BE832" i="93"/>
  <c r="BE833" i="93"/>
  <c r="BE836" i="93"/>
  <c r="BE838" i="93"/>
  <c r="BE839" i="93"/>
  <c r="BE840" i="93"/>
  <c r="BE841" i="93"/>
  <c r="BE842" i="93"/>
  <c r="BE844" i="93"/>
  <c r="BE845" i="93"/>
  <c r="BE847" i="93"/>
  <c r="BE848" i="93"/>
  <c r="BE854" i="93"/>
  <c r="BE858" i="93"/>
  <c r="BE859" i="93"/>
  <c r="BE860" i="93"/>
  <c r="BE861" i="93"/>
  <c r="BE864" i="93"/>
  <c r="BE865" i="93"/>
  <c r="BE866" i="93"/>
  <c r="BE867" i="93"/>
  <c r="BE868" i="93"/>
  <c r="BE869" i="93"/>
  <c r="BE870" i="93"/>
  <c r="BE872" i="93"/>
  <c r="BE873" i="93"/>
  <c r="BE875" i="93"/>
  <c r="BE876" i="93"/>
  <c r="BE878" i="93"/>
  <c r="BE879" i="93"/>
  <c r="BE880" i="93"/>
  <c r="BE881" i="93"/>
  <c r="BE882" i="93"/>
  <c r="BE883" i="93"/>
  <c r="BE884" i="93"/>
  <c r="BE885" i="93"/>
  <c r="BE886" i="93"/>
  <c r="BE887" i="93"/>
  <c r="BE888" i="93"/>
  <c r="BE890" i="93"/>
  <c r="BE891" i="93"/>
  <c r="BE892" i="93"/>
  <c r="BE893" i="93"/>
  <c r="BE894" i="93"/>
  <c r="BE895" i="93"/>
  <c r="BE896" i="93"/>
  <c r="BE897" i="93"/>
  <c r="BE898" i="93"/>
  <c r="BE901" i="93"/>
  <c r="BE902" i="93"/>
  <c r="BE905" i="93"/>
  <c r="BE906" i="93"/>
  <c r="BE907" i="93"/>
  <c r="BE908" i="93"/>
  <c r="BE911" i="93"/>
  <c r="BE914" i="93"/>
  <c r="BE915" i="93"/>
  <c r="BE918" i="93"/>
  <c r="BE919" i="93"/>
  <c r="BE920" i="93"/>
  <c r="BE921" i="93"/>
  <c r="BE922" i="93"/>
  <c r="BE924" i="93"/>
  <c r="BE925" i="93"/>
  <c r="BE926" i="93"/>
  <c r="BE927" i="93"/>
  <c r="BE928" i="93"/>
  <c r="BE929" i="93"/>
  <c r="BE930" i="93"/>
  <c r="BE931" i="93"/>
  <c r="BE932" i="93"/>
  <c r="BE933" i="93"/>
  <c r="BE934" i="93"/>
  <c r="BE936" i="93"/>
  <c r="BE937" i="93"/>
  <c r="BE938" i="93"/>
  <c r="BE939" i="93"/>
  <c r="BE940" i="93"/>
  <c r="BE941" i="93"/>
  <c r="BE949" i="93"/>
  <c r="BE951" i="93"/>
  <c r="BE942" i="93"/>
  <c r="BE943" i="93"/>
  <c r="BE944" i="93"/>
  <c r="BE947" i="93"/>
  <c r="BE948" i="93"/>
  <c r="BE950" i="93"/>
  <c r="BE955" i="93"/>
  <c r="BE957" i="93"/>
  <c r="BE958" i="93"/>
  <c r="BE962" i="93"/>
  <c r="BE968" i="93"/>
  <c r="BE972" i="93"/>
  <c r="BE974" i="93"/>
  <c r="BE976" i="93"/>
  <c r="BE978" i="93"/>
  <c r="BE979" i="93"/>
  <c r="BE982" i="93"/>
  <c r="BE985" i="93"/>
  <c r="BE986" i="93"/>
  <c r="BE987" i="93"/>
  <c r="BE993" i="93"/>
  <c r="BE994" i="93"/>
  <c r="BE997" i="93"/>
  <c r="BE998" i="93"/>
  <c r="BE1000" i="93"/>
  <c r="BE1001" i="93"/>
  <c r="BE1004" i="93"/>
  <c r="BE1007" i="93"/>
  <c r="BE1009" i="93"/>
  <c r="BE1010" i="93"/>
  <c r="BE1011" i="93"/>
  <c r="BE1012" i="93"/>
  <c r="BE1013" i="93"/>
  <c r="BE1016" i="93"/>
  <c r="BE1017" i="93"/>
  <c r="BE1019" i="93"/>
  <c r="BE1020" i="93"/>
  <c r="BE1021" i="93"/>
  <c r="BE1022" i="93"/>
  <c r="BE1024" i="93"/>
  <c r="BE1025" i="93"/>
  <c r="BE1032" i="93"/>
  <c r="BE1033" i="93"/>
  <c r="BE1034" i="93"/>
  <c r="BE1036" i="93"/>
  <c r="BE1037" i="93"/>
  <c r="BE1038" i="93"/>
  <c r="BE1039" i="93"/>
  <c r="BE1041" i="93"/>
  <c r="BE1045" i="93"/>
  <c r="BE1049" i="93"/>
  <c r="BE1052" i="93"/>
  <c r="BE1053" i="93"/>
  <c r="BE1054" i="93"/>
  <c r="BE1055" i="93"/>
  <c r="BE1056" i="93"/>
  <c r="BE1057" i="93"/>
  <c r="BE1060" i="93"/>
  <c r="BE1062" i="93"/>
  <c r="BE1063" i="93"/>
  <c r="BE1065" i="93"/>
  <c r="BE1066" i="93"/>
  <c r="BE1067" i="93"/>
  <c r="BE1069" i="93"/>
  <c r="BE1070" i="93"/>
  <c r="BE1071" i="93"/>
  <c r="BE1072" i="93"/>
  <c r="BE1073" i="93"/>
  <c r="BE1074" i="93"/>
  <c r="BE1075" i="93"/>
  <c r="BE1076" i="93"/>
  <c r="BE1078" i="93"/>
  <c r="BE1079" i="93"/>
  <c r="BE1082" i="93"/>
  <c r="BE1084" i="93"/>
  <c r="BE1085" i="93"/>
  <c r="BE1087" i="93"/>
  <c r="BE1089" i="93"/>
  <c r="BE1090" i="93"/>
  <c r="BE1092" i="93"/>
  <c r="BE1094" i="93"/>
  <c r="BE1095" i="93"/>
  <c r="BE1097" i="93"/>
  <c r="BE1099" i="93"/>
  <c r="BE1100" i="93"/>
  <c r="BE1101" i="93"/>
  <c r="BE1102" i="93"/>
  <c r="BE1103" i="93"/>
  <c r="BE1105" i="93"/>
  <c r="BE1106" i="93"/>
  <c r="BE1107" i="93"/>
  <c r="BE1108" i="93"/>
  <c r="BE1111" i="93"/>
  <c r="BE1112" i="93"/>
  <c r="BE1113" i="93"/>
  <c r="BE1114" i="93"/>
  <c r="BE1116" i="93"/>
  <c r="BE1117" i="93"/>
  <c r="BE1118" i="93"/>
  <c r="BE1119" i="93"/>
  <c r="BE1120" i="93"/>
  <c r="BE1121" i="93"/>
  <c r="BE1122" i="93"/>
  <c r="BE1124" i="93"/>
  <c r="BE1125" i="93"/>
  <c r="BE1130" i="93"/>
  <c r="BE1131" i="93"/>
  <c r="BE1133" i="93"/>
  <c r="BE1136" i="93"/>
  <c r="BE1137" i="93"/>
  <c r="G11" i="94" s="1"/>
  <c r="BE1138" i="93"/>
  <c r="BE1139" i="93"/>
  <c r="G12" i="94" s="1"/>
  <c r="BE1140" i="93"/>
  <c r="G13" i="94" s="1"/>
  <c r="BE1141" i="93"/>
  <c r="G14" i="94" s="1"/>
  <c r="BE1142" i="93"/>
  <c r="G15" i="94" s="1"/>
  <c r="BE1143" i="93"/>
  <c r="G16" i="94" s="1"/>
  <c r="BE1144" i="93"/>
  <c r="G17" i="94" s="1"/>
  <c r="BE1147" i="93"/>
  <c r="G18" i="94" s="1"/>
  <c r="BE1148" i="93"/>
  <c r="G19" i="94" s="1"/>
  <c r="BE1149" i="93"/>
  <c r="G20" i="94" s="1"/>
  <c r="BE1150" i="93"/>
  <c r="G21" i="94" s="1"/>
  <c r="BE1151" i="93"/>
  <c r="BE1152" i="93"/>
  <c r="BE1153" i="93"/>
  <c r="G22" i="94" s="1"/>
  <c r="BE1154" i="93"/>
  <c r="BE1156" i="93"/>
  <c r="BE1159" i="93"/>
  <c r="G23" i="94"/>
  <c r="BE1255" i="93"/>
  <c r="BE1163" i="93"/>
  <c r="BE1165" i="93"/>
  <c r="G24" i="94" s="1"/>
  <c r="BE1168" i="93"/>
  <c r="BE1171" i="93"/>
  <c r="BE1172" i="93"/>
  <c r="BE1174" i="93"/>
  <c r="BE1175" i="93"/>
  <c r="BE1176" i="93"/>
  <c r="BE1177" i="93"/>
  <c r="BE1178" i="93"/>
  <c r="BE1179" i="93"/>
  <c r="BE1180" i="93"/>
  <c r="BE1182" i="93"/>
  <c r="BE1183" i="93"/>
  <c r="BE1184" i="93"/>
  <c r="BE1185" i="93"/>
  <c r="BE1187" i="93"/>
  <c r="BE1188" i="93"/>
  <c r="BE1231" i="93"/>
  <c r="BE1189" i="93"/>
  <c r="BE1190" i="93"/>
  <c r="BE1191" i="93"/>
  <c r="BE1192" i="93"/>
  <c r="BE1193" i="93"/>
  <c r="BE1194" i="93"/>
  <c r="BE1197" i="93"/>
  <c r="BE1198" i="93"/>
  <c r="BE1199" i="93"/>
  <c r="BE1203" i="93"/>
  <c r="BE1204" i="93"/>
  <c r="BE1205" i="93"/>
  <c r="BE1206" i="93"/>
  <c r="BE1207" i="93"/>
  <c r="BE1208" i="93"/>
  <c r="BE1209" i="93"/>
  <c r="BE1210" i="93"/>
  <c r="BE1212" i="93"/>
  <c r="BE1215" i="93"/>
  <c r="BE1217" i="93"/>
  <c r="BE1221" i="93"/>
  <c r="BE1222" i="93"/>
  <c r="BE1223" i="93"/>
  <c r="BE1224" i="93"/>
  <c r="BE1225" i="93"/>
  <c r="BE1226" i="93"/>
  <c r="BE1227" i="93"/>
  <c r="BE1228" i="93"/>
  <c r="BE1229" i="93"/>
  <c r="BE1230" i="93"/>
  <c r="BE1232" i="93"/>
  <c r="BE1233" i="93"/>
  <c r="BE1234" i="93"/>
  <c r="BE1235" i="93"/>
  <c r="BE1236" i="93"/>
  <c r="BE1237" i="93"/>
  <c r="BE1240" i="93"/>
  <c r="BE1241" i="93"/>
  <c r="BE1242" i="93"/>
  <c r="BE1243" i="93"/>
  <c r="BE1244" i="93"/>
  <c r="BE1245" i="93"/>
  <c r="BE1246" i="93"/>
  <c r="BE1247" i="93"/>
  <c r="BE1249" i="93"/>
  <c r="BE1251" i="93"/>
  <c r="BE1252" i="93"/>
  <c r="BE1253" i="93"/>
  <c r="BE1254" i="93"/>
  <c r="BE1256" i="93"/>
  <c r="BE1257" i="93"/>
  <c r="BE1259" i="93"/>
  <c r="BE1261" i="93"/>
  <c r="BE1263" i="93"/>
  <c r="BE1266" i="93"/>
  <c r="BE1267" i="93"/>
  <c r="BE1268" i="93"/>
  <c r="BE1406" i="93"/>
  <c r="BE1274" i="93"/>
  <c r="BE1275" i="93"/>
  <c r="BE1276" i="93"/>
  <c r="G25" i="94" s="1"/>
  <c r="BE1277" i="93"/>
  <c r="BE1278" i="93"/>
  <c r="BE1279" i="93"/>
  <c r="BE1281" i="93"/>
  <c r="BE1282" i="93"/>
  <c r="BE1284" i="93"/>
  <c r="BE1285" i="93"/>
  <c r="BE1286" i="93"/>
  <c r="BE1287" i="93"/>
  <c r="BE1288" i="93"/>
  <c r="BE1289" i="93"/>
  <c r="BE1290" i="93"/>
  <c r="BE1292" i="93"/>
  <c r="BE1293" i="93"/>
  <c r="BE1296" i="93"/>
  <c r="BE1303" i="93"/>
  <c r="BE1304" i="93"/>
  <c r="BE1305" i="93"/>
  <c r="BE1312" i="93"/>
  <c r="BE1313" i="93"/>
  <c r="BE1315" i="93"/>
  <c r="BE1407" i="93"/>
  <c r="BE1408" i="93"/>
  <c r="BE1316" i="93"/>
  <c r="BE1317" i="93"/>
  <c r="BE1318" i="93"/>
  <c r="BE1321" i="93"/>
  <c r="BE1322" i="93"/>
  <c r="BE1325" i="93"/>
  <c r="BE1329" i="93"/>
  <c r="BE1330" i="93"/>
  <c r="BE1332" i="93"/>
  <c r="BE1334" i="93"/>
  <c r="BE1335" i="93"/>
  <c r="BE1339" i="93"/>
  <c r="BE1342" i="93"/>
  <c r="BE1343" i="93"/>
  <c r="BE1344" i="93"/>
  <c r="BE1345" i="93"/>
  <c r="BE1346" i="93"/>
  <c r="BE1347" i="93"/>
  <c r="BE1348" i="93"/>
  <c r="BE1349" i="93"/>
  <c r="BE1352" i="93"/>
  <c r="BE1353" i="93"/>
  <c r="BE1358" i="93"/>
  <c r="BE1360" i="93"/>
  <c r="BE1361" i="93"/>
  <c r="BE1365" i="93"/>
  <c r="BE1366" i="93"/>
  <c r="BE1368" i="93"/>
  <c r="BE1372" i="93"/>
  <c r="BE1375" i="93"/>
  <c r="BE1376" i="93"/>
  <c r="BE1377" i="93"/>
  <c r="BE1379" i="93"/>
  <c r="BE1380" i="93"/>
  <c r="BE1381" i="93"/>
  <c r="BE1383" i="93"/>
  <c r="BE1384" i="93"/>
  <c r="BE1385" i="93"/>
  <c r="BE1390" i="93"/>
  <c r="BE1396" i="93"/>
  <c r="BE1397" i="93"/>
  <c r="BE1403" i="93"/>
  <c r="BE1410" i="93"/>
  <c r="BE1411" i="93"/>
  <c r="BE1413" i="93"/>
  <c r="BE1416" i="93"/>
  <c r="BE1417" i="93"/>
  <c r="BE1418" i="93"/>
  <c r="BE1419" i="93"/>
  <c r="BE1420" i="93"/>
  <c r="BE1421" i="93"/>
  <c r="BE1422" i="93"/>
  <c r="BE1423" i="93"/>
  <c r="BE1424" i="93"/>
  <c r="BE1425" i="93"/>
  <c r="BE1426" i="93"/>
  <c r="BE1429" i="93"/>
  <c r="BE1430" i="93"/>
  <c r="BE1431" i="93"/>
  <c r="BE1433" i="93"/>
  <c r="BE1434" i="93"/>
  <c r="G26" i="94" s="1"/>
  <c r="BE1435" i="93"/>
  <c r="G27" i="94" s="1"/>
  <c r="BE1438" i="93"/>
  <c r="BE1440" i="93"/>
  <c r="BE1441" i="93"/>
  <c r="BE1442" i="93"/>
  <c r="BE1443" i="93"/>
  <c r="G28" i="94" s="1"/>
  <c r="BE1444" i="93"/>
  <c r="G29" i="94" s="1"/>
  <c r="BE1445" i="93"/>
  <c r="G30" i="94" s="1"/>
  <c r="BE1446" i="93"/>
  <c r="G31" i="94" s="1"/>
  <c r="BE1447" i="93"/>
  <c r="BE1448" i="93"/>
  <c r="BE1449" i="93"/>
  <c r="BE1452" i="93"/>
  <c r="BE1511" i="93"/>
  <c r="BE1455" i="93"/>
  <c r="BE1456" i="93"/>
  <c r="BE1458" i="93"/>
  <c r="BE1460" i="93"/>
  <c r="BE1461" i="93"/>
  <c r="BE1462" i="93"/>
  <c r="BE1465" i="93"/>
  <c r="BE1466" i="93"/>
  <c r="BE1467" i="93"/>
  <c r="BE1469" i="93"/>
  <c r="BE1470" i="93"/>
  <c r="BE1471" i="93"/>
  <c r="BE1472" i="93"/>
  <c r="BE1473" i="93"/>
  <c r="BE1474" i="93"/>
  <c r="BE1475" i="93"/>
  <c r="BE1476" i="93"/>
  <c r="BE1478" i="93"/>
  <c r="BE1480" i="93"/>
  <c r="BE1481" i="93"/>
  <c r="BE1482" i="93"/>
  <c r="BE1483" i="93"/>
  <c r="BE1484" i="93"/>
  <c r="BE1485" i="93"/>
  <c r="BE1486" i="93"/>
  <c r="BE1487" i="93"/>
  <c r="BE1488" i="93"/>
  <c r="BE1490" i="93"/>
  <c r="BE1491" i="93"/>
  <c r="BE1492" i="93"/>
  <c r="BE1494" i="93"/>
  <c r="BE1495" i="93"/>
  <c r="BE1496" i="93"/>
  <c r="BE1500" i="93"/>
  <c r="BE1501" i="93"/>
  <c r="BE1503" i="93"/>
  <c r="BE1504" i="93"/>
  <c r="BE1505" i="93"/>
  <c r="BE1507" i="93"/>
  <c r="BE1509" i="93"/>
  <c r="BE1514" i="93"/>
  <c r="BE1515" i="93"/>
  <c r="BE1520" i="93"/>
  <c r="BE1521" i="93"/>
  <c r="BE1522" i="93"/>
  <c r="BE1523" i="93"/>
  <c r="BE1524" i="93"/>
  <c r="BE1525" i="93"/>
  <c r="BE1526" i="93"/>
  <c r="BE1527" i="93"/>
  <c r="BE1528" i="93"/>
  <c r="BE1529" i="93"/>
  <c r="BE1531" i="93"/>
  <c r="BE1532" i="93"/>
  <c r="BE1534" i="93"/>
  <c r="BE1535" i="93"/>
  <c r="BE1536" i="93"/>
  <c r="BE1537" i="93"/>
  <c r="BE1538" i="93"/>
  <c r="BE1539" i="93"/>
  <c r="BE1540" i="93"/>
  <c r="BE1544" i="93"/>
  <c r="BE1545" i="93"/>
  <c r="BE1546" i="93"/>
  <c r="BE1548" i="93"/>
  <c r="BE1550" i="93"/>
  <c r="BE1619" i="93"/>
  <c r="BE1551" i="93"/>
  <c r="BE1552" i="93"/>
  <c r="BE1553" i="93"/>
  <c r="BE1554" i="93"/>
  <c r="BE1555" i="93"/>
  <c r="BE1557" i="93"/>
  <c r="BE1558" i="93"/>
  <c r="BE1559" i="93"/>
  <c r="BE1561" i="93"/>
  <c r="BE1562" i="93"/>
  <c r="BE1563" i="93"/>
  <c r="BE1564" i="93"/>
  <c r="BE1567" i="93"/>
  <c r="BE1568" i="93"/>
  <c r="BE1569" i="93"/>
  <c r="BE1570" i="93"/>
  <c r="BE1571" i="93"/>
  <c r="BE1572" i="93"/>
  <c r="BE1573" i="93"/>
  <c r="BE1574" i="93"/>
  <c r="BE1577" i="93"/>
  <c r="BE1578" i="93"/>
  <c r="BE1579" i="93"/>
  <c r="BE1580" i="93"/>
  <c r="BE1581" i="93"/>
  <c r="BE1584" i="93"/>
  <c r="BE1585" i="93"/>
  <c r="BE1586" i="93"/>
  <c r="BE1588" i="93"/>
  <c r="BE1589" i="93"/>
  <c r="BE1590" i="93"/>
  <c r="BE1591" i="93"/>
  <c r="BE1592" i="93"/>
  <c r="BE1593" i="93"/>
  <c r="BE1594" i="93"/>
  <c r="BE1595" i="93"/>
  <c r="BE1597" i="93"/>
  <c r="BE1598" i="93"/>
  <c r="BE1599" i="93"/>
  <c r="BE1600" i="93"/>
  <c r="BE1601" i="93"/>
  <c r="BE1602" i="93"/>
  <c r="BE1604" i="93"/>
  <c r="BE1605" i="93"/>
  <c r="BE1606" i="93"/>
  <c r="BE1607" i="93"/>
  <c r="BE1608" i="93"/>
  <c r="BE1609" i="93"/>
  <c r="BE1610" i="93"/>
  <c r="BE1611" i="93"/>
  <c r="BE1612" i="93"/>
  <c r="BE1613" i="93"/>
  <c r="BE1615" i="93"/>
  <c r="BE1616" i="93"/>
  <c r="BE1617" i="93"/>
  <c r="BE1621" i="93"/>
  <c r="BE1622" i="93"/>
  <c r="BE1625" i="93"/>
  <c r="BE1626" i="93"/>
  <c r="BE1628" i="93"/>
  <c r="BE1629" i="93"/>
  <c r="BE1630" i="93"/>
  <c r="BE1631" i="93"/>
  <c r="BE1632" i="93"/>
  <c r="BE1634" i="93"/>
  <c r="BE1635" i="93"/>
  <c r="BE1636" i="93"/>
  <c r="BE1637" i="93"/>
  <c r="BE1638" i="93"/>
  <c r="BE1640" i="93"/>
  <c r="BE1641" i="93"/>
  <c r="BE1642" i="93"/>
  <c r="BE1645" i="93"/>
  <c r="BE1646" i="93"/>
  <c r="BE1695" i="93"/>
  <c r="BE1696" i="93"/>
  <c r="BE1697" i="93"/>
  <c r="BE1647" i="93"/>
  <c r="BE1648" i="93"/>
  <c r="BE1649" i="93"/>
  <c r="BE1650" i="93"/>
  <c r="BE1651" i="93"/>
  <c r="BE1653" i="93"/>
  <c r="BE1654" i="93"/>
  <c r="BE1657" i="93"/>
  <c r="BE1658" i="93"/>
  <c r="BE1659" i="93"/>
  <c r="BE1660" i="93"/>
  <c r="BE1661" i="93"/>
  <c r="BE1662" i="93"/>
  <c r="BE1663" i="93"/>
  <c r="BE1665" i="93"/>
  <c r="BE1666" i="93"/>
  <c r="BE1667" i="93"/>
  <c r="BE1668" i="93"/>
  <c r="BE1671" i="93"/>
  <c r="BE1672" i="93"/>
  <c r="BE1674" i="93"/>
  <c r="BE1675" i="93"/>
  <c r="BE1676" i="93"/>
  <c r="BE1677" i="93"/>
  <c r="BE1678" i="93"/>
  <c r="BE1680" i="93"/>
  <c r="BE1681" i="93"/>
  <c r="BE1682" i="93"/>
  <c r="BE1683" i="93"/>
  <c r="BE1684" i="93"/>
  <c r="BE1685" i="93"/>
  <c r="BE1686" i="93"/>
  <c r="BE1687" i="93"/>
  <c r="BE1688" i="93"/>
  <c r="BE1689" i="93"/>
  <c r="BE1690" i="93"/>
  <c r="BE1691" i="93"/>
  <c r="BE1692" i="93"/>
  <c r="BE1693" i="93"/>
  <c r="BE1694" i="93"/>
  <c r="BE1699" i="93"/>
  <c r="BE1701" i="93"/>
  <c r="BE1702" i="93"/>
  <c r="BE1708" i="93"/>
  <c r="BE1710" i="93"/>
  <c r="BE1711" i="93"/>
  <c r="BE1713" i="93"/>
  <c r="BE1714" i="93"/>
  <c r="BE1715" i="93"/>
  <c r="BE1716" i="93"/>
  <c r="BE1717" i="93"/>
  <c r="BE1719" i="93"/>
  <c r="BE1720" i="93"/>
  <c r="BE1722" i="93"/>
  <c r="BE1723" i="93"/>
  <c r="BE1724" i="93"/>
  <c r="BE1726" i="93"/>
  <c r="BE1727" i="93"/>
  <c r="BE1728" i="93"/>
  <c r="BE1729" i="93"/>
  <c r="BE1730" i="93"/>
  <c r="BE1732" i="93"/>
  <c r="BE1735" i="93"/>
  <c r="BE1738" i="93"/>
  <c r="BE1740" i="93"/>
  <c r="BE1742" i="93"/>
  <c r="BE1807" i="93"/>
  <c r="BE1743" i="93"/>
  <c r="BE1744" i="93"/>
  <c r="BE1745" i="93"/>
  <c r="BE1747" i="93"/>
  <c r="BE1751" i="93"/>
  <c r="BE1752" i="93"/>
  <c r="BE1753" i="93"/>
  <c r="BE1755" i="93"/>
  <c r="BE1756" i="93"/>
  <c r="BE1758" i="93"/>
  <c r="BE1761" i="93"/>
  <c r="BE1762" i="93"/>
  <c r="BE1765" i="93"/>
  <c r="BE1766" i="93"/>
  <c r="BE1768" i="93"/>
  <c r="BE1769" i="93"/>
  <c r="BE1770" i="93"/>
  <c r="BE1771" i="93"/>
  <c r="BE1772" i="93"/>
  <c r="BE1773" i="93"/>
  <c r="BE1774" i="93"/>
  <c r="BE1775" i="93"/>
  <c r="BE1777" i="93"/>
  <c r="BE1778" i="93"/>
  <c r="BE1781" i="93"/>
  <c r="BE1783" i="93"/>
  <c r="BE1784" i="93"/>
  <c r="BE1785" i="93"/>
  <c r="BE1786" i="93"/>
  <c r="BE1787" i="93"/>
  <c r="BE1788" i="93"/>
  <c r="BE1789" i="93"/>
  <c r="BE1790" i="93"/>
  <c r="BE1791" i="93"/>
  <c r="BE1792" i="93"/>
  <c r="BE1793" i="93"/>
  <c r="BE1794" i="93"/>
  <c r="BE1795" i="93"/>
  <c r="BE1796" i="93"/>
  <c r="BE1797" i="93"/>
  <c r="BE1798" i="93"/>
  <c r="BE1799" i="93"/>
  <c r="BE1800" i="93"/>
  <c r="BE1801" i="93"/>
  <c r="BE1803" i="93"/>
  <c r="BE1804" i="93"/>
  <c r="BE1806" i="93"/>
  <c r="BE1809" i="93"/>
  <c r="BE1810" i="93"/>
  <c r="BE1811" i="93"/>
  <c r="BE1812" i="93"/>
  <c r="BE1813" i="93"/>
  <c r="BE1815" i="93"/>
  <c r="BE1817" i="93"/>
  <c r="BE1818" i="93"/>
  <c r="BE1820" i="93"/>
  <c r="BE1821" i="93"/>
  <c r="BE1822" i="93"/>
  <c r="BE1823" i="93"/>
  <c r="BE1824" i="93"/>
  <c r="BE1825" i="93"/>
  <c r="BE1826" i="93"/>
  <c r="BE1827" i="93"/>
  <c r="BE1828" i="93"/>
  <c r="BE1830" i="93"/>
  <c r="BE1832" i="93"/>
  <c r="BE1833" i="93"/>
  <c r="BE1834" i="93"/>
  <c r="BE1835" i="93"/>
  <c r="BE1836" i="93"/>
  <c r="BE1837" i="93"/>
  <c r="BE1844" i="93"/>
  <c r="BE1846" i="93"/>
  <c r="BE1848" i="93"/>
  <c r="BE1849" i="93"/>
  <c r="BE1851" i="93"/>
  <c r="BE1852" i="93"/>
  <c r="BE1853" i="93"/>
  <c r="BE1854" i="93"/>
  <c r="BE1855" i="93"/>
  <c r="BE1856" i="93"/>
  <c r="BE1857" i="93"/>
  <c r="BE1858" i="93"/>
  <c r="BE1859" i="93"/>
  <c r="BE1861" i="93"/>
  <c r="BE1862" i="93"/>
  <c r="BE1865" i="93"/>
  <c r="BE1866" i="93"/>
  <c r="BE1867" i="93"/>
  <c r="BE1869" i="93"/>
  <c r="BE1870" i="93"/>
  <c r="BE1871" i="93"/>
  <c r="BE1872" i="93"/>
  <c r="BE1873" i="93"/>
  <c r="BE1874" i="93"/>
  <c r="BE1875" i="93"/>
  <c r="BE1877" i="93"/>
  <c r="BE1878" i="93"/>
  <c r="BE1879" i="93"/>
  <c r="BE1880" i="93"/>
  <c r="BE1881" i="93"/>
  <c r="BE1882" i="93"/>
  <c r="BE1883" i="93"/>
  <c r="BE1884" i="93"/>
  <c r="BE1885" i="93"/>
  <c r="BE1886" i="93"/>
  <c r="BE1887" i="93"/>
  <c r="BE1888" i="93"/>
  <c r="BE1889" i="93"/>
  <c r="BE1890" i="93"/>
  <c r="BE1895" i="93"/>
  <c r="BE1896" i="93"/>
  <c r="BE1897" i="93"/>
  <c r="BE1898" i="93"/>
  <c r="BE1899" i="93"/>
  <c r="BE1900" i="93"/>
  <c r="BE1901" i="93"/>
  <c r="BE1902" i="93"/>
  <c r="BE1903" i="93"/>
  <c r="BE1904" i="93"/>
  <c r="BE1906" i="93"/>
  <c r="BE1907" i="93"/>
  <c r="BE1911" i="93"/>
  <c r="BE1912" i="93"/>
  <c r="BE1914" i="93"/>
  <c r="BE1917" i="93"/>
  <c r="BE1918" i="93"/>
  <c r="BE1919" i="93"/>
  <c r="BE1920" i="93"/>
  <c r="BE1921" i="93"/>
  <c r="BE1922" i="93"/>
  <c r="BE1923" i="93"/>
  <c r="BE1924" i="93"/>
  <c r="BE1925" i="93"/>
  <c r="BE1926" i="93"/>
  <c r="BE1928" i="93"/>
  <c r="BE1929" i="93"/>
  <c r="BE1930" i="93"/>
  <c r="BE1931" i="93"/>
  <c r="BE1932" i="93"/>
  <c r="BE1933" i="93"/>
  <c r="BE1934" i="93"/>
  <c r="BE1936" i="93"/>
  <c r="BE2002" i="93"/>
  <c r="BE2003" i="93"/>
  <c r="BE1937" i="93"/>
  <c r="BE1938" i="93"/>
  <c r="BE1939" i="93"/>
  <c r="BE1941" i="93"/>
  <c r="BE1943" i="93"/>
  <c r="BE1945" i="93"/>
  <c r="BE1946" i="93"/>
  <c r="BE1948" i="93"/>
  <c r="BE1950" i="93"/>
  <c r="BE1956" i="93"/>
  <c r="BE1957" i="93"/>
  <c r="BE1958" i="93"/>
  <c r="BE1962" i="93"/>
  <c r="BE1963" i="93"/>
  <c r="BE1964" i="93"/>
  <c r="BE1966" i="93"/>
  <c r="BE1967" i="93"/>
  <c r="BE1969" i="93"/>
  <c r="BE1970" i="93"/>
  <c r="BE1971" i="93"/>
  <c r="BE1972" i="93"/>
  <c r="BE1973" i="93"/>
  <c r="BE1974" i="93"/>
  <c r="BE1975" i="93"/>
  <c r="BE1977" i="93"/>
  <c r="BE1979" i="93"/>
  <c r="BE1980" i="93"/>
  <c r="BE1981" i="93"/>
  <c r="BE1982" i="93"/>
  <c r="BE1985" i="93"/>
  <c r="BE1987" i="93"/>
  <c r="BE1993" i="93"/>
  <c r="BE1994" i="93"/>
  <c r="BE1998" i="93"/>
  <c r="BE1999" i="93"/>
  <c r="BE2001" i="93"/>
  <c r="BE2005" i="93"/>
  <c r="BE2007" i="93"/>
  <c r="BE2008" i="93"/>
  <c r="BE2010" i="93"/>
  <c r="BE2012" i="93"/>
  <c r="BE2013" i="93"/>
  <c r="BE2014" i="93"/>
  <c r="BE2016" i="93"/>
  <c r="BE2017" i="93"/>
  <c r="BE2018" i="93"/>
  <c r="BE2019" i="93"/>
  <c r="BE2020" i="93"/>
  <c r="BE2021" i="93"/>
  <c r="BE2022" i="93"/>
  <c r="BE2023" i="93"/>
  <c r="BE2024" i="93"/>
  <c r="BE2025" i="93"/>
  <c r="BE2026" i="93"/>
  <c r="BE2027" i="93"/>
  <c r="BE2028" i="93"/>
  <c r="BE2030" i="93"/>
  <c r="BE2031" i="93"/>
  <c r="BE2032" i="93"/>
  <c r="BE2033" i="93"/>
  <c r="BE2034" i="93"/>
  <c r="BE2035" i="93"/>
  <c r="BE2036" i="93"/>
  <c r="BE2037" i="93"/>
  <c r="BE2039" i="93"/>
  <c r="BE2040" i="93"/>
  <c r="BE2041" i="93"/>
  <c r="BE2042" i="93"/>
  <c r="BE2043" i="93"/>
  <c r="BE2045" i="93"/>
  <c r="BE2047" i="93"/>
  <c r="BE2048" i="93"/>
  <c r="BE2049" i="93"/>
  <c r="BE2050" i="93"/>
  <c r="BE2051" i="93"/>
  <c r="BE2052" i="93"/>
  <c r="BE2053" i="93"/>
  <c r="BE2055" i="93"/>
  <c r="BE2056" i="93"/>
  <c r="BE2057" i="93"/>
  <c r="BE2058" i="93"/>
  <c r="BE2059" i="93"/>
  <c r="BE2060" i="93"/>
  <c r="BE2152" i="93"/>
  <c r="BE2061" i="93"/>
  <c r="BE2062" i="93"/>
  <c r="BE2065" i="93"/>
  <c r="BE2066" i="93"/>
  <c r="BE2067" i="93"/>
  <c r="BE2068" i="93"/>
  <c r="BE2069" i="93"/>
  <c r="BE2071" i="93"/>
  <c r="BE2072" i="93"/>
  <c r="BE2073" i="93"/>
  <c r="BE2074" i="93"/>
  <c r="BE2075" i="93"/>
  <c r="BE2076" i="93"/>
  <c r="BE2078" i="93"/>
  <c r="BE2079" i="93"/>
  <c r="BE2080" i="93"/>
  <c r="BE2081" i="93"/>
  <c r="BE2082" i="93"/>
  <c r="BE2083" i="93"/>
  <c r="BE2085" i="93"/>
  <c r="BE2086" i="93"/>
  <c r="BE2087" i="93"/>
  <c r="BE2088" i="93"/>
  <c r="BE2089" i="93"/>
  <c r="BE2091" i="93"/>
  <c r="BE2092" i="93"/>
  <c r="BE2093" i="93"/>
  <c r="BE2094" i="93"/>
  <c r="BE2095" i="93"/>
  <c r="BE2096" i="93"/>
  <c r="BE2097" i="93"/>
  <c r="BE2098" i="93"/>
  <c r="BE2099" i="93"/>
  <c r="BE2100" i="93"/>
  <c r="BE2101" i="93"/>
  <c r="BE2102" i="93"/>
  <c r="BE2103" i="93"/>
  <c r="BE2104" i="93"/>
  <c r="BE2105" i="93"/>
  <c r="BE2106" i="93"/>
  <c r="BE2107" i="93"/>
  <c r="BE2108" i="93"/>
  <c r="BE2109" i="93"/>
  <c r="BE2110" i="93"/>
  <c r="BE2111" i="93"/>
  <c r="BE2112" i="93"/>
  <c r="BE2113" i="93"/>
  <c r="BE2114" i="93"/>
  <c r="BE2115" i="93"/>
  <c r="BE2116" i="93"/>
  <c r="BE2117" i="93"/>
  <c r="BE2118" i="93"/>
  <c r="BE2119" i="93"/>
  <c r="BE2120" i="93"/>
  <c r="BE2123" i="93"/>
  <c r="BE2125" i="93"/>
  <c r="BE2126" i="93"/>
  <c r="BE2127" i="93"/>
  <c r="BE2129" i="93"/>
  <c r="BE2130" i="93"/>
  <c r="BE2132" i="93"/>
  <c r="BE2133" i="93"/>
  <c r="BE2134" i="93"/>
  <c r="BE2135" i="93"/>
  <c r="BE2136" i="93"/>
  <c r="BE2137" i="93"/>
  <c r="BE2138" i="93"/>
  <c r="BE2139" i="93"/>
  <c r="BE2140" i="93"/>
  <c r="BE2141" i="93"/>
  <c r="BE2142" i="93"/>
  <c r="BE2144" i="93"/>
  <c r="BE2145" i="93"/>
  <c r="BE2155" i="93"/>
  <c r="BE2156" i="93"/>
  <c r="BE2157" i="93"/>
  <c r="BE2158" i="93"/>
  <c r="BE2160" i="93"/>
  <c r="BE2161" i="93"/>
  <c r="BE2162" i="93"/>
  <c r="BE2163" i="93"/>
  <c r="BE2164" i="93"/>
  <c r="BE2165" i="93"/>
  <c r="BE2166" i="93"/>
  <c r="BE2168" i="93"/>
  <c r="BE2169" i="93"/>
  <c r="BE2171" i="93"/>
  <c r="BE2172" i="93"/>
  <c r="BE2174" i="93"/>
  <c r="BE2176" i="93"/>
  <c r="BE2177" i="93"/>
  <c r="BE2179" i="93"/>
  <c r="BE2181" i="93"/>
  <c r="BE2183" i="93"/>
  <c r="BE2184" i="93"/>
  <c r="BE2185" i="93"/>
  <c r="BE2186" i="93"/>
  <c r="BE2187" i="93"/>
  <c r="BE2188" i="93"/>
  <c r="BE2191" i="93"/>
  <c r="BE2192" i="93"/>
  <c r="BE2193" i="93"/>
  <c r="BE2194" i="93"/>
  <c r="BE2195" i="93"/>
  <c r="BE2196" i="93"/>
  <c r="BE2197" i="93"/>
  <c r="BE2198" i="93"/>
  <c r="BE2292" i="93"/>
  <c r="BE2200" i="93"/>
  <c r="BE2201" i="93"/>
  <c r="BE2203" i="93"/>
  <c r="BE2204" i="93"/>
  <c r="BE2205" i="93"/>
  <c r="BE2206" i="93"/>
  <c r="BE2207" i="93"/>
  <c r="BE2209" i="93"/>
  <c r="BE2210" i="93"/>
  <c r="BE2211" i="93"/>
  <c r="BE2212" i="93"/>
  <c r="BE2213" i="93"/>
  <c r="BE2214" i="93"/>
  <c r="BE2215" i="93"/>
  <c r="BE2218" i="93"/>
  <c r="BE2219" i="93"/>
  <c r="BE2220" i="93"/>
  <c r="BE2221" i="93"/>
  <c r="BE2222" i="93"/>
  <c r="BE2223" i="93"/>
  <c r="BE2224" i="93"/>
  <c r="BE2225" i="93"/>
  <c r="BE2226" i="93"/>
  <c r="BE2228" i="93"/>
  <c r="BE2229" i="93"/>
  <c r="BE2230" i="93"/>
  <c r="BE2231" i="93"/>
  <c r="BE2234" i="93"/>
  <c r="BE2235" i="93"/>
  <c r="BE2236" i="93"/>
  <c r="BE2237" i="93"/>
  <c r="BE2238" i="93"/>
  <c r="BE2239" i="93"/>
  <c r="G35" i="94" s="1"/>
  <c r="BE2240" i="93"/>
  <c r="BE2242" i="93"/>
  <c r="G38" i="94" s="1"/>
  <c r="BE2243" i="93"/>
  <c r="G39" i="94" s="1"/>
  <c r="BE2244" i="93"/>
  <c r="G40" i="94" s="1"/>
  <c r="BE2245" i="93"/>
  <c r="G41" i="94" s="1"/>
  <c r="BE2250" i="93"/>
  <c r="BE2251" i="93"/>
  <c r="BE2252" i="93"/>
  <c r="BE2253" i="93"/>
  <c r="BE2254" i="93"/>
  <c r="BE2255" i="93"/>
  <c r="BE2256" i="93"/>
  <c r="BE2257" i="93"/>
  <c r="BE2258" i="93"/>
  <c r="BE2259" i="93"/>
  <c r="BE2260" i="93"/>
  <c r="BE2261" i="93"/>
  <c r="BE2262" i="93"/>
  <c r="BE2263" i="93"/>
  <c r="BE2264" i="93"/>
  <c r="BE2265" i="93"/>
  <c r="BE2266" i="93"/>
  <c r="BE2267" i="93"/>
  <c r="BE2270" i="93"/>
  <c r="BE2271" i="93"/>
  <c r="BE2272" i="93"/>
  <c r="BE2273" i="93"/>
  <c r="BE2275" i="93"/>
  <c r="BE2277" i="93"/>
  <c r="BE2278" i="93"/>
  <c r="BE2279" i="93"/>
  <c r="BE2280" i="93"/>
  <c r="BE2281" i="93"/>
  <c r="BE2282" i="93"/>
  <c r="BE2283" i="93"/>
  <c r="BE2284" i="93"/>
  <c r="BE2288" i="93"/>
  <c r="BE2290" i="93"/>
  <c r="BE2291" i="93"/>
  <c r="BE2294" i="93"/>
  <c r="BE2295" i="93"/>
  <c r="BE2296" i="93"/>
  <c r="BE2297" i="93"/>
  <c r="BE2298" i="93"/>
  <c r="BE2300" i="93"/>
  <c r="BE2301" i="93"/>
  <c r="BE2303" i="93"/>
  <c r="BE2304" i="93"/>
  <c r="BE2305" i="93"/>
  <c r="BE2306" i="93"/>
  <c r="BE2308" i="93"/>
  <c r="BE2309" i="93"/>
  <c r="BE2310" i="93"/>
  <c r="BE2311" i="93"/>
  <c r="BE2313" i="93"/>
  <c r="BE2314" i="93"/>
  <c r="BE2315" i="93"/>
  <c r="BE2316" i="93"/>
  <c r="BE2318" i="93"/>
  <c r="BE2319" i="93"/>
  <c r="BE2320" i="93"/>
  <c r="BE2321" i="93"/>
  <c r="BE2322" i="93"/>
  <c r="BE2325" i="93"/>
  <c r="BE2326" i="93"/>
  <c r="BE2327" i="93"/>
  <c r="BE2328" i="93"/>
  <c r="BE2329" i="93"/>
  <c r="BE2330" i="93"/>
  <c r="BE2332" i="93"/>
  <c r="BE2334" i="93"/>
  <c r="BE2339" i="93"/>
  <c r="BE2342" i="93"/>
  <c r="BE2344" i="93"/>
  <c r="BE2347" i="93"/>
  <c r="BE2348" i="93"/>
  <c r="BE2349" i="93"/>
  <c r="BE2350" i="93"/>
  <c r="BE2351" i="93"/>
  <c r="BE2379" i="93"/>
  <c r="BE2380" i="93"/>
  <c r="BE2359" i="93"/>
  <c r="BE2360" i="93"/>
  <c r="BE2368" i="93"/>
  <c r="BE2369" i="93"/>
  <c r="BE2376" i="93"/>
  <c r="BE2383" i="93"/>
  <c r="BE2384" i="93"/>
  <c r="BE2385" i="93"/>
  <c r="BE2386" i="93"/>
  <c r="BE2387" i="93"/>
  <c r="BE2388" i="93"/>
  <c r="BE2389" i="93"/>
  <c r="BE2391" i="93"/>
  <c r="BE2392" i="93"/>
  <c r="BE2394" i="93"/>
  <c r="BE2395" i="93"/>
  <c r="BE2396" i="93"/>
  <c r="BE2397" i="93"/>
  <c r="BE2399" i="93"/>
  <c r="BE2400" i="93"/>
  <c r="BE2401" i="93"/>
  <c r="BE2402" i="93"/>
  <c r="BE2403" i="93"/>
  <c r="BE2404" i="93"/>
  <c r="BE2405" i="93"/>
  <c r="BE2406" i="93"/>
  <c r="BE2407" i="93"/>
  <c r="BE2408" i="93"/>
  <c r="BE2409" i="93"/>
  <c r="BE2410" i="93"/>
  <c r="BE2411" i="93"/>
  <c r="BE2412" i="93"/>
  <c r="BE2413" i="93"/>
  <c r="BE2414" i="93"/>
  <c r="BE2415" i="93"/>
  <c r="BE2416" i="93"/>
  <c r="BE2417" i="93"/>
  <c r="BE2418" i="93"/>
  <c r="BE2420" i="93"/>
  <c r="BE2421" i="93"/>
  <c r="BE2422" i="93"/>
  <c r="BE2423" i="93"/>
  <c r="BE2424" i="93"/>
  <c r="BE2425" i="93"/>
  <c r="BE2427" i="93"/>
  <c r="BE2428" i="93"/>
  <c r="BE2429" i="93"/>
  <c r="BE2430" i="93"/>
  <c r="BE2431" i="93"/>
  <c r="BE2433" i="93"/>
  <c r="BE2435" i="93"/>
  <c r="BE2436" i="93"/>
  <c r="BE2437" i="93"/>
  <c r="BE2439" i="93"/>
  <c r="BE2440" i="93"/>
  <c r="BE2441" i="93"/>
  <c r="BE2443" i="93"/>
  <c r="BE2444" i="93"/>
  <c r="BE2442" i="93"/>
  <c r="BE2446" i="93"/>
  <c r="BE2447" i="93"/>
  <c r="BE2449" i="93"/>
  <c r="BE2454" i="93"/>
  <c r="BE2455" i="93"/>
  <c r="BE2457" i="93"/>
  <c r="BE2458" i="93"/>
  <c r="BE2459" i="93"/>
  <c r="BE2461" i="93"/>
  <c r="BE2465" i="93"/>
  <c r="BE2466" i="93"/>
  <c r="BE2471" i="93"/>
  <c r="BE2472" i="93"/>
  <c r="BE2475" i="93"/>
  <c r="BE2612" i="93"/>
  <c r="BE2477" i="93"/>
  <c r="BE2488" i="93"/>
  <c r="BE2479" i="93"/>
  <c r="BE2480" i="93"/>
  <c r="BE2481" i="93"/>
  <c r="BE2484" i="93"/>
  <c r="BE2486" i="93"/>
  <c r="BE2487" i="93"/>
  <c r="BE2489" i="93"/>
  <c r="BE2490" i="93"/>
  <c r="BE2491" i="93"/>
  <c r="BE2492" i="93"/>
  <c r="BE2493" i="93"/>
  <c r="BE2494" i="93"/>
  <c r="BE2495" i="93"/>
  <c r="BE2496" i="93"/>
  <c r="BE2497" i="93"/>
  <c r="BE2498" i="93"/>
  <c r="BE2499" i="93"/>
  <c r="BE2501" i="93"/>
  <c r="BE2502" i="93"/>
  <c r="BE2503" i="93"/>
  <c r="BE2504" i="93"/>
  <c r="BE2505" i="93"/>
  <c r="BE2506" i="93"/>
  <c r="BE2507" i="93"/>
  <c r="BE2510" i="93"/>
  <c r="BE2511" i="93"/>
  <c r="BE2512" i="93"/>
  <c r="BE2513" i="93"/>
  <c r="BE2514" i="93"/>
  <c r="BE2520" i="93"/>
  <c r="BE2521" i="93"/>
  <c r="BE2522" i="93"/>
  <c r="BE2523" i="93"/>
  <c r="BE2524" i="93"/>
  <c r="BE2525" i="93"/>
  <c r="BE2526" i="93"/>
  <c r="BE2527" i="93"/>
  <c r="BE2528" i="93"/>
  <c r="BE2530" i="93"/>
  <c r="BE2531" i="93"/>
  <c r="BE2532" i="93"/>
  <c r="BE2533" i="93"/>
  <c r="BE2534" i="93"/>
  <c r="BE2535" i="93"/>
  <c r="BE2538" i="93"/>
  <c r="BE2539" i="93"/>
  <c r="BE2540" i="93"/>
  <c r="BE2541" i="93"/>
  <c r="BE2542" i="93"/>
  <c r="BE2543" i="93"/>
  <c r="BE2544" i="93"/>
  <c r="BE2546" i="93"/>
  <c r="BE2547" i="93"/>
  <c r="BE2548" i="93"/>
  <c r="BE2549" i="93"/>
  <c r="BE2550" i="93"/>
  <c r="BE2551" i="93"/>
  <c r="BE2552" i="93"/>
  <c r="BE2553" i="93"/>
  <c r="BE2554" i="93"/>
  <c r="BE2555" i="93"/>
  <c r="BE2556" i="93"/>
  <c r="BE2557" i="93"/>
  <c r="BE2558" i="93"/>
  <c r="BE2559" i="93"/>
  <c r="BE2560" i="93"/>
  <c r="BE2561" i="93"/>
  <c r="BE2562" i="93"/>
  <c r="BE2563" i="93"/>
  <c r="BE2564" i="93"/>
  <c r="BE2565" i="93"/>
  <c r="BE2567" i="93"/>
  <c r="BE2568" i="93"/>
  <c r="BE2572" i="93"/>
  <c r="BE2573" i="93"/>
  <c r="BE2574" i="93"/>
  <c r="BE2576" i="93"/>
  <c r="BE2577" i="93"/>
  <c r="BE2578" i="93"/>
  <c r="BE2580" i="93"/>
  <c r="BE2583" i="93"/>
  <c r="BE2584" i="93"/>
  <c r="BE2585" i="93"/>
  <c r="BE2587" i="93"/>
  <c r="BE2588" i="93"/>
  <c r="BE2589" i="93"/>
  <c r="BE2590" i="93"/>
  <c r="BE2591" i="93"/>
  <c r="BE2592" i="93"/>
  <c r="BE2593" i="93"/>
  <c r="BE2594" i="93"/>
  <c r="BE2595" i="93"/>
  <c r="BE2596" i="93"/>
  <c r="BE2597" i="93"/>
  <c r="BE2599" i="93"/>
  <c r="BE2600" i="93"/>
  <c r="BE2601" i="93"/>
  <c r="BE2602" i="93"/>
  <c r="BE2604" i="93"/>
  <c r="BE2605" i="93"/>
  <c r="BE2607" i="93"/>
  <c r="BE2608" i="93"/>
  <c r="BE2615" i="93"/>
  <c r="BE2616" i="93"/>
  <c r="BE2617" i="93"/>
  <c r="BE2626" i="93"/>
  <c r="BE2618" i="93"/>
  <c r="BE2619" i="93"/>
  <c r="BE2620" i="93"/>
  <c r="BE2621" i="93"/>
  <c r="BE2622" i="93"/>
  <c r="BE2623" i="93"/>
  <c r="BE2624" i="93"/>
  <c r="BE2625" i="93"/>
  <c r="BE2628" i="93"/>
  <c r="BE2629" i="93"/>
  <c r="BE2631" i="93"/>
  <c r="BE2632" i="93"/>
  <c r="BE2633" i="93"/>
  <c r="BE2634" i="93"/>
  <c r="BE2635" i="93"/>
  <c r="BE2636" i="93"/>
  <c r="BE2637" i="93"/>
  <c r="BE2638" i="93"/>
  <c r="BE2640" i="93"/>
  <c r="BE2641" i="93"/>
  <c r="BE2642" i="93"/>
  <c r="BE2643" i="93"/>
  <c r="BE2644" i="93"/>
  <c r="BE2645" i="93"/>
  <c r="BE2646" i="93"/>
  <c r="BE2647" i="93"/>
  <c r="BE2648" i="93"/>
  <c r="BE2649" i="93"/>
  <c r="BE2650" i="93"/>
  <c r="BE2651" i="93"/>
  <c r="BE2652" i="93"/>
  <c r="BE2653" i="93"/>
  <c r="BE2656" i="93"/>
  <c r="BE2657" i="93"/>
  <c r="BE2658" i="93"/>
  <c r="BE2663" i="93"/>
  <c r="BE2664" i="93"/>
  <c r="BE2665" i="93"/>
  <c r="BE2668" i="93"/>
  <c r="BE2669" i="93"/>
  <c r="G44" i="94" s="1"/>
  <c r="BE2670" i="93"/>
  <c r="BE2671" i="93"/>
  <c r="BE2672" i="93"/>
  <c r="BE2673" i="93"/>
  <c r="BE2674" i="93"/>
  <c r="BE2675" i="93"/>
  <c r="BE2676" i="93"/>
  <c r="BE2677" i="93"/>
  <c r="BE2679" i="93"/>
  <c r="BE2680" i="93"/>
  <c r="BE2682" i="93"/>
  <c r="BE2684" i="93"/>
  <c r="BE2691" i="93"/>
  <c r="BE2692" i="93"/>
  <c r="BE2693" i="93"/>
  <c r="BE2694" i="93"/>
  <c r="BE2695" i="93"/>
  <c r="BE2696" i="93"/>
  <c r="BE2697" i="93"/>
  <c r="BE2698" i="93"/>
  <c r="BE2699" i="93"/>
  <c r="BE2700" i="93"/>
  <c r="BE2701" i="93"/>
  <c r="BE2702" i="93"/>
  <c r="BE2703" i="93"/>
  <c r="BE2704" i="93"/>
  <c r="BE2705" i="93"/>
  <c r="BE2706" i="93"/>
  <c r="BE2708" i="93"/>
  <c r="BE2709" i="93"/>
  <c r="BE2710" i="93"/>
  <c r="BE2711" i="93"/>
  <c r="BE2712" i="93"/>
  <c r="BE2716" i="93"/>
  <c r="BE2717" i="93"/>
  <c r="BE2718" i="93"/>
  <c r="BE2719" i="93"/>
  <c r="BE2720" i="93"/>
  <c r="BE2721" i="93"/>
  <c r="BE2722" i="93"/>
  <c r="BE2723" i="93"/>
  <c r="BE2724" i="93"/>
  <c r="BE2725" i="93"/>
  <c r="BE2726" i="93"/>
  <c r="BE2727" i="93"/>
  <c r="BE2729" i="93"/>
  <c r="BE2730" i="93"/>
  <c r="BE2731" i="93"/>
  <c r="BE2732" i="93"/>
  <c r="BE2733" i="93"/>
  <c r="BE2734" i="93"/>
  <c r="BE2735" i="93"/>
  <c r="BE2737" i="93"/>
  <c r="BE2739" i="93"/>
  <c r="BE2740" i="93"/>
  <c r="BE2744" i="93"/>
  <c r="BE2746" i="93"/>
  <c r="BE2748" i="93"/>
  <c r="BE2749" i="93"/>
  <c r="BE2750" i="93"/>
  <c r="BE2751" i="93"/>
  <c r="BE2752" i="93"/>
  <c r="BE2753" i="93"/>
  <c r="BE2754" i="93"/>
  <c r="BE2755" i="93"/>
  <c r="BE2756" i="93"/>
  <c r="BE2757" i="93"/>
  <c r="BE2758" i="93"/>
  <c r="BE2759" i="93"/>
  <c r="BE2761" i="93"/>
  <c r="BE2762" i="93"/>
  <c r="BE2763" i="93"/>
  <c r="BE2764" i="93"/>
  <c r="BE2766" i="93"/>
  <c r="BE2767" i="93"/>
  <c r="BE2769" i="93"/>
  <c r="BE2770" i="93"/>
  <c r="BE2771" i="93"/>
  <c r="BE2772" i="93"/>
  <c r="BE2776" i="93"/>
  <c r="BE2780" i="93"/>
  <c r="BE2781" i="93"/>
  <c r="BE2782" i="93"/>
  <c r="BE2783" i="93"/>
  <c r="BE2784" i="93"/>
  <c r="BE2785" i="93"/>
  <c r="BE2786" i="93"/>
  <c r="BE2787" i="93"/>
  <c r="BE2788" i="93"/>
  <c r="BE2790" i="93"/>
  <c r="BE2791" i="93"/>
  <c r="BE2793" i="93"/>
  <c r="BE2794" i="93"/>
  <c r="BE2795" i="93"/>
  <c r="BE2796" i="93"/>
  <c r="BE2797" i="93"/>
  <c r="BE2799" i="93"/>
  <c r="BE2801" i="93"/>
  <c r="BE2802" i="93"/>
  <c r="BE2804" i="93"/>
  <c r="BE2809" i="93"/>
  <c r="BE2810" i="93"/>
  <c r="BE2811" i="93"/>
  <c r="BE2812" i="93"/>
  <c r="BE2814" i="93"/>
  <c r="BE2815" i="93"/>
  <c r="G46" i="94" s="1"/>
  <c r="BE2816" i="93"/>
  <c r="G47" i="94" s="1"/>
  <c r="BE2817" i="93"/>
  <c r="BE2820" i="93"/>
  <c r="BE2822" i="93"/>
  <c r="BE2823" i="93"/>
  <c r="BE2919" i="93"/>
  <c r="BE2826" i="93"/>
  <c r="BE2827" i="93"/>
  <c r="BE2829" i="93"/>
  <c r="BE2830" i="93"/>
  <c r="BE2832" i="93"/>
  <c r="BE2833" i="93"/>
  <c r="BE2835" i="93"/>
  <c r="BE2836" i="93"/>
  <c r="BE2837" i="93"/>
  <c r="BE2839" i="93"/>
  <c r="BE2841" i="93"/>
  <c r="BE2842" i="93"/>
  <c r="BE2843" i="93"/>
  <c r="BE2844" i="93"/>
  <c r="BE2845" i="93"/>
  <c r="BE2846" i="93"/>
  <c r="BE2847" i="93"/>
  <c r="BE2848" i="93"/>
  <c r="BE2849" i="93"/>
  <c r="BE2850" i="93"/>
  <c r="BE2854" i="93"/>
  <c r="BE2855" i="93"/>
  <c r="BE2859" i="93"/>
  <c r="BE2860" i="93"/>
  <c r="BE2862" i="93"/>
  <c r="BE2864" i="93"/>
  <c r="BE2865" i="93"/>
  <c r="BE2866" i="93"/>
  <c r="BE2867" i="93"/>
  <c r="BE2868" i="93"/>
  <c r="BE2869" i="93"/>
  <c r="BE2870" i="93"/>
  <c r="BE2871" i="93"/>
  <c r="BE2872" i="93"/>
  <c r="BE2873" i="93"/>
  <c r="BE2874" i="93"/>
  <c r="BE2875" i="93"/>
  <c r="BE2876" i="93"/>
  <c r="BE2877" i="93"/>
  <c r="BE2879" i="93"/>
  <c r="BE2880" i="93"/>
  <c r="BE2881" i="93"/>
  <c r="BE2882" i="93"/>
  <c r="BE2883" i="93"/>
  <c r="BE2885" i="93"/>
  <c r="BE2886" i="93"/>
  <c r="BE2888" i="93"/>
  <c r="BE2889" i="93"/>
  <c r="BE2890" i="93"/>
  <c r="BE2891" i="93"/>
  <c r="BE2892" i="93"/>
  <c r="BE2893" i="93"/>
  <c r="BE2894" i="93"/>
  <c r="BE2895" i="93"/>
  <c r="BE2896" i="93"/>
  <c r="BE2897" i="93"/>
  <c r="BE2899" i="93"/>
  <c r="BE2900" i="93"/>
  <c r="BE2902" i="93"/>
  <c r="BE2903" i="93"/>
  <c r="BE2906" i="93"/>
  <c r="BE2907" i="93"/>
  <c r="BE2908" i="93"/>
  <c r="BE2909" i="93"/>
  <c r="BE2910" i="93"/>
  <c r="BE2911" i="93"/>
  <c r="BE2912" i="93"/>
  <c r="BE2913" i="93"/>
  <c r="BE2914" i="93"/>
  <c r="BE2915" i="93"/>
  <c r="BE2916" i="93"/>
  <c r="BE2918" i="93"/>
  <c r="BE2920" i="93"/>
  <c r="BE2922" i="93"/>
  <c r="BE2923" i="93"/>
  <c r="BE2924" i="93"/>
  <c r="BE2925" i="93"/>
  <c r="BE2926" i="93"/>
  <c r="BE2927" i="93"/>
  <c r="BE2928" i="93"/>
  <c r="BE2929" i="93"/>
  <c r="BE2930" i="93"/>
  <c r="BE2931" i="93"/>
  <c r="BE2932" i="93"/>
  <c r="BE2933" i="93"/>
  <c r="BE2934" i="93"/>
  <c r="BE2935" i="93"/>
  <c r="BE2936" i="93"/>
  <c r="BE2937" i="93"/>
  <c r="BE2938" i="93"/>
  <c r="BE2939" i="93"/>
  <c r="BE2940" i="93"/>
  <c r="BE2941" i="93"/>
  <c r="BE2942" i="93"/>
  <c r="BE2943" i="93"/>
  <c r="BE2944" i="93"/>
  <c r="BE2945" i="93"/>
  <c r="BE2946" i="93"/>
  <c r="BE2947" i="93"/>
  <c r="BE2949" i="93"/>
  <c r="BE2951" i="93"/>
  <c r="BE2954" i="93"/>
  <c r="BE2955" i="93"/>
  <c r="BE2956" i="93"/>
  <c r="BE2957" i="93"/>
  <c r="BE2958" i="93"/>
  <c r="BE2959" i="93"/>
  <c r="BE2961" i="93"/>
  <c r="BE2962" i="93"/>
  <c r="BE2974" i="93"/>
  <c r="BE2976" i="93"/>
  <c r="BE2977" i="93"/>
  <c r="BE2979" i="93"/>
  <c r="BE2980" i="93"/>
  <c r="BE2982" i="93"/>
  <c r="BE2985" i="93"/>
  <c r="BE2986" i="93"/>
  <c r="BE2989" i="93"/>
  <c r="BE2991" i="93"/>
  <c r="BE2992" i="93"/>
  <c r="BE2993" i="93"/>
  <c r="BE2996" i="93"/>
  <c r="BE2997" i="93"/>
  <c r="BE3000" i="93"/>
  <c r="BE3003" i="93"/>
  <c r="BE3004" i="93"/>
  <c r="BE3005" i="93"/>
  <c r="BE3006" i="93"/>
  <c r="BE3007" i="93"/>
  <c r="BE3108" i="93"/>
  <c r="BE3008" i="93"/>
  <c r="BE3009" i="93"/>
  <c r="BE3010" i="93"/>
  <c r="BE3011" i="93"/>
  <c r="BE3014" i="93"/>
  <c r="BE3015" i="93"/>
  <c r="BE3016" i="93"/>
  <c r="BE3017" i="93"/>
  <c r="BE3018" i="93"/>
  <c r="BE3019" i="93"/>
  <c r="BE3020" i="93"/>
  <c r="BE3021" i="93"/>
  <c r="BE3022" i="93"/>
  <c r="BE3023" i="93"/>
  <c r="BE3024" i="93"/>
  <c r="BE3025" i="93"/>
  <c r="BE3026" i="93"/>
  <c r="BE3027" i="93"/>
  <c r="BE3028" i="93"/>
  <c r="BE3029" i="93"/>
  <c r="BE3030" i="93"/>
  <c r="BE3031" i="93"/>
  <c r="BE3032" i="93"/>
  <c r="BE3033" i="93"/>
  <c r="BE3034" i="93"/>
  <c r="BE3035" i="93"/>
  <c r="BE3036" i="93"/>
  <c r="BE3037" i="93"/>
  <c r="BE3038" i="93"/>
  <c r="BE3039" i="93"/>
  <c r="BE3040" i="93"/>
  <c r="BE3041" i="93"/>
  <c r="BE3042" i="93"/>
  <c r="BE3044" i="93"/>
  <c r="BE3045" i="93"/>
  <c r="BE3046" i="93"/>
  <c r="BE3047" i="93"/>
  <c r="BE3048" i="93"/>
  <c r="BE3049" i="93"/>
  <c r="BE3050" i="93"/>
  <c r="BE3052" i="93"/>
  <c r="BE3054" i="93"/>
  <c r="BE3055" i="93"/>
  <c r="BE3056" i="93"/>
  <c r="BE3057" i="93"/>
  <c r="BE3058" i="93"/>
  <c r="BE3059" i="93"/>
  <c r="BE3060" i="93"/>
  <c r="BE3061" i="93"/>
  <c r="BE3062" i="93"/>
  <c r="BE3063" i="93"/>
  <c r="BE3064" i="93"/>
  <c r="BE3065" i="93"/>
  <c r="BE3066" i="93"/>
  <c r="BE3068" i="93"/>
  <c r="BE3070" i="93"/>
  <c r="BE3071" i="93"/>
  <c r="BE3072" i="93"/>
  <c r="BE3073" i="93"/>
  <c r="BE3074" i="93"/>
  <c r="BE3075" i="93"/>
  <c r="BE3076" i="93"/>
  <c r="BE3077" i="93"/>
  <c r="BE3079" i="93"/>
  <c r="BE3081" i="93"/>
  <c r="BE3083" i="93"/>
  <c r="BE3084" i="93"/>
  <c r="BE3085" i="93"/>
  <c r="BE3086" i="93"/>
  <c r="BE3087" i="93"/>
  <c r="BE3088" i="93"/>
  <c r="BE3089" i="93"/>
  <c r="BE3090" i="93"/>
  <c r="BE3091" i="93"/>
  <c r="BE3092" i="93"/>
  <c r="BE3094" i="93"/>
  <c r="BE3095" i="93"/>
  <c r="BE3096" i="93"/>
  <c r="BE3097" i="93"/>
  <c r="BE3098" i="93"/>
  <c r="BE3099" i="93"/>
  <c r="BE3101" i="93"/>
  <c r="BE3103" i="93"/>
  <c r="BE3104" i="93"/>
  <c r="BE3105" i="93"/>
  <c r="BE3106" i="93"/>
  <c r="BE3107" i="93"/>
  <c r="BE3111" i="93"/>
  <c r="BE3112" i="93"/>
  <c r="BE3114" i="93"/>
  <c r="BE3116" i="93"/>
  <c r="BE3117" i="93"/>
  <c r="BE3118" i="93"/>
  <c r="BE3120" i="93"/>
  <c r="BE3121" i="93"/>
  <c r="BE3122" i="93"/>
  <c r="BE3123" i="93"/>
  <c r="BE3126" i="93"/>
  <c r="BE3127" i="93"/>
  <c r="BE3128" i="93"/>
  <c r="BE3158" i="93"/>
  <c r="BE3135" i="93"/>
  <c r="BE3137" i="93"/>
  <c r="BE3139" i="93"/>
  <c r="BE3140" i="93"/>
  <c r="BE3143" i="93"/>
  <c r="BE3147" i="93"/>
  <c r="BE3148" i="93"/>
  <c r="BE3149" i="93"/>
  <c r="BE3150" i="93"/>
  <c r="BE3152" i="93"/>
  <c r="BE3153" i="93"/>
  <c r="BE3154" i="93"/>
  <c r="BE3155" i="93"/>
  <c r="BE3156" i="93"/>
  <c r="BE3157" i="93"/>
  <c r="BE3160" i="93"/>
  <c r="BE3161" i="93"/>
  <c r="BE3163" i="93"/>
  <c r="BE3164" i="93"/>
  <c r="BE3166" i="93"/>
  <c r="BE3167" i="93"/>
  <c r="BE3168" i="93"/>
  <c r="BE3169" i="93"/>
  <c r="BE3170" i="93"/>
  <c r="BE3171" i="93"/>
  <c r="BE3173" i="93"/>
  <c r="BE3174" i="93"/>
  <c r="BE3176" i="93"/>
  <c r="BE3177" i="93"/>
  <c r="BE3179" i="93"/>
  <c r="BE3180" i="93"/>
  <c r="BE3181" i="93"/>
  <c r="BE3182" i="93"/>
  <c r="BE3183" i="93"/>
  <c r="BE3184" i="93"/>
  <c r="BE3187" i="93"/>
  <c r="BE3188" i="93"/>
  <c r="BE3189" i="93"/>
  <c r="BE3190" i="93"/>
  <c r="BE3191" i="93"/>
  <c r="BE3192" i="93"/>
  <c r="BE3193" i="93"/>
  <c r="BE3194" i="93"/>
  <c r="BE3195" i="93"/>
  <c r="BE3196" i="93"/>
  <c r="BE3197" i="93"/>
  <c r="BE3198" i="93"/>
  <c r="BE3199" i="93"/>
  <c r="BE3201" i="93"/>
  <c r="BE3202" i="93"/>
  <c r="BE3204" i="93"/>
  <c r="BE3206" i="93"/>
  <c r="BE3210" i="93"/>
  <c r="BE3213" i="93"/>
  <c r="BE3215" i="93"/>
  <c r="BE3216" i="93"/>
  <c r="BE3217" i="93"/>
  <c r="BE3218" i="93"/>
  <c r="BE3219" i="93"/>
  <c r="BE3221" i="93"/>
  <c r="BE3222" i="93"/>
  <c r="BE3225" i="93"/>
  <c r="BE3227" i="93"/>
  <c r="BE3229" i="93"/>
  <c r="BE3231" i="93"/>
  <c r="BE3232" i="93"/>
  <c r="BE3236" i="93"/>
  <c r="BE3237" i="93"/>
  <c r="BE3238" i="93"/>
  <c r="BE3239" i="93"/>
  <c r="BE3240" i="93"/>
  <c r="BE3241" i="93"/>
  <c r="BE3242" i="93"/>
  <c r="BE3243" i="93"/>
  <c r="BE3244" i="93"/>
  <c r="BE3246" i="93"/>
  <c r="BE3247" i="93"/>
  <c r="BE3248" i="93"/>
  <c r="BE3249" i="93"/>
  <c r="BE3250" i="93"/>
  <c r="BE3251" i="93"/>
  <c r="BE3252" i="93"/>
  <c r="BE3253" i="93"/>
  <c r="BE3254" i="93"/>
  <c r="BE3255" i="93"/>
  <c r="BE3256" i="93"/>
  <c r="BE3257" i="93"/>
  <c r="BE3258" i="93"/>
  <c r="BE3259" i="93"/>
  <c r="BE3260" i="93"/>
  <c r="BE3261" i="93"/>
  <c r="BE3262" i="93"/>
  <c r="BE3370" i="93"/>
  <c r="BE3371" i="93"/>
  <c r="BE3380" i="93"/>
  <c r="BE3387" i="93"/>
  <c r="BE3263" i="93"/>
  <c r="BE3345" i="93"/>
  <c r="BE3265" i="93"/>
  <c r="BE3266" i="93"/>
  <c r="BE3267" i="93"/>
  <c r="BE3269" i="93"/>
  <c r="BE3271" i="93"/>
  <c r="BE3273" i="93"/>
  <c r="BE3276" i="93"/>
  <c r="BE3277" i="93"/>
  <c r="BE3279" i="93"/>
  <c r="BE3280" i="93"/>
  <c r="BE3281" i="93"/>
  <c r="BE3282" i="93"/>
  <c r="BE3283" i="93"/>
  <c r="BE3284" i="93"/>
  <c r="BE3285" i="93"/>
  <c r="BE3286" i="93"/>
  <c r="BE3287" i="93"/>
  <c r="BE3288" i="93"/>
  <c r="BE3289" i="93"/>
  <c r="BE3291" i="93"/>
  <c r="BE3292" i="93"/>
  <c r="BE3293" i="93"/>
  <c r="BE3294" i="93"/>
  <c r="BE3295" i="93"/>
  <c r="BE3298" i="93"/>
  <c r="BE3300" i="93"/>
  <c r="BE3301" i="93"/>
  <c r="BE3302" i="93"/>
  <c r="BE3303" i="93"/>
  <c r="BE3304" i="93"/>
  <c r="BE3305" i="93"/>
  <c r="BE3306" i="93"/>
  <c r="BE3307" i="93"/>
  <c r="BE3308" i="93"/>
  <c r="BE3309" i="93"/>
  <c r="BE3310" i="93"/>
  <c r="BE3311" i="93"/>
  <c r="BE3312" i="93"/>
  <c r="BE3313" i="93"/>
  <c r="BE3314" i="93"/>
  <c r="BE3315" i="93"/>
  <c r="BE3316" i="93"/>
  <c r="BE3317" i="93"/>
  <c r="BE3390" i="93"/>
  <c r="BE3322" i="93"/>
  <c r="BE3323" i="93"/>
  <c r="BE3324" i="93"/>
  <c r="BE3325" i="93"/>
  <c r="BE3326" i="93"/>
  <c r="BE3327" i="93"/>
  <c r="BE3329" i="93"/>
  <c r="BE3330" i="93"/>
  <c r="BE3331" i="93"/>
  <c r="BE3333" i="93"/>
  <c r="BE3334" i="93"/>
  <c r="BE3335" i="93"/>
  <c r="BE3336" i="93"/>
  <c r="BE3337" i="93"/>
  <c r="BE3338" i="93"/>
  <c r="BE3339" i="93"/>
  <c r="BE3340" i="93"/>
  <c r="BE3341" i="93"/>
  <c r="BE3342" i="93"/>
  <c r="BE3343" i="93"/>
  <c r="BE3344" i="93"/>
  <c r="BE3348" i="93"/>
  <c r="BE3349" i="93"/>
  <c r="BE3350" i="93"/>
  <c r="BE3351" i="93"/>
  <c r="BE3352" i="93"/>
  <c r="BE3353" i="93"/>
  <c r="BE3354" i="93"/>
  <c r="BE3355" i="93"/>
  <c r="BE3357" i="93"/>
  <c r="BE3358" i="93"/>
  <c r="BE3360" i="93"/>
  <c r="BE3361" i="93"/>
  <c r="BE3362" i="93"/>
  <c r="BE3394" i="93"/>
  <c r="BE3395" i="93"/>
  <c r="BE3396" i="93"/>
  <c r="BE3397" i="93"/>
  <c r="BE3398" i="93"/>
  <c r="BE3399" i="93"/>
  <c r="BE3400" i="93"/>
  <c r="BE3401" i="93"/>
  <c r="BE3403" i="93"/>
  <c r="BE3404" i="93"/>
  <c r="BE3405" i="93"/>
  <c r="BE3406" i="93"/>
  <c r="BE3407" i="93"/>
  <c r="BE3408" i="93"/>
  <c r="BE3409" i="93"/>
  <c r="BE3410" i="93"/>
  <c r="BE3411" i="93"/>
  <c r="BE3412" i="93"/>
  <c r="BE3413" i="93"/>
  <c r="BE3414" i="93"/>
  <c r="BE3416" i="93"/>
  <c r="BE3417" i="93"/>
  <c r="BE3418" i="93"/>
  <c r="BE3419" i="93"/>
  <c r="BE3420" i="93"/>
  <c r="BE3423" i="93"/>
  <c r="BE3426" i="93"/>
  <c r="BE3427" i="93"/>
  <c r="BE3428" i="93"/>
  <c r="BE3487" i="93"/>
  <c r="BE3429" i="93"/>
  <c r="BE3430" i="93"/>
  <c r="BE3431" i="93"/>
  <c r="BE3432" i="93"/>
  <c r="BE3433" i="93"/>
  <c r="BE3434" i="93"/>
  <c r="BE3435" i="93"/>
  <c r="BE3436" i="93"/>
  <c r="BE3438" i="93"/>
  <c r="BE3439" i="93"/>
  <c r="BE3440" i="93"/>
  <c r="BE3441" i="93"/>
  <c r="BE3442" i="93"/>
  <c r="BE3443" i="93"/>
  <c r="BE3445" i="93"/>
  <c r="BE3449" i="93"/>
  <c r="BE3450" i="93"/>
  <c r="BE3451" i="93"/>
  <c r="BE3452" i="93"/>
  <c r="BE3453" i="93"/>
  <c r="BE3455" i="93"/>
  <c r="BE3456" i="93"/>
  <c r="BE3457" i="93"/>
  <c r="BE3458" i="93"/>
  <c r="BE3460" i="93"/>
  <c r="BE3461" i="93"/>
  <c r="BE3462" i="93"/>
  <c r="BE3464" i="93"/>
  <c r="BE3465" i="93"/>
  <c r="BE3466" i="93"/>
  <c r="BE3468" i="93"/>
  <c r="BE3469" i="93"/>
  <c r="BE3470" i="93"/>
  <c r="BE3471" i="93"/>
  <c r="BE3472" i="93"/>
  <c r="BE3473" i="93"/>
  <c r="BE3474" i="93"/>
  <c r="BE3475" i="93"/>
  <c r="BE3476" i="93"/>
  <c r="BE3477" i="93"/>
  <c r="BE3478" i="93"/>
  <c r="BE3479" i="93"/>
  <c r="BE3480" i="93"/>
  <c r="BE3481" i="93"/>
  <c r="BE3482" i="93"/>
  <c r="BE3483" i="93"/>
  <c r="BE3484" i="93"/>
  <c r="BE3485" i="93"/>
  <c r="BE3486" i="93"/>
  <c r="BE3491" i="93"/>
  <c r="BE3492" i="93"/>
  <c r="BE3496" i="93"/>
  <c r="BE3497" i="93"/>
  <c r="BE3498" i="93"/>
  <c r="BE3499" i="93"/>
  <c r="BE3501" i="93"/>
  <c r="BE3502" i="93"/>
  <c r="BE3503" i="93"/>
  <c r="BE3504" i="93"/>
  <c r="BE3508" i="93"/>
  <c r="BE3510" i="93"/>
  <c r="BE3511" i="93"/>
  <c r="BE3512" i="93"/>
  <c r="BE3516" i="93"/>
  <c r="BE3517" i="93"/>
  <c r="BE3518" i="93"/>
  <c r="BE3519" i="93"/>
  <c r="BE3521" i="93"/>
  <c r="BE3523" i="93"/>
  <c r="BE3524" i="93"/>
  <c r="BE3526" i="93"/>
  <c r="BE3527" i="93"/>
  <c r="BE3528" i="93"/>
  <c r="BE3529" i="93"/>
  <c r="BE3530" i="93"/>
  <c r="BE3573" i="93"/>
  <c r="BE3536" i="93"/>
  <c r="BE3537" i="93"/>
  <c r="BE3538" i="93"/>
  <c r="BE3539" i="93"/>
  <c r="BE3540" i="93"/>
  <c r="BE3541" i="93"/>
  <c r="BE3546" i="93"/>
  <c r="BE3547" i="93"/>
  <c r="BE3551" i="93"/>
  <c r="BE3552" i="93"/>
  <c r="BE3553" i="93"/>
  <c r="BE3556" i="93"/>
  <c r="BE3557" i="93"/>
  <c r="BE3558" i="93"/>
  <c r="BE3559" i="93"/>
  <c r="BE3560" i="93"/>
  <c r="BE3561" i="93"/>
  <c r="BE3562" i="93"/>
  <c r="BE3563" i="93"/>
  <c r="BE3564" i="93"/>
  <c r="BE3565" i="93"/>
  <c r="BE3566" i="93"/>
  <c r="BE3567" i="93"/>
  <c r="BE3568" i="93"/>
  <c r="BE3569" i="93"/>
  <c r="BE3570" i="93"/>
  <c r="BE3572" i="93"/>
  <c r="BE3576" i="93"/>
  <c r="BE3577" i="93"/>
  <c r="BE3578" i="93"/>
  <c r="BE3581" i="93"/>
  <c r="BE3583" i="93"/>
  <c r="BE3584" i="93"/>
  <c r="BE3585" i="93"/>
  <c r="BE3586" i="93"/>
  <c r="BE3587" i="93"/>
  <c r="BE3595" i="93"/>
  <c r="BE3599" i="93"/>
  <c r="BE3600" i="93"/>
  <c r="BE3601" i="93"/>
  <c r="BE3602" i="93"/>
  <c r="BE3603" i="93"/>
  <c r="BE3604" i="93"/>
  <c r="BE3605" i="93"/>
  <c r="BE3607" i="93"/>
  <c r="BE3608" i="93"/>
  <c r="BE3609" i="93"/>
  <c r="BE3610" i="93"/>
  <c r="BE3611" i="93"/>
  <c r="BE3612" i="93"/>
  <c r="BE3613" i="93"/>
  <c r="BE3614" i="93"/>
  <c r="BE3616" i="93"/>
  <c r="BE3617" i="93"/>
  <c r="BE3618" i="93"/>
  <c r="BE3620" i="93"/>
  <c r="BE3625" i="93"/>
  <c r="BE3626" i="93"/>
  <c r="BE3627" i="93"/>
  <c r="BE3628" i="93"/>
  <c r="BE3630" i="93"/>
  <c r="BE3631" i="93"/>
  <c r="BE3632" i="93"/>
  <c r="BE3634" i="93"/>
  <c r="BE3635" i="93"/>
  <c r="BE3636" i="93"/>
  <c r="BE3637" i="93"/>
  <c r="BE3644" i="93"/>
  <c r="BE3646" i="93"/>
  <c r="BE3647" i="93"/>
  <c r="BE3648" i="93"/>
  <c r="BE3650" i="93"/>
  <c r="BE3652" i="93"/>
  <c r="BE3653" i="93"/>
  <c r="BE3654" i="93"/>
  <c r="BE3657" i="93"/>
  <c r="BE3658" i="93"/>
  <c r="BE3659" i="93"/>
  <c r="BE3660" i="93"/>
  <c r="BE3661" i="93"/>
  <c r="BE3662" i="93"/>
  <c r="BE3665" i="93"/>
  <c r="BE3666" i="93"/>
  <c r="BE3667" i="93"/>
  <c r="BE3668" i="93"/>
  <c r="BE3672" i="93"/>
  <c r="BE3673" i="93"/>
  <c r="BE3674" i="93"/>
  <c r="BE3675" i="93"/>
  <c r="BE3676" i="93"/>
  <c r="BE3681" i="93"/>
  <c r="BE3683" i="93"/>
  <c r="BE3684" i="93"/>
  <c r="BE3687" i="93"/>
  <c r="BE3688" i="93"/>
  <c r="BE3690" i="93"/>
  <c r="BE3691" i="93"/>
  <c r="BE3693" i="93"/>
  <c r="BE3695" i="93"/>
  <c r="BE3696" i="93"/>
  <c r="BE3698" i="93"/>
  <c r="BE3700" i="93"/>
  <c r="BE3701" i="93"/>
  <c r="BE3704" i="93"/>
  <c r="BE3705" i="93"/>
  <c r="BE3706" i="93"/>
  <c r="BE3707" i="93"/>
  <c r="BE3708" i="93"/>
  <c r="BE3709" i="93"/>
  <c r="BE3711" i="93"/>
  <c r="BE3712" i="93"/>
  <c r="BE3713" i="93"/>
  <c r="BE3714" i="93"/>
  <c r="BE3715" i="93"/>
  <c r="BE3716" i="93"/>
  <c r="BE3717" i="93"/>
  <c r="BE3718" i="93"/>
  <c r="BE3719" i="93"/>
  <c r="BE3721" i="93"/>
  <c r="BE3722" i="93"/>
  <c r="BE3723" i="93"/>
  <c r="BE3725" i="93"/>
  <c r="BE3726" i="93"/>
  <c r="BE3728" i="93"/>
  <c r="BE3730" i="93"/>
  <c r="BE3731" i="93"/>
  <c r="BE3732" i="93"/>
  <c r="BE3733" i="93"/>
  <c r="BE3735" i="93"/>
  <c r="BE3736" i="93"/>
  <c r="BE3737" i="93"/>
  <c r="BE3738" i="93"/>
  <c r="BE3739" i="93"/>
  <c r="BE3740" i="93"/>
  <c r="BE3741" i="93"/>
  <c r="BE3743" i="93"/>
  <c r="BE3744" i="93"/>
  <c r="BE3746" i="93"/>
  <c r="BE3747" i="93"/>
  <c r="BE3748" i="93"/>
  <c r="BE3750" i="93"/>
  <c r="BE3752" i="93"/>
  <c r="BE3753" i="93"/>
  <c r="BE3755" i="93"/>
  <c r="BE3759" i="93"/>
  <c r="BE3762" i="93"/>
  <c r="BE3766" i="93"/>
  <c r="BE3767" i="93"/>
  <c r="BE3769" i="93"/>
  <c r="BE3772" i="93"/>
  <c r="BE3774" i="93"/>
  <c r="BE3775" i="93"/>
  <c r="BE3776" i="93"/>
  <c r="BE3777" i="93"/>
  <c r="BE3778" i="93"/>
  <c r="BE3779" i="93"/>
  <c r="BE3780" i="93"/>
  <c r="BE3781" i="93"/>
  <c r="BE3782" i="93"/>
  <c r="BE3783" i="93"/>
  <c r="BE3784" i="93"/>
  <c r="BE3786" i="93"/>
  <c r="BE3788" i="93"/>
  <c r="BE3822" i="93"/>
  <c r="BE3823" i="93"/>
  <c r="BE3789" i="93"/>
  <c r="BE3813" i="93"/>
  <c r="BE3791" i="93"/>
  <c r="BE3792" i="93"/>
  <c r="BE3793" i="93"/>
  <c r="BE3794" i="93"/>
  <c r="BE3795" i="93"/>
  <c r="BE3796" i="93"/>
  <c r="BE3797" i="93"/>
  <c r="BE3798" i="93"/>
  <c r="BE3801" i="93"/>
  <c r="BE3802" i="93"/>
  <c r="BE3804" i="93"/>
  <c r="BE3806" i="93"/>
  <c r="BE3807" i="93"/>
  <c r="BE3809" i="93"/>
  <c r="BE3810" i="93"/>
  <c r="BE3812" i="93"/>
  <c r="BE3815" i="93"/>
  <c r="BE3817" i="93"/>
  <c r="BE3818" i="93"/>
  <c r="BE3819" i="93"/>
  <c r="BE3820" i="93"/>
  <c r="BE3826" i="93"/>
  <c r="BE3830" i="93"/>
  <c r="BE3831" i="93"/>
  <c r="BE3832" i="93"/>
  <c r="BE3833" i="93"/>
  <c r="BE3834" i="93"/>
  <c r="BE3835" i="93"/>
  <c r="BE3836" i="93"/>
  <c r="BE3837" i="93"/>
  <c r="BE3838" i="93"/>
  <c r="BE3839" i="93"/>
  <c r="BE3841" i="93"/>
  <c r="BE3842" i="93"/>
  <c r="BE3843" i="93"/>
  <c r="BE3844" i="93"/>
  <c r="BE3847" i="93"/>
  <c r="BE3848" i="93"/>
  <c r="BE3849" i="93"/>
  <c r="BE3851" i="93"/>
  <c r="BE3856" i="93"/>
  <c r="BE3857" i="93"/>
  <c r="BE3858" i="93"/>
  <c r="BE3859" i="93"/>
  <c r="BE3860" i="93"/>
  <c r="BE3862" i="93"/>
  <c r="BE3863" i="93"/>
  <c r="BE3864" i="93"/>
  <c r="BE3865" i="93"/>
  <c r="BE3866" i="93"/>
  <c r="BE3867" i="93"/>
  <c r="BE3868" i="93"/>
  <c r="BE3869" i="93"/>
  <c r="BE3870" i="93"/>
  <c r="BE3874" i="93"/>
  <c r="BE3875" i="93"/>
  <c r="BE3876" i="93"/>
  <c r="BE3877" i="93"/>
  <c r="BE3878" i="93"/>
  <c r="BE3879" i="93"/>
  <c r="BE3907" i="93"/>
  <c r="BE3906" i="93"/>
  <c r="BE3909" i="93"/>
  <c r="BE3910" i="93"/>
  <c r="BE3912" i="93"/>
  <c r="BE3915" i="93"/>
  <c r="BE3916" i="93"/>
  <c r="BE3919" i="93"/>
  <c r="BE3922" i="93"/>
  <c r="BE3923" i="93"/>
  <c r="BE3924" i="93"/>
  <c r="BE3925" i="93"/>
  <c r="BE3927" i="93"/>
  <c r="BE3928" i="93"/>
  <c r="BE3929" i="93"/>
  <c r="BE3931" i="93"/>
  <c r="BE3935" i="93"/>
  <c r="BE3932" i="93"/>
  <c r="BE3933" i="93"/>
  <c r="BE3936" i="93"/>
  <c r="BE3937" i="93"/>
  <c r="BE3938" i="93"/>
  <c r="BE3939" i="93"/>
  <c r="BE3940" i="93"/>
  <c r="BE3942" i="93"/>
  <c r="BE3945" i="93"/>
  <c r="BE3946" i="93"/>
  <c r="BE3949" i="93"/>
  <c r="BE3950" i="93"/>
  <c r="BE3951" i="93"/>
  <c r="BE3953" i="93"/>
  <c r="BE3954" i="93"/>
  <c r="BE3955" i="93"/>
  <c r="BE3956" i="93"/>
  <c r="BE3957" i="93"/>
  <c r="BE3958" i="93"/>
  <c r="BE3961" i="93"/>
  <c r="BE3952" i="93"/>
  <c r="BE3959" i="93"/>
  <c r="BE3962" i="93"/>
  <c r="BE3964" i="93"/>
  <c r="BE3965" i="93"/>
  <c r="BE3966" i="93"/>
  <c r="BE3967" i="93"/>
  <c r="BE3971" i="93"/>
  <c r="BE3974" i="93"/>
  <c r="BE3975" i="93"/>
  <c r="BE3976" i="93"/>
  <c r="BE3977" i="93"/>
  <c r="BE3978" i="93"/>
  <c r="BE3979" i="93"/>
  <c r="BE3980" i="93"/>
  <c r="BE3981" i="93"/>
  <c r="BE3982" i="93"/>
  <c r="BE3983" i="93"/>
  <c r="BE3986" i="93"/>
  <c r="BE3988" i="93"/>
  <c r="BE3989" i="93"/>
  <c r="BE3990" i="93"/>
  <c r="BE3992" i="93"/>
  <c r="BE3993" i="93"/>
  <c r="BE3994" i="93"/>
  <c r="BE3995" i="93"/>
  <c r="BE3991" i="93"/>
  <c r="BE3996" i="93"/>
  <c r="BE3997" i="93"/>
  <c r="BE3998" i="93"/>
  <c r="BE3999" i="93"/>
  <c r="BE4000" i="93"/>
  <c r="BE4001" i="93"/>
  <c r="BE4002" i="93"/>
  <c r="BE4005" i="93"/>
  <c r="BE4006" i="93"/>
  <c r="BE4008" i="93"/>
  <c r="BE4009" i="93"/>
  <c r="BE4011" i="93"/>
  <c r="BE4012" i="93"/>
  <c r="BE4014" i="93"/>
  <c r="BE4015" i="93"/>
  <c r="BE4016" i="93"/>
  <c r="BE4017" i="93"/>
  <c r="BE4018" i="93"/>
  <c r="BE4022" i="93"/>
  <c r="BE4023" i="93"/>
  <c r="BE4026" i="93"/>
  <c r="BE4028" i="93"/>
  <c r="BE4029" i="93"/>
  <c r="BE4031" i="93"/>
  <c r="BE4032" i="93"/>
  <c r="BE4033" i="93"/>
  <c r="BE4034" i="93"/>
  <c r="BE4037" i="93"/>
  <c r="BE4035" i="93"/>
  <c r="BE4036" i="93"/>
  <c r="BE4038" i="93"/>
  <c r="BE4039" i="93"/>
  <c r="BE4040" i="93"/>
  <c r="BE4041" i="93"/>
  <c r="BE4042" i="93"/>
  <c r="BE4045" i="93"/>
  <c r="BE4046" i="93"/>
  <c r="BE4047" i="93"/>
  <c r="BE4048" i="93"/>
  <c r="BE4049" i="93"/>
  <c r="BE4050" i="93"/>
  <c r="BE4051" i="93"/>
  <c r="BE4063" i="93"/>
  <c r="BE4054" i="93"/>
  <c r="BE4057" i="93"/>
  <c r="BE4055" i="93"/>
  <c r="BE4056" i="93"/>
  <c r="BE4058" i="93"/>
  <c r="BE4059" i="93"/>
  <c r="BE4060" i="93"/>
  <c r="BE4061" i="93"/>
  <c r="BE4062" i="93"/>
  <c r="BE4064" i="93"/>
  <c r="BE4065" i="93"/>
  <c r="BE4067" i="93"/>
  <c r="BE4069" i="93"/>
  <c r="BE4070" i="93"/>
  <c r="BE4071" i="93"/>
  <c r="BE4072" i="93"/>
  <c r="BE4073" i="93"/>
  <c r="BE4074" i="93"/>
  <c r="BE4075" i="93"/>
  <c r="BE4076" i="93"/>
  <c r="BE4077" i="93"/>
  <c r="BE4078" i="93"/>
  <c r="BE4079" i="93"/>
  <c r="BE4080" i="93"/>
  <c r="BE4081" i="93"/>
  <c r="BE4087" i="93"/>
  <c r="BE4082" i="93"/>
  <c r="BE4084" i="93"/>
  <c r="BE4085" i="93"/>
  <c r="BE4089" i="93"/>
  <c r="BE4090" i="93"/>
  <c r="BE4091" i="93"/>
  <c r="BE4092" i="93"/>
  <c r="BE4094" i="93"/>
  <c r="BE4096" i="93"/>
  <c r="BE4097" i="93"/>
  <c r="BE4099" i="93"/>
  <c r="BE4100" i="93"/>
  <c r="BE4101" i="93"/>
  <c r="BE4102" i="93"/>
  <c r="BE4103" i="93"/>
  <c r="BE4112" i="93"/>
  <c r="BE4110" i="93"/>
  <c r="BE4104" i="93"/>
  <c r="BE4105" i="93"/>
  <c r="BE4106" i="93"/>
  <c r="BE4107" i="93"/>
  <c r="BE4108" i="93"/>
  <c r="BE4109" i="93"/>
  <c r="BE4111" i="93"/>
  <c r="BE4115" i="93"/>
  <c r="BE4117" i="93"/>
  <c r="BE4118" i="93"/>
  <c r="BE4119" i="93"/>
  <c r="BE4120" i="93"/>
  <c r="BE4121" i="93"/>
  <c r="BE4122" i="93"/>
  <c r="BE4124" i="93"/>
  <c r="BE4128" i="93"/>
  <c r="BE4133" i="93"/>
  <c r="BE4135" i="93"/>
  <c r="BE4136" i="93"/>
  <c r="BE4137" i="93"/>
  <c r="BE4138" i="93"/>
  <c r="BE4139" i="93"/>
  <c r="BE4140" i="93"/>
  <c r="BE4142" i="93"/>
  <c r="BE4143" i="93"/>
  <c r="BE4157" i="93"/>
  <c r="BE4144" i="93"/>
  <c r="BE4146" i="93"/>
  <c r="BE4151" i="93"/>
  <c r="BE4148" i="93"/>
  <c r="BE4149" i="93"/>
  <c r="BE4153" i="93"/>
  <c r="BE4154" i="93"/>
  <c r="BE4155" i="93"/>
  <c r="BE4156" i="93"/>
  <c r="BE4160" i="93"/>
  <c r="BE4163" i="93"/>
  <c r="BE4164" i="93"/>
  <c r="BE4167" i="93"/>
  <c r="BE4168" i="93"/>
  <c r="BE4169" i="93"/>
  <c r="BE4171" i="93"/>
  <c r="BE4172" i="93"/>
  <c r="BE4183" i="93"/>
  <c r="BE4173" i="93"/>
  <c r="BE4174" i="93"/>
  <c r="BE4175" i="93"/>
  <c r="BE4170" i="93"/>
  <c r="BE4176" i="93"/>
  <c r="BE4180" i="93"/>
  <c r="BE4181" i="93"/>
  <c r="BE4182" i="93"/>
  <c r="BE4185" i="93"/>
  <c r="BE4188" i="93"/>
  <c r="BE4189" i="93"/>
  <c r="BE4190" i="93"/>
  <c r="BE4191" i="93"/>
  <c r="BE4192" i="93"/>
  <c r="BE4193" i="93"/>
  <c r="BE4194" i="93"/>
  <c r="BE4195" i="93"/>
  <c r="BE4196" i="93"/>
  <c r="BE4197" i="93"/>
  <c r="BE4216" i="93"/>
  <c r="BE4198" i="93"/>
  <c r="BE4199" i="93"/>
  <c r="BE4200" i="93"/>
  <c r="BE4207" i="93"/>
  <c r="BE4202" i="93"/>
  <c r="BE4201" i="93"/>
  <c r="BE4204" i="93"/>
  <c r="BE4205" i="93"/>
  <c r="BE4206" i="93"/>
  <c r="BE4208" i="93"/>
  <c r="BE4210" i="93"/>
  <c r="BE4212" i="93"/>
  <c r="BE4213" i="93"/>
  <c r="BE4214" i="93"/>
  <c r="BE4215" i="93"/>
  <c r="BE4217" i="93"/>
  <c r="BE4218" i="93"/>
  <c r="BE4223" i="93"/>
  <c r="BE4224" i="93"/>
  <c r="BE4225" i="93"/>
  <c r="BE4227" i="93"/>
  <c r="BE4228" i="93"/>
  <c r="BE4230" i="93"/>
  <c r="BE4231" i="93"/>
  <c r="BE4232" i="93"/>
  <c r="BE4233" i="93"/>
  <c r="BE4247" i="93"/>
  <c r="BE4234" i="93"/>
  <c r="BE4235" i="93"/>
  <c r="BE4236" i="93"/>
  <c r="BE4240" i="93"/>
  <c r="BE4238" i="93"/>
  <c r="BE4239" i="93"/>
  <c r="BE4243" i="93"/>
  <c r="BE4244" i="93"/>
  <c r="BE4245" i="93"/>
  <c r="BE4248" i="93"/>
  <c r="BE4249" i="93"/>
  <c r="BE4251" i="93"/>
  <c r="BE4252" i="93"/>
  <c r="BE4253" i="93"/>
  <c r="BE4263" i="93"/>
  <c r="BE4258" i="93"/>
  <c r="BE4259" i="93"/>
  <c r="BE4264" i="93"/>
  <c r="BE4265" i="93"/>
  <c r="BE4267" i="93"/>
  <c r="BE4269" i="93"/>
  <c r="BE4271" i="93"/>
  <c r="BE4273" i="93"/>
  <c r="BE4274" i="93"/>
  <c r="BE4275" i="93"/>
  <c r="BE4276" i="93"/>
  <c r="BE4279" i="93"/>
  <c r="BE4281" i="93"/>
  <c r="BE4282" i="93"/>
  <c r="BE4283" i="93"/>
  <c r="BE4284" i="93"/>
  <c r="BE4287" i="93"/>
  <c r="BE4289" i="93"/>
  <c r="BE4290" i="93"/>
  <c r="BE4291" i="93"/>
  <c r="BE4292" i="93"/>
  <c r="BE4293" i="93"/>
  <c r="BE4298" i="93"/>
  <c r="BE4294" i="93"/>
  <c r="BE4295" i="93"/>
  <c r="BE4297" i="93"/>
  <c r="BE4299" i="93"/>
  <c r="BE4300" i="93"/>
  <c r="BE4301" i="93"/>
  <c r="BE4302" i="93"/>
  <c r="BE4306" i="93"/>
  <c r="BE4307" i="93"/>
  <c r="BE4308" i="93"/>
  <c r="BE4309" i="93"/>
  <c r="BE4310" i="93"/>
  <c r="BE4312" i="93"/>
  <c r="BE4314" i="93"/>
  <c r="BE4315" i="93"/>
  <c r="BE4318" i="93"/>
  <c r="BE4319" i="93"/>
  <c r="BE4320" i="93"/>
  <c r="BE4321" i="93"/>
  <c r="BE4322" i="93"/>
  <c r="BE4323" i="93"/>
  <c r="BE4324" i="93"/>
  <c r="BE4325" i="93"/>
  <c r="BE4326" i="93"/>
  <c r="BE4327" i="93"/>
  <c r="BE4329" i="93"/>
  <c r="BE4330" i="93"/>
  <c r="BE4332" i="93"/>
  <c r="BE4333" i="93"/>
  <c r="BE4334" i="93"/>
  <c r="BE4335" i="93"/>
  <c r="BE4336" i="93"/>
  <c r="BE4337" i="93"/>
  <c r="BE4338" i="93"/>
  <c r="BE4339" i="93"/>
  <c r="BE4340" i="93"/>
  <c r="BE4341" i="93"/>
  <c r="BE4343" i="93"/>
  <c r="BE4344" i="93"/>
  <c r="BE4345" i="93"/>
  <c r="BE4346" i="93"/>
  <c r="BE4347" i="93"/>
  <c r="BE4349" i="93"/>
  <c r="BE4350" i="93"/>
  <c r="BE4351" i="93"/>
  <c r="BE4353" i="93"/>
  <c r="BE4355" i="93"/>
  <c r="G50" i="94" l="1"/>
  <c r="G48" i="94"/>
  <c r="G45" i="94"/>
  <c r="G43" i="94"/>
  <c r="G36" i="94"/>
  <c r="G33" i="94"/>
  <c r="G32" i="94"/>
  <c r="H13" i="94"/>
  <c r="BH1142" i="93"/>
  <c r="F13" i="121"/>
  <c r="F9" i="121"/>
  <c r="F11" i="121"/>
  <c r="F12" i="121"/>
  <c r="F10" i="121"/>
  <c r="F8" i="121"/>
  <c r="BB2638" i="93"/>
  <c r="AB2638" i="93"/>
  <c r="BB3266" i="93"/>
  <c r="BB3267" i="93"/>
  <c r="AB3266" i="93"/>
  <c r="AB3267" i="93"/>
  <c r="BB2989" i="93"/>
  <c r="AB2989" i="93"/>
  <c r="BB3213" i="93"/>
  <c r="AB3213" i="93"/>
  <c r="BB2273" i="93"/>
  <c r="AB2273" i="93"/>
  <c r="E44" i="99"/>
  <c r="E45" i="99"/>
  <c r="E46" i="99"/>
  <c r="E47" i="99"/>
  <c r="E48" i="99"/>
  <c r="E51" i="99"/>
  <c r="E53" i="99"/>
  <c r="H8" i="121" l="1"/>
  <c r="F14" i="121"/>
  <c r="H9" i="121"/>
  <c r="BD3266" i="93"/>
  <c r="BF3266" i="93" s="1"/>
  <c r="BD3267" i="93"/>
  <c r="BF3267" i="93" s="1"/>
  <c r="BD2273" i="93"/>
  <c r="BF2273" i="93" s="1"/>
  <c r="BD2638" i="93"/>
  <c r="BF2638" i="93" s="1"/>
  <c r="BD3213" i="93"/>
  <c r="BF3213" i="93" s="1"/>
  <c r="BD2989" i="93"/>
  <c r="BF2989" i="93" s="1"/>
  <c r="BB1732" i="93"/>
  <c r="BB1735" i="93"/>
  <c r="AB1732" i="93"/>
  <c r="BD1732" i="93" s="1"/>
  <c r="BF1732" i="93" s="1"/>
  <c r="BB2459" i="93"/>
  <c r="AB2459" i="93"/>
  <c r="BB2433" i="93"/>
  <c r="AB2433" i="93"/>
  <c r="BB1866" i="93"/>
  <c r="AB1866" i="93"/>
  <c r="BB1546" i="93"/>
  <c r="AB1546" i="93"/>
  <c r="BB657" i="93"/>
  <c r="AB657" i="93"/>
  <c r="BB635" i="93"/>
  <c r="AB635" i="93"/>
  <c r="BB604" i="93"/>
  <c r="AB604" i="93"/>
  <c r="BB844" i="93"/>
  <c r="AB844" i="93"/>
  <c r="BB836" i="93"/>
  <c r="AB836" i="93"/>
  <c r="BB833" i="93"/>
  <c r="AB833" i="93"/>
  <c r="BB830" i="93"/>
  <c r="AB830" i="93"/>
  <c r="BB811" i="93"/>
  <c r="AB811" i="93"/>
  <c r="BB772" i="93"/>
  <c r="AB772" i="93"/>
  <c r="BB768" i="93"/>
  <c r="AB768" i="93"/>
  <c r="BB753" i="93"/>
  <c r="AB753" i="93"/>
  <c r="BB986" i="93"/>
  <c r="AB986" i="93"/>
  <c r="BB978" i="93"/>
  <c r="AB978" i="93"/>
  <c r="BB955" i="93"/>
  <c r="AB955" i="93"/>
  <c r="BB951" i="93"/>
  <c r="AB951" i="93"/>
  <c r="BB934" i="93"/>
  <c r="AB934" i="93"/>
  <c r="BB920" i="93"/>
  <c r="AB920" i="93"/>
  <c r="BB701" i="93"/>
  <c r="AB701" i="93"/>
  <c r="BB553" i="93"/>
  <c r="AB553" i="93"/>
  <c r="BB533" i="93"/>
  <c r="BB537" i="93"/>
  <c r="AB533" i="93"/>
  <c r="BB489" i="93"/>
  <c r="AB489" i="93"/>
  <c r="AB487" i="93"/>
  <c r="BB474" i="93"/>
  <c r="AB474" i="93"/>
  <c r="BB470" i="93"/>
  <c r="AB470" i="93"/>
  <c r="BB446" i="93"/>
  <c r="AB446" i="93"/>
  <c r="BB415" i="93"/>
  <c r="AB415" i="93"/>
  <c r="BB409" i="93"/>
  <c r="AB409" i="93"/>
  <c r="BB349" i="93"/>
  <c r="AB349" i="93"/>
  <c r="BB347" i="93"/>
  <c r="AB347" i="93"/>
  <c r="BB346" i="93"/>
  <c r="AB346" i="93"/>
  <c r="BB335" i="93"/>
  <c r="AB335" i="93"/>
  <c r="BB301" i="93"/>
  <c r="AB301" i="93"/>
  <c r="BB299" i="93"/>
  <c r="BB303" i="93"/>
  <c r="AB299" i="93"/>
  <c r="AB303" i="93"/>
  <c r="BD303" i="93" s="1"/>
  <c r="BF303" i="93" s="1"/>
  <c r="BB290" i="93"/>
  <c r="BB291" i="93"/>
  <c r="AB290" i="93"/>
  <c r="BB285" i="93"/>
  <c r="AB285" i="93"/>
  <c r="BB267" i="93"/>
  <c r="AB267" i="93"/>
  <c r="BB536" i="93"/>
  <c r="AB536" i="93"/>
  <c r="BB404" i="93"/>
  <c r="AB404" i="93"/>
  <c r="BB750" i="93"/>
  <c r="AB750" i="93"/>
  <c r="BG1732" i="93" l="1"/>
  <c r="BG3213" i="93"/>
  <c r="BG2273" i="93"/>
  <c r="BG3266" i="93"/>
  <c r="BG303" i="93"/>
  <c r="BG2989" i="93"/>
  <c r="BG2638" i="93"/>
  <c r="BG3267" i="93"/>
  <c r="BD470" i="93"/>
  <c r="BF470" i="93" s="1"/>
  <c r="BD955" i="93"/>
  <c r="BF955" i="93" s="1"/>
  <c r="BD533" i="93"/>
  <c r="BF533" i="93" s="1"/>
  <c r="BD299" i="93"/>
  <c r="BF299" i="93" s="1"/>
  <c r="BD768" i="93"/>
  <c r="BF768" i="93" s="1"/>
  <c r="BD290" i="93"/>
  <c r="BF290" i="93" s="1"/>
  <c r="BD301" i="93"/>
  <c r="BF301" i="93" s="1"/>
  <c r="BD335" i="93"/>
  <c r="BF335" i="93" s="1"/>
  <c r="BD346" i="93"/>
  <c r="BF346" i="93" s="1"/>
  <c r="BD347" i="93"/>
  <c r="BF347" i="93" s="1"/>
  <c r="BD349" i="93"/>
  <c r="BF349" i="93" s="1"/>
  <c r="BD409" i="93"/>
  <c r="BD415" i="93"/>
  <c r="BD446" i="93"/>
  <c r="BF446" i="93" s="1"/>
  <c r="BD489" i="93"/>
  <c r="BD553" i="93"/>
  <c r="BD701" i="93"/>
  <c r="BF701" i="93" s="1"/>
  <c r="BD951" i="93"/>
  <c r="BF951" i="93" s="1"/>
  <c r="BD772" i="93"/>
  <c r="BF772" i="93" s="1"/>
  <c r="BD811" i="93"/>
  <c r="BF811" i="93" s="1"/>
  <c r="BD830" i="93"/>
  <c r="BF830" i="93" s="1"/>
  <c r="BD833" i="93"/>
  <c r="BF833" i="93" s="1"/>
  <c r="BD836" i="93"/>
  <c r="BF836" i="93" s="1"/>
  <c r="BD844" i="93"/>
  <c r="BF844" i="93" s="1"/>
  <c r="BD604" i="93"/>
  <c r="BF604" i="93" s="1"/>
  <c r="BD657" i="93"/>
  <c r="BF657" i="93" s="1"/>
  <c r="BD1546" i="93"/>
  <c r="BF1546" i="93" s="1"/>
  <c r="BD1866" i="93"/>
  <c r="BF1866" i="93" s="1"/>
  <c r="BD2433" i="93"/>
  <c r="BF2433" i="93" s="1"/>
  <c r="BD2459" i="93"/>
  <c r="BF2459" i="93" s="1"/>
  <c r="BD750" i="93"/>
  <c r="BD474" i="93"/>
  <c r="BF474" i="93" s="1"/>
  <c r="BD920" i="93"/>
  <c r="BD934" i="93"/>
  <c r="BF934" i="93" s="1"/>
  <c r="BD635" i="93"/>
  <c r="BF635" i="93" s="1"/>
  <c r="BD978" i="93"/>
  <c r="BF978" i="93" s="1"/>
  <c r="BD986" i="93"/>
  <c r="BF986" i="93" s="1"/>
  <c r="BD753" i="93"/>
  <c r="BF753" i="93" s="1"/>
  <c r="BD404" i="93"/>
  <c r="BF404" i="93" s="1"/>
  <c r="BD536" i="93"/>
  <c r="BF536" i="93" s="1"/>
  <c r="BD267" i="93"/>
  <c r="BF267" i="93" s="1"/>
  <c r="BD285" i="93"/>
  <c r="BF285" i="93" s="1"/>
  <c r="BB238" i="93"/>
  <c r="BD238" i="93" s="1"/>
  <c r="BF238" i="93" s="1"/>
  <c r="BG920" i="93" l="1"/>
  <c r="BF920" i="93"/>
  <c r="BG750" i="93"/>
  <c r="BF750" i="93"/>
  <c r="BG553" i="93"/>
  <c r="BF553" i="93"/>
  <c r="BG409" i="93"/>
  <c r="BF409" i="93"/>
  <c r="BG489" i="93"/>
  <c r="BF489" i="93"/>
  <c r="BG415" i="93"/>
  <c r="BF415" i="93"/>
  <c r="BG238" i="93"/>
  <c r="BG267" i="93"/>
  <c r="BG404" i="93"/>
  <c r="BG986" i="93"/>
  <c r="BG635" i="93"/>
  <c r="BG2433" i="93"/>
  <c r="BG1546" i="93"/>
  <c r="BG604" i="93"/>
  <c r="BG836" i="93"/>
  <c r="BG830" i="93"/>
  <c r="BG772" i="93"/>
  <c r="BG701" i="93"/>
  <c r="BG446" i="93"/>
  <c r="BG347" i="93"/>
  <c r="BG335" i="93"/>
  <c r="BG290" i="93"/>
  <c r="BG299" i="93"/>
  <c r="BG955" i="93"/>
  <c r="BG285" i="93"/>
  <c r="BG536" i="93"/>
  <c r="BG753" i="93"/>
  <c r="BG978" i="93"/>
  <c r="BG934" i="93"/>
  <c r="BG474" i="93"/>
  <c r="BG2459" i="93"/>
  <c r="BG1866" i="93"/>
  <c r="BG657" i="93"/>
  <c r="BG844" i="93"/>
  <c r="BG833" i="93"/>
  <c r="BG811" i="93"/>
  <c r="BG951" i="93"/>
  <c r="BG349" i="93"/>
  <c r="BG346" i="93"/>
  <c r="BG301" i="93"/>
  <c r="BG768" i="93"/>
  <c r="BG533" i="93"/>
  <c r="BG470" i="93"/>
  <c r="E68" i="100"/>
  <c r="E9" i="100"/>
  <c r="BB2723" i="93" l="1"/>
  <c r="AB2723" i="93"/>
  <c r="BB2717" i="93"/>
  <c r="AB2717" i="93"/>
  <c r="BB2634" i="93"/>
  <c r="AB2634" i="93"/>
  <c r="BB2479" i="93"/>
  <c r="AB2479" i="93"/>
  <c r="AB3746" i="93"/>
  <c r="BD3746" i="93" s="1"/>
  <c r="BF3746" i="93" s="1"/>
  <c r="BB3681" i="93"/>
  <c r="AB3681" i="93"/>
  <c r="BB3504" i="93"/>
  <c r="AB3504" i="93"/>
  <c r="BB3076" i="93"/>
  <c r="AB3076" i="93"/>
  <c r="BG3746" i="93" l="1"/>
  <c r="BD2479" i="93"/>
  <c r="BF2479" i="93" s="1"/>
  <c r="BD2634" i="93"/>
  <c r="BF2634" i="93" s="1"/>
  <c r="BD3681" i="93"/>
  <c r="BF3681" i="93" s="1"/>
  <c r="BD3076" i="93"/>
  <c r="BF3076" i="93" s="1"/>
  <c r="BD3504" i="93"/>
  <c r="BF3504" i="93" s="1"/>
  <c r="BD2717" i="93"/>
  <c r="BF2717" i="93" s="1"/>
  <c r="BD2723" i="93"/>
  <c r="BF2723" i="93" s="1"/>
  <c r="BG3076" i="93" l="1"/>
  <c r="BG2634" i="93"/>
  <c r="BG2717" i="93"/>
  <c r="BG2723" i="93"/>
  <c r="BG3504" i="93"/>
  <c r="BG3681" i="93"/>
  <c r="BG2479" i="93"/>
  <c r="BB2996" i="93"/>
  <c r="AB2996" i="93"/>
  <c r="BB2959" i="93"/>
  <c r="BB2961" i="93"/>
  <c r="AB2959" i="93"/>
  <c r="AB2961" i="93"/>
  <c r="BB1275" i="93"/>
  <c r="AB1275" i="93"/>
  <c r="AB1276" i="93"/>
  <c r="BB1361" i="93"/>
  <c r="AB1361" i="93"/>
  <c r="BB1335" i="93"/>
  <c r="AB1335" i="93"/>
  <c r="BB3432" i="93"/>
  <c r="AB3432" i="93"/>
  <c r="BB3329" i="93"/>
  <c r="AB3329" i="93"/>
  <c r="BB3326" i="93"/>
  <c r="AB3326" i="93"/>
  <c r="BB3244" i="93"/>
  <c r="AB3244" i="93"/>
  <c r="BB3242" i="93"/>
  <c r="AB3242" i="93"/>
  <c r="BB1934" i="93"/>
  <c r="AB1934" i="93"/>
  <c r="BB1933" i="93"/>
  <c r="AB1933" i="93"/>
  <c r="BB1977" i="93"/>
  <c r="AB1977" i="93"/>
  <c r="BB2908" i="93"/>
  <c r="AB2908" i="93"/>
  <c r="BB2893" i="93"/>
  <c r="AB2893" i="93"/>
  <c r="BD3244" i="93" l="1"/>
  <c r="BF3244" i="93" s="1"/>
  <c r="BD1977" i="93"/>
  <c r="BF1977" i="93" s="1"/>
  <c r="BD1335" i="93"/>
  <c r="BD3242" i="93"/>
  <c r="BF3242" i="93" s="1"/>
  <c r="BD1275" i="93"/>
  <c r="BF1275" i="93" s="1"/>
  <c r="BD2961" i="93"/>
  <c r="BF2961" i="93" s="1"/>
  <c r="BD2908" i="93"/>
  <c r="BF2908" i="93" s="1"/>
  <c r="BD1361" i="93"/>
  <c r="BF1361" i="93" s="1"/>
  <c r="BD3432" i="93"/>
  <c r="BF3432" i="93" s="1"/>
  <c r="BD3326" i="93"/>
  <c r="BF3326" i="93" s="1"/>
  <c r="BD2959" i="93"/>
  <c r="BF2959" i="93" s="1"/>
  <c r="BD3329" i="93"/>
  <c r="BF3329" i="93" s="1"/>
  <c r="BD1933" i="93"/>
  <c r="BF1933" i="93" s="1"/>
  <c r="BD2996" i="93"/>
  <c r="BF2996" i="93" s="1"/>
  <c r="BD2893" i="93"/>
  <c r="BF2893" i="93" s="1"/>
  <c r="BD1934" i="93"/>
  <c r="BF1934" i="93" s="1"/>
  <c r="BB2891" i="93"/>
  <c r="AB2891" i="93"/>
  <c r="BB2885" i="93"/>
  <c r="AB2885" i="93"/>
  <c r="BB2880" i="93"/>
  <c r="BB2881" i="93"/>
  <c r="AB2880" i="93"/>
  <c r="BB2829" i="93"/>
  <c r="AB2829" i="93"/>
  <c r="BB2823" i="93"/>
  <c r="AB2823" i="93"/>
  <c r="BB2301" i="93"/>
  <c r="AB2301" i="93"/>
  <c r="BB1743" i="93"/>
  <c r="BB1744" i="93"/>
  <c r="AB1743" i="93"/>
  <c r="BD1743" i="93" s="1"/>
  <c r="BF1743" i="93" s="1"/>
  <c r="BB1730" i="93"/>
  <c r="AB1730" i="93"/>
  <c r="BB1189" i="93"/>
  <c r="AB1189" i="93"/>
  <c r="BB1237" i="93"/>
  <c r="AB1237" i="93"/>
  <c r="BB1204" i="93"/>
  <c r="AB1204" i="93"/>
  <c r="BB2576" i="93"/>
  <c r="AB2576" i="93"/>
  <c r="BB2484" i="93"/>
  <c r="AB2484" i="93"/>
  <c r="BB2481" i="93"/>
  <c r="AB2481" i="93"/>
  <c r="BB2463" i="93"/>
  <c r="AB2463" i="93"/>
  <c r="BB2458" i="93"/>
  <c r="AB2458" i="93"/>
  <c r="BB2441" i="93"/>
  <c r="AB2441" i="93"/>
  <c r="BB2411" i="93"/>
  <c r="AB2411" i="93"/>
  <c r="BB2408" i="93"/>
  <c r="AB2408" i="93"/>
  <c r="BB2428" i="93"/>
  <c r="AB2428" i="93"/>
  <c r="BB1254" i="93"/>
  <c r="AB1254" i="93"/>
  <c r="BB1253" i="93"/>
  <c r="BB1252" i="93"/>
  <c r="AB1253" i="93"/>
  <c r="BD1253" i="93" s="1"/>
  <c r="BF1253" i="93" s="1"/>
  <c r="BB1249" i="93"/>
  <c r="AB1249" i="93"/>
  <c r="BB1234" i="93"/>
  <c r="AB1234" i="93"/>
  <c r="BB1222" i="93"/>
  <c r="BB1223" i="93"/>
  <c r="AB1222" i="93"/>
  <c r="BB1156" i="93"/>
  <c r="AB1156" i="93"/>
  <c r="BB1125" i="93"/>
  <c r="AB1125" i="93"/>
  <c r="BB1119" i="93"/>
  <c r="AB1119" i="93"/>
  <c r="BB1099" i="93"/>
  <c r="AB1099" i="93"/>
  <c r="BB2088" i="93"/>
  <c r="AB2088" i="93"/>
  <c r="BB2136" i="93"/>
  <c r="AB2136" i="93"/>
  <c r="BB2066" i="93"/>
  <c r="AB2066" i="93"/>
  <c r="BB2043" i="93"/>
  <c r="AB2043" i="93"/>
  <c r="BB2035" i="93"/>
  <c r="AB2035" i="93"/>
  <c r="BB2025" i="93"/>
  <c r="AB2025" i="93"/>
  <c r="BB1873" i="93"/>
  <c r="AB1873" i="93"/>
  <c r="BB1494" i="93"/>
  <c r="AB1494" i="93"/>
  <c r="BB1470" i="93"/>
  <c r="BB1471" i="93"/>
  <c r="AB1470" i="93"/>
  <c r="AB1471" i="93"/>
  <c r="AB1469" i="93"/>
  <c r="BB1469" i="93"/>
  <c r="BB1661" i="93"/>
  <c r="BB1662" i="93"/>
  <c r="AB1661" i="93"/>
  <c r="BD2880" i="93" l="1"/>
  <c r="BF2880" i="93" s="1"/>
  <c r="BD2463" i="93"/>
  <c r="BF2463" i="93" s="1"/>
  <c r="BG1335" i="93"/>
  <c r="BF1335" i="93"/>
  <c r="BG1253" i="93"/>
  <c r="BG1934" i="93"/>
  <c r="BG2996" i="93"/>
  <c r="BG3329" i="93"/>
  <c r="BG3326" i="93"/>
  <c r="BG1361" i="93"/>
  <c r="BG2961" i="93"/>
  <c r="BG3242" i="93"/>
  <c r="BG1977" i="93"/>
  <c r="BG1743" i="93"/>
  <c r="BG2893" i="93"/>
  <c r="BG1933" i="93"/>
  <c r="BG2959" i="93"/>
  <c r="BG3432" i="93"/>
  <c r="BG2908" i="93"/>
  <c r="BG1275" i="93"/>
  <c r="BG3244" i="93"/>
  <c r="BD1222" i="93"/>
  <c r="BF1222" i="93" s="1"/>
  <c r="BD1156" i="93"/>
  <c r="BD1471" i="93"/>
  <c r="BF1471" i="93" s="1"/>
  <c r="BD1470" i="93"/>
  <c r="BF1470" i="93" s="1"/>
  <c r="BD1661" i="93"/>
  <c r="BF1661" i="93" s="1"/>
  <c r="BD1873" i="93"/>
  <c r="BF1873" i="93" s="1"/>
  <c r="BD2025" i="93"/>
  <c r="BD2035" i="93"/>
  <c r="BF2035" i="93" s="1"/>
  <c r="BD2043" i="93"/>
  <c r="BF2043" i="93" s="1"/>
  <c r="BD2066" i="93"/>
  <c r="BF2066" i="93" s="1"/>
  <c r="BD1730" i="93"/>
  <c r="BF1730" i="93" s="1"/>
  <c r="BD2301" i="93"/>
  <c r="BF2301" i="93" s="1"/>
  <c r="BD2823" i="93"/>
  <c r="BF2823" i="93" s="1"/>
  <c r="BD2829" i="93"/>
  <c r="BF2829" i="93" s="1"/>
  <c r="BD2885" i="93"/>
  <c r="BF2885" i="93" s="1"/>
  <c r="BD2891" i="93"/>
  <c r="BF2891" i="93" s="1"/>
  <c r="BD1469" i="93"/>
  <c r="BF1469" i="93" s="1"/>
  <c r="BD2088" i="93"/>
  <c r="BF2088" i="93" s="1"/>
  <c r="BD1249" i="93"/>
  <c r="BF1249" i="93" s="1"/>
  <c r="BD2408" i="93"/>
  <c r="BF2408" i="93" s="1"/>
  <c r="BD2411" i="93"/>
  <c r="BF2411" i="93" s="1"/>
  <c r="BD2481" i="93"/>
  <c r="BF2481" i="93" s="1"/>
  <c r="BD2484" i="93"/>
  <c r="BF2484" i="93" s="1"/>
  <c r="BD1204" i="93"/>
  <c r="BF1204" i="93" s="1"/>
  <c r="BD1237" i="93"/>
  <c r="BF1237" i="93" s="1"/>
  <c r="BD2136" i="93"/>
  <c r="BF2136" i="93" s="1"/>
  <c r="BD1099" i="93"/>
  <c r="BF1099" i="93" s="1"/>
  <c r="BD1119" i="93"/>
  <c r="BF1119" i="93" s="1"/>
  <c r="BD1125" i="93"/>
  <c r="BF1125" i="93" s="1"/>
  <c r="BD2576" i="93"/>
  <c r="BF2576" i="93" s="1"/>
  <c r="BD2441" i="93"/>
  <c r="BF2441" i="93" s="1"/>
  <c r="BD1494" i="93"/>
  <c r="BF1494" i="93" s="1"/>
  <c r="BD1234" i="93"/>
  <c r="BF1234" i="93" s="1"/>
  <c r="BD1254" i="93"/>
  <c r="BF1254" i="93" s="1"/>
  <c r="BD2428" i="93"/>
  <c r="BF2428" i="93" s="1"/>
  <c r="BD2458" i="93"/>
  <c r="BF2458" i="93" s="1"/>
  <c r="BD1189" i="93"/>
  <c r="BF1189" i="93" s="1"/>
  <c r="BB2291" i="93"/>
  <c r="AB2291" i="93"/>
  <c r="BB2200" i="93"/>
  <c r="AB2200" i="93"/>
  <c r="BB2198" i="93"/>
  <c r="AB2198" i="93"/>
  <c r="BB2267" i="93"/>
  <c r="AB2267" i="93"/>
  <c r="BB2260" i="93"/>
  <c r="AB2260" i="93"/>
  <c r="BB2188" i="93"/>
  <c r="AB2188" i="93"/>
  <c r="E106" i="100"/>
  <c r="E75" i="100"/>
  <c r="E74" i="100"/>
  <c r="E53" i="100"/>
  <c r="E52" i="100"/>
  <c r="E51" i="100"/>
  <c r="E50" i="100"/>
  <c r="BG2880" i="93" l="1"/>
  <c r="BG2025" i="93"/>
  <c r="BF2025" i="93"/>
  <c r="BG1156" i="93"/>
  <c r="BF1156" i="93"/>
  <c r="BG1189" i="93"/>
  <c r="BG2458" i="93"/>
  <c r="BG1254" i="93"/>
  <c r="BG1494" i="93"/>
  <c r="BG2576" i="93"/>
  <c r="BG1119" i="93"/>
  <c r="BG2136" i="93"/>
  <c r="BG1204" i="93"/>
  <c r="BG2481" i="93"/>
  <c r="BG2408" i="93"/>
  <c r="BG2088" i="93"/>
  <c r="BG2891" i="93"/>
  <c r="BG2829" i="93"/>
  <c r="BG2301" i="93"/>
  <c r="BG2066" i="93"/>
  <c r="BG2035" i="93"/>
  <c r="BG1873" i="93"/>
  <c r="BG1470" i="93"/>
  <c r="BG2463" i="93"/>
  <c r="BG2428" i="93"/>
  <c r="BG1234" i="93"/>
  <c r="BG2441" i="93"/>
  <c r="BG1125" i="93"/>
  <c r="BG1099" i="93"/>
  <c r="BG1237" i="93"/>
  <c r="BG2484" i="93"/>
  <c r="BG2411" i="93"/>
  <c r="BG1249" i="93"/>
  <c r="BG1469" i="93"/>
  <c r="BG2885" i="93"/>
  <c r="BG2823" i="93"/>
  <c r="BG1730" i="93"/>
  <c r="BG2043" i="93"/>
  <c r="BG1661" i="93"/>
  <c r="BG1471" i="93"/>
  <c r="BG1222" i="93"/>
  <c r="BD2291" i="93"/>
  <c r="BF2291" i="93" s="1"/>
  <c r="BD2188" i="93"/>
  <c r="BF2188" i="93" s="1"/>
  <c r="BD2260" i="93"/>
  <c r="BF2260" i="93" s="1"/>
  <c r="BD2267" i="93"/>
  <c r="BF2267" i="93" s="1"/>
  <c r="BD2198" i="93"/>
  <c r="BF2198" i="93" s="1"/>
  <c r="BD2200" i="93"/>
  <c r="BF2200" i="93" s="1"/>
  <c r="BG2200" i="93" l="1"/>
  <c r="BG2267" i="93"/>
  <c r="BG2188" i="93"/>
  <c r="BG2198" i="93"/>
  <c r="BG2260" i="93"/>
  <c r="BG2291" i="93"/>
  <c r="BB2016" i="93"/>
  <c r="BB2017" i="93"/>
  <c r="AB2016" i="93"/>
  <c r="E51" i="102"/>
  <c r="E46" i="102"/>
  <c r="E41" i="102"/>
  <c r="E37" i="102"/>
  <c r="E28" i="102"/>
  <c r="E26" i="102"/>
  <c r="E9" i="101"/>
  <c r="BB4174" i="93"/>
  <c r="AB4174" i="93"/>
  <c r="AB4175" i="93"/>
  <c r="BB4325" i="93"/>
  <c r="AB4325" i="93"/>
  <c r="BB4230" i="93"/>
  <c r="AB4230" i="93"/>
  <c r="BB4258" i="93"/>
  <c r="AB4258" i="93"/>
  <c r="BB3962" i="93"/>
  <c r="AB3962" i="93"/>
  <c r="BB3955" i="93"/>
  <c r="AB3955" i="93"/>
  <c r="BB3951" i="93"/>
  <c r="BB3953" i="93"/>
  <c r="AB3951" i="93"/>
  <c r="BD3951" i="93" s="1"/>
  <c r="BF3951" i="93" s="1"/>
  <c r="BB4079" i="93"/>
  <c r="AB4079" i="93"/>
  <c r="BB4071" i="93"/>
  <c r="AB4071" i="93"/>
  <c r="BB4217" i="93"/>
  <c r="BB4218" i="93"/>
  <c r="AB4217" i="93"/>
  <c r="BD4217" i="93" s="1"/>
  <c r="BF4217" i="93" s="1"/>
  <c r="BB4199" i="93"/>
  <c r="AB4199" i="93"/>
  <c r="BB3940" i="93"/>
  <c r="AB3940" i="93"/>
  <c r="BB3929" i="93"/>
  <c r="AB3929" i="93"/>
  <c r="BB4100" i="93"/>
  <c r="AB4100" i="93"/>
  <c r="BB4022" i="93"/>
  <c r="AB4022" i="93"/>
  <c r="BB4015" i="93"/>
  <c r="AB4015" i="93"/>
  <c r="BB4006" i="93"/>
  <c r="AB4006" i="93"/>
  <c r="BB623" i="93"/>
  <c r="AB623" i="93"/>
  <c r="BB613" i="93"/>
  <c r="AB613" i="93"/>
  <c r="BB591" i="93"/>
  <c r="AB591" i="93"/>
  <c r="BB589" i="93"/>
  <c r="AB589" i="93"/>
  <c r="BB573" i="93"/>
  <c r="AB573" i="93"/>
  <c r="BB1067" i="93"/>
  <c r="AB1067" i="93"/>
  <c r="BB1056" i="93"/>
  <c r="AB1056" i="93"/>
  <c r="AB1012" i="93"/>
  <c r="BB776" i="93"/>
  <c r="AB776" i="93"/>
  <c r="BB761" i="93"/>
  <c r="AB761" i="93"/>
  <c r="AB748" i="93"/>
  <c r="BD748" i="93" s="1"/>
  <c r="BF748" i="93" s="1"/>
  <c r="BB24" i="93"/>
  <c r="AB24" i="93"/>
  <c r="BB972" i="93"/>
  <c r="AB972" i="93"/>
  <c r="BB927" i="93"/>
  <c r="AB927" i="93"/>
  <c r="BB911" i="93"/>
  <c r="AB911" i="93"/>
  <c r="BB565" i="93"/>
  <c r="AB565" i="93"/>
  <c r="BB62" i="93"/>
  <c r="AB62" i="93"/>
  <c r="BB511" i="93"/>
  <c r="BB514" i="93"/>
  <c r="AB511" i="93"/>
  <c r="BB506" i="93"/>
  <c r="AB506" i="93"/>
  <c r="BB500" i="93"/>
  <c r="AB500" i="93"/>
  <c r="AB501" i="93"/>
  <c r="BB485" i="93"/>
  <c r="AB485" i="93"/>
  <c r="BB484" i="93"/>
  <c r="AB484" i="93"/>
  <c r="BB416" i="93"/>
  <c r="BB408" i="93"/>
  <c r="AB416" i="93"/>
  <c r="BD416" i="93" s="1"/>
  <c r="BB383" i="93"/>
  <c r="AB383" i="93"/>
  <c r="BB353" i="93"/>
  <c r="AB353" i="93"/>
  <c r="BB340" i="93"/>
  <c r="AB340" i="93"/>
  <c r="BB280" i="93"/>
  <c r="AB280" i="93"/>
  <c r="BB535" i="93"/>
  <c r="AB535" i="93"/>
  <c r="BB126" i="93"/>
  <c r="AB126" i="93"/>
  <c r="BB111" i="93"/>
  <c r="AB111" i="93"/>
  <c r="BD2016" i="93" l="1"/>
  <c r="BF2016" i="93" s="1"/>
  <c r="BG416" i="93"/>
  <c r="BF416" i="93"/>
  <c r="BG3951" i="93"/>
  <c r="BG4217" i="93"/>
  <c r="BD1056" i="93"/>
  <c r="BF1056" i="93" s="1"/>
  <c r="BD591" i="93"/>
  <c r="BF591" i="93" s="1"/>
  <c r="BD4258" i="93"/>
  <c r="BF4258" i="93" s="1"/>
  <c r="BD4230" i="93"/>
  <c r="BF4230" i="93" s="1"/>
  <c r="BD4325" i="93"/>
  <c r="BF4325" i="93" s="1"/>
  <c r="BD111" i="93"/>
  <c r="BF111" i="93" s="1"/>
  <c r="BD280" i="93"/>
  <c r="BF280" i="93" s="1"/>
  <c r="BD340" i="93"/>
  <c r="BF340" i="93" s="1"/>
  <c r="BD353" i="93"/>
  <c r="BF353" i="93" s="1"/>
  <c r="BD383" i="93"/>
  <c r="BF383" i="93" s="1"/>
  <c r="BD484" i="93"/>
  <c r="BF484" i="93" s="1"/>
  <c r="BD485" i="93"/>
  <c r="BF485" i="93" s="1"/>
  <c r="BD62" i="93"/>
  <c r="BF62" i="93" s="1"/>
  <c r="BD911" i="93"/>
  <c r="BD927" i="93"/>
  <c r="BF927" i="93" s="1"/>
  <c r="BD972" i="93"/>
  <c r="BD24" i="93"/>
  <c r="BF24" i="93" s="1"/>
  <c r="BD1012" i="93"/>
  <c r="BF1012" i="93" s="1"/>
  <c r="BD613" i="93"/>
  <c r="BD623" i="93"/>
  <c r="BF623" i="93" s="1"/>
  <c r="BD4006" i="93"/>
  <c r="BF4006" i="93" s="1"/>
  <c r="BD4015" i="93"/>
  <c r="BF4015" i="93" s="1"/>
  <c r="BD4022" i="93"/>
  <c r="BF4022" i="93" s="1"/>
  <c r="BD4100" i="93"/>
  <c r="BF4100" i="93" s="1"/>
  <c r="BD4174" i="93"/>
  <c r="BF4174" i="93" s="1"/>
  <c r="BD3955" i="93"/>
  <c r="BF3955" i="93" s="1"/>
  <c r="BD3962" i="93"/>
  <c r="BF3962" i="93" s="1"/>
  <c r="BD761" i="93"/>
  <c r="BF761" i="93" s="1"/>
  <c r="BD776" i="93"/>
  <c r="BF776" i="93" s="1"/>
  <c r="BD1067" i="93"/>
  <c r="BF1067" i="93" s="1"/>
  <c r="BD573" i="93"/>
  <c r="BF573" i="93" s="1"/>
  <c r="BD3929" i="93"/>
  <c r="BF3929" i="93" s="1"/>
  <c r="BD3940" i="93"/>
  <c r="BF3940" i="93" s="1"/>
  <c r="BD4071" i="93"/>
  <c r="BF4071" i="93" s="1"/>
  <c r="BD4199" i="93"/>
  <c r="BF4199" i="93" s="1"/>
  <c r="BD4079" i="93"/>
  <c r="BF4079" i="93" s="1"/>
  <c r="BD126" i="93"/>
  <c r="BF126" i="93" s="1"/>
  <c r="BD535" i="93"/>
  <c r="BF535" i="93" s="1"/>
  <c r="BD500" i="93"/>
  <c r="BF500" i="93" s="1"/>
  <c r="BD506" i="93"/>
  <c r="BF506" i="93" s="1"/>
  <c r="BD511" i="93"/>
  <c r="BF511" i="93" s="1"/>
  <c r="BD565" i="93"/>
  <c r="BF565" i="93" s="1"/>
  <c r="BD589" i="93"/>
  <c r="BF589" i="93" s="1"/>
  <c r="BB241" i="93"/>
  <c r="BD241" i="93" s="1"/>
  <c r="BF241" i="93" s="1"/>
  <c r="BG2016" i="93" l="1"/>
  <c r="BG972" i="93"/>
  <c r="BF972" i="93"/>
  <c r="BG911" i="93"/>
  <c r="BF911" i="93"/>
  <c r="BG613" i="93"/>
  <c r="BF613" i="93"/>
  <c r="BG241" i="93"/>
  <c r="BG565" i="93"/>
  <c r="BG506" i="93"/>
  <c r="BG535" i="93"/>
  <c r="BG4079" i="93"/>
  <c r="BG4071" i="93"/>
  <c r="BG3929" i="93"/>
  <c r="BG1067" i="93"/>
  <c r="BG761" i="93"/>
  <c r="BG3962" i="93"/>
  <c r="BG4174" i="93"/>
  <c r="BG4022" i="93"/>
  <c r="BG4006" i="93"/>
  <c r="BG24" i="93"/>
  <c r="BG927" i="93"/>
  <c r="BG62" i="93"/>
  <c r="BG484" i="93"/>
  <c r="BG353" i="93"/>
  <c r="BG280" i="93"/>
  <c r="BG4230" i="93"/>
  <c r="BG591" i="93"/>
  <c r="BG589" i="93"/>
  <c r="BG511" i="93"/>
  <c r="BG500" i="93"/>
  <c r="BG126" i="93"/>
  <c r="BG4199" i="93"/>
  <c r="BG3940" i="93"/>
  <c r="BG573" i="93"/>
  <c r="BG776" i="93"/>
  <c r="BG748" i="93"/>
  <c r="BG3955" i="93"/>
  <c r="BG4100" i="93"/>
  <c r="BG4015" i="93"/>
  <c r="BG623" i="93"/>
  <c r="BG1012" i="93"/>
  <c r="BG485" i="93"/>
  <c r="BG383" i="93"/>
  <c r="BG340" i="93"/>
  <c r="BG111" i="93"/>
  <c r="BG4325" i="93"/>
  <c r="BG4258" i="93"/>
  <c r="BG1056" i="93"/>
  <c r="BB239" i="93"/>
  <c r="BD239" i="93" s="1"/>
  <c r="BF239" i="93" s="1"/>
  <c r="BB205" i="93"/>
  <c r="BB206" i="93"/>
  <c r="AB205" i="93"/>
  <c r="E39" i="99"/>
  <c r="E30" i="99"/>
  <c r="E29" i="99"/>
  <c r="E28" i="99"/>
  <c r="E27" i="99"/>
  <c r="E26" i="99"/>
  <c r="BG239" i="93" l="1"/>
  <c r="BD205" i="93"/>
  <c r="BF205" i="93" s="1"/>
  <c r="BB3166" i="93"/>
  <c r="D109" i="96"/>
  <c r="BG205" i="93" l="1"/>
  <c r="BB3150" i="93"/>
  <c r="AB3150" i="93"/>
  <c r="BB3139" i="93"/>
  <c r="AB3139" i="93"/>
  <c r="AH2627" i="93"/>
  <c r="BD3139" i="93" l="1"/>
  <c r="BF3139" i="93" s="1"/>
  <c r="BD3150" i="93"/>
  <c r="BF3150" i="93" s="1"/>
  <c r="C109" i="96"/>
  <c r="E86" i="96"/>
  <c r="E8" i="96"/>
  <c r="BB2772" i="93"/>
  <c r="AB2772" i="93"/>
  <c r="BB2725" i="93"/>
  <c r="AB2725" i="93"/>
  <c r="BB2721" i="93"/>
  <c r="AB2721" i="93"/>
  <c r="BB2719" i="93"/>
  <c r="AB2719" i="93"/>
  <c r="AB2720" i="93"/>
  <c r="BG3150" i="93" l="1"/>
  <c r="BG3139" i="93"/>
  <c r="BD2719" i="93"/>
  <c r="BF2719" i="93" s="1"/>
  <c r="BD2721" i="93"/>
  <c r="BF2721" i="93" s="1"/>
  <c r="BD2725" i="93"/>
  <c r="BF2725" i="93" s="1"/>
  <c r="BD2772" i="93"/>
  <c r="BF2772" i="93" s="1"/>
  <c r="BB3007" i="93"/>
  <c r="AB3007" i="93"/>
  <c r="BB3006" i="93"/>
  <c r="AB3006" i="93"/>
  <c r="BB3005" i="93"/>
  <c r="AB3005" i="93"/>
  <c r="BB3004" i="93"/>
  <c r="AB3004" i="93"/>
  <c r="BB3003" i="93"/>
  <c r="AB3003" i="93"/>
  <c r="BB3002" i="93"/>
  <c r="AB3002" i="93"/>
  <c r="AB3878" i="93"/>
  <c r="AB3877" i="93"/>
  <c r="AB3887" i="93"/>
  <c r="AB3886" i="93"/>
  <c r="AB3885" i="93"/>
  <c r="BB3875" i="93"/>
  <c r="BB3870" i="93"/>
  <c r="BB3868" i="93"/>
  <c r="AB3870" i="93"/>
  <c r="BB3857" i="93"/>
  <c r="AB3857" i="93"/>
  <c r="BB3632" i="93"/>
  <c r="AB3632" i="93"/>
  <c r="BB3709" i="93"/>
  <c r="AB3709" i="93"/>
  <c r="AB3711" i="93"/>
  <c r="BB3759" i="93"/>
  <c r="AB3759" i="93"/>
  <c r="AB3888" i="93" l="1"/>
  <c r="BD3888" i="93" s="1"/>
  <c r="BF3888" i="93" s="1"/>
  <c r="AB3890" i="93"/>
  <c r="BD3890" i="93" s="1"/>
  <c r="BF3890" i="93" s="1"/>
  <c r="AB3892" i="93"/>
  <c r="BD3892" i="93" s="1"/>
  <c r="BF3892" i="93" s="1"/>
  <c r="AB3894" i="93"/>
  <c r="BD3894" i="93" s="1"/>
  <c r="BF3894" i="93" s="1"/>
  <c r="AB3897" i="93"/>
  <c r="BD3897" i="93" s="1"/>
  <c r="BF3897" i="93" s="1"/>
  <c r="AB3899" i="93"/>
  <c r="BD3899" i="93" s="1"/>
  <c r="BF3899" i="93" s="1"/>
  <c r="AB3889" i="93"/>
  <c r="BD3889" i="93" s="1"/>
  <c r="BF3889" i="93" s="1"/>
  <c r="AB3891" i="93"/>
  <c r="BD3891" i="93" s="1"/>
  <c r="BF3891" i="93" s="1"/>
  <c r="AB3893" i="93"/>
  <c r="BD3893" i="93" s="1"/>
  <c r="BF3893" i="93" s="1"/>
  <c r="AB3896" i="93"/>
  <c r="BD3896" i="93" s="1"/>
  <c r="BF3896" i="93" s="1"/>
  <c r="AB3898" i="93"/>
  <c r="BD3898" i="93" s="1"/>
  <c r="BF3898" i="93" s="1"/>
  <c r="AB3901" i="93"/>
  <c r="BD3901" i="93" s="1"/>
  <c r="BF3901" i="93" s="1"/>
  <c r="BG2772" i="93"/>
  <c r="BG2721" i="93"/>
  <c r="BG2725" i="93"/>
  <c r="BG2719" i="93"/>
  <c r="BD3875" i="93"/>
  <c r="BF3875" i="93" s="1"/>
  <c r="BD3870" i="93"/>
  <c r="BF3870" i="93" s="1"/>
  <c r="BD3002" i="93"/>
  <c r="BF3002" i="93" s="1"/>
  <c r="BD3709" i="93"/>
  <c r="BF3709" i="93" s="1"/>
  <c r="BD3632" i="93"/>
  <c r="BF3632" i="93" s="1"/>
  <c r="BD3857" i="93"/>
  <c r="BF3857" i="93" s="1"/>
  <c r="BD3003" i="93"/>
  <c r="BF3003" i="93" s="1"/>
  <c r="BD3004" i="93"/>
  <c r="BF3004" i="93" s="1"/>
  <c r="BD3005" i="93"/>
  <c r="BF3005" i="93" s="1"/>
  <c r="BD3006" i="93"/>
  <c r="BF3006" i="93" s="1"/>
  <c r="BD3007" i="93"/>
  <c r="BF3007" i="93" s="1"/>
  <c r="BD3759" i="93"/>
  <c r="BF3759" i="93" s="1"/>
  <c r="BB3786" i="93"/>
  <c r="AB3786" i="93"/>
  <c r="BB3834" i="93"/>
  <c r="BB3835" i="93"/>
  <c r="AB3834" i="93"/>
  <c r="BD3834" i="93" s="1"/>
  <c r="BF3834" i="93" s="1"/>
  <c r="BB3833" i="93"/>
  <c r="AB3833" i="93"/>
  <c r="BB3569" i="93"/>
  <c r="AB3568" i="93"/>
  <c r="AB3569" i="93"/>
  <c r="AB3570" i="93"/>
  <c r="AB3552" i="93"/>
  <c r="BB3602" i="93"/>
  <c r="BB3603" i="93"/>
  <c r="AB3603" i="93"/>
  <c r="BB3503" i="93"/>
  <c r="AB3503" i="93"/>
  <c r="BB3502" i="93"/>
  <c r="AB3502" i="93"/>
  <c r="BB3501" i="93"/>
  <c r="AB3501" i="93"/>
  <c r="BB3084" i="93"/>
  <c r="AB3084" i="93"/>
  <c r="BD3569" i="93" l="1"/>
  <c r="BF3569" i="93" s="1"/>
  <c r="BG3896" i="93"/>
  <c r="BG3891" i="93"/>
  <c r="BG3899" i="93"/>
  <c r="BG3894" i="93"/>
  <c r="BG3890" i="93"/>
  <c r="BG3901" i="93"/>
  <c r="BG3898" i="93"/>
  <c r="BG3893" i="93"/>
  <c r="BG3889" i="93"/>
  <c r="BG3897" i="93"/>
  <c r="BG3892" i="93"/>
  <c r="BG3888" i="93"/>
  <c r="BG3759" i="93"/>
  <c r="BG3006" i="93"/>
  <c r="BG3004" i="93"/>
  <c r="BG3857" i="93"/>
  <c r="BG3709" i="93"/>
  <c r="BG3870" i="93"/>
  <c r="BG3834" i="93"/>
  <c r="BG3007" i="93"/>
  <c r="BG3005" i="93"/>
  <c r="BG3003" i="93"/>
  <c r="BG3632" i="93"/>
  <c r="BG3002" i="93"/>
  <c r="BG3875" i="93"/>
  <c r="BD3503" i="93"/>
  <c r="BF3503" i="93" s="1"/>
  <c r="BD3084" i="93"/>
  <c r="BF3084" i="93" s="1"/>
  <c r="BD3501" i="93"/>
  <c r="BF3501" i="93" s="1"/>
  <c r="BD3502" i="93"/>
  <c r="BF3502" i="93" s="1"/>
  <c r="BD3603" i="93"/>
  <c r="BF3603" i="93" s="1"/>
  <c r="BD3833" i="93"/>
  <c r="BF3833" i="93" s="1"/>
  <c r="BD3551" i="93"/>
  <c r="BF3551" i="93" s="1"/>
  <c r="BD3786" i="93"/>
  <c r="BF3786" i="93" s="1"/>
  <c r="BB3032" i="93"/>
  <c r="AB3032" i="93"/>
  <c r="BB3016" i="93"/>
  <c r="AB3016" i="93"/>
  <c r="AB3167" i="93"/>
  <c r="AB3166" i="93"/>
  <c r="BD3166" i="93" s="1"/>
  <c r="BF3166" i="93" s="1"/>
  <c r="BB3173" i="93"/>
  <c r="AB3174" i="93"/>
  <c r="AB3173" i="93"/>
  <c r="BB1267" i="93"/>
  <c r="BB1268" i="93"/>
  <c r="BB1406" i="93"/>
  <c r="AB1267" i="93"/>
  <c r="BB1266" i="93"/>
  <c r="AB1266" i="93"/>
  <c r="BB1383" i="93"/>
  <c r="AB1383" i="93"/>
  <c r="BB1365" i="93"/>
  <c r="AB1365" i="93"/>
  <c r="BG3569" i="93" l="1"/>
  <c r="BG3786" i="93"/>
  <c r="BG3833" i="93"/>
  <c r="BG3502" i="93"/>
  <c r="BG3084" i="93"/>
  <c r="BG3166" i="93"/>
  <c r="BG3551" i="93"/>
  <c r="BG3603" i="93"/>
  <c r="BG3501" i="93"/>
  <c r="BG3503" i="93"/>
  <c r="BD3173" i="93"/>
  <c r="BF3173" i="93" s="1"/>
  <c r="BD1365" i="93"/>
  <c r="BF1365" i="93" s="1"/>
  <c r="BD1266" i="93"/>
  <c r="BF1266" i="93" s="1"/>
  <c r="BD1267" i="93"/>
  <c r="BF1267" i="93" s="1"/>
  <c r="BD3016" i="93"/>
  <c r="BF3016" i="93" s="1"/>
  <c r="BD1383" i="93"/>
  <c r="BD3032" i="93"/>
  <c r="BF3032" i="93" s="1"/>
  <c r="BB3426" i="93"/>
  <c r="BG1383" i="93" l="1"/>
  <c r="BF1383" i="93"/>
  <c r="BG1267" i="93"/>
  <c r="BG1365" i="93"/>
  <c r="BG3032" i="93"/>
  <c r="BG3016" i="93"/>
  <c r="BG1266" i="93"/>
  <c r="BG3173" i="93"/>
  <c r="BB3358" i="93"/>
  <c r="AB3358" i="93"/>
  <c r="BB3333" i="93"/>
  <c r="AB3333" i="93"/>
  <c r="BB3308" i="93"/>
  <c r="AB3308" i="93"/>
  <c r="BD3308" i="93" l="1"/>
  <c r="BF3308" i="93" s="1"/>
  <c r="BD3333" i="93"/>
  <c r="BF3333" i="93" s="1"/>
  <c r="BD3358" i="93"/>
  <c r="BF3358" i="93" s="1"/>
  <c r="BB1928" i="93"/>
  <c r="BB1929" i="93"/>
  <c r="AB1936" i="93"/>
  <c r="BB1936" i="93"/>
  <c r="BB1971" i="93"/>
  <c r="AB1971" i="93"/>
  <c r="BB2886" i="93"/>
  <c r="AB2886" i="93"/>
  <c r="BB2882" i="93"/>
  <c r="BB2883" i="93"/>
  <c r="AB2882" i="93"/>
  <c r="BB2848" i="93"/>
  <c r="AB2848" i="93"/>
  <c r="BB2298" i="93"/>
  <c r="AB2298" i="93"/>
  <c r="BB1251" i="93"/>
  <c r="AB1251" i="93"/>
  <c r="BB1240" i="93"/>
  <c r="AB1240" i="93"/>
  <c r="BB1207" i="93"/>
  <c r="AB1207" i="93"/>
  <c r="BB1192" i="93"/>
  <c r="AB1192" i="93"/>
  <c r="BB1191" i="93"/>
  <c r="AB1191" i="93"/>
  <c r="BB1108" i="93"/>
  <c r="AB1108" i="93"/>
  <c r="BB1190" i="93"/>
  <c r="BB2567" i="93"/>
  <c r="AB2567" i="93"/>
  <c r="BD2882" i="93" l="1"/>
  <c r="BF2882" i="93" s="1"/>
  <c r="BG3333" i="93"/>
  <c r="BG2882" i="93"/>
  <c r="BG3358" i="93"/>
  <c r="BG3308" i="93"/>
  <c r="BD2298" i="93"/>
  <c r="BF2298" i="93" s="1"/>
  <c r="BD2848" i="93"/>
  <c r="BF2848" i="93" s="1"/>
  <c r="BD1971" i="93"/>
  <c r="BF1971" i="93" s="1"/>
  <c r="BD2567" i="93"/>
  <c r="BF2567" i="93" s="1"/>
  <c r="BD1108" i="93"/>
  <c r="BF1108" i="93" s="1"/>
  <c r="BD1191" i="93"/>
  <c r="BF1191" i="93" s="1"/>
  <c r="BD1192" i="93"/>
  <c r="BF1192" i="93" s="1"/>
  <c r="BD1207" i="93"/>
  <c r="BF1207" i="93" s="1"/>
  <c r="BD1240" i="93"/>
  <c r="BF1240" i="93" s="1"/>
  <c r="BD1251" i="93"/>
  <c r="BF1251" i="93" s="1"/>
  <c r="BD2886" i="93"/>
  <c r="BF2886" i="93" s="1"/>
  <c r="BD1936" i="93"/>
  <c r="BF1936" i="93" s="1"/>
  <c r="BB2533" i="93"/>
  <c r="AB2533" i="93"/>
  <c r="BB2495" i="93"/>
  <c r="AB2495" i="93"/>
  <c r="BB2528" i="93"/>
  <c r="AB2528" i="93"/>
  <c r="BB1612" i="93"/>
  <c r="AB1612" i="93"/>
  <c r="BB1571" i="93"/>
  <c r="AB1571" i="93"/>
  <c r="BB1563" i="93"/>
  <c r="AB1563" i="93"/>
  <c r="BB1602" i="93"/>
  <c r="AB1602" i="93"/>
  <c r="BB1601" i="93"/>
  <c r="AB1601" i="93"/>
  <c r="BG1936" i="93" l="1"/>
  <c r="BG1251" i="93"/>
  <c r="BG1207" i="93"/>
  <c r="BG1191" i="93"/>
  <c r="BG2567" i="93"/>
  <c r="BG2848" i="93"/>
  <c r="BG2886" i="93"/>
  <c r="BG1240" i="93"/>
  <c r="BG1192" i="93"/>
  <c r="BG1108" i="93"/>
  <c r="BG1971" i="93"/>
  <c r="BG2298" i="93"/>
  <c r="BD1571" i="93"/>
  <c r="BF1571" i="93" s="1"/>
  <c r="BD1612" i="93"/>
  <c r="BF1612" i="93" s="1"/>
  <c r="BD2528" i="93"/>
  <c r="BF2528" i="93" s="1"/>
  <c r="BD2495" i="93"/>
  <c r="BF2495" i="93" s="1"/>
  <c r="BD2533" i="93"/>
  <c r="BF2533" i="93" s="1"/>
  <c r="BD1601" i="93"/>
  <c r="BF1601" i="93" s="1"/>
  <c r="BD1602" i="93"/>
  <c r="BF1602" i="93" s="1"/>
  <c r="BD1563" i="93"/>
  <c r="BF1563" i="93" s="1"/>
  <c r="BB2056" i="93"/>
  <c r="AB2056" i="93"/>
  <c r="AB2057" i="93"/>
  <c r="BB1852" i="93"/>
  <c r="AB1852" i="93"/>
  <c r="BB1809" i="93"/>
  <c r="AB1809" i="93"/>
  <c r="BB1476" i="93"/>
  <c r="AB1476" i="93"/>
  <c r="BG1563" i="93" l="1"/>
  <c r="BG1601" i="93"/>
  <c r="BG2495" i="93"/>
  <c r="BG1612" i="93"/>
  <c r="BG1602" i="93"/>
  <c r="BG2533" i="93"/>
  <c r="BG2528" i="93"/>
  <c r="BG1571" i="93"/>
  <c r="BD1809" i="93"/>
  <c r="BF1809" i="93" s="1"/>
  <c r="BD1852" i="93"/>
  <c r="BF1852" i="93" s="1"/>
  <c r="BD1476" i="93"/>
  <c r="BF1476" i="93" s="1"/>
  <c r="BD2056" i="93"/>
  <c r="BF2056" i="93" s="1"/>
  <c r="BB1642" i="93"/>
  <c r="BB1645" i="93"/>
  <c r="AB1642" i="93"/>
  <c r="AB1645" i="93"/>
  <c r="BB1635" i="93"/>
  <c r="BB1636" i="93"/>
  <c r="AB1635" i="93"/>
  <c r="BD1635" i="93" s="1"/>
  <c r="BF1635" i="93" s="1"/>
  <c r="BB3058" i="93"/>
  <c r="AB3058" i="93"/>
  <c r="BB2197" i="93"/>
  <c r="AB2197" i="93"/>
  <c r="BB2194" i="93"/>
  <c r="BB2195" i="93"/>
  <c r="AB2194" i="93"/>
  <c r="E97" i="96"/>
  <c r="E85" i="96"/>
  <c r="E39" i="96"/>
  <c r="E38" i="96"/>
  <c r="E37" i="96"/>
  <c r="BD2194" i="93" l="1"/>
  <c r="BF2194" i="93" s="1"/>
  <c r="BG2056" i="93"/>
  <c r="BG1852" i="93"/>
  <c r="BG1635" i="93"/>
  <c r="BG1476" i="93"/>
  <c r="BG1809" i="93"/>
  <c r="BD1642" i="93"/>
  <c r="BF1642" i="93" s="1"/>
  <c r="BD1645" i="93"/>
  <c r="BF1645" i="93" s="1"/>
  <c r="BD2197" i="93"/>
  <c r="BF2197" i="93" s="1"/>
  <c r="BD3058" i="93"/>
  <c r="BF3058" i="93" s="1"/>
  <c r="BB3750" i="93"/>
  <c r="AB3750" i="93"/>
  <c r="BG2194" i="93" l="1"/>
  <c r="BG3058" i="93"/>
  <c r="BG1645" i="93"/>
  <c r="BG2197" i="93"/>
  <c r="BG1642" i="93"/>
  <c r="BD3750" i="93"/>
  <c r="BF3750" i="93" s="1"/>
  <c r="BB2295" i="93"/>
  <c r="AB2295" i="93"/>
  <c r="BG3750" i="93" l="1"/>
  <c r="BD2295" i="93"/>
  <c r="BF2295" i="93" s="1"/>
  <c r="BB2012" i="93"/>
  <c r="BB2166" i="93"/>
  <c r="BB2168" i="93"/>
  <c r="BB2169" i="93"/>
  <c r="BB2171" i="93"/>
  <c r="BB2172" i="93"/>
  <c r="BB2174" i="93"/>
  <c r="AB2166" i="93"/>
  <c r="BB4326" i="93"/>
  <c r="BB4327" i="93"/>
  <c r="AB4326" i="93"/>
  <c r="BB4324" i="93"/>
  <c r="AB4324" i="93"/>
  <c r="BB4249" i="93"/>
  <c r="AB4249" i="93"/>
  <c r="BB4225" i="93"/>
  <c r="AB4225" i="93"/>
  <c r="BB4259" i="93"/>
  <c r="AB4259" i="93"/>
  <c r="BB4292" i="93"/>
  <c r="AB4292" i="93"/>
  <c r="BG2295" i="93" l="1"/>
  <c r="BD4326" i="93"/>
  <c r="BF4326" i="93" s="1"/>
  <c r="BD4292" i="93"/>
  <c r="BF4292" i="93" s="1"/>
  <c r="BD4259" i="93"/>
  <c r="BF4259" i="93" s="1"/>
  <c r="BD4225" i="93"/>
  <c r="BF4225" i="93" s="1"/>
  <c r="BD4249" i="93"/>
  <c r="BF4249" i="93" s="1"/>
  <c r="BD4324" i="93"/>
  <c r="BF4324" i="93" s="1"/>
  <c r="BD2166" i="93"/>
  <c r="BF2166" i="93" s="1"/>
  <c r="BD2012" i="93"/>
  <c r="BF2012" i="93" s="1"/>
  <c r="BB4214" i="93"/>
  <c r="BB4215" i="93"/>
  <c r="AB4214" i="93"/>
  <c r="BB4208" i="93"/>
  <c r="AB4208" i="93"/>
  <c r="BB3938" i="93"/>
  <c r="AB3938" i="93"/>
  <c r="BB4000" i="93"/>
  <c r="BB4001" i="93"/>
  <c r="AB4000" i="93"/>
  <c r="BD4000" i="93" s="1"/>
  <c r="BF4000" i="93" s="1"/>
  <c r="BB4106" i="93"/>
  <c r="AB4106" i="93"/>
  <c r="BB4121" i="93"/>
  <c r="AB4121" i="93"/>
  <c r="AB4122" i="93"/>
  <c r="BB4120" i="93"/>
  <c r="AB4120" i="93"/>
  <c r="BB4117" i="93"/>
  <c r="BB4118" i="93"/>
  <c r="AB4117" i="93"/>
  <c r="E22" i="97"/>
  <c r="E21" i="97"/>
  <c r="BB670" i="93"/>
  <c r="AB670" i="93"/>
  <c r="BB625" i="93"/>
  <c r="AB625" i="93"/>
  <c r="BB571" i="93"/>
  <c r="AB571" i="93"/>
  <c r="BB1036" i="93"/>
  <c r="AB1036" i="93"/>
  <c r="BB1066" i="93"/>
  <c r="AB1066" i="93"/>
  <c r="BB1060" i="93"/>
  <c r="AB1060" i="93"/>
  <c r="BB1076" i="93"/>
  <c r="AB1076" i="93"/>
  <c r="BB782" i="93"/>
  <c r="AB782" i="93"/>
  <c r="BB25" i="93"/>
  <c r="AB25" i="93"/>
  <c r="BB942" i="93"/>
  <c r="AB942" i="93"/>
  <c r="BB940" i="93"/>
  <c r="BB941" i="93"/>
  <c r="AB940" i="93"/>
  <c r="BB937" i="93"/>
  <c r="BB938" i="93"/>
  <c r="AB937" i="93"/>
  <c r="AB711" i="93"/>
  <c r="BB694" i="93"/>
  <c r="AB694" i="93"/>
  <c r="BB693" i="93"/>
  <c r="AB693" i="93"/>
  <c r="BB682" i="93"/>
  <c r="AB682" i="93"/>
  <c r="BB679" i="93"/>
  <c r="AB679" i="93"/>
  <c r="BG4000" i="93" l="1"/>
  <c r="BG2012" i="93"/>
  <c r="BG4324" i="93"/>
  <c r="BG4225" i="93"/>
  <c r="BG4292" i="93"/>
  <c r="BG2166" i="93"/>
  <c r="BG4249" i="93"/>
  <c r="BG4259" i="93"/>
  <c r="BG4326" i="93"/>
  <c r="BD4214" i="93"/>
  <c r="BF4214" i="93" s="1"/>
  <c r="BD4117" i="93"/>
  <c r="BF4117" i="93" s="1"/>
  <c r="BD4121" i="93"/>
  <c r="BF4121" i="93" s="1"/>
  <c r="BD4106" i="93"/>
  <c r="BF4106" i="93" s="1"/>
  <c r="BD937" i="93"/>
  <c r="BF937" i="93" s="1"/>
  <c r="BD711" i="93"/>
  <c r="BF711" i="93" s="1"/>
  <c r="BD940" i="93"/>
  <c r="BF940" i="93" s="1"/>
  <c r="BD942" i="93"/>
  <c r="BF942" i="93" s="1"/>
  <c r="BD1076" i="93"/>
  <c r="BF1076" i="93" s="1"/>
  <c r="BD1060" i="93"/>
  <c r="BD1066" i="93"/>
  <c r="BF1066" i="93" s="1"/>
  <c r="BD1036" i="93"/>
  <c r="BF1036" i="93" s="1"/>
  <c r="BD571" i="93"/>
  <c r="BF571" i="93" s="1"/>
  <c r="BD625" i="93"/>
  <c r="BF625" i="93" s="1"/>
  <c r="BD3938" i="93"/>
  <c r="BF3938" i="93" s="1"/>
  <c r="BD679" i="93"/>
  <c r="BF679" i="93" s="1"/>
  <c r="BD670" i="93"/>
  <c r="BF670" i="93" s="1"/>
  <c r="BD693" i="93"/>
  <c r="BF693" i="93" s="1"/>
  <c r="BD4208" i="93"/>
  <c r="BF4208" i="93" s="1"/>
  <c r="BD682" i="93"/>
  <c r="BF682" i="93" s="1"/>
  <c r="BD4120" i="93"/>
  <c r="BF4120" i="93" s="1"/>
  <c r="BD694" i="93"/>
  <c r="BF694" i="93" s="1"/>
  <c r="BD25" i="93"/>
  <c r="BF25" i="93" s="1"/>
  <c r="BD782" i="93"/>
  <c r="BF782" i="93" s="1"/>
  <c r="BB678" i="93"/>
  <c r="AB678" i="93"/>
  <c r="BB65" i="93"/>
  <c r="AB21" i="93"/>
  <c r="BB15" i="93"/>
  <c r="BB10" i="93" s="1"/>
  <c r="AB15" i="93"/>
  <c r="BB548" i="93"/>
  <c r="AB548" i="93"/>
  <c r="BB515" i="93"/>
  <c r="AB515" i="93"/>
  <c r="BB492" i="93"/>
  <c r="AB492" i="93"/>
  <c r="BB478" i="93"/>
  <c r="BB439" i="93"/>
  <c r="AB439" i="93"/>
  <c r="BB361" i="93"/>
  <c r="BB362" i="93"/>
  <c r="AB361" i="93"/>
  <c r="BB330" i="93"/>
  <c r="AB330" i="93"/>
  <c r="BB274" i="93"/>
  <c r="AB274" i="93"/>
  <c r="AB478" i="93"/>
  <c r="BB263" i="93"/>
  <c r="AB263" i="93"/>
  <c r="BG1060" i="93" l="1"/>
  <c r="BF1060" i="93"/>
  <c r="BD361" i="93"/>
  <c r="BF361" i="93" s="1"/>
  <c r="BG782" i="93"/>
  <c r="BG694" i="93"/>
  <c r="BG682" i="93"/>
  <c r="BG693" i="93"/>
  <c r="BG670" i="93"/>
  <c r="BG3938" i="93"/>
  <c r="BG571" i="93"/>
  <c r="BG1066" i="93"/>
  <c r="BG1076" i="93"/>
  <c r="BG940" i="93"/>
  <c r="BG937" i="93"/>
  <c r="BG4121" i="93"/>
  <c r="BG4214" i="93"/>
  <c r="BG25" i="93"/>
  <c r="BG4120" i="93"/>
  <c r="BG4208" i="93"/>
  <c r="BG679" i="93"/>
  <c r="BG625" i="93"/>
  <c r="BG1036" i="93"/>
  <c r="BG942" i="93"/>
  <c r="BG711" i="93"/>
  <c r="BG4106" i="93"/>
  <c r="BG4117" i="93"/>
  <c r="BD263" i="93"/>
  <c r="BF263" i="93" s="1"/>
  <c r="BD330" i="93"/>
  <c r="BF330" i="93" s="1"/>
  <c r="BD492" i="93"/>
  <c r="BF492" i="93" s="1"/>
  <c r="BD515" i="93"/>
  <c r="BF515" i="93" s="1"/>
  <c r="BD548" i="93"/>
  <c r="BF548" i="93" s="1"/>
  <c r="BD678" i="93"/>
  <c r="BF678" i="93" s="1"/>
  <c r="BD15" i="93"/>
  <c r="BF15" i="93" s="1"/>
  <c r="BD21" i="93"/>
  <c r="BF21" i="93" s="1"/>
  <c r="BD478" i="93"/>
  <c r="BF478" i="93" s="1"/>
  <c r="BD274" i="93"/>
  <c r="BF274" i="93" s="1"/>
  <c r="BD439" i="93"/>
  <c r="BB108" i="93"/>
  <c r="AB108" i="93"/>
  <c r="BB110" i="93"/>
  <c r="AB110" i="93"/>
  <c r="BB127" i="93"/>
  <c r="AB127" i="93"/>
  <c r="AB58" i="93"/>
  <c r="BB58" i="93"/>
  <c r="BG439" i="93" l="1"/>
  <c r="BF439" i="93"/>
  <c r="BG361" i="93"/>
  <c r="BG274" i="93"/>
  <c r="BG21" i="93"/>
  <c r="BG678" i="93"/>
  <c r="BG515" i="93"/>
  <c r="BG330" i="93"/>
  <c r="BG478" i="93"/>
  <c r="BG15" i="93"/>
  <c r="BG548" i="93"/>
  <c r="BG492" i="93"/>
  <c r="BG263" i="93"/>
  <c r="BD108" i="93"/>
  <c r="BF108" i="93" s="1"/>
  <c r="BD127" i="93"/>
  <c r="BF127" i="93" s="1"/>
  <c r="BD110" i="93"/>
  <c r="BF110" i="93" s="1"/>
  <c r="BD58" i="93"/>
  <c r="BF58" i="93" s="1"/>
  <c r="BB958" i="93"/>
  <c r="AB958" i="93"/>
  <c r="AB941" i="93"/>
  <c r="BD941" i="93" s="1"/>
  <c r="BF941" i="93" s="1"/>
  <c r="AB206" i="93"/>
  <c r="BD206" i="93" s="1"/>
  <c r="BF206" i="93" s="1"/>
  <c r="BB249" i="93"/>
  <c r="AB249" i="93"/>
  <c r="BB209" i="93"/>
  <c r="AB209" i="93"/>
  <c r="BG206" i="93" l="1"/>
  <c r="BG58" i="93"/>
  <c r="BG127" i="93"/>
  <c r="BG941" i="93"/>
  <c r="BG110" i="93"/>
  <c r="BG108" i="93"/>
  <c r="BD209" i="93"/>
  <c r="BF209" i="93" s="1"/>
  <c r="BD249" i="93"/>
  <c r="BF249" i="93" s="1"/>
  <c r="BD958" i="93"/>
  <c r="BF958" i="93" s="1"/>
  <c r="D99" i="106"/>
  <c r="C99" i="106"/>
  <c r="E99" i="106" s="1"/>
  <c r="E98" i="106"/>
  <c r="E97" i="106"/>
  <c r="E96" i="106"/>
  <c r="E95" i="106"/>
  <c r="D100" i="106"/>
  <c r="C100" i="106"/>
  <c r="E67" i="106"/>
  <c r="E66" i="106"/>
  <c r="E65" i="106"/>
  <c r="E64" i="106"/>
  <c r="E63" i="106"/>
  <c r="E62" i="106"/>
  <c r="E61" i="106"/>
  <c r="E60" i="106"/>
  <c r="E59" i="106"/>
  <c r="E58" i="106"/>
  <c r="E57" i="106"/>
  <c r="E56" i="106"/>
  <c r="E48" i="106"/>
  <c r="G47" i="106"/>
  <c r="F47" i="106"/>
  <c r="E47" i="106"/>
  <c r="E46" i="106"/>
  <c r="E45" i="106"/>
  <c r="E44" i="106"/>
  <c r="E43" i="106"/>
  <c r="E42" i="106"/>
  <c r="E41" i="106"/>
  <c r="E40" i="106"/>
  <c r="E39" i="106"/>
  <c r="E38" i="106"/>
  <c r="E37" i="106"/>
  <c r="E36" i="106"/>
  <c r="E35" i="106"/>
  <c r="E34" i="106"/>
  <c r="E33" i="106"/>
  <c r="E32" i="106"/>
  <c r="E31" i="106"/>
  <c r="E30" i="106"/>
  <c r="E29" i="106"/>
  <c r="E26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E7" i="106"/>
  <c r="E6" i="106"/>
  <c r="E5" i="106"/>
  <c r="E4" i="106"/>
  <c r="D34" i="105"/>
  <c r="C34" i="105"/>
  <c r="E34" i="105" s="1"/>
  <c r="E33" i="105"/>
  <c r="D35" i="105"/>
  <c r="C35" i="105"/>
  <c r="E27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E6" i="105"/>
  <c r="E5" i="105"/>
  <c r="E4" i="105"/>
  <c r="D127" i="104"/>
  <c r="C127" i="104"/>
  <c r="E127" i="104" s="1"/>
  <c r="E126" i="104"/>
  <c r="E125" i="104"/>
  <c r="E124" i="104"/>
  <c r="E123" i="104"/>
  <c r="D122" i="104"/>
  <c r="D128" i="104" s="1"/>
  <c r="C122" i="104"/>
  <c r="C128" i="104" s="1"/>
  <c r="E117" i="104"/>
  <c r="E103" i="104"/>
  <c r="E102" i="104"/>
  <c r="E101" i="104"/>
  <c r="E100" i="104"/>
  <c r="E99" i="104"/>
  <c r="E98" i="104"/>
  <c r="E97" i="104"/>
  <c r="E95" i="104"/>
  <c r="E94" i="104"/>
  <c r="E93" i="104"/>
  <c r="E92" i="104"/>
  <c r="E90" i="104"/>
  <c r="E89" i="104"/>
  <c r="E88" i="104"/>
  <c r="E87" i="104"/>
  <c r="E86" i="104"/>
  <c r="E85" i="104"/>
  <c r="E84" i="104"/>
  <c r="E83" i="104"/>
  <c r="E82" i="104"/>
  <c r="E81" i="104"/>
  <c r="E80" i="104"/>
  <c r="E79" i="104"/>
  <c r="E77" i="104"/>
  <c r="E75" i="104"/>
  <c r="E71" i="104"/>
  <c r="E70" i="104"/>
  <c r="E68" i="104"/>
  <c r="E67" i="104"/>
  <c r="E66" i="104"/>
  <c r="E65" i="104"/>
  <c r="E64" i="104"/>
  <c r="E63" i="104"/>
  <c r="E62" i="104"/>
  <c r="E61" i="104"/>
  <c r="E60" i="104"/>
  <c r="E59" i="104"/>
  <c r="E58" i="104"/>
  <c r="E57" i="104"/>
  <c r="E56" i="104"/>
  <c r="E55" i="104"/>
  <c r="E54" i="104"/>
  <c r="E53" i="104"/>
  <c r="E52" i="104"/>
  <c r="E51" i="104"/>
  <c r="G49" i="104"/>
  <c r="F49" i="104"/>
  <c r="E49" i="104"/>
  <c r="E48" i="104"/>
  <c r="E47" i="104"/>
  <c r="E46" i="104"/>
  <c r="E45" i="104"/>
  <c r="E42" i="104"/>
  <c r="E41" i="104"/>
  <c r="E39" i="104"/>
  <c r="E38" i="104"/>
  <c r="E37" i="104"/>
  <c r="E36" i="104"/>
  <c r="E35" i="104"/>
  <c r="E34" i="104"/>
  <c r="E33" i="104"/>
  <c r="E32" i="104"/>
  <c r="E31" i="104"/>
  <c r="E30" i="104"/>
  <c r="E28" i="104"/>
  <c r="E27" i="104"/>
  <c r="E26" i="104"/>
  <c r="E25" i="104"/>
  <c r="E24" i="104"/>
  <c r="E23" i="104"/>
  <c r="E22" i="104"/>
  <c r="E21" i="104"/>
  <c r="E20" i="104"/>
  <c r="E19" i="104"/>
  <c r="E18" i="104"/>
  <c r="E16" i="104"/>
  <c r="E15" i="104"/>
  <c r="E14" i="104"/>
  <c r="E13" i="104"/>
  <c r="E12" i="104"/>
  <c r="E11" i="104"/>
  <c r="E10" i="104"/>
  <c r="E9" i="104"/>
  <c r="E8" i="104"/>
  <c r="E7" i="104"/>
  <c r="E6" i="104"/>
  <c r="E5" i="104"/>
  <c r="E4" i="104"/>
  <c r="D62" i="103"/>
  <c r="C62" i="103"/>
  <c r="E61" i="103"/>
  <c r="E60" i="103"/>
  <c r="D59" i="103"/>
  <c r="D63" i="103" s="1"/>
  <c r="C63" i="103"/>
  <c r="E58" i="103"/>
  <c r="E56" i="103"/>
  <c r="E55" i="103"/>
  <c r="E54" i="103"/>
  <c r="E53" i="103"/>
  <c r="E52" i="103"/>
  <c r="E51" i="103"/>
  <c r="E50" i="103"/>
  <c r="E49" i="103"/>
  <c r="E48" i="103"/>
  <c r="E42" i="103"/>
  <c r="E41" i="103"/>
  <c r="E40" i="103"/>
  <c r="E39" i="103"/>
  <c r="E37" i="103"/>
  <c r="E36" i="103"/>
  <c r="E35" i="103"/>
  <c r="E34" i="103"/>
  <c r="E33" i="103"/>
  <c r="E31" i="103"/>
  <c r="E30" i="103"/>
  <c r="E29" i="103"/>
  <c r="E28" i="103"/>
  <c r="E27" i="103"/>
  <c r="E23" i="103"/>
  <c r="E21" i="103"/>
  <c r="E20" i="103"/>
  <c r="E19" i="103"/>
  <c r="E18" i="103"/>
  <c r="E17" i="103"/>
  <c r="E14" i="103"/>
  <c r="E13" i="103"/>
  <c r="E12" i="103"/>
  <c r="E11" i="103"/>
  <c r="E7" i="103"/>
  <c r="E6" i="103"/>
  <c r="E5" i="103"/>
  <c r="D101" i="102"/>
  <c r="C101" i="102"/>
  <c r="E101" i="102" s="1"/>
  <c r="E100" i="102"/>
  <c r="E99" i="102"/>
  <c r="D102" i="102"/>
  <c r="C102" i="102"/>
  <c r="E61" i="102"/>
  <c r="E60" i="102"/>
  <c r="E59" i="102"/>
  <c r="E58" i="102"/>
  <c r="E57" i="102"/>
  <c r="E56" i="102"/>
  <c r="E55" i="102"/>
  <c r="E54" i="102"/>
  <c r="E53" i="102"/>
  <c r="E52" i="102"/>
  <c r="E50" i="102"/>
  <c r="E49" i="102"/>
  <c r="E48" i="102"/>
  <c r="G47" i="102"/>
  <c r="F47" i="102"/>
  <c r="E47" i="102"/>
  <c r="E45" i="102"/>
  <c r="E44" i="102"/>
  <c r="E43" i="102"/>
  <c r="E42" i="102"/>
  <c r="E40" i="102"/>
  <c r="E39" i="102"/>
  <c r="E38" i="102"/>
  <c r="E36" i="102"/>
  <c r="E35" i="102"/>
  <c r="E34" i="102"/>
  <c r="E33" i="102"/>
  <c r="E32" i="102"/>
  <c r="E31" i="102"/>
  <c r="E30" i="102"/>
  <c r="E29" i="102"/>
  <c r="E27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E7" i="102"/>
  <c r="E6" i="102"/>
  <c r="E5" i="102"/>
  <c r="E4" i="102"/>
  <c r="D36" i="101"/>
  <c r="C36" i="101"/>
  <c r="E35" i="101"/>
  <c r="D34" i="101"/>
  <c r="C34" i="101"/>
  <c r="C37" i="101" s="1"/>
  <c r="E33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8" i="101"/>
  <c r="E7" i="101"/>
  <c r="E6" i="101"/>
  <c r="E5" i="101"/>
  <c r="E4" i="101"/>
  <c r="D128" i="100"/>
  <c r="C128" i="100"/>
  <c r="E127" i="100"/>
  <c r="E126" i="100"/>
  <c r="E125" i="100"/>
  <c r="E124" i="100"/>
  <c r="D129" i="100"/>
  <c r="C129" i="100"/>
  <c r="E122" i="100"/>
  <c r="E119" i="100"/>
  <c r="E114" i="100"/>
  <c r="E113" i="100"/>
  <c r="E112" i="100"/>
  <c r="E111" i="100"/>
  <c r="E110" i="100"/>
  <c r="E109" i="100"/>
  <c r="E108" i="100"/>
  <c r="E107" i="100"/>
  <c r="E105" i="100"/>
  <c r="E104" i="100"/>
  <c r="E102" i="100"/>
  <c r="E100" i="100"/>
  <c r="E99" i="100"/>
  <c r="E95" i="100"/>
  <c r="E94" i="100"/>
  <c r="E93" i="100"/>
  <c r="E92" i="100"/>
  <c r="E91" i="100"/>
  <c r="E90" i="100"/>
  <c r="E89" i="100"/>
  <c r="E88" i="100"/>
  <c r="E76" i="100"/>
  <c r="E73" i="100"/>
  <c r="E72" i="100"/>
  <c r="E71" i="100"/>
  <c r="E70" i="100"/>
  <c r="E69" i="100"/>
  <c r="E67" i="100"/>
  <c r="E66" i="100"/>
  <c r="E65" i="100"/>
  <c r="E64" i="100"/>
  <c r="E63" i="100"/>
  <c r="E62" i="100"/>
  <c r="E61" i="100"/>
  <c r="E60" i="100"/>
  <c r="E59" i="100"/>
  <c r="E58" i="100"/>
  <c r="E57" i="100"/>
  <c r="E56" i="100"/>
  <c r="E55" i="100"/>
  <c r="E54" i="100"/>
  <c r="E49" i="100"/>
  <c r="E48" i="100"/>
  <c r="E47" i="100"/>
  <c r="E46" i="100"/>
  <c r="E45" i="100"/>
  <c r="G44" i="100"/>
  <c r="F44" i="100"/>
  <c r="E44" i="100"/>
  <c r="E43" i="100"/>
  <c r="E42" i="100"/>
  <c r="E41" i="100"/>
  <c r="E40" i="100"/>
  <c r="E39" i="100"/>
  <c r="E38" i="100"/>
  <c r="E37" i="100"/>
  <c r="E36" i="100"/>
  <c r="E35" i="100"/>
  <c r="E34" i="100"/>
  <c r="E33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8" i="100"/>
  <c r="E7" i="100"/>
  <c r="E6" i="100"/>
  <c r="E5" i="100"/>
  <c r="E4" i="100"/>
  <c r="D58" i="99"/>
  <c r="C58" i="99"/>
  <c r="E57" i="99"/>
  <c r="E56" i="99"/>
  <c r="D55" i="99"/>
  <c r="D59" i="99" s="1"/>
  <c r="C55" i="99"/>
  <c r="C59" i="99" s="1"/>
  <c r="E54" i="99"/>
  <c r="E52" i="99"/>
  <c r="E43" i="99"/>
  <c r="E42" i="99"/>
  <c r="E41" i="99"/>
  <c r="E40" i="99"/>
  <c r="E38" i="99"/>
  <c r="E37" i="99"/>
  <c r="E35" i="99"/>
  <c r="E34" i="99"/>
  <c r="E33" i="99"/>
  <c r="E32" i="99"/>
  <c r="E31" i="99"/>
  <c r="E25" i="99"/>
  <c r="E24" i="99"/>
  <c r="E23" i="99"/>
  <c r="E22" i="99"/>
  <c r="E21" i="99"/>
  <c r="E20" i="99"/>
  <c r="E19" i="99"/>
  <c r="E18" i="99"/>
  <c r="E17" i="99"/>
  <c r="E16" i="99"/>
  <c r="E15" i="99"/>
  <c r="E13" i="99"/>
  <c r="E12" i="99"/>
  <c r="E11" i="99"/>
  <c r="E10" i="99"/>
  <c r="E9" i="99"/>
  <c r="E8" i="99"/>
  <c r="E7" i="99"/>
  <c r="E6" i="99"/>
  <c r="E5" i="99"/>
  <c r="D89" i="98"/>
  <c r="C89" i="98"/>
  <c r="E89" i="98" s="1"/>
  <c r="E88" i="98"/>
  <c r="E87" i="98"/>
  <c r="E86" i="98"/>
  <c r="E85" i="98"/>
  <c r="D90" i="98"/>
  <c r="C90" i="98"/>
  <c r="E51" i="98"/>
  <c r="E50" i="98"/>
  <c r="E49" i="98"/>
  <c r="E48" i="98"/>
  <c r="E47" i="98"/>
  <c r="E46" i="98"/>
  <c r="E45" i="98"/>
  <c r="E44" i="98"/>
  <c r="E43" i="98"/>
  <c r="E42" i="98"/>
  <c r="E41" i="98"/>
  <c r="G40" i="98"/>
  <c r="F40" i="98"/>
  <c r="E40" i="98"/>
  <c r="E39" i="98"/>
  <c r="E38" i="98"/>
  <c r="E37" i="98"/>
  <c r="E36" i="98"/>
  <c r="E35" i="98"/>
  <c r="E34" i="98"/>
  <c r="E33" i="98"/>
  <c r="E32" i="98"/>
  <c r="E31" i="98"/>
  <c r="E30" i="98"/>
  <c r="E29" i="98"/>
  <c r="E28" i="98"/>
  <c r="E27" i="98"/>
  <c r="E26" i="98"/>
  <c r="E25" i="98"/>
  <c r="E24" i="98"/>
  <c r="E23" i="98"/>
  <c r="E22" i="98"/>
  <c r="E21" i="98"/>
  <c r="E20" i="98"/>
  <c r="E19" i="98"/>
  <c r="E18" i="98"/>
  <c r="E17" i="98"/>
  <c r="E16" i="98"/>
  <c r="E15" i="98"/>
  <c r="E14" i="98"/>
  <c r="E13" i="98"/>
  <c r="E12" i="98"/>
  <c r="E11" i="98"/>
  <c r="E10" i="98"/>
  <c r="E9" i="98"/>
  <c r="E8" i="98"/>
  <c r="E7" i="98"/>
  <c r="E6" i="98"/>
  <c r="E5" i="98"/>
  <c r="E4" i="98"/>
  <c r="D37" i="97"/>
  <c r="C37" i="97"/>
  <c r="E37" i="97" s="1"/>
  <c r="E36" i="97"/>
  <c r="D38" i="97"/>
  <c r="C38" i="97"/>
  <c r="E23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E8" i="97"/>
  <c r="E7" i="97"/>
  <c r="E6" i="97"/>
  <c r="E5" i="97"/>
  <c r="E4" i="97"/>
  <c r="D111" i="96"/>
  <c r="C111" i="96"/>
  <c r="E111" i="96" s="1"/>
  <c r="E110" i="96"/>
  <c r="E108" i="96"/>
  <c r="E107" i="96"/>
  <c r="E106" i="96"/>
  <c r="E105" i="96"/>
  <c r="E100" i="96"/>
  <c r="E99" i="96"/>
  <c r="E98" i="96"/>
  <c r="E96" i="96"/>
  <c r="E95" i="96"/>
  <c r="E94" i="96"/>
  <c r="E93" i="96"/>
  <c r="E92" i="96"/>
  <c r="E91" i="96"/>
  <c r="E90" i="96"/>
  <c r="E89" i="96"/>
  <c r="E88" i="96"/>
  <c r="E87" i="96"/>
  <c r="E84" i="96"/>
  <c r="E83" i="96"/>
  <c r="E82" i="96"/>
  <c r="E81" i="96"/>
  <c r="E80" i="96"/>
  <c r="E79" i="96"/>
  <c r="E78" i="96"/>
  <c r="E72" i="96"/>
  <c r="E71" i="96"/>
  <c r="E70" i="96"/>
  <c r="E69" i="96"/>
  <c r="E68" i="96"/>
  <c r="E67" i="96"/>
  <c r="E66" i="96"/>
  <c r="E65" i="96"/>
  <c r="E64" i="96"/>
  <c r="E63" i="96"/>
  <c r="E62" i="96"/>
  <c r="E61" i="96"/>
  <c r="E60" i="96"/>
  <c r="E59" i="96"/>
  <c r="E58" i="96"/>
  <c r="E57" i="96"/>
  <c r="E56" i="96"/>
  <c r="E55" i="96"/>
  <c r="E54" i="96"/>
  <c r="E53" i="96"/>
  <c r="E52" i="96"/>
  <c r="E51" i="96"/>
  <c r="E50" i="96"/>
  <c r="E49" i="96"/>
  <c r="E48" i="96"/>
  <c r="G47" i="96"/>
  <c r="F47" i="96"/>
  <c r="E47" i="96"/>
  <c r="E46" i="96"/>
  <c r="E45" i="96"/>
  <c r="E44" i="96"/>
  <c r="E43" i="96"/>
  <c r="E42" i="96"/>
  <c r="E41" i="96"/>
  <c r="E40" i="96"/>
  <c r="E36" i="96"/>
  <c r="E35" i="96"/>
  <c r="E34" i="96"/>
  <c r="E33" i="96"/>
  <c r="E31" i="96"/>
  <c r="E30" i="96"/>
  <c r="E29" i="96"/>
  <c r="E28" i="96"/>
  <c r="E27" i="96"/>
  <c r="E26" i="96"/>
  <c r="E25" i="96"/>
  <c r="E24" i="96"/>
  <c r="E23" i="96"/>
  <c r="E22" i="96"/>
  <c r="E21" i="96"/>
  <c r="E20" i="96"/>
  <c r="E19" i="96"/>
  <c r="E18" i="96"/>
  <c r="E17" i="96"/>
  <c r="E16" i="96"/>
  <c r="E15" i="96"/>
  <c r="E14" i="96"/>
  <c r="E13" i="96"/>
  <c r="E12" i="96"/>
  <c r="E11" i="96"/>
  <c r="E10" i="96"/>
  <c r="E9" i="96"/>
  <c r="E7" i="96"/>
  <c r="E6" i="96"/>
  <c r="E5" i="96"/>
  <c r="E4" i="96"/>
  <c r="D44" i="95"/>
  <c r="C44" i="95"/>
  <c r="E44" i="95" s="1"/>
  <c r="E43" i="95"/>
  <c r="E42" i="95"/>
  <c r="D41" i="95"/>
  <c r="D45" i="95" s="1"/>
  <c r="C41" i="95"/>
  <c r="C45" i="95" s="1"/>
  <c r="E40" i="95"/>
  <c r="E39" i="95"/>
  <c r="E38" i="95"/>
  <c r="E37" i="95"/>
  <c r="E36" i="95"/>
  <c r="E35" i="95"/>
  <c r="E34" i="95"/>
  <c r="E33" i="95"/>
  <c r="E32" i="95"/>
  <c r="E31" i="95"/>
  <c r="E30" i="95"/>
  <c r="E29" i="95"/>
  <c r="E28" i="95"/>
  <c r="E27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8" i="95"/>
  <c r="E7" i="95"/>
  <c r="E6" i="95"/>
  <c r="E5" i="95"/>
  <c r="E62" i="103" l="1"/>
  <c r="C105" i="102"/>
  <c r="E128" i="100"/>
  <c r="BG249" i="93"/>
  <c r="BG958" i="93"/>
  <c r="BG209" i="93"/>
  <c r="E58" i="99"/>
  <c r="D37" i="101"/>
  <c r="E37" i="101" s="1"/>
  <c r="E36" i="101"/>
  <c r="D112" i="96"/>
  <c r="C112" i="96"/>
  <c r="E100" i="106"/>
  <c r="E94" i="106"/>
  <c r="E35" i="105"/>
  <c r="E32" i="105"/>
  <c r="E128" i="104"/>
  <c r="E122" i="104"/>
  <c r="E63" i="103"/>
  <c r="E59" i="103"/>
  <c r="E102" i="102"/>
  <c r="E98" i="102"/>
  <c r="E34" i="101"/>
  <c r="E129" i="100"/>
  <c r="E123" i="100"/>
  <c r="E59" i="99"/>
  <c r="E55" i="99"/>
  <c r="E90" i="98"/>
  <c r="E84" i="98"/>
  <c r="E38" i="97"/>
  <c r="E35" i="97"/>
  <c r="E109" i="96"/>
  <c r="E45" i="95"/>
  <c r="E41" i="95"/>
  <c r="BB2727" i="93"/>
  <c r="AB2727" i="93"/>
  <c r="BB3856" i="93"/>
  <c r="BB3859" i="93"/>
  <c r="AB3856" i="93"/>
  <c r="E112" i="96" l="1"/>
  <c r="BD3856" i="93"/>
  <c r="BF3856" i="93" s="1"/>
  <c r="BD2727" i="93"/>
  <c r="BF2727" i="93" s="1"/>
  <c r="BB3736" i="93"/>
  <c r="AB3736" i="93"/>
  <c r="BB3715" i="93"/>
  <c r="AB3715" i="93"/>
  <c r="BG2727" i="93" l="1"/>
  <c r="BG3856" i="93"/>
  <c r="BD3715" i="93"/>
  <c r="BF3715" i="93" s="1"/>
  <c r="BD3736" i="93"/>
  <c r="BF3736" i="93" s="1"/>
  <c r="BG3736" i="93" l="1"/>
  <c r="BG3715" i="93"/>
  <c r="BB3693" i="93"/>
  <c r="AB3693" i="93"/>
  <c r="BB3667" i="93"/>
  <c r="AB3667" i="93"/>
  <c r="BB3610" i="93"/>
  <c r="AB3610" i="93"/>
  <c r="BB3498" i="93"/>
  <c r="AB3498" i="93"/>
  <c r="AB3499" i="93"/>
  <c r="BB3033" i="93"/>
  <c r="BB3108" i="93"/>
  <c r="BB2958" i="93"/>
  <c r="AB2958" i="93"/>
  <c r="BB3167" i="93"/>
  <c r="BB3170" i="93"/>
  <c r="AB3170" i="93"/>
  <c r="AB3163" i="93"/>
  <c r="BB1276" i="93"/>
  <c r="BD1276" i="93" s="1"/>
  <c r="BB1349" i="93"/>
  <c r="AB1349" i="93"/>
  <c r="BB1281" i="93"/>
  <c r="AB1281" i="93"/>
  <c r="BF1276" i="93" l="1"/>
  <c r="F25" i="94"/>
  <c r="BG1276" i="93"/>
  <c r="BD1281" i="93"/>
  <c r="BD1349" i="93"/>
  <c r="BF1349" i="93" s="1"/>
  <c r="BD3170" i="93"/>
  <c r="BF3170" i="93" s="1"/>
  <c r="BD3610" i="93"/>
  <c r="BF3610" i="93" s="1"/>
  <c r="BD3667" i="93"/>
  <c r="BF3667" i="93" s="1"/>
  <c r="BD2958" i="93"/>
  <c r="BF2958" i="93" s="1"/>
  <c r="BD3693" i="93"/>
  <c r="BF3693" i="93" s="1"/>
  <c r="BD3498" i="93"/>
  <c r="BF3498" i="93" s="1"/>
  <c r="BD3163" i="93"/>
  <c r="BF3163" i="93" s="1"/>
  <c r="BB3431" i="93"/>
  <c r="AB3431" i="93"/>
  <c r="BB3404" i="93"/>
  <c r="AB3404" i="93"/>
  <c r="AB3405" i="93"/>
  <c r="BB3477" i="93"/>
  <c r="AB3477" i="93"/>
  <c r="BB3330" i="93"/>
  <c r="AB3330" i="93"/>
  <c r="BB3271" i="93"/>
  <c r="BB3273" i="93"/>
  <c r="AB3273" i="93"/>
  <c r="BB3240" i="93"/>
  <c r="AB3240" i="93"/>
  <c r="BF1281" i="93" l="1"/>
  <c r="BG3498" i="93"/>
  <c r="BG2958" i="93"/>
  <c r="BG3610" i="93"/>
  <c r="BG1349" i="93"/>
  <c r="BG3163" i="93"/>
  <c r="BG3693" i="93"/>
  <c r="BG3667" i="93"/>
  <c r="BG3170" i="93"/>
  <c r="BG1281" i="93"/>
  <c r="BD3240" i="93"/>
  <c r="BF3240" i="93" s="1"/>
  <c r="BD3273" i="93"/>
  <c r="BF3273" i="93" s="1"/>
  <c r="BD3330" i="93"/>
  <c r="BF3330" i="93" s="1"/>
  <c r="BD3404" i="93"/>
  <c r="BF3404" i="93" s="1"/>
  <c r="BD3431" i="93"/>
  <c r="BF3431" i="93" s="1"/>
  <c r="BD3477" i="93"/>
  <c r="BF3477" i="93" s="1"/>
  <c r="BG3477" i="93" l="1"/>
  <c r="BG3404" i="93"/>
  <c r="BG3273" i="93"/>
  <c r="BG3431" i="93"/>
  <c r="BG3330" i="93"/>
  <c r="BG3240" i="93"/>
  <c r="BB1970" i="93"/>
  <c r="AB1970" i="93"/>
  <c r="BB2873" i="93"/>
  <c r="AB2873" i="93"/>
  <c r="BB2793" i="93"/>
  <c r="AB2793" i="93"/>
  <c r="AB2310" i="93"/>
  <c r="BB1761" i="93"/>
  <c r="AB1761" i="93"/>
  <c r="BD1761" i="93" l="1"/>
  <c r="BF1761" i="93" s="1"/>
  <c r="BD2873" i="93"/>
  <c r="BF2873" i="93" s="1"/>
  <c r="BD1970" i="93"/>
  <c r="BF1970" i="93" s="1"/>
  <c r="BD2793" i="93"/>
  <c r="BF2793" i="93" s="1"/>
  <c r="AB1100" i="93"/>
  <c r="BE1248" i="93"/>
  <c r="BB2607" i="93"/>
  <c r="AB2607" i="93"/>
  <c r="BB2577" i="93"/>
  <c r="AB2577" i="93"/>
  <c r="BB2475" i="93"/>
  <c r="AB2475" i="93"/>
  <c r="BB2447" i="93"/>
  <c r="AB2447" i="93"/>
  <c r="AB2449" i="93"/>
  <c r="BB2417" i="93"/>
  <c r="AB2417" i="93"/>
  <c r="BB1604" i="93"/>
  <c r="BB1599" i="93"/>
  <c r="AB1599" i="93"/>
  <c r="BB1520" i="93"/>
  <c r="AB1520" i="93"/>
  <c r="BG1970" i="93" l="1"/>
  <c r="BG2793" i="93"/>
  <c r="BG2873" i="93"/>
  <c r="BG1761" i="93"/>
  <c r="BD1520" i="93"/>
  <c r="BF1520" i="93" s="1"/>
  <c r="BD2417" i="93"/>
  <c r="BF2417" i="93" s="1"/>
  <c r="BD2447" i="93"/>
  <c r="BF2447" i="93" s="1"/>
  <c r="BD2475" i="93"/>
  <c r="BF2475" i="93" s="1"/>
  <c r="BD2607" i="93"/>
  <c r="BF2607" i="93" s="1"/>
  <c r="BD1599" i="93"/>
  <c r="BF1599" i="93" s="1"/>
  <c r="BD2577" i="93"/>
  <c r="BF2577" i="93" s="1"/>
  <c r="BB2045" i="93"/>
  <c r="AB2045" i="93"/>
  <c r="AB2047" i="93"/>
  <c r="BB1900" i="93"/>
  <c r="AB1900" i="93"/>
  <c r="BB1837" i="93"/>
  <c r="AB1837" i="93"/>
  <c r="BB1441" i="93"/>
  <c r="BB1480" i="93"/>
  <c r="AB1480" i="93"/>
  <c r="BB1478" i="93"/>
  <c r="AB1478" i="93"/>
  <c r="BB1442" i="93"/>
  <c r="AB1442" i="93"/>
  <c r="AB1441" i="93"/>
  <c r="BB1674" i="93"/>
  <c r="AB1674" i="93"/>
  <c r="BB1658" i="93"/>
  <c r="AB1658" i="93"/>
  <c r="BB1630" i="93"/>
  <c r="AB1630" i="93"/>
  <c r="BB3387" i="93"/>
  <c r="AB3387" i="93"/>
  <c r="BG2577" i="93" l="1"/>
  <c r="BG2607" i="93"/>
  <c r="BG2447" i="93"/>
  <c r="BG1520" i="93"/>
  <c r="BG1599" i="93"/>
  <c r="BG2475" i="93"/>
  <c r="BG2417" i="93"/>
  <c r="BD1658" i="93"/>
  <c r="BF1658" i="93" s="1"/>
  <c r="BD1837" i="93"/>
  <c r="BF1837" i="93" s="1"/>
  <c r="BD1674" i="93"/>
  <c r="BF1674" i="93" s="1"/>
  <c r="BD2045" i="93"/>
  <c r="BF2045" i="93" s="1"/>
  <c r="BD1478" i="93"/>
  <c r="BF1478" i="93" s="1"/>
  <c r="BD1900" i="93"/>
  <c r="BF1900" i="93" s="1"/>
  <c r="BD1480" i="93"/>
  <c r="BF1480" i="93" s="1"/>
  <c r="BD3387" i="93"/>
  <c r="BF3387" i="93" s="1"/>
  <c r="BD1630" i="93"/>
  <c r="BF1630" i="93" s="1"/>
  <c r="BD1441" i="93"/>
  <c r="BF1441" i="93" s="1"/>
  <c r="BD1442" i="93"/>
  <c r="BF1442" i="93" s="1"/>
  <c r="E41" i="42"/>
  <c r="BB2930" i="93"/>
  <c r="AB2930" i="93"/>
  <c r="BB2925" i="93"/>
  <c r="AB2925" i="93"/>
  <c r="BB2924" i="93"/>
  <c r="AB2924" i="93"/>
  <c r="BB2923" i="93"/>
  <c r="AB2923" i="93"/>
  <c r="BB2922" i="93"/>
  <c r="BB2929" i="93"/>
  <c r="AB2922" i="93"/>
  <c r="BB2294" i="93"/>
  <c r="AB2294" i="93"/>
  <c r="BG1441" i="93" l="1"/>
  <c r="BG3387" i="93"/>
  <c r="BG1900" i="93"/>
  <c r="BG2045" i="93"/>
  <c r="BG1837" i="93"/>
  <c r="BG1442" i="93"/>
  <c r="BG1630" i="93"/>
  <c r="BG1480" i="93"/>
  <c r="BG1478" i="93"/>
  <c r="BG1674" i="93"/>
  <c r="BG1658" i="93"/>
  <c r="BD2922" i="93"/>
  <c r="BF2922" i="93" s="1"/>
  <c r="BD2923" i="93"/>
  <c r="BF2923" i="93" s="1"/>
  <c r="BD2924" i="93"/>
  <c r="BF2924" i="93" s="1"/>
  <c r="BD2925" i="93"/>
  <c r="BF2925" i="93" s="1"/>
  <c r="BD2930" i="93"/>
  <c r="BF2930" i="93" s="1"/>
  <c r="BD2294" i="93"/>
  <c r="BF2294" i="93" s="1"/>
  <c r="BB1813" i="93"/>
  <c r="BB1820" i="93"/>
  <c r="AB1813" i="93"/>
  <c r="AB1820" i="93"/>
  <c r="BB1812" i="93"/>
  <c r="AB1812" i="93"/>
  <c r="BB1811" i="93"/>
  <c r="AB1811" i="93"/>
  <c r="BB1810" i="93"/>
  <c r="AB1810" i="93"/>
  <c r="BB2164" i="93"/>
  <c r="AB2164" i="93"/>
  <c r="BB2163" i="93"/>
  <c r="AB2163" i="93"/>
  <c r="BB2160" i="93"/>
  <c r="AB2160" i="93"/>
  <c r="AB2158" i="93"/>
  <c r="BB2158" i="93"/>
  <c r="BB2157" i="93"/>
  <c r="AB2157" i="93"/>
  <c r="BB2156" i="93"/>
  <c r="AB2156" i="93"/>
  <c r="BB2155" i="93"/>
  <c r="AB2155" i="93"/>
  <c r="BG2294" i="93" l="1"/>
  <c r="BG2925" i="93"/>
  <c r="BG2923" i="93"/>
  <c r="BG2930" i="93"/>
  <c r="BG2924" i="93"/>
  <c r="BG2922" i="93"/>
  <c r="BD1813" i="93"/>
  <c r="BF1813" i="93" s="1"/>
  <c r="BD1820" i="93"/>
  <c r="BF1820" i="93" s="1"/>
  <c r="BD2155" i="93"/>
  <c r="BF2155" i="93" s="1"/>
  <c r="BD2156" i="93"/>
  <c r="BF2156" i="93" s="1"/>
  <c r="BD2157" i="93"/>
  <c r="BF2157" i="93" s="1"/>
  <c r="BD2160" i="93"/>
  <c r="BF2160" i="93" s="1"/>
  <c r="BD2163" i="93"/>
  <c r="BF2163" i="93" s="1"/>
  <c r="BD2164" i="93"/>
  <c r="BF2164" i="93" s="1"/>
  <c r="BD1810" i="93"/>
  <c r="BF1810" i="93" s="1"/>
  <c r="BD1811" i="93"/>
  <c r="BF1811" i="93" s="1"/>
  <c r="BD1812" i="93"/>
  <c r="BF1812" i="93" s="1"/>
  <c r="BD2158" i="93"/>
  <c r="BF2158" i="93" s="1"/>
  <c r="BB4314" i="93"/>
  <c r="AB4314" i="93"/>
  <c r="BB3957" i="93"/>
  <c r="BB3939" i="93"/>
  <c r="AB3939" i="93"/>
  <c r="BB3922" i="93"/>
  <c r="AB3922" i="93"/>
  <c r="BB609" i="93"/>
  <c r="AB609" i="93"/>
  <c r="BB574" i="93"/>
  <c r="AB574" i="93"/>
  <c r="BG2158" i="93" l="1"/>
  <c r="BG1811" i="93"/>
  <c r="BG2164" i="93"/>
  <c r="BG2160" i="93"/>
  <c r="BG2156" i="93"/>
  <c r="BG1820" i="93"/>
  <c r="BG575" i="93"/>
  <c r="BG1812" i="93"/>
  <c r="BG1810" i="93"/>
  <c r="BG2163" i="93"/>
  <c r="BG2157" i="93"/>
  <c r="BG2155" i="93"/>
  <c r="BG1813" i="93"/>
  <c r="BD4314" i="93"/>
  <c r="BF4314" i="93" s="1"/>
  <c r="BD574" i="93"/>
  <c r="BF574" i="93" s="1"/>
  <c r="BD609" i="93"/>
  <c r="BF609" i="93" s="1"/>
  <c r="BD3957" i="93"/>
  <c r="BF3957" i="93" s="1"/>
  <c r="BD3922" i="93"/>
  <c r="BF3922" i="93" s="1"/>
  <c r="BD3939" i="93"/>
  <c r="BF3939" i="93" s="1"/>
  <c r="BB1054" i="93"/>
  <c r="AB1054" i="93"/>
  <c r="BB839" i="93"/>
  <c r="AB839" i="93"/>
  <c r="BB754" i="93"/>
  <c r="AB754" i="93"/>
  <c r="BB23" i="93"/>
  <c r="AB23" i="93"/>
  <c r="BB985" i="93"/>
  <c r="AB985" i="93"/>
  <c r="BB674" i="93"/>
  <c r="BB675" i="93"/>
  <c r="AB674" i="93"/>
  <c r="BD674" i="93" s="1"/>
  <c r="BF674" i="93" s="1"/>
  <c r="AB65" i="93"/>
  <c r="BB546" i="93"/>
  <c r="AB546" i="93"/>
  <c r="BB401" i="93"/>
  <c r="AB401" i="93"/>
  <c r="BB309" i="93"/>
  <c r="AB309" i="93"/>
  <c r="AB537" i="93"/>
  <c r="BD537" i="93" s="1"/>
  <c r="BF537" i="93" s="1"/>
  <c r="BB403" i="93"/>
  <c r="AB403" i="93"/>
  <c r="BB185" i="93"/>
  <c r="AB185" i="93"/>
  <c r="BB181" i="93"/>
  <c r="AB181" i="93"/>
  <c r="BB161" i="93"/>
  <c r="BB163" i="93"/>
  <c r="AB161" i="93"/>
  <c r="BB112" i="93"/>
  <c r="BB751" i="93"/>
  <c r="AB751" i="93"/>
  <c r="BD546" i="93" l="1"/>
  <c r="BF546" i="93" s="1"/>
  <c r="BG537" i="93"/>
  <c r="BG674" i="93"/>
  <c r="BG3939" i="93"/>
  <c r="BG3957" i="93"/>
  <c r="BG574" i="93"/>
  <c r="BG3922" i="93"/>
  <c r="BG609" i="93"/>
  <c r="BG4314" i="93"/>
  <c r="BD161" i="93"/>
  <c r="BF161" i="93" s="1"/>
  <c r="BD309" i="93"/>
  <c r="BF309" i="93" s="1"/>
  <c r="BD751" i="93"/>
  <c r="BD181" i="93"/>
  <c r="BF181" i="93" s="1"/>
  <c r="BD65" i="93"/>
  <c r="BD839" i="93"/>
  <c r="BF839" i="93" s="1"/>
  <c r="BD1054" i="93"/>
  <c r="BF1054" i="93" s="1"/>
  <c r="BD985" i="93"/>
  <c r="BF985" i="93" s="1"/>
  <c r="BD23" i="93"/>
  <c r="BF23" i="93" s="1"/>
  <c r="BD403" i="93"/>
  <c r="BF403" i="93" s="1"/>
  <c r="BD401" i="93"/>
  <c r="BF401" i="93" s="1"/>
  <c r="BD754" i="93"/>
  <c r="BF754" i="93" s="1"/>
  <c r="BD185" i="93"/>
  <c r="BF185" i="93" s="1"/>
  <c r="AB230" i="93"/>
  <c r="BB222" i="93"/>
  <c r="AB222" i="93"/>
  <c r="BB221" i="93"/>
  <c r="BB223" i="93"/>
  <c r="AB221" i="93"/>
  <c r="BB218" i="93"/>
  <c r="AB218" i="93"/>
  <c r="BG751" i="93" l="1"/>
  <c r="BF751" i="93"/>
  <c r="BG65" i="93"/>
  <c r="BF65" i="93"/>
  <c r="BG754" i="93"/>
  <c r="BG403" i="93"/>
  <c r="BG985" i="93"/>
  <c r="BG839" i="93"/>
  <c r="BG546" i="93"/>
  <c r="BG185" i="93"/>
  <c r="BG401" i="93"/>
  <c r="BG23" i="93"/>
  <c r="BG1054" i="93"/>
  <c r="BG181" i="93"/>
  <c r="BG309" i="93"/>
  <c r="BG161" i="93"/>
  <c r="BD221" i="93"/>
  <c r="BD218" i="93"/>
  <c r="BD222" i="93"/>
  <c r="BF222" i="93" s="1"/>
  <c r="BD230" i="93"/>
  <c r="BF230" i="93" s="1"/>
  <c r="E16" i="5"/>
  <c r="E9" i="5"/>
  <c r="BG221" i="93" l="1"/>
  <c r="BF221" i="93"/>
  <c r="BG218" i="93"/>
  <c r="BF218" i="93"/>
  <c r="BG230" i="93"/>
  <c r="BG222" i="93"/>
  <c r="D741" i="93"/>
  <c r="BB4227" i="93" l="1"/>
  <c r="AC567" i="93" l="1"/>
  <c r="BB2292" i="93" l="1"/>
  <c r="E5" i="94" l="1"/>
  <c r="E6" i="94"/>
  <c r="E7" i="94"/>
  <c r="E8" i="94"/>
  <c r="E9" i="94"/>
  <c r="E10" i="94"/>
  <c r="E11" i="94"/>
  <c r="E12" i="94"/>
  <c r="E13" i="94"/>
  <c r="E14" i="94"/>
  <c r="E15" i="94"/>
  <c r="E16" i="94"/>
  <c r="E17" i="94"/>
  <c r="E18" i="94"/>
  <c r="E19" i="94"/>
  <c r="E20" i="94"/>
  <c r="E21" i="94"/>
  <c r="E22" i="94"/>
  <c r="E23" i="94"/>
  <c r="E24" i="94"/>
  <c r="E25" i="94"/>
  <c r="E26" i="94"/>
  <c r="E27" i="94"/>
  <c r="E28" i="94"/>
  <c r="E29" i="94"/>
  <c r="E30" i="94"/>
  <c r="E31" i="94"/>
  <c r="E32" i="94"/>
  <c r="E33" i="94"/>
  <c r="E34" i="94"/>
  <c r="E35" i="94"/>
  <c r="E36" i="94"/>
  <c r="E37" i="94"/>
  <c r="E38" i="94"/>
  <c r="E39" i="94"/>
  <c r="E40" i="94"/>
  <c r="E41" i="94"/>
  <c r="E42" i="94"/>
  <c r="E43" i="94"/>
  <c r="E44" i="94"/>
  <c r="E45" i="94"/>
  <c r="E46" i="94"/>
  <c r="E47" i="94"/>
  <c r="E48" i="94"/>
  <c r="E49" i="94"/>
  <c r="E50" i="94"/>
  <c r="E51" i="94"/>
  <c r="E4" i="94"/>
  <c r="AZ10" i="93" l="1"/>
  <c r="AZ22" i="93"/>
  <c r="AZ33" i="93"/>
  <c r="AZ47" i="93"/>
  <c r="AZ52" i="93"/>
  <c r="AZ55" i="93"/>
  <c r="AZ75" i="93"/>
  <c r="AZ78" i="93"/>
  <c r="AZ80" i="93"/>
  <c r="AZ82" i="93"/>
  <c r="AZ198" i="93"/>
  <c r="AZ253" i="93"/>
  <c r="AZ255" i="93"/>
  <c r="AZ257" i="93"/>
  <c r="AZ567" i="93"/>
  <c r="AZ569" i="93"/>
  <c r="AZ672" i="93"/>
  <c r="AZ741" i="93"/>
  <c r="AZ846" i="93"/>
  <c r="AZ853" i="93"/>
  <c r="AZ855" i="93"/>
  <c r="AZ989" i="93"/>
  <c r="AZ999" i="93"/>
  <c r="AZ1002" i="93"/>
  <c r="AZ1006" i="93"/>
  <c r="AZ1018" i="93"/>
  <c r="AZ1023" i="93"/>
  <c r="AZ1028" i="93"/>
  <c r="AZ1040" i="93"/>
  <c r="AZ1043" i="93"/>
  <c r="AZ1068" i="93"/>
  <c r="AZ1081" i="93"/>
  <c r="AZ1083" i="93"/>
  <c r="AZ1086" i="93"/>
  <c r="AZ1088" i="93"/>
  <c r="AZ1091" i="93"/>
  <c r="AZ1258" i="93"/>
  <c r="AZ1409" i="93"/>
  <c r="AZ1512" i="93"/>
  <c r="AZ1620" i="93"/>
  <c r="AZ1698" i="93"/>
  <c r="AZ1808" i="93"/>
  <c r="AZ1910" i="93"/>
  <c r="AZ2006" i="93"/>
  <c r="AZ2009" i="93"/>
  <c r="AZ2153" i="93"/>
  <c r="AZ2293" i="93"/>
  <c r="AZ2338" i="93"/>
  <c r="AZ2381" i="93"/>
  <c r="AZ2614" i="93"/>
  <c r="AZ2627" i="93"/>
  <c r="AZ2779" i="93"/>
  <c r="AZ2921" i="93"/>
  <c r="AZ3109" i="93"/>
  <c r="AZ3159" i="93"/>
  <c r="AZ3178" i="93"/>
  <c r="AZ3391" i="93"/>
  <c r="AZ3488" i="93"/>
  <c r="AZ3507" i="93"/>
  <c r="AZ3575" i="93"/>
  <c r="AZ3615" i="93"/>
  <c r="AZ3651" i="93"/>
  <c r="AZ3699" i="93"/>
  <c r="AZ3749" i="93"/>
  <c r="AZ3761" i="93"/>
  <c r="AZ3827" i="93"/>
  <c r="AZ3852" i="93"/>
  <c r="AZ3872" i="93"/>
  <c r="AZ3904" i="93"/>
  <c r="AZ3908" i="93"/>
  <c r="AZ3914" i="93"/>
  <c r="AZ3918" i="93"/>
  <c r="AZ3943" i="93"/>
  <c r="AZ3969" i="93"/>
  <c r="AZ3987" i="93"/>
  <c r="AZ4004" i="93"/>
  <c r="AZ4024" i="93"/>
  <c r="AZ4044" i="93"/>
  <c r="AZ4066" i="93"/>
  <c r="AZ4095" i="93"/>
  <c r="AZ4098" i="93"/>
  <c r="AZ4114" i="93"/>
  <c r="AZ4123" i="93"/>
  <c r="AZ4125" i="93"/>
  <c r="AZ4132" i="93"/>
  <c r="AZ4159" i="93"/>
  <c r="AZ4161" i="93"/>
  <c r="AZ4186" i="93"/>
  <c r="AZ4220" i="93"/>
  <c r="AZ4250" i="93"/>
  <c r="AZ4270" i="93"/>
  <c r="AZ4272" i="93"/>
  <c r="AZ4288" i="93"/>
  <c r="AZ4303" i="93"/>
  <c r="AZ4348" i="93"/>
  <c r="AZ4352" i="93"/>
  <c r="AZ4354" i="93"/>
  <c r="AY10" i="93"/>
  <c r="AY22" i="93"/>
  <c r="AY33" i="93"/>
  <c r="AY47" i="93"/>
  <c r="AY52" i="93"/>
  <c r="AY55" i="93"/>
  <c r="AY75" i="93"/>
  <c r="AY78" i="93"/>
  <c r="AY80" i="93"/>
  <c r="AY82" i="93"/>
  <c r="AY198" i="93"/>
  <c r="AY253" i="93"/>
  <c r="AY255" i="93"/>
  <c r="AY257" i="93"/>
  <c r="AY567" i="93"/>
  <c r="AY569" i="93"/>
  <c r="AY672" i="93"/>
  <c r="AY741" i="93"/>
  <c r="AY846" i="93"/>
  <c r="AY853" i="93"/>
  <c r="AY855" i="93"/>
  <c r="AY989" i="93"/>
  <c r="AY999" i="93"/>
  <c r="AY1002" i="93"/>
  <c r="AY1006" i="93"/>
  <c r="AY1018" i="93"/>
  <c r="AY1023" i="93"/>
  <c r="AY1028" i="93"/>
  <c r="AY1040" i="93"/>
  <c r="AY1043" i="93"/>
  <c r="AY1068" i="93"/>
  <c r="AY1081" i="93"/>
  <c r="AY1083" i="93"/>
  <c r="AY1086" i="93"/>
  <c r="AY1088" i="93"/>
  <c r="AY1512" i="93"/>
  <c r="AY1620" i="93"/>
  <c r="AY1808" i="93"/>
  <c r="AY1910" i="93"/>
  <c r="AY2006" i="93"/>
  <c r="AY2009" i="93"/>
  <c r="AY2153" i="93"/>
  <c r="AY2293" i="93"/>
  <c r="AY2338" i="93"/>
  <c r="AY2381" i="93"/>
  <c r="AY2614" i="93"/>
  <c r="AY2627" i="93"/>
  <c r="AY2779" i="93"/>
  <c r="AY2921" i="93"/>
  <c r="AY3109" i="93"/>
  <c r="AY3159" i="93"/>
  <c r="AY3178" i="93"/>
  <c r="AY3391" i="93"/>
  <c r="AY3488" i="93"/>
  <c r="AY3507" i="93"/>
  <c r="AY3575" i="93"/>
  <c r="AY3615" i="93"/>
  <c r="AY3651" i="93"/>
  <c r="AY3699" i="93"/>
  <c r="AY3749" i="93"/>
  <c r="AY3761" i="93"/>
  <c r="AY3827" i="93"/>
  <c r="AY3852" i="93"/>
  <c r="AY3872" i="93"/>
  <c r="AY3904" i="93"/>
  <c r="AY3908" i="93"/>
  <c r="AY3914" i="93"/>
  <c r="AY3918" i="93"/>
  <c r="AY3943" i="93"/>
  <c r="AY3969" i="93"/>
  <c r="AY3987" i="93"/>
  <c r="AY4004" i="93"/>
  <c r="AY4024" i="93"/>
  <c r="AY4044" i="93"/>
  <c r="AY4066" i="93"/>
  <c r="AY4095" i="93"/>
  <c r="AY4098" i="93"/>
  <c r="AY4114" i="93"/>
  <c r="AY4123" i="93"/>
  <c r="AY4125" i="93"/>
  <c r="AY4132" i="93"/>
  <c r="AY4159" i="93"/>
  <c r="AY4161" i="93"/>
  <c r="AY4186" i="93"/>
  <c r="AY4220" i="93"/>
  <c r="AY4250" i="93"/>
  <c r="AY4270" i="93"/>
  <c r="AY4272" i="93"/>
  <c r="AY4288" i="93"/>
  <c r="AY4303" i="93"/>
  <c r="AY4348" i="93"/>
  <c r="AY4352" i="93"/>
  <c r="AY4354" i="93"/>
  <c r="Z10" i="93"/>
  <c r="Z22" i="93"/>
  <c r="Z33" i="93"/>
  <c r="Z47" i="93"/>
  <c r="Z52" i="93"/>
  <c r="Z55" i="93"/>
  <c r="Z75" i="93"/>
  <c r="Z78" i="93"/>
  <c r="Z80" i="93"/>
  <c r="Z82" i="93"/>
  <c r="Z198" i="93"/>
  <c r="Z253" i="93"/>
  <c r="Z255" i="93"/>
  <c r="Z257" i="93"/>
  <c r="Z567" i="93"/>
  <c r="Z569" i="93"/>
  <c r="Z672" i="93"/>
  <c r="Z741" i="93"/>
  <c r="Z846" i="93"/>
  <c r="Z853" i="93"/>
  <c r="Z855" i="93"/>
  <c r="Z989" i="93"/>
  <c r="Z999" i="93"/>
  <c r="Z1002" i="93"/>
  <c r="Z1006" i="93"/>
  <c r="Z1018" i="93"/>
  <c r="Z1023" i="93"/>
  <c r="Z1028" i="93"/>
  <c r="Z1040" i="93"/>
  <c r="Z1043" i="93"/>
  <c r="Z1068" i="93"/>
  <c r="Z1081" i="93"/>
  <c r="Z1083" i="93"/>
  <c r="Z1086" i="93"/>
  <c r="Z1088" i="93"/>
  <c r="Z1091" i="93"/>
  <c r="Z1258" i="93"/>
  <c r="Z1409" i="93"/>
  <c r="Z1512" i="93"/>
  <c r="Z1620" i="93"/>
  <c r="Z1698" i="93"/>
  <c r="Z1808" i="93"/>
  <c r="Z1910" i="93"/>
  <c r="Z2006" i="93"/>
  <c r="Z2009" i="93"/>
  <c r="Z2153" i="93"/>
  <c r="Z2293" i="93"/>
  <c r="Z2338" i="93"/>
  <c r="Z2381" i="93"/>
  <c r="Z2614" i="93"/>
  <c r="Z2627" i="93"/>
  <c r="Z2779" i="93"/>
  <c r="Z2921" i="93"/>
  <c r="Z3109" i="93"/>
  <c r="Z3159" i="93"/>
  <c r="Z3178" i="93"/>
  <c r="Z3391" i="93"/>
  <c r="Z3488" i="93"/>
  <c r="Z3507" i="93"/>
  <c r="Z3575" i="93"/>
  <c r="Z3615" i="93"/>
  <c r="Z3651" i="93"/>
  <c r="Z3699" i="93"/>
  <c r="Z3749" i="93"/>
  <c r="Z3761" i="93"/>
  <c r="Z3827" i="93"/>
  <c r="Z3852" i="93"/>
  <c r="Z3872" i="93"/>
  <c r="Z3904" i="93"/>
  <c r="Z3908" i="93"/>
  <c r="Z3914" i="93"/>
  <c r="Z3918" i="93"/>
  <c r="Z3943" i="93"/>
  <c r="Z3969" i="93"/>
  <c r="Z3987" i="93"/>
  <c r="Z4004" i="93"/>
  <c r="Z4024" i="93"/>
  <c r="Z4044" i="93"/>
  <c r="Z4066" i="93"/>
  <c r="Z4095" i="93"/>
  <c r="Z4098" i="93"/>
  <c r="Z4114" i="93"/>
  <c r="Z4123" i="93"/>
  <c r="Z4125" i="93"/>
  <c r="Z4132" i="93"/>
  <c r="Z4159" i="93"/>
  <c r="Z4161" i="93"/>
  <c r="Z4186" i="93"/>
  <c r="Z4220" i="93"/>
  <c r="Z4250" i="93"/>
  <c r="Z4270" i="93"/>
  <c r="Z4272" i="93"/>
  <c r="Z4288" i="93"/>
  <c r="Z4303" i="93"/>
  <c r="Z4348" i="93"/>
  <c r="Z4352" i="93"/>
  <c r="Z4354" i="93"/>
  <c r="Y10" i="93"/>
  <c r="Y22" i="93"/>
  <c r="Y33" i="93"/>
  <c r="Y47" i="93"/>
  <c r="Y52" i="93"/>
  <c r="Y55" i="93"/>
  <c r="Y75" i="93"/>
  <c r="Y78" i="93"/>
  <c r="Y80" i="93"/>
  <c r="Y198" i="93"/>
  <c r="Y253" i="93"/>
  <c r="Y255" i="93"/>
  <c r="Y257" i="93"/>
  <c r="Y567" i="93"/>
  <c r="Y569" i="93"/>
  <c r="Y672" i="93"/>
  <c r="Y741" i="93"/>
  <c r="Y846" i="93"/>
  <c r="Y853" i="93"/>
  <c r="Y855" i="93"/>
  <c r="Y989" i="93"/>
  <c r="Y999" i="93"/>
  <c r="Y1002" i="93"/>
  <c r="Y1006" i="93"/>
  <c r="Y1018" i="93"/>
  <c r="Y1023" i="93"/>
  <c r="Y1028" i="93"/>
  <c r="Y1040" i="93"/>
  <c r="Y1043" i="93"/>
  <c r="Y1068" i="93"/>
  <c r="Y1081" i="93"/>
  <c r="Y1083" i="93"/>
  <c r="Y1086" i="93"/>
  <c r="Y1088" i="93"/>
  <c r="Y1091" i="93"/>
  <c r="Y1258" i="93"/>
  <c r="Y1409" i="93"/>
  <c r="Y1512" i="93"/>
  <c r="Y1620" i="93"/>
  <c r="Y1808" i="93"/>
  <c r="Y1910" i="93"/>
  <c r="Y2006" i="93"/>
  <c r="Y2153" i="93"/>
  <c r="Y2293" i="93"/>
  <c r="Y2338" i="93"/>
  <c r="Y2381" i="93"/>
  <c r="Y2614" i="93"/>
  <c r="Y2627" i="93"/>
  <c r="Y2779" i="93"/>
  <c r="Y2921" i="93"/>
  <c r="Y3109" i="93"/>
  <c r="Y3159" i="93"/>
  <c r="Y3391" i="93"/>
  <c r="Y3488" i="93"/>
  <c r="Y3507" i="93"/>
  <c r="Y3575" i="93"/>
  <c r="Y3615" i="93"/>
  <c r="Y3651" i="93"/>
  <c r="Y3699" i="93"/>
  <c r="Y3749" i="93"/>
  <c r="Y3827" i="93"/>
  <c r="Y3852" i="93"/>
  <c r="Y3872" i="93"/>
  <c r="Y3904" i="93"/>
  <c r="Y3908" i="93"/>
  <c r="Y3914" i="93"/>
  <c r="Y3918" i="93"/>
  <c r="Y3943" i="93"/>
  <c r="Y3969" i="93"/>
  <c r="Y3987" i="93"/>
  <c r="Y4004" i="93"/>
  <c r="Y4024" i="93"/>
  <c r="Y4044" i="93"/>
  <c r="Y4066" i="93"/>
  <c r="Y4095" i="93"/>
  <c r="Y4098" i="93"/>
  <c r="Y4114" i="93"/>
  <c r="Y4123" i="93"/>
  <c r="Y4125" i="93"/>
  <c r="Y4132" i="93"/>
  <c r="Y4159" i="93"/>
  <c r="Y4161" i="93"/>
  <c r="Y4186" i="93"/>
  <c r="Y4220" i="93"/>
  <c r="Y4250" i="93"/>
  <c r="Y4270" i="93"/>
  <c r="Y4272" i="93"/>
  <c r="Y4288" i="93"/>
  <c r="Y4348" i="93"/>
  <c r="Y4352" i="93"/>
  <c r="Y4354" i="93"/>
  <c r="BC4374" i="93"/>
  <c r="BA4374" i="93"/>
  <c r="AZ4374" i="93"/>
  <c r="AY4374" i="93"/>
  <c r="AX4374" i="93"/>
  <c r="AW4374" i="93"/>
  <c r="AV4374" i="93"/>
  <c r="AU4374" i="93"/>
  <c r="AT4374" i="93"/>
  <c r="AS4374" i="93"/>
  <c r="AR4374" i="93"/>
  <c r="AQ4374" i="93"/>
  <c r="AP4374" i="93"/>
  <c r="AO4374" i="93"/>
  <c r="AN4374" i="93"/>
  <c r="AM4374" i="93"/>
  <c r="AL4374" i="93"/>
  <c r="AK4374" i="93"/>
  <c r="AJ4374" i="93"/>
  <c r="AI4374" i="93"/>
  <c r="AH4374" i="93"/>
  <c r="AG4374" i="93"/>
  <c r="AF4374" i="93"/>
  <c r="AE4374" i="93"/>
  <c r="AD4374" i="93"/>
  <c r="AC4374" i="93"/>
  <c r="AA4374" i="93"/>
  <c r="Z4374" i="93"/>
  <c r="Y4374" i="93"/>
  <c r="X4374" i="93"/>
  <c r="W4374" i="93"/>
  <c r="V4374" i="93"/>
  <c r="U4374" i="93"/>
  <c r="T4374" i="93"/>
  <c r="S4374" i="93"/>
  <c r="R4374" i="93"/>
  <c r="Q4374" i="93"/>
  <c r="P4374" i="93"/>
  <c r="O4374" i="93"/>
  <c r="N4374" i="93"/>
  <c r="M4374" i="93"/>
  <c r="L4374" i="93"/>
  <c r="K4374" i="93"/>
  <c r="J4374" i="93"/>
  <c r="I4374" i="93"/>
  <c r="H4374" i="93"/>
  <c r="G4374" i="93"/>
  <c r="F4374" i="93"/>
  <c r="E4374" i="93"/>
  <c r="D4374" i="93"/>
  <c r="BE4373" i="93"/>
  <c r="BB4373" i="93"/>
  <c r="AB4373" i="93"/>
  <c r="BE4372" i="93"/>
  <c r="BB4372" i="93"/>
  <c r="AB4372" i="93"/>
  <c r="BE4371" i="93"/>
  <c r="BB4371" i="93"/>
  <c r="AB4371" i="93"/>
  <c r="BE4370" i="93"/>
  <c r="BB4370" i="93"/>
  <c r="AB4370" i="93"/>
  <c r="BE4369" i="93"/>
  <c r="BB4369" i="93"/>
  <c r="AB4369" i="93"/>
  <c r="BE4368" i="93"/>
  <c r="BB4368" i="93"/>
  <c r="AB4368" i="93"/>
  <c r="BE4367" i="93"/>
  <c r="BB4367" i="93"/>
  <c r="AB4367" i="93"/>
  <c r="BE4366" i="93"/>
  <c r="BB4366" i="93"/>
  <c r="AB4366" i="93"/>
  <c r="BE4365" i="93"/>
  <c r="BB4365" i="93"/>
  <c r="AB4365" i="93"/>
  <c r="BE4364" i="93"/>
  <c r="BB4364" i="93"/>
  <c r="AB4364" i="93"/>
  <c r="BE4363" i="93"/>
  <c r="BB4363" i="93"/>
  <c r="AB4363" i="93"/>
  <c r="BE4362" i="93"/>
  <c r="BB4362" i="93"/>
  <c r="AB4362" i="93"/>
  <c r="BB4355" i="93"/>
  <c r="BB4354" i="93" s="1"/>
  <c r="AB4355" i="93"/>
  <c r="BC4354" i="93"/>
  <c r="BA4354" i="93"/>
  <c r="AX4354" i="93"/>
  <c r="AW4354" i="93"/>
  <c r="AV4354" i="93"/>
  <c r="AU4354" i="93"/>
  <c r="AT4354" i="93"/>
  <c r="AS4354" i="93"/>
  <c r="AR4354" i="93"/>
  <c r="AQ4354" i="93"/>
  <c r="AP4354" i="93"/>
  <c r="AO4354" i="93"/>
  <c r="AN4354" i="93"/>
  <c r="AM4354" i="93"/>
  <c r="AL4354" i="93"/>
  <c r="AK4354" i="93"/>
  <c r="AJ4354" i="93"/>
  <c r="AI4354" i="93"/>
  <c r="AH4354" i="93"/>
  <c r="AG4354" i="93"/>
  <c r="AF4354" i="93"/>
  <c r="AE4354" i="93"/>
  <c r="AD4354" i="93"/>
  <c r="AC4354" i="93"/>
  <c r="AA4354" i="93"/>
  <c r="X4354" i="93"/>
  <c r="W4354" i="93"/>
  <c r="V4354" i="93"/>
  <c r="U4354" i="93"/>
  <c r="T4354" i="93"/>
  <c r="S4354" i="93"/>
  <c r="R4354" i="93"/>
  <c r="Q4354" i="93"/>
  <c r="P4354" i="93"/>
  <c r="O4354" i="93"/>
  <c r="N4354" i="93"/>
  <c r="M4354" i="93"/>
  <c r="L4354" i="93"/>
  <c r="K4354" i="93"/>
  <c r="J4354" i="93"/>
  <c r="I4354" i="93"/>
  <c r="H4354" i="93"/>
  <c r="G4354" i="93"/>
  <c r="F4354" i="93"/>
  <c r="E4354" i="93"/>
  <c r="D4354" i="93"/>
  <c r="BB4353" i="93"/>
  <c r="BB4352" i="93" s="1"/>
  <c r="AB4353" i="93"/>
  <c r="BC4352" i="93"/>
  <c r="BA4352" i="93"/>
  <c r="AX4352" i="93"/>
  <c r="AW4352" i="93"/>
  <c r="AV4352" i="93"/>
  <c r="AU4352" i="93"/>
  <c r="AT4352" i="93"/>
  <c r="AS4352" i="93"/>
  <c r="AR4352" i="93"/>
  <c r="AQ4352" i="93"/>
  <c r="AP4352" i="93"/>
  <c r="AO4352" i="93"/>
  <c r="AN4352" i="93"/>
  <c r="AM4352" i="93"/>
  <c r="AL4352" i="93"/>
  <c r="AK4352" i="93"/>
  <c r="AJ4352" i="93"/>
  <c r="AI4352" i="93"/>
  <c r="AH4352" i="93"/>
  <c r="AG4352" i="93"/>
  <c r="AF4352" i="93"/>
  <c r="AE4352" i="93"/>
  <c r="AD4352" i="93"/>
  <c r="AC4352" i="93"/>
  <c r="AA4352" i="93"/>
  <c r="X4352" i="93"/>
  <c r="W4352" i="93"/>
  <c r="V4352" i="93"/>
  <c r="U4352" i="93"/>
  <c r="T4352" i="93"/>
  <c r="S4352" i="93"/>
  <c r="R4352" i="93"/>
  <c r="Q4352" i="93"/>
  <c r="P4352" i="93"/>
  <c r="O4352" i="93"/>
  <c r="N4352" i="93"/>
  <c r="M4352" i="93"/>
  <c r="L4352" i="93"/>
  <c r="K4352" i="93"/>
  <c r="J4352" i="93"/>
  <c r="I4352" i="93"/>
  <c r="H4352" i="93"/>
  <c r="G4352" i="93"/>
  <c r="F4352" i="93"/>
  <c r="E4352" i="93"/>
  <c r="D4352" i="93"/>
  <c r="BB4351" i="93"/>
  <c r="AB4351" i="93"/>
  <c r="BB4350" i="93"/>
  <c r="AB4350" i="93"/>
  <c r="BB4349" i="93"/>
  <c r="AB4349" i="93"/>
  <c r="BC4348" i="93"/>
  <c r="BA4348" i="93"/>
  <c r="AX4348" i="93"/>
  <c r="AW4348" i="93"/>
  <c r="AV4348" i="93"/>
  <c r="AU4348" i="93"/>
  <c r="AT4348" i="93"/>
  <c r="AS4348" i="93"/>
  <c r="AR4348" i="93"/>
  <c r="AQ4348" i="93"/>
  <c r="AP4348" i="93"/>
  <c r="AO4348" i="93"/>
  <c r="AN4348" i="93"/>
  <c r="AM4348" i="93"/>
  <c r="AL4348" i="93"/>
  <c r="AK4348" i="93"/>
  <c r="AJ4348" i="93"/>
  <c r="AI4348" i="93"/>
  <c r="AH4348" i="93"/>
  <c r="AG4348" i="93"/>
  <c r="AF4348" i="93"/>
  <c r="AE4348" i="93"/>
  <c r="AD4348" i="93"/>
  <c r="AC4348" i="93"/>
  <c r="AA4348" i="93"/>
  <c r="X4348" i="93"/>
  <c r="W4348" i="93"/>
  <c r="V4348" i="93"/>
  <c r="U4348" i="93"/>
  <c r="T4348" i="93"/>
  <c r="S4348" i="93"/>
  <c r="R4348" i="93"/>
  <c r="Q4348" i="93"/>
  <c r="P4348" i="93"/>
  <c r="O4348" i="93"/>
  <c r="N4348" i="93"/>
  <c r="M4348" i="93"/>
  <c r="L4348" i="93"/>
  <c r="K4348" i="93"/>
  <c r="J4348" i="93"/>
  <c r="I4348" i="93"/>
  <c r="H4348" i="93"/>
  <c r="G4348" i="93"/>
  <c r="F4348" i="93"/>
  <c r="E4348" i="93"/>
  <c r="D4348" i="93"/>
  <c r="BB4347" i="93"/>
  <c r="AB4347" i="93"/>
  <c r="BB4346" i="93"/>
  <c r="AB4346" i="93"/>
  <c r="BB4345" i="93"/>
  <c r="AB4345" i="93"/>
  <c r="BB4344" i="93"/>
  <c r="AB4344" i="93"/>
  <c r="BB4343" i="93"/>
  <c r="AB4343" i="93"/>
  <c r="BB4341" i="93"/>
  <c r="AB4341" i="93"/>
  <c r="BB4340" i="93"/>
  <c r="AB4340" i="93"/>
  <c r="BB4339" i="93"/>
  <c r="AB4339" i="93"/>
  <c r="BB4338" i="93"/>
  <c r="AB4338" i="93"/>
  <c r="BB4337" i="93"/>
  <c r="AB4337" i="93"/>
  <c r="BB4336" i="93"/>
  <c r="BB4335" i="93"/>
  <c r="AB4335" i="93"/>
  <c r="BB4334" i="93"/>
  <c r="AB4334" i="93"/>
  <c r="BB4333" i="93"/>
  <c r="AB4333" i="93"/>
  <c r="BB4332" i="93"/>
  <c r="AB4332" i="93"/>
  <c r="BB4330" i="93"/>
  <c r="AB4330" i="93"/>
  <c r="BB4329" i="93"/>
  <c r="BB4323" i="93"/>
  <c r="BB4322" i="93"/>
  <c r="AB4322" i="93"/>
  <c r="BB4321" i="93"/>
  <c r="AB4321" i="93"/>
  <c r="BB4320" i="93"/>
  <c r="AB4320" i="93"/>
  <c r="BB4319" i="93"/>
  <c r="AB4319" i="93"/>
  <c r="BB4318" i="93"/>
  <c r="AB4318" i="93"/>
  <c r="BB4315" i="93"/>
  <c r="AB4315" i="93"/>
  <c r="BB4312" i="93"/>
  <c r="BB4310" i="93"/>
  <c r="AB4310" i="93"/>
  <c r="AB4309" i="93"/>
  <c r="BB4308" i="93"/>
  <c r="AB4308" i="93"/>
  <c r="BB4307" i="93"/>
  <c r="AB4307" i="93"/>
  <c r="BB4306" i="93"/>
  <c r="AB4306" i="93"/>
  <c r="BC4303" i="93"/>
  <c r="BA4303" i="93"/>
  <c r="AX4303" i="93"/>
  <c r="AW4303" i="93"/>
  <c r="AV4303" i="93"/>
  <c r="AU4303" i="93"/>
  <c r="AT4303" i="93"/>
  <c r="AS4303" i="93"/>
  <c r="AR4303" i="93"/>
  <c r="AQ4303" i="93"/>
  <c r="AP4303" i="93"/>
  <c r="AO4303" i="93"/>
  <c r="AN4303" i="93"/>
  <c r="AM4303" i="93"/>
  <c r="AL4303" i="93"/>
  <c r="AK4303" i="93"/>
  <c r="AJ4303" i="93"/>
  <c r="AI4303" i="93"/>
  <c r="AH4303" i="93"/>
  <c r="AG4303" i="93"/>
  <c r="AF4303" i="93"/>
  <c r="AE4303" i="93"/>
  <c r="AD4303" i="93"/>
  <c r="AC4303" i="93"/>
  <c r="AA4303" i="93"/>
  <c r="X4303" i="93"/>
  <c r="W4303" i="93"/>
  <c r="V4303" i="93"/>
  <c r="U4303" i="93"/>
  <c r="T4303" i="93"/>
  <c r="S4303" i="93"/>
  <c r="R4303" i="93"/>
  <c r="Q4303" i="93"/>
  <c r="P4303" i="93"/>
  <c r="O4303" i="93"/>
  <c r="N4303" i="93"/>
  <c r="M4303" i="93"/>
  <c r="L4303" i="93"/>
  <c r="K4303" i="93"/>
  <c r="J4303" i="93"/>
  <c r="I4303" i="93"/>
  <c r="H4303" i="93"/>
  <c r="G4303" i="93"/>
  <c r="F4303" i="93"/>
  <c r="E4303" i="93"/>
  <c r="D4303" i="93"/>
  <c r="BB4302" i="93"/>
  <c r="AB4302" i="93"/>
  <c r="BB4301" i="93"/>
  <c r="AB4301" i="93"/>
  <c r="BB4300" i="93"/>
  <c r="AB4300" i="93"/>
  <c r="BB4299" i="93"/>
  <c r="AB4299" i="93"/>
  <c r="BB4297" i="93"/>
  <c r="AB4297" i="93"/>
  <c r="BB4295" i="93"/>
  <c r="AB4295" i="93"/>
  <c r="BB4294" i="93"/>
  <c r="AB4294" i="93"/>
  <c r="BB4298" i="93"/>
  <c r="AB4298" i="93"/>
  <c r="BB4293" i="93"/>
  <c r="AB4293" i="93"/>
  <c r="BB4291" i="93"/>
  <c r="AB4291" i="93"/>
  <c r="BB4290" i="93"/>
  <c r="AB4290" i="93"/>
  <c r="BB4289" i="93"/>
  <c r="AB4289" i="93"/>
  <c r="BC4288" i="93"/>
  <c r="BA4288" i="93"/>
  <c r="AX4288" i="93"/>
  <c r="AW4288" i="93"/>
  <c r="AV4288" i="93"/>
  <c r="AU4288" i="93"/>
  <c r="AT4288" i="93"/>
  <c r="AS4288" i="93"/>
  <c r="AR4288" i="93"/>
  <c r="AQ4288" i="93"/>
  <c r="AP4288" i="93"/>
  <c r="AO4288" i="93"/>
  <c r="AN4288" i="93"/>
  <c r="AM4288" i="93"/>
  <c r="AL4288" i="93"/>
  <c r="AK4288" i="93"/>
  <c r="AJ4288" i="93"/>
  <c r="AI4288" i="93"/>
  <c r="AH4288" i="93"/>
  <c r="AG4288" i="93"/>
  <c r="AF4288" i="93"/>
  <c r="AE4288" i="93"/>
  <c r="AD4288" i="93"/>
  <c r="AC4288" i="93"/>
  <c r="AA4288" i="93"/>
  <c r="X4288" i="93"/>
  <c r="W4288" i="93"/>
  <c r="V4288" i="93"/>
  <c r="U4288" i="93"/>
  <c r="T4288" i="93"/>
  <c r="S4288" i="93"/>
  <c r="R4288" i="93"/>
  <c r="Q4288" i="93"/>
  <c r="P4288" i="93"/>
  <c r="O4288" i="93"/>
  <c r="N4288" i="93"/>
  <c r="M4288" i="93"/>
  <c r="L4288" i="93"/>
  <c r="K4288" i="93"/>
  <c r="J4288" i="93"/>
  <c r="I4288" i="93"/>
  <c r="H4288" i="93"/>
  <c r="G4288" i="93"/>
  <c r="F4288" i="93"/>
  <c r="E4288" i="93"/>
  <c r="D4288" i="93"/>
  <c r="BB4287" i="93"/>
  <c r="AB4287" i="93"/>
  <c r="BB4284" i="93"/>
  <c r="AB4284" i="93"/>
  <c r="BB4283" i="93"/>
  <c r="AB4283" i="93"/>
  <c r="BB4282" i="93"/>
  <c r="AB4282" i="93"/>
  <c r="BB4281" i="93"/>
  <c r="AB4281" i="93"/>
  <c r="BB4279" i="93"/>
  <c r="AB4279" i="93"/>
  <c r="BB4276" i="93"/>
  <c r="AB4276" i="93"/>
  <c r="BB4275" i="93"/>
  <c r="AB4275" i="93"/>
  <c r="BB4274" i="93"/>
  <c r="AB4274" i="93"/>
  <c r="BB4273" i="93"/>
  <c r="AB4273" i="93"/>
  <c r="BC4272" i="93"/>
  <c r="BA4272" i="93"/>
  <c r="AX4272" i="93"/>
  <c r="AW4272" i="93"/>
  <c r="AV4272" i="93"/>
  <c r="AU4272" i="93"/>
  <c r="AT4272" i="93"/>
  <c r="AS4272" i="93"/>
  <c r="AR4272" i="93"/>
  <c r="AQ4272" i="93"/>
  <c r="AP4272" i="93"/>
  <c r="AO4272" i="93"/>
  <c r="AN4272" i="93"/>
  <c r="AM4272" i="93"/>
  <c r="AL4272" i="93"/>
  <c r="AK4272" i="93"/>
  <c r="AJ4272" i="93"/>
  <c r="AI4272" i="93"/>
  <c r="AH4272" i="93"/>
  <c r="AG4272" i="93"/>
  <c r="AF4272" i="93"/>
  <c r="AE4272" i="93"/>
  <c r="AD4272" i="93"/>
  <c r="AC4272" i="93"/>
  <c r="AA4272" i="93"/>
  <c r="X4272" i="93"/>
  <c r="W4272" i="93"/>
  <c r="V4272" i="93"/>
  <c r="U4272" i="93"/>
  <c r="T4272" i="93"/>
  <c r="S4272" i="93"/>
  <c r="R4272" i="93"/>
  <c r="Q4272" i="93"/>
  <c r="P4272" i="93"/>
  <c r="O4272" i="93"/>
  <c r="N4272" i="93"/>
  <c r="M4272" i="93"/>
  <c r="L4272" i="93"/>
  <c r="K4272" i="93"/>
  <c r="J4272" i="93"/>
  <c r="I4272" i="93"/>
  <c r="H4272" i="93"/>
  <c r="G4272" i="93"/>
  <c r="F4272" i="93"/>
  <c r="E4272" i="93"/>
  <c r="D4272" i="93"/>
  <c r="BB4271" i="93"/>
  <c r="BB4270" i="93" s="1"/>
  <c r="AB4271" i="93"/>
  <c r="BC4270" i="93"/>
  <c r="BA4270" i="93"/>
  <c r="AX4270" i="93"/>
  <c r="AW4270" i="93"/>
  <c r="AV4270" i="93"/>
  <c r="AU4270" i="93"/>
  <c r="AT4270" i="93"/>
  <c r="AS4270" i="93"/>
  <c r="AR4270" i="93"/>
  <c r="AQ4270" i="93"/>
  <c r="AP4270" i="93"/>
  <c r="AO4270" i="93"/>
  <c r="AN4270" i="93"/>
  <c r="AM4270" i="93"/>
  <c r="AL4270" i="93"/>
  <c r="AK4270" i="93"/>
  <c r="AJ4270" i="93"/>
  <c r="AI4270" i="93"/>
  <c r="AH4270" i="93"/>
  <c r="AG4270" i="93"/>
  <c r="AF4270" i="93"/>
  <c r="AE4270" i="93"/>
  <c r="AD4270" i="93"/>
  <c r="AC4270" i="93"/>
  <c r="AA4270" i="93"/>
  <c r="X4270" i="93"/>
  <c r="W4270" i="93"/>
  <c r="V4270" i="93"/>
  <c r="U4270" i="93"/>
  <c r="T4270" i="93"/>
  <c r="S4270" i="93"/>
  <c r="R4270" i="93"/>
  <c r="Q4270" i="93"/>
  <c r="P4270" i="93"/>
  <c r="O4270" i="93"/>
  <c r="N4270" i="93"/>
  <c r="M4270" i="93"/>
  <c r="L4270" i="93"/>
  <c r="K4270" i="93"/>
  <c r="J4270" i="93"/>
  <c r="I4270" i="93"/>
  <c r="H4270" i="93"/>
  <c r="G4270" i="93"/>
  <c r="F4270" i="93"/>
  <c r="E4270" i="93"/>
  <c r="D4270" i="93"/>
  <c r="BB4269" i="93"/>
  <c r="AB4269" i="93"/>
  <c r="BB4267" i="93"/>
  <c r="AB4267" i="93"/>
  <c r="BB4265" i="93"/>
  <c r="AB4265" i="93"/>
  <c r="BB4264" i="93"/>
  <c r="AB4264" i="93"/>
  <c r="BB4261" i="93"/>
  <c r="AB4261" i="93"/>
  <c r="BB4263" i="93"/>
  <c r="AB4263" i="93"/>
  <c r="BB4257" i="93"/>
  <c r="AB4257" i="93"/>
  <c r="BB4253" i="93"/>
  <c r="AB4253" i="93"/>
  <c r="BB4252" i="93"/>
  <c r="AB4252" i="93"/>
  <c r="BB4251" i="93"/>
  <c r="AB4251" i="93"/>
  <c r="BC4250" i="93"/>
  <c r="BA4250" i="93"/>
  <c r="AX4250" i="93"/>
  <c r="AW4250" i="93"/>
  <c r="AV4250" i="93"/>
  <c r="AU4250" i="93"/>
  <c r="AT4250" i="93"/>
  <c r="AS4250" i="93"/>
  <c r="AR4250" i="93"/>
  <c r="AQ4250" i="93"/>
  <c r="AP4250" i="93"/>
  <c r="AO4250" i="93"/>
  <c r="AN4250" i="93"/>
  <c r="AM4250" i="93"/>
  <c r="AL4250" i="93"/>
  <c r="AK4250" i="93"/>
  <c r="AJ4250" i="93"/>
  <c r="AI4250" i="93"/>
  <c r="AH4250" i="93"/>
  <c r="AG4250" i="93"/>
  <c r="AF4250" i="93"/>
  <c r="AE4250" i="93"/>
  <c r="AD4250" i="93"/>
  <c r="AC4250" i="93"/>
  <c r="AA4250" i="93"/>
  <c r="X4250" i="93"/>
  <c r="W4250" i="93"/>
  <c r="V4250" i="93"/>
  <c r="U4250" i="93"/>
  <c r="T4250" i="93"/>
  <c r="S4250" i="93"/>
  <c r="R4250" i="93"/>
  <c r="Q4250" i="93"/>
  <c r="P4250" i="93"/>
  <c r="O4250" i="93"/>
  <c r="N4250" i="93"/>
  <c r="M4250" i="93"/>
  <c r="L4250" i="93"/>
  <c r="K4250" i="93"/>
  <c r="J4250" i="93"/>
  <c r="I4250" i="93"/>
  <c r="H4250" i="93"/>
  <c r="G4250" i="93"/>
  <c r="F4250" i="93"/>
  <c r="E4250" i="93"/>
  <c r="D4250" i="93"/>
  <c r="BB4248" i="93"/>
  <c r="AB4248" i="93"/>
  <c r="BB4245" i="93"/>
  <c r="AB4245" i="93"/>
  <c r="AB4244" i="93"/>
  <c r="BB4243" i="93"/>
  <c r="AB4243" i="93"/>
  <c r="BB4239" i="93"/>
  <c r="AB4239" i="93"/>
  <c r="BB4238" i="93"/>
  <c r="AB4238" i="93"/>
  <c r="BB4240" i="93"/>
  <c r="AB4240" i="93"/>
  <c r="BB4236" i="93"/>
  <c r="AB4236" i="93"/>
  <c r="BB4235" i="93"/>
  <c r="AB4235" i="93"/>
  <c r="BB4234" i="93"/>
  <c r="AB4234" i="93"/>
  <c r="BB4247" i="93"/>
  <c r="AB4247" i="93"/>
  <c r="BB4233" i="93"/>
  <c r="AB4233" i="93"/>
  <c r="BB4232" i="93"/>
  <c r="AB4232" i="93"/>
  <c r="BB4231" i="93"/>
  <c r="AB4231" i="93"/>
  <c r="BB4228" i="93"/>
  <c r="AB4228" i="93"/>
  <c r="AB4227" i="93"/>
  <c r="BD4227" i="93" s="1"/>
  <c r="BF4227" i="93" s="1"/>
  <c r="BB4224" i="93"/>
  <c r="AB4224" i="93"/>
  <c r="BB4223" i="93"/>
  <c r="AB4223" i="93"/>
  <c r="BC4220" i="93"/>
  <c r="BA4220" i="93"/>
  <c r="AX4220" i="93"/>
  <c r="AW4220" i="93"/>
  <c r="AV4220" i="93"/>
  <c r="AU4220" i="93"/>
  <c r="AT4220" i="93"/>
  <c r="AS4220" i="93"/>
  <c r="AR4220" i="93"/>
  <c r="AQ4220" i="93"/>
  <c r="AP4220" i="93"/>
  <c r="AO4220" i="93"/>
  <c r="AN4220" i="93"/>
  <c r="AM4220" i="93"/>
  <c r="AK4220" i="93"/>
  <c r="AJ4220" i="93"/>
  <c r="AI4220" i="93"/>
  <c r="AH4220" i="93"/>
  <c r="AG4220" i="93"/>
  <c r="AF4220" i="93"/>
  <c r="AE4220" i="93"/>
  <c r="AD4220" i="93"/>
  <c r="AC4220" i="93"/>
  <c r="AA4220" i="93"/>
  <c r="X4220" i="93"/>
  <c r="W4220" i="93"/>
  <c r="V4220" i="93"/>
  <c r="U4220" i="93"/>
  <c r="T4220" i="93"/>
  <c r="S4220" i="93"/>
  <c r="R4220" i="93"/>
  <c r="Q4220" i="93"/>
  <c r="P4220" i="93"/>
  <c r="O4220" i="93"/>
  <c r="N4220" i="93"/>
  <c r="M4220" i="93"/>
  <c r="L4220" i="93"/>
  <c r="K4220" i="93"/>
  <c r="J4220" i="93"/>
  <c r="I4220" i="93"/>
  <c r="H4220" i="93"/>
  <c r="G4220" i="93"/>
  <c r="F4220" i="93"/>
  <c r="E4220" i="93"/>
  <c r="D4220" i="93"/>
  <c r="AB4218" i="93"/>
  <c r="BD4218" i="93" s="1"/>
  <c r="BF4218" i="93" s="1"/>
  <c r="AB4215" i="93"/>
  <c r="BD4215" i="93" s="1"/>
  <c r="BF4215" i="93" s="1"/>
  <c r="BB4213" i="93"/>
  <c r="AB4213" i="93"/>
  <c r="BB4212" i="93"/>
  <c r="AB4212" i="93"/>
  <c r="BB4210" i="93"/>
  <c r="AB4210" i="93"/>
  <c r="AB4206" i="93"/>
  <c r="AB4205" i="93"/>
  <c r="AB4204" i="93"/>
  <c r="BB4201" i="93"/>
  <c r="AB4201" i="93"/>
  <c r="BB4202" i="93"/>
  <c r="AB4202" i="93"/>
  <c r="BB4207" i="93"/>
  <c r="AB4207" i="93"/>
  <c r="BB4200" i="93"/>
  <c r="AB4200" i="93"/>
  <c r="BB4198" i="93"/>
  <c r="AB4198" i="93"/>
  <c r="BB4216" i="93"/>
  <c r="AB4216" i="93"/>
  <c r="BB4197" i="93"/>
  <c r="AB4197" i="93"/>
  <c r="BB4196" i="93"/>
  <c r="AB4196" i="93"/>
  <c r="BB4195" i="93"/>
  <c r="AB4195" i="93"/>
  <c r="AB4194" i="93"/>
  <c r="BB4193" i="93"/>
  <c r="AB4193" i="93"/>
  <c r="AB4192" i="93"/>
  <c r="BB4191" i="93"/>
  <c r="AB4191" i="93"/>
  <c r="BB4190" i="93"/>
  <c r="AB4190" i="93"/>
  <c r="BB4189" i="93"/>
  <c r="AB4189" i="93"/>
  <c r="BB4188" i="93"/>
  <c r="AB4188" i="93"/>
  <c r="BC4186" i="93"/>
  <c r="BA4186" i="93"/>
  <c r="AX4186" i="93"/>
  <c r="AW4186" i="93"/>
  <c r="AV4186" i="93"/>
  <c r="AU4186" i="93"/>
  <c r="AT4186" i="93"/>
  <c r="AS4186" i="93"/>
  <c r="AR4186" i="93"/>
  <c r="AQ4186" i="93"/>
  <c r="AP4186" i="93"/>
  <c r="AO4186" i="93"/>
  <c r="AN4186" i="93"/>
  <c r="AM4186" i="93"/>
  <c r="AK4186" i="93"/>
  <c r="AJ4186" i="93"/>
  <c r="AI4186" i="93"/>
  <c r="AH4186" i="93"/>
  <c r="AG4186" i="93"/>
  <c r="AF4186" i="93"/>
  <c r="AE4186" i="93"/>
  <c r="AC4186" i="93"/>
  <c r="AA4186" i="93"/>
  <c r="X4186" i="93"/>
  <c r="W4186" i="93"/>
  <c r="V4186" i="93"/>
  <c r="U4186" i="93"/>
  <c r="T4186" i="93"/>
  <c r="S4186" i="93"/>
  <c r="R4186" i="93"/>
  <c r="Q4186" i="93"/>
  <c r="P4186" i="93"/>
  <c r="O4186" i="93"/>
  <c r="N4186" i="93"/>
  <c r="M4186" i="93"/>
  <c r="L4186" i="93"/>
  <c r="K4186" i="93"/>
  <c r="J4186" i="93"/>
  <c r="I4186" i="93"/>
  <c r="H4186" i="93"/>
  <c r="G4186" i="93"/>
  <c r="F4186" i="93"/>
  <c r="E4186" i="93"/>
  <c r="D4186" i="93"/>
  <c r="BB4185" i="93"/>
  <c r="AB4185" i="93"/>
  <c r="BB4182" i="93"/>
  <c r="AB4182" i="93"/>
  <c r="BB4181" i="93"/>
  <c r="AB4181" i="93"/>
  <c r="BB4180" i="93"/>
  <c r="AB4180" i="93"/>
  <c r="BB4176" i="93"/>
  <c r="AB4176" i="93"/>
  <c r="BB4170" i="93"/>
  <c r="AB4170" i="93"/>
  <c r="AP4161" i="93"/>
  <c r="BB4173" i="93"/>
  <c r="AB4173" i="93"/>
  <c r="BB4183" i="93"/>
  <c r="AB4183" i="93"/>
  <c r="BB4172" i="93"/>
  <c r="AB4172" i="93"/>
  <c r="BB4171" i="93"/>
  <c r="AB4171" i="93"/>
  <c r="BB4169" i="93"/>
  <c r="AB4169" i="93"/>
  <c r="BB4168" i="93"/>
  <c r="AB4168" i="93"/>
  <c r="AB4167" i="93"/>
  <c r="BB4164" i="93"/>
  <c r="AB4164" i="93"/>
  <c r="BB4163" i="93"/>
  <c r="AB4163" i="93"/>
  <c r="BC4161" i="93"/>
  <c r="BA4161" i="93"/>
  <c r="AX4161" i="93"/>
  <c r="AW4161" i="93"/>
  <c r="AV4161" i="93"/>
  <c r="AU4161" i="93"/>
  <c r="AT4161" i="93"/>
  <c r="AS4161" i="93"/>
  <c r="AR4161" i="93"/>
  <c r="AQ4161" i="93"/>
  <c r="AO4161" i="93"/>
  <c r="AN4161" i="93"/>
  <c r="AM4161" i="93"/>
  <c r="AK4161" i="93"/>
  <c r="AJ4161" i="93"/>
  <c r="AI4161" i="93"/>
  <c r="AH4161" i="93"/>
  <c r="AG4161" i="93"/>
  <c r="AF4161" i="93"/>
  <c r="AE4161" i="93"/>
  <c r="AD4161" i="93"/>
  <c r="AC4161" i="93"/>
  <c r="AA4161" i="93"/>
  <c r="X4161" i="93"/>
  <c r="W4161" i="93"/>
  <c r="V4161" i="93"/>
  <c r="U4161" i="93"/>
  <c r="T4161" i="93"/>
  <c r="S4161" i="93"/>
  <c r="R4161" i="93"/>
  <c r="Q4161" i="93"/>
  <c r="P4161" i="93"/>
  <c r="O4161" i="93"/>
  <c r="N4161" i="93"/>
  <c r="M4161" i="93"/>
  <c r="L4161" i="93"/>
  <c r="K4161" i="93"/>
  <c r="J4161" i="93"/>
  <c r="I4161" i="93"/>
  <c r="H4161" i="93"/>
  <c r="G4161" i="93"/>
  <c r="F4161" i="93"/>
  <c r="E4161" i="93"/>
  <c r="D4161" i="93"/>
  <c r="BB4160" i="93"/>
  <c r="AB4160" i="93"/>
  <c r="BC4159" i="93"/>
  <c r="BA4159" i="93"/>
  <c r="AX4159" i="93"/>
  <c r="AW4159" i="93"/>
  <c r="AV4159" i="93"/>
  <c r="AU4159" i="93"/>
  <c r="AT4159" i="93"/>
  <c r="AS4159" i="93"/>
  <c r="AR4159" i="93"/>
  <c r="AQ4159" i="93"/>
  <c r="AP4159" i="93"/>
  <c r="AO4159" i="93"/>
  <c r="AN4159" i="93"/>
  <c r="AM4159" i="93"/>
  <c r="AL4159" i="93"/>
  <c r="AK4159" i="93"/>
  <c r="AJ4159" i="93"/>
  <c r="AI4159" i="93"/>
  <c r="AH4159" i="93"/>
  <c r="AG4159" i="93"/>
  <c r="AF4159" i="93"/>
  <c r="AE4159" i="93"/>
  <c r="AD4159" i="93"/>
  <c r="AC4159" i="93"/>
  <c r="AA4159" i="93"/>
  <c r="X4159" i="93"/>
  <c r="W4159" i="93"/>
  <c r="V4159" i="93"/>
  <c r="U4159" i="93"/>
  <c r="T4159" i="93"/>
  <c r="S4159" i="93"/>
  <c r="R4159" i="93"/>
  <c r="Q4159" i="93"/>
  <c r="P4159" i="93"/>
  <c r="O4159" i="93"/>
  <c r="N4159" i="93"/>
  <c r="M4159" i="93"/>
  <c r="L4159" i="93"/>
  <c r="K4159" i="93"/>
  <c r="J4159" i="93"/>
  <c r="I4159" i="93"/>
  <c r="H4159" i="93"/>
  <c r="G4159" i="93"/>
  <c r="F4159" i="93"/>
  <c r="E4159" i="93"/>
  <c r="D4159" i="93"/>
  <c r="BB4156" i="93"/>
  <c r="AB4156" i="93"/>
  <c r="BB4155" i="93"/>
  <c r="AB4155" i="93"/>
  <c r="BB4154" i="93"/>
  <c r="AB4154" i="93"/>
  <c r="BB4153" i="93"/>
  <c r="AB4153" i="93"/>
  <c r="BB4149" i="93"/>
  <c r="AB4149" i="93"/>
  <c r="BB4148" i="93"/>
  <c r="AB4148" i="93"/>
  <c r="BB4151" i="93"/>
  <c r="AB4151" i="93"/>
  <c r="BB4146" i="93"/>
  <c r="AB4146" i="93"/>
  <c r="BB4144" i="93"/>
  <c r="BB4157" i="93"/>
  <c r="AB4157" i="93"/>
  <c r="BB4143" i="93"/>
  <c r="AB4143" i="93"/>
  <c r="BB4142" i="93"/>
  <c r="AB4142" i="93"/>
  <c r="BB4140" i="93"/>
  <c r="AB4140" i="93"/>
  <c r="BB4139" i="93"/>
  <c r="AB4139" i="93"/>
  <c r="BB4138" i="93"/>
  <c r="AB4138" i="93"/>
  <c r="BB4137" i="93"/>
  <c r="AB4137" i="93"/>
  <c r="BB4136" i="93"/>
  <c r="AB4136" i="93"/>
  <c r="BB4135" i="93"/>
  <c r="AB4135" i="93"/>
  <c r="BB4133" i="93"/>
  <c r="AB4133" i="93"/>
  <c r="BC4132" i="93"/>
  <c r="BA4132" i="93"/>
  <c r="AX4132" i="93"/>
  <c r="AW4132" i="93"/>
  <c r="AV4132" i="93"/>
  <c r="AU4132" i="93"/>
  <c r="AT4132" i="93"/>
  <c r="AS4132" i="93"/>
  <c r="AR4132" i="93"/>
  <c r="AQ4132" i="93"/>
  <c r="AP4132" i="93"/>
  <c r="AO4132" i="93"/>
  <c r="AN4132" i="93"/>
  <c r="AM4132" i="93"/>
  <c r="AL4132" i="93"/>
  <c r="AK4132" i="93"/>
  <c r="AJ4132" i="93"/>
  <c r="AI4132" i="93"/>
  <c r="AH4132" i="93"/>
  <c r="AG4132" i="93"/>
  <c r="AF4132" i="93"/>
  <c r="AE4132" i="93"/>
  <c r="AD4132" i="93"/>
  <c r="AC4132" i="93"/>
  <c r="AA4132" i="93"/>
  <c r="X4132" i="93"/>
  <c r="W4132" i="93"/>
  <c r="V4132" i="93"/>
  <c r="U4132" i="93"/>
  <c r="T4132" i="93"/>
  <c r="S4132" i="93"/>
  <c r="R4132" i="93"/>
  <c r="Q4132" i="93"/>
  <c r="P4132" i="93"/>
  <c r="O4132" i="93"/>
  <c r="N4132" i="93"/>
  <c r="M4132" i="93"/>
  <c r="L4132" i="93"/>
  <c r="K4132" i="93"/>
  <c r="J4132" i="93"/>
  <c r="I4132" i="93"/>
  <c r="H4132" i="93"/>
  <c r="G4132" i="93"/>
  <c r="F4132" i="93"/>
  <c r="E4132" i="93"/>
  <c r="D4132" i="93"/>
  <c r="BB4128" i="93"/>
  <c r="AB4128" i="93"/>
  <c r="BC4125" i="93"/>
  <c r="BA4125" i="93"/>
  <c r="AX4125" i="93"/>
  <c r="AW4125" i="93"/>
  <c r="AV4125" i="93"/>
  <c r="AU4125" i="93"/>
  <c r="AT4125" i="93"/>
  <c r="AS4125" i="93"/>
  <c r="AR4125" i="93"/>
  <c r="AQ4125" i="93"/>
  <c r="AP4125" i="93"/>
  <c r="AO4125" i="93"/>
  <c r="AN4125" i="93"/>
  <c r="AM4125" i="93"/>
  <c r="AL4125" i="93"/>
  <c r="AK4125" i="93"/>
  <c r="AJ4125" i="93"/>
  <c r="AI4125" i="93"/>
  <c r="AH4125" i="93"/>
  <c r="AG4125" i="93"/>
  <c r="AF4125" i="93"/>
  <c r="AE4125" i="93"/>
  <c r="AD4125" i="93"/>
  <c r="AC4125" i="93"/>
  <c r="AA4125" i="93"/>
  <c r="X4125" i="93"/>
  <c r="W4125" i="93"/>
  <c r="V4125" i="93"/>
  <c r="U4125" i="93"/>
  <c r="T4125" i="93"/>
  <c r="S4125" i="93"/>
  <c r="R4125" i="93"/>
  <c r="Q4125" i="93"/>
  <c r="P4125" i="93"/>
  <c r="O4125" i="93"/>
  <c r="N4125" i="93"/>
  <c r="M4125" i="93"/>
  <c r="L4125" i="93"/>
  <c r="K4125" i="93"/>
  <c r="J4125" i="93"/>
  <c r="I4125" i="93"/>
  <c r="H4125" i="93"/>
  <c r="G4125" i="93"/>
  <c r="F4125" i="93"/>
  <c r="E4125" i="93"/>
  <c r="D4125" i="93"/>
  <c r="BB4124" i="93"/>
  <c r="BB4123" i="93" s="1"/>
  <c r="AB4124" i="93"/>
  <c r="BC4123" i="93"/>
  <c r="BA4123" i="93"/>
  <c r="AX4123" i="93"/>
  <c r="AW4123" i="93"/>
  <c r="AV4123" i="93"/>
  <c r="AU4123" i="93"/>
  <c r="AT4123" i="93"/>
  <c r="AS4123" i="93"/>
  <c r="AR4123" i="93"/>
  <c r="AQ4123" i="93"/>
  <c r="AP4123" i="93"/>
  <c r="AO4123" i="93"/>
  <c r="AN4123" i="93"/>
  <c r="AM4123" i="93"/>
  <c r="AL4123" i="93"/>
  <c r="AK4123" i="93"/>
  <c r="AJ4123" i="93"/>
  <c r="AI4123" i="93"/>
  <c r="AH4123" i="93"/>
  <c r="AG4123" i="93"/>
  <c r="AF4123" i="93"/>
  <c r="AE4123" i="93"/>
  <c r="AD4123" i="93"/>
  <c r="AC4123" i="93"/>
  <c r="AA4123" i="93"/>
  <c r="X4123" i="93"/>
  <c r="W4123" i="93"/>
  <c r="V4123" i="93"/>
  <c r="U4123" i="93"/>
  <c r="T4123" i="93"/>
  <c r="S4123" i="93"/>
  <c r="R4123" i="93"/>
  <c r="Q4123" i="93"/>
  <c r="P4123" i="93"/>
  <c r="O4123" i="93"/>
  <c r="N4123" i="93"/>
  <c r="M4123" i="93"/>
  <c r="L4123" i="93"/>
  <c r="K4123" i="93"/>
  <c r="J4123" i="93"/>
  <c r="I4123" i="93"/>
  <c r="H4123" i="93"/>
  <c r="G4123" i="93"/>
  <c r="F4123" i="93"/>
  <c r="E4123" i="93"/>
  <c r="D4123" i="93"/>
  <c r="BB4122" i="93"/>
  <c r="BD4122" i="93" s="1"/>
  <c r="BF4122" i="93" s="1"/>
  <c r="BB4119" i="93"/>
  <c r="AB4119" i="93"/>
  <c r="AB4118" i="93"/>
  <c r="BD4118" i="93" s="1"/>
  <c r="BF4118" i="93" s="1"/>
  <c r="BB4115" i="93"/>
  <c r="AB4115" i="93"/>
  <c r="BC4114" i="93"/>
  <c r="BA4114" i="93"/>
  <c r="AX4114" i="93"/>
  <c r="AW4114" i="93"/>
  <c r="AV4114" i="93"/>
  <c r="AU4114" i="93"/>
  <c r="AT4114" i="93"/>
  <c r="AS4114" i="93"/>
  <c r="AR4114" i="93"/>
  <c r="AQ4114" i="93"/>
  <c r="AP4114" i="93"/>
  <c r="AO4114" i="93"/>
  <c r="AN4114" i="93"/>
  <c r="AM4114" i="93"/>
  <c r="AL4114" i="93"/>
  <c r="AK4114" i="93"/>
  <c r="AJ4114" i="93"/>
  <c r="AI4114" i="93"/>
  <c r="AH4114" i="93"/>
  <c r="AG4114" i="93"/>
  <c r="AF4114" i="93"/>
  <c r="AE4114" i="93"/>
  <c r="AD4114" i="93"/>
  <c r="AC4114" i="93"/>
  <c r="AA4114" i="93"/>
  <c r="X4114" i="93"/>
  <c r="W4114" i="93"/>
  <c r="V4114" i="93"/>
  <c r="U4114" i="93"/>
  <c r="T4114" i="93"/>
  <c r="S4114" i="93"/>
  <c r="R4114" i="93"/>
  <c r="Q4114" i="93"/>
  <c r="P4114" i="93"/>
  <c r="O4114" i="93"/>
  <c r="N4114" i="93"/>
  <c r="M4114" i="93"/>
  <c r="L4114" i="93"/>
  <c r="K4114" i="93"/>
  <c r="J4114" i="93"/>
  <c r="I4114" i="93"/>
  <c r="H4114" i="93"/>
  <c r="G4114" i="93"/>
  <c r="F4114" i="93"/>
  <c r="E4114" i="93"/>
  <c r="D4114" i="93"/>
  <c r="BB4111" i="93"/>
  <c r="AB4111" i="93"/>
  <c r="BB4109" i="93"/>
  <c r="AB4109" i="93"/>
  <c r="BB4108" i="93"/>
  <c r="AB4108" i="93"/>
  <c r="BB4107" i="93"/>
  <c r="AB4107" i="93"/>
  <c r="BB4105" i="93"/>
  <c r="AB4105" i="93"/>
  <c r="BB4104" i="93"/>
  <c r="AB4104" i="93"/>
  <c r="BB4110" i="93"/>
  <c r="AB4110" i="93"/>
  <c r="BB4112" i="93"/>
  <c r="AB4112" i="93"/>
  <c r="BB4103" i="93"/>
  <c r="AB4103" i="93"/>
  <c r="BB4102" i="93"/>
  <c r="AB4102" i="93"/>
  <c r="BB4101" i="93"/>
  <c r="AB4101" i="93"/>
  <c r="BB4099" i="93"/>
  <c r="AB4099" i="93"/>
  <c r="BC4098" i="93"/>
  <c r="BA4098" i="93"/>
  <c r="AX4098" i="93"/>
  <c r="AW4098" i="93"/>
  <c r="AV4098" i="93"/>
  <c r="AU4098" i="93"/>
  <c r="AT4098" i="93"/>
  <c r="AS4098" i="93"/>
  <c r="AR4098" i="93"/>
  <c r="AQ4098" i="93"/>
  <c r="AP4098" i="93"/>
  <c r="AO4098" i="93"/>
  <c r="AN4098" i="93"/>
  <c r="AM4098" i="93"/>
  <c r="AL4098" i="93"/>
  <c r="AK4098" i="93"/>
  <c r="AJ4098" i="93"/>
  <c r="AI4098" i="93"/>
  <c r="AH4098" i="93"/>
  <c r="AG4098" i="93"/>
  <c r="AF4098" i="93"/>
  <c r="AE4098" i="93"/>
  <c r="AD4098" i="93"/>
  <c r="AC4098" i="93"/>
  <c r="AA4098" i="93"/>
  <c r="X4098" i="93"/>
  <c r="W4098" i="93"/>
  <c r="V4098" i="93"/>
  <c r="U4098" i="93"/>
  <c r="T4098" i="93"/>
  <c r="S4098" i="93"/>
  <c r="R4098" i="93"/>
  <c r="Q4098" i="93"/>
  <c r="P4098" i="93"/>
  <c r="O4098" i="93"/>
  <c r="N4098" i="93"/>
  <c r="M4098" i="93"/>
  <c r="L4098" i="93"/>
  <c r="K4098" i="93"/>
  <c r="J4098" i="93"/>
  <c r="I4098" i="93"/>
  <c r="H4098" i="93"/>
  <c r="G4098" i="93"/>
  <c r="F4098" i="93"/>
  <c r="E4098" i="93"/>
  <c r="D4098" i="93"/>
  <c r="BB4097" i="93"/>
  <c r="AB4097" i="93"/>
  <c r="BB4096" i="93"/>
  <c r="AB4096" i="93"/>
  <c r="BC4095" i="93"/>
  <c r="BA4095" i="93"/>
  <c r="AX4095" i="93"/>
  <c r="AW4095" i="93"/>
  <c r="AV4095" i="93"/>
  <c r="AU4095" i="93"/>
  <c r="AT4095" i="93"/>
  <c r="AS4095" i="93"/>
  <c r="AR4095" i="93"/>
  <c r="AQ4095" i="93"/>
  <c r="AP4095" i="93"/>
  <c r="AO4095" i="93"/>
  <c r="AN4095" i="93"/>
  <c r="AM4095" i="93"/>
  <c r="AL4095" i="93"/>
  <c r="AK4095" i="93"/>
  <c r="AJ4095" i="93"/>
  <c r="AI4095" i="93"/>
  <c r="AH4095" i="93"/>
  <c r="AG4095" i="93"/>
  <c r="AF4095" i="93"/>
  <c r="AE4095" i="93"/>
  <c r="AD4095" i="93"/>
  <c r="AC4095" i="93"/>
  <c r="AA4095" i="93"/>
  <c r="X4095" i="93"/>
  <c r="W4095" i="93"/>
  <c r="V4095" i="93"/>
  <c r="U4095" i="93"/>
  <c r="T4095" i="93"/>
  <c r="S4095" i="93"/>
  <c r="R4095" i="93"/>
  <c r="Q4095" i="93"/>
  <c r="P4095" i="93"/>
  <c r="O4095" i="93"/>
  <c r="N4095" i="93"/>
  <c r="M4095" i="93"/>
  <c r="L4095" i="93"/>
  <c r="K4095" i="93"/>
  <c r="J4095" i="93"/>
  <c r="I4095" i="93"/>
  <c r="H4095" i="93"/>
  <c r="G4095" i="93"/>
  <c r="F4095" i="93"/>
  <c r="E4095" i="93"/>
  <c r="D4095" i="93"/>
  <c r="BB4094" i="93"/>
  <c r="AB4094" i="93"/>
  <c r="BB4092" i="93"/>
  <c r="AB4092" i="93"/>
  <c r="BB4091" i="93"/>
  <c r="AB4091" i="93"/>
  <c r="BB4090" i="93"/>
  <c r="AB4090" i="93"/>
  <c r="BB4089" i="93"/>
  <c r="AB4089" i="93"/>
  <c r="BB4085" i="93"/>
  <c r="AB4085" i="93"/>
  <c r="BB4084" i="93"/>
  <c r="AB4084" i="93"/>
  <c r="BB4082" i="93"/>
  <c r="AB4082" i="93"/>
  <c r="BB4087" i="93"/>
  <c r="AB4087" i="93"/>
  <c r="BB4081" i="93"/>
  <c r="AB4081" i="93"/>
  <c r="BB4080" i="93"/>
  <c r="AB4080" i="93"/>
  <c r="BB4078" i="93"/>
  <c r="AB4078" i="93"/>
  <c r="BB4077" i="93"/>
  <c r="AB4077" i="93"/>
  <c r="BB4076" i="93"/>
  <c r="AB4076" i="93"/>
  <c r="BB4075" i="93"/>
  <c r="AB4075" i="93"/>
  <c r="BB4074" i="93"/>
  <c r="AB4074" i="93"/>
  <c r="BB4073" i="93"/>
  <c r="AB4073" i="93"/>
  <c r="BB4072" i="93"/>
  <c r="AB4072" i="93"/>
  <c r="BB4070" i="93"/>
  <c r="AB4070" i="93"/>
  <c r="BB4069" i="93"/>
  <c r="AB4069" i="93"/>
  <c r="BB4067" i="93"/>
  <c r="AB4067" i="93"/>
  <c r="BC4066" i="93"/>
  <c r="BA4066" i="93"/>
  <c r="AX4066" i="93"/>
  <c r="AW4066" i="93"/>
  <c r="AV4066" i="93"/>
  <c r="AU4066" i="93"/>
  <c r="AT4066" i="93"/>
  <c r="AS4066" i="93"/>
  <c r="AR4066" i="93"/>
  <c r="AQ4066" i="93"/>
  <c r="AP4066" i="93"/>
  <c r="AO4066" i="93"/>
  <c r="AN4066" i="93"/>
  <c r="AM4066" i="93"/>
  <c r="AL4066" i="93"/>
  <c r="AK4066" i="93"/>
  <c r="AJ4066" i="93"/>
  <c r="AI4066" i="93"/>
  <c r="AH4066" i="93"/>
  <c r="AG4066" i="93"/>
  <c r="AF4066" i="93"/>
  <c r="AE4066" i="93"/>
  <c r="AD4066" i="93"/>
  <c r="AC4066" i="93"/>
  <c r="AA4066" i="93"/>
  <c r="X4066" i="93"/>
  <c r="W4066" i="93"/>
  <c r="V4066" i="93"/>
  <c r="U4066" i="93"/>
  <c r="T4066" i="93"/>
  <c r="S4066" i="93"/>
  <c r="R4066" i="93"/>
  <c r="Q4066" i="93"/>
  <c r="P4066" i="93"/>
  <c r="O4066" i="93"/>
  <c r="N4066" i="93"/>
  <c r="M4066" i="93"/>
  <c r="L4066" i="93"/>
  <c r="K4066" i="93"/>
  <c r="J4066" i="93"/>
  <c r="I4066" i="93"/>
  <c r="H4066" i="93"/>
  <c r="G4066" i="93"/>
  <c r="F4066" i="93"/>
  <c r="E4066" i="93"/>
  <c r="D4066" i="93"/>
  <c r="BB4065" i="93"/>
  <c r="AB4065" i="93"/>
  <c r="BB4064" i="93"/>
  <c r="AB4064" i="93"/>
  <c r="BB4062" i="93"/>
  <c r="AB4062" i="93"/>
  <c r="BB4061" i="93"/>
  <c r="AB4061" i="93"/>
  <c r="BB4060" i="93"/>
  <c r="AB4060" i="93"/>
  <c r="BB4059" i="93"/>
  <c r="AB4059" i="93"/>
  <c r="BB4058" i="93"/>
  <c r="AB4058" i="93"/>
  <c r="BB4056" i="93"/>
  <c r="AB4056" i="93"/>
  <c r="BB4055" i="93"/>
  <c r="AB4055" i="93"/>
  <c r="BB4057" i="93"/>
  <c r="AB4057" i="93"/>
  <c r="BB4054" i="93"/>
  <c r="AB4054" i="93"/>
  <c r="BB4063" i="93"/>
  <c r="AB4063" i="93"/>
  <c r="BB4052" i="93"/>
  <c r="AB4052" i="93"/>
  <c r="BB4051" i="93"/>
  <c r="AB4051" i="93"/>
  <c r="BB4050" i="93"/>
  <c r="AB4050" i="93"/>
  <c r="BB4049" i="93"/>
  <c r="AB4049" i="93"/>
  <c r="BB4048" i="93"/>
  <c r="AB4048" i="93"/>
  <c r="BB4047" i="93"/>
  <c r="AB4047" i="93"/>
  <c r="BB4046" i="93"/>
  <c r="AB4046" i="93"/>
  <c r="BB4045" i="93"/>
  <c r="AB4045" i="93"/>
  <c r="BC4044" i="93"/>
  <c r="BA4044" i="93"/>
  <c r="AX4044" i="93"/>
  <c r="AW4044" i="93"/>
  <c r="AV4044" i="93"/>
  <c r="AU4044" i="93"/>
  <c r="AT4044" i="93"/>
  <c r="AS4044" i="93"/>
  <c r="AR4044" i="93"/>
  <c r="AQ4044" i="93"/>
  <c r="AP4044" i="93"/>
  <c r="AO4044" i="93"/>
  <c r="AN4044" i="93"/>
  <c r="AM4044" i="93"/>
  <c r="AL4044" i="93"/>
  <c r="AK4044" i="93"/>
  <c r="AJ4044" i="93"/>
  <c r="AI4044" i="93"/>
  <c r="AH4044" i="93"/>
  <c r="AG4044" i="93"/>
  <c r="AF4044" i="93"/>
  <c r="AE4044" i="93"/>
  <c r="AD4044" i="93"/>
  <c r="AC4044" i="93"/>
  <c r="AA4044" i="93"/>
  <c r="X4044" i="93"/>
  <c r="W4044" i="93"/>
  <c r="V4044" i="93"/>
  <c r="U4044" i="93"/>
  <c r="T4044" i="93"/>
  <c r="S4044" i="93"/>
  <c r="R4044" i="93"/>
  <c r="Q4044" i="93"/>
  <c r="P4044" i="93"/>
  <c r="O4044" i="93"/>
  <c r="N4044" i="93"/>
  <c r="M4044" i="93"/>
  <c r="L4044" i="93"/>
  <c r="K4044" i="93"/>
  <c r="J4044" i="93"/>
  <c r="I4044" i="93"/>
  <c r="H4044" i="93"/>
  <c r="G4044" i="93"/>
  <c r="F4044" i="93"/>
  <c r="E4044" i="93"/>
  <c r="D4044" i="93"/>
  <c r="BB4042" i="93"/>
  <c r="AB4042" i="93"/>
  <c r="BB4041" i="93"/>
  <c r="AB4041" i="93"/>
  <c r="BB4040" i="93"/>
  <c r="AB4040" i="93"/>
  <c r="BB4039" i="93"/>
  <c r="AB4039" i="93"/>
  <c r="BB4038" i="93"/>
  <c r="AB4038" i="93"/>
  <c r="BB4036" i="93"/>
  <c r="AB4036" i="93"/>
  <c r="BB4035" i="93"/>
  <c r="AB4035" i="93"/>
  <c r="BB4037" i="93"/>
  <c r="AB4037" i="93"/>
  <c r="BB4034" i="93"/>
  <c r="AB4034" i="93"/>
  <c r="BB4033" i="93"/>
  <c r="AB4033" i="93"/>
  <c r="BB4032" i="93"/>
  <c r="AB4032" i="93"/>
  <c r="BB4031" i="93"/>
  <c r="AB4031" i="93"/>
  <c r="BB4029" i="93"/>
  <c r="AB4029" i="93"/>
  <c r="BB4028" i="93"/>
  <c r="AB4028" i="93"/>
  <c r="BB4026" i="93"/>
  <c r="AB4026" i="93"/>
  <c r="BC4024" i="93"/>
  <c r="BA4024" i="93"/>
  <c r="AX4024" i="93"/>
  <c r="AW4024" i="93"/>
  <c r="AV4024" i="93"/>
  <c r="AU4024" i="93"/>
  <c r="AT4024" i="93"/>
  <c r="AS4024" i="93"/>
  <c r="AR4024" i="93"/>
  <c r="AQ4024" i="93"/>
  <c r="AP4024" i="93"/>
  <c r="AO4024" i="93"/>
  <c r="AN4024" i="93"/>
  <c r="AM4024" i="93"/>
  <c r="AL4024" i="93"/>
  <c r="AK4024" i="93"/>
  <c r="AJ4024" i="93"/>
  <c r="AI4024" i="93"/>
  <c r="AH4024" i="93"/>
  <c r="AG4024" i="93"/>
  <c r="AF4024" i="93"/>
  <c r="AE4024" i="93"/>
  <c r="AD4024" i="93"/>
  <c r="AC4024" i="93"/>
  <c r="AA4024" i="93"/>
  <c r="X4024" i="93"/>
  <c r="W4024" i="93"/>
  <c r="V4024" i="93"/>
  <c r="U4024" i="93"/>
  <c r="T4024" i="93"/>
  <c r="S4024" i="93"/>
  <c r="R4024" i="93"/>
  <c r="Q4024" i="93"/>
  <c r="P4024" i="93"/>
  <c r="O4024" i="93"/>
  <c r="N4024" i="93"/>
  <c r="M4024" i="93"/>
  <c r="L4024" i="93"/>
  <c r="K4024" i="93"/>
  <c r="J4024" i="93"/>
  <c r="I4024" i="93"/>
  <c r="H4024" i="93"/>
  <c r="G4024" i="93"/>
  <c r="F4024" i="93"/>
  <c r="E4024" i="93"/>
  <c r="D4024" i="93"/>
  <c r="BB4023" i="93"/>
  <c r="AB4023" i="93"/>
  <c r="BB4018" i="93"/>
  <c r="AB4018" i="93"/>
  <c r="BB4017" i="93"/>
  <c r="AB4017" i="93"/>
  <c r="BB4016" i="93"/>
  <c r="AB4016" i="93"/>
  <c r="BB4014" i="93"/>
  <c r="AB4014" i="93"/>
  <c r="BB4012" i="93"/>
  <c r="AB4012" i="93"/>
  <c r="BB4009" i="93"/>
  <c r="AB4009" i="93"/>
  <c r="BB4008" i="93"/>
  <c r="AB4008" i="93"/>
  <c r="BB4005" i="93"/>
  <c r="AB4005" i="93"/>
  <c r="BC4004" i="93"/>
  <c r="BA4004" i="93"/>
  <c r="AX4004" i="93"/>
  <c r="AW4004" i="93"/>
  <c r="AV4004" i="93"/>
  <c r="AU4004" i="93"/>
  <c r="AT4004" i="93"/>
  <c r="AS4004" i="93"/>
  <c r="AR4004" i="93"/>
  <c r="AQ4004" i="93"/>
  <c r="AP4004" i="93"/>
  <c r="AO4004" i="93"/>
  <c r="AN4004" i="93"/>
  <c r="AM4004" i="93"/>
  <c r="AL4004" i="93"/>
  <c r="AK4004" i="93"/>
  <c r="AJ4004" i="93"/>
  <c r="AI4004" i="93"/>
  <c r="AH4004" i="93"/>
  <c r="AG4004" i="93"/>
  <c r="AF4004" i="93"/>
  <c r="AE4004" i="93"/>
  <c r="AD4004" i="93"/>
  <c r="AC4004" i="93"/>
  <c r="AA4004" i="93"/>
  <c r="X4004" i="93"/>
  <c r="W4004" i="93"/>
  <c r="V4004" i="93"/>
  <c r="U4004" i="93"/>
  <c r="T4004" i="93"/>
  <c r="S4004" i="93"/>
  <c r="R4004" i="93"/>
  <c r="Q4004" i="93"/>
  <c r="P4004" i="93"/>
  <c r="O4004" i="93"/>
  <c r="N4004" i="93"/>
  <c r="M4004" i="93"/>
  <c r="L4004" i="93"/>
  <c r="K4004" i="93"/>
  <c r="J4004" i="93"/>
  <c r="I4004" i="93"/>
  <c r="H4004" i="93"/>
  <c r="G4004" i="93"/>
  <c r="F4004" i="93"/>
  <c r="E4004" i="93"/>
  <c r="D4004" i="93"/>
  <c r="BB4002" i="93"/>
  <c r="AB4002" i="93"/>
  <c r="AB4001" i="93"/>
  <c r="BD4001" i="93" s="1"/>
  <c r="BF4001" i="93" s="1"/>
  <c r="BB3999" i="93"/>
  <c r="AB3999" i="93"/>
  <c r="BB3998" i="93"/>
  <c r="AB3998" i="93"/>
  <c r="BB3997" i="93"/>
  <c r="AB3997" i="93"/>
  <c r="BB3996" i="93"/>
  <c r="AB3996" i="93"/>
  <c r="BB3991" i="93"/>
  <c r="AB3991" i="93"/>
  <c r="BB3995" i="93"/>
  <c r="AB3995" i="93"/>
  <c r="BB3994" i="93"/>
  <c r="AB3994" i="93"/>
  <c r="BB3993" i="93"/>
  <c r="AB3993" i="93"/>
  <c r="BB3992" i="93"/>
  <c r="AB3992" i="93"/>
  <c r="BB3990" i="93"/>
  <c r="AB3990" i="93"/>
  <c r="BB3989" i="93"/>
  <c r="AB3989" i="93"/>
  <c r="BB3988" i="93"/>
  <c r="AB3988" i="93"/>
  <c r="BC3987" i="93"/>
  <c r="BA3987" i="93"/>
  <c r="AX3987" i="93"/>
  <c r="AW3987" i="93"/>
  <c r="AV3987" i="93"/>
  <c r="AU3987" i="93"/>
  <c r="AT3987" i="93"/>
  <c r="AS3987" i="93"/>
  <c r="AR3987" i="93"/>
  <c r="AQ3987" i="93"/>
  <c r="AP3987" i="93"/>
  <c r="AO3987" i="93"/>
  <c r="AN3987" i="93"/>
  <c r="AM3987" i="93"/>
  <c r="AL3987" i="93"/>
  <c r="AK3987" i="93"/>
  <c r="AJ3987" i="93"/>
  <c r="AI3987" i="93"/>
  <c r="AH3987" i="93"/>
  <c r="AG3987" i="93"/>
  <c r="AF3987" i="93"/>
  <c r="AE3987" i="93"/>
  <c r="AD3987" i="93"/>
  <c r="AC3987" i="93"/>
  <c r="AA3987" i="93"/>
  <c r="X3987" i="93"/>
  <c r="W3987" i="93"/>
  <c r="V3987" i="93"/>
  <c r="U3987" i="93"/>
  <c r="T3987" i="93"/>
  <c r="S3987" i="93"/>
  <c r="R3987" i="93"/>
  <c r="Q3987" i="93"/>
  <c r="P3987" i="93"/>
  <c r="O3987" i="93"/>
  <c r="N3987" i="93"/>
  <c r="M3987" i="93"/>
  <c r="L3987" i="93"/>
  <c r="K3987" i="93"/>
  <c r="J3987" i="93"/>
  <c r="I3987" i="93"/>
  <c r="H3987" i="93"/>
  <c r="G3987" i="93"/>
  <c r="F3987" i="93"/>
  <c r="E3987" i="93"/>
  <c r="D3987" i="93"/>
  <c r="BB3986" i="93"/>
  <c r="AB3986" i="93"/>
  <c r="BB3983" i="93"/>
  <c r="AB3983" i="93"/>
  <c r="BB3982" i="93"/>
  <c r="AB3982" i="93"/>
  <c r="BB3981" i="93"/>
  <c r="AB3981" i="93"/>
  <c r="BB3980" i="93"/>
  <c r="AB3980" i="93"/>
  <c r="BB3979" i="93"/>
  <c r="AB3979" i="93"/>
  <c r="BB3978" i="93"/>
  <c r="AB3978" i="93"/>
  <c r="BB3977" i="93"/>
  <c r="AB3977" i="93"/>
  <c r="BB3976" i="93"/>
  <c r="AB3976" i="93"/>
  <c r="BB3975" i="93"/>
  <c r="AB3975" i="93"/>
  <c r="BB3974" i="93"/>
  <c r="AB3974" i="93"/>
  <c r="BB3971" i="93"/>
  <c r="AB3971" i="93"/>
  <c r="BC3969" i="93"/>
  <c r="BA3969" i="93"/>
  <c r="AX3969" i="93"/>
  <c r="AW3969" i="93"/>
  <c r="AV3969" i="93"/>
  <c r="AU3969" i="93"/>
  <c r="AT3969" i="93"/>
  <c r="AS3969" i="93"/>
  <c r="AR3969" i="93"/>
  <c r="AQ3969" i="93"/>
  <c r="AP3969" i="93"/>
  <c r="AO3969" i="93"/>
  <c r="AN3969" i="93"/>
  <c r="AM3969" i="93"/>
  <c r="AK3969" i="93"/>
  <c r="AJ3969" i="93"/>
  <c r="AI3969" i="93"/>
  <c r="AH3969" i="93"/>
  <c r="AG3969" i="93"/>
  <c r="AF3969" i="93"/>
  <c r="AE3969" i="93"/>
  <c r="AD3969" i="93"/>
  <c r="AC3969" i="93"/>
  <c r="BE3969" i="93" s="1"/>
  <c r="AA3969" i="93"/>
  <c r="X3969" i="93"/>
  <c r="W3969" i="93"/>
  <c r="V3969" i="93"/>
  <c r="U3969" i="93"/>
  <c r="T3969" i="93"/>
  <c r="S3969" i="93"/>
  <c r="R3969" i="93"/>
  <c r="Q3969" i="93"/>
  <c r="P3969" i="93"/>
  <c r="O3969" i="93"/>
  <c r="N3969" i="93"/>
  <c r="M3969" i="93"/>
  <c r="L3969" i="93"/>
  <c r="K3969" i="93"/>
  <c r="J3969" i="93"/>
  <c r="I3969" i="93"/>
  <c r="H3969" i="93"/>
  <c r="G3969" i="93"/>
  <c r="F3969" i="93"/>
  <c r="E3969" i="93"/>
  <c r="D3969" i="93"/>
  <c r="BB3967" i="93"/>
  <c r="AB3967" i="93"/>
  <c r="BB3966" i="93"/>
  <c r="AB3966" i="93"/>
  <c r="BB3965" i="93"/>
  <c r="AB3965" i="93"/>
  <c r="BB3964" i="93"/>
  <c r="AB3964" i="93"/>
  <c r="BB3959" i="93"/>
  <c r="AB3959" i="93"/>
  <c r="BB3952" i="93"/>
  <c r="AB3952" i="93"/>
  <c r="BB3961" i="93"/>
  <c r="AB3961" i="93"/>
  <c r="BB3958" i="93"/>
  <c r="AB3958" i="93"/>
  <c r="BB3956" i="93"/>
  <c r="AB3956" i="93"/>
  <c r="BB3954" i="93"/>
  <c r="AB3954" i="93"/>
  <c r="AB3953" i="93"/>
  <c r="BD3953" i="93" s="1"/>
  <c r="BF3953" i="93" s="1"/>
  <c r="BB3950" i="93"/>
  <c r="AB3950" i="93"/>
  <c r="BB3949" i="93"/>
  <c r="AB3949" i="93"/>
  <c r="BB3946" i="93"/>
  <c r="AB3946" i="93"/>
  <c r="BB3945" i="93"/>
  <c r="AB3945" i="93"/>
  <c r="BC3943" i="93"/>
  <c r="BA3943" i="93"/>
  <c r="AX3943" i="93"/>
  <c r="AW3943" i="93"/>
  <c r="AV3943" i="93"/>
  <c r="AU3943" i="93"/>
  <c r="AT3943" i="93"/>
  <c r="AS3943" i="93"/>
  <c r="AR3943" i="93"/>
  <c r="AQ3943" i="93"/>
  <c r="AP3943" i="93"/>
  <c r="AO3943" i="93"/>
  <c r="AN3943" i="93"/>
  <c r="AM3943" i="93"/>
  <c r="AK3943" i="93"/>
  <c r="AJ3943" i="93"/>
  <c r="AI3943" i="93"/>
  <c r="AH3943" i="93"/>
  <c r="AG3943" i="93"/>
  <c r="AF3943" i="93"/>
  <c r="AE3943" i="93"/>
  <c r="AD3943" i="93"/>
  <c r="AC3943" i="93"/>
  <c r="BE3943" i="93" s="1"/>
  <c r="AA3943" i="93"/>
  <c r="X3943" i="93"/>
  <c r="W3943" i="93"/>
  <c r="V3943" i="93"/>
  <c r="U3943" i="93"/>
  <c r="T3943" i="93"/>
  <c r="S3943" i="93"/>
  <c r="R3943" i="93"/>
  <c r="Q3943" i="93"/>
  <c r="P3943" i="93"/>
  <c r="O3943" i="93"/>
  <c r="N3943" i="93"/>
  <c r="M3943" i="93"/>
  <c r="L3943" i="93"/>
  <c r="K3943" i="93"/>
  <c r="J3943" i="93"/>
  <c r="I3943" i="93"/>
  <c r="H3943" i="93"/>
  <c r="G3943" i="93"/>
  <c r="F3943" i="93"/>
  <c r="E3943" i="93"/>
  <c r="D3943" i="93"/>
  <c r="BB3942" i="93"/>
  <c r="AB3942" i="93"/>
  <c r="BB3937" i="93"/>
  <c r="AB3937" i="93"/>
  <c r="BB3936" i="93"/>
  <c r="AB3936" i="93"/>
  <c r="BB3933" i="93"/>
  <c r="AB3933" i="93"/>
  <c r="BB3932" i="93"/>
  <c r="AB3932" i="93"/>
  <c r="AB3926" i="93"/>
  <c r="BD3926" i="93" s="1"/>
  <c r="BF3926" i="93" s="1"/>
  <c r="BB3935" i="93"/>
  <c r="AB3935" i="93"/>
  <c r="BB3931" i="93"/>
  <c r="AB3931" i="93"/>
  <c r="BB3928" i="93"/>
  <c r="AB3928" i="93"/>
  <c r="BB3927" i="93"/>
  <c r="AB3927" i="93"/>
  <c r="BB3925" i="93"/>
  <c r="AB3925" i="93"/>
  <c r="BB3924" i="93"/>
  <c r="AB3924" i="93"/>
  <c r="BB3923" i="93"/>
  <c r="AB3923" i="93"/>
  <c r="BB3919" i="93"/>
  <c r="AB3919" i="93"/>
  <c r="BC3918" i="93"/>
  <c r="BA3918" i="93"/>
  <c r="AX3918" i="93"/>
  <c r="AW3918" i="93"/>
  <c r="AV3918" i="93"/>
  <c r="AU3918" i="93"/>
  <c r="AT3918" i="93"/>
  <c r="AS3918" i="93"/>
  <c r="AR3918" i="93"/>
  <c r="AQ3918" i="93"/>
  <c r="AP3918" i="93"/>
  <c r="AO3918" i="93"/>
  <c r="AN3918" i="93"/>
  <c r="AM3918" i="93"/>
  <c r="AK3918" i="93"/>
  <c r="AJ3918" i="93"/>
  <c r="AI3918" i="93"/>
  <c r="AH3918" i="93"/>
  <c r="AG3918" i="93"/>
  <c r="AF3918" i="93"/>
  <c r="AE3918" i="93"/>
  <c r="AD3918" i="93"/>
  <c r="AC3918" i="93"/>
  <c r="AA3918" i="93"/>
  <c r="X3918" i="93"/>
  <c r="W3918" i="93"/>
  <c r="V3918" i="93"/>
  <c r="U3918" i="93"/>
  <c r="T3918" i="93"/>
  <c r="S3918" i="93"/>
  <c r="R3918" i="93"/>
  <c r="Q3918" i="93"/>
  <c r="P3918" i="93"/>
  <c r="O3918" i="93"/>
  <c r="N3918" i="93"/>
  <c r="M3918" i="93"/>
  <c r="L3918" i="93"/>
  <c r="K3918" i="93"/>
  <c r="J3918" i="93"/>
  <c r="I3918" i="93"/>
  <c r="H3918" i="93"/>
  <c r="G3918" i="93"/>
  <c r="F3918" i="93"/>
  <c r="E3918" i="93"/>
  <c r="D3918" i="93"/>
  <c r="BB3916" i="93"/>
  <c r="AB3916" i="93"/>
  <c r="BB3915" i="93"/>
  <c r="X3914" i="93"/>
  <c r="P3914" i="93"/>
  <c r="H3914" i="93"/>
  <c r="BC3914" i="93"/>
  <c r="BA3914" i="93"/>
  <c r="AX3914" i="93"/>
  <c r="AW3914" i="93"/>
  <c r="AV3914" i="93"/>
  <c r="AU3914" i="93"/>
  <c r="AT3914" i="93"/>
  <c r="AS3914" i="93"/>
  <c r="AR3914" i="93"/>
  <c r="AQ3914" i="93"/>
  <c r="AP3914" i="93"/>
  <c r="AO3914" i="93"/>
  <c r="AN3914" i="93"/>
  <c r="AM3914" i="93"/>
  <c r="AL3914" i="93"/>
  <c r="AK3914" i="93"/>
  <c r="AJ3914" i="93"/>
  <c r="AI3914" i="93"/>
  <c r="AH3914" i="93"/>
  <c r="AG3914" i="93"/>
  <c r="AF3914" i="93"/>
  <c r="AE3914" i="93"/>
  <c r="AD3914" i="93"/>
  <c r="AC3914" i="93"/>
  <c r="AA3914" i="93"/>
  <c r="W3914" i="93"/>
  <c r="V3914" i="93"/>
  <c r="U3914" i="93"/>
  <c r="T3914" i="93"/>
  <c r="S3914" i="93"/>
  <c r="R3914" i="93"/>
  <c r="Q3914" i="93"/>
  <c r="O3914" i="93"/>
  <c r="N3914" i="93"/>
  <c r="M3914" i="93"/>
  <c r="L3914" i="93"/>
  <c r="K3914" i="93"/>
  <c r="J3914" i="93"/>
  <c r="I3914" i="93"/>
  <c r="G3914" i="93"/>
  <c r="F3914" i="93"/>
  <c r="E3914" i="93"/>
  <c r="D3914" i="93"/>
  <c r="BB3912" i="93"/>
  <c r="AB3912" i="93"/>
  <c r="BB3910" i="93"/>
  <c r="AB3910" i="93"/>
  <c r="BB3909" i="93"/>
  <c r="AB3909" i="93"/>
  <c r="BC3908" i="93"/>
  <c r="BA3908" i="93"/>
  <c r="AX3908" i="93"/>
  <c r="AW3908" i="93"/>
  <c r="AV3908" i="93"/>
  <c r="AU3908" i="93"/>
  <c r="AT3908" i="93"/>
  <c r="AS3908" i="93"/>
  <c r="AR3908" i="93"/>
  <c r="AQ3908" i="93"/>
  <c r="AP3908" i="93"/>
  <c r="AO3908" i="93"/>
  <c r="AN3908" i="93"/>
  <c r="AM3908" i="93"/>
  <c r="AL3908" i="93"/>
  <c r="AK3908" i="93"/>
  <c r="AJ3908" i="93"/>
  <c r="AI3908" i="93"/>
  <c r="AH3908" i="93"/>
  <c r="AG3908" i="93"/>
  <c r="AF3908" i="93"/>
  <c r="AE3908" i="93"/>
  <c r="AD3908" i="93"/>
  <c r="AC3908" i="93"/>
  <c r="AA3908" i="93"/>
  <c r="X3908" i="93"/>
  <c r="W3908" i="93"/>
  <c r="V3908" i="93"/>
  <c r="U3908" i="93"/>
  <c r="T3908" i="93"/>
  <c r="S3908" i="93"/>
  <c r="R3908" i="93"/>
  <c r="Q3908" i="93"/>
  <c r="P3908" i="93"/>
  <c r="O3908" i="93"/>
  <c r="N3908" i="93"/>
  <c r="M3908" i="93"/>
  <c r="L3908" i="93"/>
  <c r="K3908" i="93"/>
  <c r="J3908" i="93"/>
  <c r="I3908" i="93"/>
  <c r="H3908" i="93"/>
  <c r="G3908" i="93"/>
  <c r="F3908" i="93"/>
  <c r="E3908" i="93"/>
  <c r="D3908" i="93"/>
  <c r="BB3906" i="93"/>
  <c r="BB3907" i="93"/>
  <c r="AB3907" i="93"/>
  <c r="BC3904" i="93"/>
  <c r="BA3904" i="93"/>
  <c r="AX3904" i="93"/>
  <c r="AW3904" i="93"/>
  <c r="AV3904" i="93"/>
  <c r="AU3904" i="93"/>
  <c r="AT3904" i="93"/>
  <c r="AS3904" i="93"/>
  <c r="AR3904" i="93"/>
  <c r="AQ3904" i="93"/>
  <c r="AP3904" i="93"/>
  <c r="AO3904" i="93"/>
  <c r="AN3904" i="93"/>
  <c r="AM3904" i="93"/>
  <c r="AL3904" i="93"/>
  <c r="AK3904" i="93"/>
  <c r="AJ3904" i="93"/>
  <c r="AI3904" i="93"/>
  <c r="AH3904" i="93"/>
  <c r="AG3904" i="93"/>
  <c r="AF3904" i="93"/>
  <c r="AE3904" i="93"/>
  <c r="AD3904" i="93"/>
  <c r="AC3904" i="93"/>
  <c r="AA3904" i="93"/>
  <c r="X3904" i="93"/>
  <c r="W3904" i="93"/>
  <c r="V3904" i="93"/>
  <c r="U3904" i="93"/>
  <c r="T3904" i="93"/>
  <c r="S3904" i="93"/>
  <c r="R3904" i="93"/>
  <c r="Q3904" i="93"/>
  <c r="P3904" i="93"/>
  <c r="O3904" i="93"/>
  <c r="N3904" i="93"/>
  <c r="M3904" i="93"/>
  <c r="L3904" i="93"/>
  <c r="K3904" i="93"/>
  <c r="J3904" i="93"/>
  <c r="I3904" i="93"/>
  <c r="H3904" i="93"/>
  <c r="G3904" i="93"/>
  <c r="F3904" i="93"/>
  <c r="E3904" i="93"/>
  <c r="BB3879" i="93"/>
  <c r="BB3878" i="93"/>
  <c r="BB3877" i="93"/>
  <c r="BB3876" i="93"/>
  <c r="BB3885" i="93"/>
  <c r="BD3885" i="93" s="1"/>
  <c r="BF3885" i="93" s="1"/>
  <c r="L3872" i="93"/>
  <c r="BB3874" i="93"/>
  <c r="BC3872" i="93"/>
  <c r="BA3872" i="93"/>
  <c r="AX3872" i="93"/>
  <c r="AW3872" i="93"/>
  <c r="AV3872" i="93"/>
  <c r="AU3872" i="93"/>
  <c r="AT3872" i="93"/>
  <c r="AS3872" i="93"/>
  <c r="AR3872" i="93"/>
  <c r="AQ3872" i="93"/>
  <c r="AP3872" i="93"/>
  <c r="AO3872" i="93"/>
  <c r="AN3872" i="93"/>
  <c r="AM3872" i="93"/>
  <c r="AL3872" i="93"/>
  <c r="AK3872" i="93"/>
  <c r="AJ3872" i="93"/>
  <c r="AI3872" i="93"/>
  <c r="AH3872" i="93"/>
  <c r="AG3872" i="93"/>
  <c r="AF3872" i="93"/>
  <c r="AE3872" i="93"/>
  <c r="AD3872" i="93"/>
  <c r="AC3872" i="93"/>
  <c r="AA3872" i="93"/>
  <c r="X3872" i="93"/>
  <c r="W3872" i="93"/>
  <c r="V3872" i="93"/>
  <c r="U3872" i="93"/>
  <c r="T3872" i="93"/>
  <c r="S3872" i="93"/>
  <c r="R3872" i="93"/>
  <c r="Q3872" i="93"/>
  <c r="P3872" i="93"/>
  <c r="O3872" i="93"/>
  <c r="N3872" i="93"/>
  <c r="M3872" i="93"/>
  <c r="K3872" i="93"/>
  <c r="J3872" i="93"/>
  <c r="I3872" i="93"/>
  <c r="G3872" i="93"/>
  <c r="F3872" i="93"/>
  <c r="E3872" i="93"/>
  <c r="D3872" i="93"/>
  <c r="BB3869" i="93"/>
  <c r="AB3869" i="93"/>
  <c r="AB3868" i="93"/>
  <c r="BD3868" i="93" s="1"/>
  <c r="BF3868" i="93" s="1"/>
  <c r="BB3867" i="93"/>
  <c r="AB3867" i="93"/>
  <c r="BB3866" i="93"/>
  <c r="AB3866" i="93"/>
  <c r="BB3865" i="93"/>
  <c r="AB3865" i="93"/>
  <c r="BB3864" i="93"/>
  <c r="AB3864" i="93"/>
  <c r="BB3863" i="93"/>
  <c r="AB3863" i="93"/>
  <c r="BB3862" i="93"/>
  <c r="AB3862" i="93"/>
  <c r="BB3860" i="93"/>
  <c r="AB3860" i="93"/>
  <c r="AB3859" i="93"/>
  <c r="BD3859" i="93" s="1"/>
  <c r="BF3859" i="93" s="1"/>
  <c r="BB3858" i="93"/>
  <c r="AB3858" i="93"/>
  <c r="BC3852" i="93"/>
  <c r="BA3852" i="93"/>
  <c r="AX3852" i="93"/>
  <c r="AW3852" i="93"/>
  <c r="AV3852" i="93"/>
  <c r="AU3852" i="93"/>
  <c r="AT3852" i="93"/>
  <c r="AS3852" i="93"/>
  <c r="AR3852" i="93"/>
  <c r="AQ3852" i="93"/>
  <c r="AP3852" i="93"/>
  <c r="AO3852" i="93"/>
  <c r="AN3852" i="93"/>
  <c r="AM3852" i="93"/>
  <c r="AL3852" i="93"/>
  <c r="AK3852" i="93"/>
  <c r="AJ3852" i="93"/>
  <c r="AI3852" i="93"/>
  <c r="AH3852" i="93"/>
  <c r="AG3852" i="93"/>
  <c r="AF3852" i="93"/>
  <c r="AE3852" i="93"/>
  <c r="AD3852" i="93"/>
  <c r="AC3852" i="93"/>
  <c r="AA3852" i="93"/>
  <c r="X3852" i="93"/>
  <c r="W3852" i="93"/>
  <c r="V3852" i="93"/>
  <c r="U3852" i="93"/>
  <c r="T3852" i="93"/>
  <c r="S3852" i="93"/>
  <c r="R3852" i="93"/>
  <c r="Q3852" i="93"/>
  <c r="P3852" i="93"/>
  <c r="O3852" i="93"/>
  <c r="N3852" i="93"/>
  <c r="M3852" i="93"/>
  <c r="L3852" i="93"/>
  <c r="K3852" i="93"/>
  <c r="J3852" i="93"/>
  <c r="I3852" i="93"/>
  <c r="H3852" i="93"/>
  <c r="G3852" i="93"/>
  <c r="F3852" i="93"/>
  <c r="E3852" i="93"/>
  <c r="D3852" i="93"/>
  <c r="BB3851" i="93"/>
  <c r="AB3851" i="93"/>
  <c r="BB3849" i="93"/>
  <c r="AB3849" i="93"/>
  <c r="BB3848" i="93"/>
  <c r="AB3848" i="93"/>
  <c r="BB3847" i="93"/>
  <c r="AB3847" i="93"/>
  <c r="BB3844" i="93"/>
  <c r="AB3844" i="93"/>
  <c r="BB3843" i="93"/>
  <c r="AB3843" i="93"/>
  <c r="BB3842" i="93"/>
  <c r="AB3842" i="93"/>
  <c r="BB3841" i="93"/>
  <c r="AB3841" i="93"/>
  <c r="BB3839" i="93"/>
  <c r="AB3839" i="93"/>
  <c r="BB3838" i="93"/>
  <c r="AB3838" i="93"/>
  <c r="BB3837" i="93"/>
  <c r="AB3837" i="93"/>
  <c r="BB3836" i="93"/>
  <c r="AB3836" i="93"/>
  <c r="AB3835" i="93"/>
  <c r="BD3835" i="93" s="1"/>
  <c r="BF3835" i="93" s="1"/>
  <c r="BB3832" i="93"/>
  <c r="AB3832" i="93"/>
  <c r="BB3831" i="93"/>
  <c r="AB3831" i="93"/>
  <c r="BB3830" i="93"/>
  <c r="AB3830" i="93"/>
  <c r="BA3827" i="93"/>
  <c r="AX3827" i="93"/>
  <c r="AW3827" i="93"/>
  <c r="AV3827" i="93"/>
  <c r="AU3827" i="93"/>
  <c r="AT3827" i="93"/>
  <c r="AS3827" i="93"/>
  <c r="AR3827" i="93"/>
  <c r="AQ3827" i="93"/>
  <c r="AP3827" i="93"/>
  <c r="AO3827" i="93"/>
  <c r="AN3827" i="93"/>
  <c r="AM3827" i="93"/>
  <c r="AL3827" i="93"/>
  <c r="AK3827" i="93"/>
  <c r="AJ3827" i="93"/>
  <c r="AI3827" i="93"/>
  <c r="AH3827" i="93"/>
  <c r="AG3827" i="93"/>
  <c r="AF3827" i="93"/>
  <c r="AE3827" i="93"/>
  <c r="AD3827" i="93"/>
  <c r="AC3827" i="93"/>
  <c r="BE3827" i="93" s="1"/>
  <c r="AA3827" i="93"/>
  <c r="X3827" i="93"/>
  <c r="W3827" i="93"/>
  <c r="V3827" i="93"/>
  <c r="U3827" i="93"/>
  <c r="T3827" i="93"/>
  <c r="S3827" i="93"/>
  <c r="R3827" i="93"/>
  <c r="Q3827" i="93"/>
  <c r="P3827" i="93"/>
  <c r="O3827" i="93"/>
  <c r="N3827" i="93"/>
  <c r="M3827" i="93"/>
  <c r="K3827" i="93"/>
  <c r="J3827" i="93"/>
  <c r="I3827" i="93"/>
  <c r="H3827" i="93"/>
  <c r="G3827" i="93"/>
  <c r="F3827" i="93"/>
  <c r="E3827" i="93"/>
  <c r="D3827" i="93"/>
  <c r="BB3826" i="93"/>
  <c r="AB3826" i="93"/>
  <c r="BB3820" i="93"/>
  <c r="BB3819" i="93"/>
  <c r="AB3819" i="93"/>
  <c r="BB3818" i="93"/>
  <c r="AB3818" i="93"/>
  <c r="BB3817" i="93"/>
  <c r="AB3817" i="93"/>
  <c r="BB3815" i="93"/>
  <c r="AB3815" i="93"/>
  <c r="BB3812" i="93"/>
  <c r="AB3812" i="93"/>
  <c r="BB3810" i="93"/>
  <c r="AB3810" i="93"/>
  <c r="BB3809" i="93"/>
  <c r="BB3807" i="93"/>
  <c r="AB3807" i="93"/>
  <c r="BB3806" i="93"/>
  <c r="AB3806" i="93"/>
  <c r="BB3804" i="93"/>
  <c r="BB3802" i="93"/>
  <c r="AB3802" i="93"/>
  <c r="BB3801" i="93"/>
  <c r="AB3801" i="93"/>
  <c r="BB3798" i="93"/>
  <c r="AB3798" i="93"/>
  <c r="BB3797" i="93"/>
  <c r="AB3797" i="93"/>
  <c r="BB3796" i="93"/>
  <c r="AB3796" i="93"/>
  <c r="BB3795" i="93"/>
  <c r="AB3795" i="93"/>
  <c r="BB3794" i="93"/>
  <c r="AB3794" i="93"/>
  <c r="BB3793" i="93"/>
  <c r="AB3793" i="93"/>
  <c r="BB3792" i="93"/>
  <c r="AB3792" i="93"/>
  <c r="BB3791" i="93"/>
  <c r="BB3813" i="93"/>
  <c r="AB3813" i="93"/>
  <c r="BB3789" i="93"/>
  <c r="AB3789" i="93"/>
  <c r="BB3823" i="93"/>
  <c r="AB3823" i="93"/>
  <c r="BB3822" i="93"/>
  <c r="AB3822" i="93"/>
  <c r="BB3788" i="93"/>
  <c r="AB3788" i="93"/>
  <c r="BB3784" i="93"/>
  <c r="AB3784" i="93"/>
  <c r="BB3783" i="93"/>
  <c r="AB3783" i="93"/>
  <c r="BB3782" i="93"/>
  <c r="AB3782" i="93"/>
  <c r="BB3781" i="93"/>
  <c r="AB3781" i="93"/>
  <c r="BB3780" i="93"/>
  <c r="BB3779" i="93"/>
  <c r="AB3779" i="93"/>
  <c r="BB3778" i="93"/>
  <c r="AB3778" i="93"/>
  <c r="BB3777" i="93"/>
  <c r="AB3777" i="93"/>
  <c r="BB3776" i="93"/>
  <c r="AB3776" i="93"/>
  <c r="BB3775" i="93"/>
  <c r="AB3775" i="93"/>
  <c r="BB3774" i="93"/>
  <c r="BB3772" i="93"/>
  <c r="AB3772" i="93"/>
  <c r="BB3771" i="93"/>
  <c r="AB3770" i="93"/>
  <c r="BD3770" i="93" s="1"/>
  <c r="BF3770" i="93" s="1"/>
  <c r="BB3769" i="93"/>
  <c r="AB3769" i="93"/>
  <c r="BB3767" i="93"/>
  <c r="AB3767" i="93"/>
  <c r="BB3766" i="93"/>
  <c r="AB3766" i="93"/>
  <c r="BB3762" i="93"/>
  <c r="AB3762" i="93"/>
  <c r="BA3761" i="93"/>
  <c r="AX3761" i="93"/>
  <c r="AW3761" i="93"/>
  <c r="AV3761" i="93"/>
  <c r="AU3761" i="93"/>
  <c r="AT3761" i="93"/>
  <c r="AS3761" i="93"/>
  <c r="AR3761" i="93"/>
  <c r="AQ3761" i="93"/>
  <c r="AP3761" i="93"/>
  <c r="AO3761" i="93"/>
  <c r="AN3761" i="93"/>
  <c r="AM3761" i="93"/>
  <c r="AL3761" i="93"/>
  <c r="AK3761" i="93"/>
  <c r="AJ3761" i="93"/>
  <c r="AI3761" i="93"/>
  <c r="AH3761" i="93"/>
  <c r="AG3761" i="93"/>
  <c r="AF3761" i="93"/>
  <c r="AE3761" i="93"/>
  <c r="AD3761" i="93"/>
  <c r="BE3761" i="93"/>
  <c r="AA3761" i="93"/>
  <c r="W3761" i="93"/>
  <c r="V3761" i="93"/>
  <c r="U3761" i="93"/>
  <c r="S3761" i="93"/>
  <c r="R3761" i="93"/>
  <c r="Q3761" i="93"/>
  <c r="O3761" i="93"/>
  <c r="N3761" i="93"/>
  <c r="M3761" i="93"/>
  <c r="K3761" i="93"/>
  <c r="J3761" i="93"/>
  <c r="I3761" i="93"/>
  <c r="G3761" i="93"/>
  <c r="F3761" i="93"/>
  <c r="E3761" i="93"/>
  <c r="BB3760" i="93"/>
  <c r="AB3760" i="93"/>
  <c r="BB3755" i="93"/>
  <c r="AB3755" i="93"/>
  <c r="BB3753" i="93"/>
  <c r="AB3753" i="93"/>
  <c r="BB3752" i="93"/>
  <c r="AB3752" i="93"/>
  <c r="BA3749" i="93"/>
  <c r="AX3749" i="93"/>
  <c r="AW3749" i="93"/>
  <c r="AV3749" i="93"/>
  <c r="AU3749" i="93"/>
  <c r="AT3749" i="93"/>
  <c r="AS3749" i="93"/>
  <c r="AR3749" i="93"/>
  <c r="AQ3749" i="93"/>
  <c r="AP3749" i="93"/>
  <c r="AO3749" i="93"/>
  <c r="AN3749" i="93"/>
  <c r="AM3749" i="93"/>
  <c r="AL3749" i="93"/>
  <c r="AK3749" i="93"/>
  <c r="AJ3749" i="93"/>
  <c r="AI3749" i="93"/>
  <c r="AH3749" i="93"/>
  <c r="AG3749" i="93"/>
  <c r="AF3749" i="93"/>
  <c r="AE3749" i="93"/>
  <c r="AD3749" i="93"/>
  <c r="AA3749" i="93"/>
  <c r="X3749" i="93"/>
  <c r="W3749" i="93"/>
  <c r="V3749" i="93"/>
  <c r="U3749" i="93"/>
  <c r="T3749" i="93"/>
  <c r="S3749" i="93"/>
  <c r="R3749" i="93"/>
  <c r="Q3749" i="93"/>
  <c r="P3749" i="93"/>
  <c r="O3749" i="93"/>
  <c r="N3749" i="93"/>
  <c r="M3749" i="93"/>
  <c r="L3749" i="93"/>
  <c r="K3749" i="93"/>
  <c r="J3749" i="93"/>
  <c r="I3749" i="93"/>
  <c r="H3749" i="93"/>
  <c r="G3749" i="93"/>
  <c r="F3749" i="93"/>
  <c r="E3749" i="93"/>
  <c r="D3749" i="93"/>
  <c r="BB3748" i="93"/>
  <c r="AB3748" i="93"/>
  <c r="BB3747" i="93"/>
  <c r="AB3747" i="93"/>
  <c r="BB3744" i="93"/>
  <c r="AB3744" i="93"/>
  <c r="BB3743" i="93"/>
  <c r="AB3743" i="93"/>
  <c r="BB3741" i="93"/>
  <c r="AB3741" i="93"/>
  <c r="BB3740" i="93"/>
  <c r="AB3740" i="93"/>
  <c r="BB3739" i="93"/>
  <c r="AB3739" i="93"/>
  <c r="BB3738" i="93"/>
  <c r="AB3738" i="93"/>
  <c r="BB3737" i="93"/>
  <c r="AB3737" i="93"/>
  <c r="BB3735" i="93"/>
  <c r="AB3735" i="93"/>
  <c r="BB3733" i="93"/>
  <c r="AB3733" i="93"/>
  <c r="BB3732" i="93"/>
  <c r="AB3732" i="93"/>
  <c r="BB3731" i="93"/>
  <c r="AB3731" i="93"/>
  <c r="AB3730" i="93"/>
  <c r="BB3728" i="93"/>
  <c r="AB3728" i="93"/>
  <c r="BB3726" i="93"/>
  <c r="AB3726" i="93"/>
  <c r="BB3725" i="93"/>
  <c r="AB3725" i="93"/>
  <c r="BB3723" i="93"/>
  <c r="AB3723" i="93"/>
  <c r="BB3722" i="93"/>
  <c r="AB3722" i="93"/>
  <c r="BB3721" i="93"/>
  <c r="AB3721" i="93"/>
  <c r="BB3719" i="93"/>
  <c r="AB3719" i="93"/>
  <c r="BB3718" i="93"/>
  <c r="AB3718" i="93"/>
  <c r="BB3717" i="93"/>
  <c r="AB3717" i="93"/>
  <c r="BB3716" i="93"/>
  <c r="AB3716" i="93"/>
  <c r="BB3714" i="93"/>
  <c r="AB3714" i="93"/>
  <c r="BB3713" i="93"/>
  <c r="AB3713" i="93"/>
  <c r="BB3712" i="93"/>
  <c r="AB3712" i="93"/>
  <c r="BB3711" i="93"/>
  <c r="BD3711" i="93" s="1"/>
  <c r="BF3711" i="93" s="1"/>
  <c r="BB3708" i="93"/>
  <c r="AB3708" i="93"/>
  <c r="BB3707" i="93"/>
  <c r="AB3707" i="93"/>
  <c r="BB3706" i="93"/>
  <c r="AB3706" i="93"/>
  <c r="BB3705" i="93"/>
  <c r="AB3705" i="93"/>
  <c r="BB3704" i="93"/>
  <c r="AB3704" i="93"/>
  <c r="BB3701" i="93"/>
  <c r="BB3700" i="93"/>
  <c r="AB3700" i="93"/>
  <c r="BC3699" i="93"/>
  <c r="BA3699" i="93"/>
  <c r="AX3699" i="93"/>
  <c r="AW3699" i="93"/>
  <c r="AV3699" i="93"/>
  <c r="AU3699" i="93"/>
  <c r="AT3699" i="93"/>
  <c r="AS3699" i="93"/>
  <c r="AR3699" i="93"/>
  <c r="AQ3699" i="93"/>
  <c r="AP3699" i="93"/>
  <c r="AO3699" i="93"/>
  <c r="AN3699" i="93"/>
  <c r="AM3699" i="93"/>
  <c r="AL3699" i="93"/>
  <c r="AK3699" i="93"/>
  <c r="AJ3699" i="93"/>
  <c r="AI3699" i="93"/>
  <c r="AH3699" i="93"/>
  <c r="AG3699" i="93"/>
  <c r="AF3699" i="93"/>
  <c r="AE3699" i="93"/>
  <c r="AD3699" i="93"/>
  <c r="AC3699" i="93"/>
  <c r="AA3699" i="93"/>
  <c r="X3699" i="93"/>
  <c r="W3699" i="93"/>
  <c r="V3699" i="93"/>
  <c r="U3699" i="93"/>
  <c r="T3699" i="93"/>
  <c r="S3699" i="93"/>
  <c r="R3699" i="93"/>
  <c r="Q3699" i="93"/>
  <c r="P3699" i="93"/>
  <c r="O3699" i="93"/>
  <c r="N3699" i="93"/>
  <c r="M3699" i="93"/>
  <c r="L3699" i="93"/>
  <c r="K3699" i="93"/>
  <c r="J3699" i="93"/>
  <c r="I3699" i="93"/>
  <c r="H3699" i="93"/>
  <c r="G3699" i="93"/>
  <c r="F3699" i="93"/>
  <c r="E3699" i="93"/>
  <c r="D3699" i="93"/>
  <c r="BB3698" i="93"/>
  <c r="AB3698" i="93"/>
  <c r="BB3696" i="93"/>
  <c r="AB3696" i="93"/>
  <c r="BB3695" i="93"/>
  <c r="AB3695" i="93"/>
  <c r="BB3691" i="93"/>
  <c r="AB3691" i="93"/>
  <c r="BB3690" i="93"/>
  <c r="AB3690" i="93"/>
  <c r="BB3688" i="93"/>
  <c r="AB3688" i="93"/>
  <c r="BB3687" i="93"/>
  <c r="AB3687" i="93"/>
  <c r="BB3684" i="93"/>
  <c r="AB3684" i="93"/>
  <c r="BB3683" i="93"/>
  <c r="AB3683" i="93"/>
  <c r="BB3676" i="93"/>
  <c r="AB3676" i="93"/>
  <c r="BB3675" i="93"/>
  <c r="AB3675" i="93"/>
  <c r="BB3674" i="93"/>
  <c r="AB3674" i="93"/>
  <c r="BB3673" i="93"/>
  <c r="AB3673" i="93"/>
  <c r="BB3672" i="93"/>
  <c r="AB3672" i="93"/>
  <c r="BB3668" i="93"/>
  <c r="AB3668" i="93"/>
  <c r="BB3666" i="93"/>
  <c r="AB3666" i="93"/>
  <c r="BB3665" i="93"/>
  <c r="BB3662" i="93"/>
  <c r="AB3662" i="93"/>
  <c r="BB3661" i="93"/>
  <c r="AB3661" i="93"/>
  <c r="BB3660" i="93"/>
  <c r="AB3660" i="93"/>
  <c r="BB3659" i="93"/>
  <c r="AB3659" i="93"/>
  <c r="BB3658" i="93"/>
  <c r="AB3658" i="93"/>
  <c r="BB3657" i="93"/>
  <c r="AB3657" i="93"/>
  <c r="BB3654" i="93"/>
  <c r="AB3654" i="93"/>
  <c r="BB3653" i="93"/>
  <c r="AB3653" i="93"/>
  <c r="BB3652" i="93"/>
  <c r="AB3652" i="93"/>
  <c r="BA3651" i="93"/>
  <c r="AX3651" i="93"/>
  <c r="AW3651" i="93"/>
  <c r="AV3651" i="93"/>
  <c r="AU3651" i="93"/>
  <c r="AT3651" i="93"/>
  <c r="AS3651" i="93"/>
  <c r="AR3651" i="93"/>
  <c r="AQ3651" i="93"/>
  <c r="AP3651" i="93"/>
  <c r="AO3651" i="93"/>
  <c r="AN3651" i="93"/>
  <c r="AM3651" i="93"/>
  <c r="AL3651" i="93"/>
  <c r="AK3651" i="93"/>
  <c r="AJ3651" i="93"/>
  <c r="AI3651" i="93"/>
  <c r="AH3651" i="93"/>
  <c r="AG3651" i="93"/>
  <c r="AF3651" i="93"/>
  <c r="AE3651" i="93"/>
  <c r="AD3651" i="93"/>
  <c r="AC3651" i="93"/>
  <c r="BE3651" i="93" s="1"/>
  <c r="AA3651" i="93"/>
  <c r="X3651" i="93"/>
  <c r="W3651" i="93"/>
  <c r="V3651" i="93"/>
  <c r="U3651" i="93"/>
  <c r="T3651" i="93"/>
  <c r="S3651" i="93"/>
  <c r="R3651" i="93"/>
  <c r="Q3651" i="93"/>
  <c r="P3651" i="93"/>
  <c r="O3651" i="93"/>
  <c r="N3651" i="93"/>
  <c r="M3651" i="93"/>
  <c r="L3651" i="93"/>
  <c r="K3651" i="93"/>
  <c r="J3651" i="93"/>
  <c r="I3651" i="93"/>
  <c r="H3651" i="93"/>
  <c r="G3651" i="93"/>
  <c r="F3651" i="93"/>
  <c r="E3651" i="93"/>
  <c r="D3651" i="93"/>
  <c r="BB3650" i="93"/>
  <c r="AB3650" i="93"/>
  <c r="BB3648" i="93"/>
  <c r="AB3648" i="93"/>
  <c r="BB3647" i="93"/>
  <c r="AB3647" i="93"/>
  <c r="BB3646" i="93"/>
  <c r="AB3646" i="93"/>
  <c r="BB3644" i="93"/>
  <c r="AB3644" i="93"/>
  <c r="BB3637" i="93"/>
  <c r="AB3637" i="93"/>
  <c r="BB3636" i="93"/>
  <c r="AB3636" i="93"/>
  <c r="BB3635" i="93"/>
  <c r="AB3635" i="93"/>
  <c r="BB3634" i="93"/>
  <c r="AB3634" i="93"/>
  <c r="BB3631" i="93"/>
  <c r="AB3631" i="93"/>
  <c r="BB3630" i="93"/>
  <c r="AB3630" i="93"/>
  <c r="BB3628" i="93"/>
  <c r="AB3628" i="93"/>
  <c r="BB3627" i="93"/>
  <c r="AB3627" i="93"/>
  <c r="BB3626" i="93"/>
  <c r="AB3626" i="93"/>
  <c r="BB3625" i="93"/>
  <c r="AB3625" i="93"/>
  <c r="BB3621" i="93"/>
  <c r="L3615" i="93"/>
  <c r="BB3620" i="93"/>
  <c r="AB3620" i="93"/>
  <c r="BB3618" i="93"/>
  <c r="AB3618" i="93"/>
  <c r="BB3617" i="93"/>
  <c r="AB3617" i="93"/>
  <c r="BB3616" i="93"/>
  <c r="AB3616" i="93"/>
  <c r="BA3615" i="93"/>
  <c r="AX3615" i="93"/>
  <c r="AW3615" i="93"/>
  <c r="AV3615" i="93"/>
  <c r="AU3615" i="93"/>
  <c r="AT3615" i="93"/>
  <c r="AS3615" i="93"/>
  <c r="AR3615" i="93"/>
  <c r="AQ3615" i="93"/>
  <c r="AP3615" i="93"/>
  <c r="AO3615" i="93"/>
  <c r="AN3615" i="93"/>
  <c r="AM3615" i="93"/>
  <c r="AL3615" i="93"/>
  <c r="AK3615" i="93"/>
  <c r="AJ3615" i="93"/>
  <c r="AI3615" i="93"/>
  <c r="AH3615" i="93"/>
  <c r="AG3615" i="93"/>
  <c r="AF3615" i="93"/>
  <c r="AE3615" i="93"/>
  <c r="AD3615" i="93"/>
  <c r="AC3615" i="93"/>
  <c r="BE3615" i="93" s="1"/>
  <c r="AA3615" i="93"/>
  <c r="X3615" i="93"/>
  <c r="W3615" i="93"/>
  <c r="V3615" i="93"/>
  <c r="U3615" i="93"/>
  <c r="T3615" i="93"/>
  <c r="S3615" i="93"/>
  <c r="R3615" i="93"/>
  <c r="Q3615" i="93"/>
  <c r="P3615" i="93"/>
  <c r="O3615" i="93"/>
  <c r="N3615" i="93"/>
  <c r="M3615" i="93"/>
  <c r="K3615" i="93"/>
  <c r="J3615" i="93"/>
  <c r="I3615" i="93"/>
  <c r="H3615" i="93"/>
  <c r="G3615" i="93"/>
  <c r="F3615" i="93"/>
  <c r="E3615" i="93"/>
  <c r="D3615" i="93"/>
  <c r="BB3614" i="93"/>
  <c r="AB3614" i="93"/>
  <c r="BB3613" i="93"/>
  <c r="AB3613" i="93"/>
  <c r="BB3612" i="93"/>
  <c r="AB3612" i="93"/>
  <c r="BB3611" i="93"/>
  <c r="AB3611" i="93"/>
  <c r="BB3609" i="93"/>
  <c r="AB3609" i="93"/>
  <c r="BB3608" i="93"/>
  <c r="AB3608" i="93"/>
  <c r="BB3607" i="93"/>
  <c r="AB3607" i="93"/>
  <c r="BB3605" i="93"/>
  <c r="AB3605" i="93"/>
  <c r="BB3604" i="93"/>
  <c r="AB3604" i="93"/>
  <c r="AB3602" i="93"/>
  <c r="BD3602" i="93" s="1"/>
  <c r="BF3602" i="93" s="1"/>
  <c r="BB3601" i="93"/>
  <c r="AB3601" i="93"/>
  <c r="BB3600" i="93"/>
  <c r="AB3600" i="93"/>
  <c r="BB3599" i="93"/>
  <c r="AB3599" i="93"/>
  <c r="BB3595" i="93"/>
  <c r="AB3595" i="93"/>
  <c r="BB3594" i="93"/>
  <c r="BC3594" i="93" s="1"/>
  <c r="BE3594" i="93" s="1"/>
  <c r="AB3594" i="93"/>
  <c r="BB3593" i="93"/>
  <c r="BC3593" i="93" s="1"/>
  <c r="BE3593" i="93" s="1"/>
  <c r="AB3593" i="93"/>
  <c r="BB3592" i="93"/>
  <c r="BC3592" i="93" s="1"/>
  <c r="BE3592" i="93" s="1"/>
  <c r="AB3592" i="93"/>
  <c r="BB3591" i="93"/>
  <c r="BC3591" i="93" s="1"/>
  <c r="BE3591" i="93" s="1"/>
  <c r="AB3591" i="93"/>
  <c r="BB3590" i="93"/>
  <c r="BC3590" i="93" s="1"/>
  <c r="BE3590" i="93" s="1"/>
  <c r="AB3590" i="93"/>
  <c r="BB3589" i="93"/>
  <c r="BC3589" i="93" s="1"/>
  <c r="BE3589" i="93" s="1"/>
  <c r="AB3589" i="93"/>
  <c r="BB3588" i="93"/>
  <c r="BC3588" i="93" s="1"/>
  <c r="BE3588" i="93" s="1"/>
  <c r="AB3588" i="93"/>
  <c r="BB3587" i="93"/>
  <c r="AB3587" i="93"/>
  <c r="BB3586" i="93"/>
  <c r="AB3586" i="93"/>
  <c r="BB3585" i="93"/>
  <c r="AB3585" i="93"/>
  <c r="BB3584" i="93"/>
  <c r="AB3584" i="93"/>
  <c r="BB3583" i="93"/>
  <c r="AB3583" i="93"/>
  <c r="BB3581" i="93"/>
  <c r="AB3581" i="93"/>
  <c r="BB3578" i="93"/>
  <c r="AB3578" i="93"/>
  <c r="BB3577" i="93"/>
  <c r="AB3577" i="93"/>
  <c r="BB3576" i="93"/>
  <c r="AB3576" i="93"/>
  <c r="BA3575" i="93"/>
  <c r="AX3575" i="93"/>
  <c r="AW3575" i="93"/>
  <c r="AV3575" i="93"/>
  <c r="AU3575" i="93"/>
  <c r="AT3575" i="93"/>
  <c r="AS3575" i="93"/>
  <c r="AR3575" i="93"/>
  <c r="AQ3575" i="93"/>
  <c r="AP3575" i="93"/>
  <c r="AO3575" i="93"/>
  <c r="AN3575" i="93"/>
  <c r="AM3575" i="93"/>
  <c r="AL3575" i="93"/>
  <c r="AK3575" i="93"/>
  <c r="AJ3575" i="93"/>
  <c r="AI3575" i="93"/>
  <c r="AH3575" i="93"/>
  <c r="AG3575" i="93"/>
  <c r="AF3575" i="93"/>
  <c r="AE3575" i="93"/>
  <c r="AD3575" i="93"/>
  <c r="AC3575" i="93"/>
  <c r="AA3575" i="93"/>
  <c r="X3575" i="93"/>
  <c r="W3575" i="93"/>
  <c r="V3575" i="93"/>
  <c r="U3575" i="93"/>
  <c r="T3575" i="93"/>
  <c r="S3575" i="93"/>
  <c r="R3575" i="93"/>
  <c r="Q3575" i="93"/>
  <c r="P3575" i="93"/>
  <c r="O3575" i="93"/>
  <c r="N3575" i="93"/>
  <c r="M3575" i="93"/>
  <c r="L3575" i="93"/>
  <c r="K3575" i="93"/>
  <c r="J3575" i="93"/>
  <c r="I3575" i="93"/>
  <c r="H3575" i="93"/>
  <c r="G3575" i="93"/>
  <c r="F3575" i="93"/>
  <c r="E3575" i="93"/>
  <c r="D3575" i="93"/>
  <c r="BB3572" i="93"/>
  <c r="AB3572" i="93"/>
  <c r="BB3570" i="93"/>
  <c r="BD3570" i="93" s="1"/>
  <c r="BF3570" i="93" s="1"/>
  <c r="BB3568" i="93"/>
  <c r="BD3568" i="93" s="1"/>
  <c r="BF3568" i="93" s="1"/>
  <c r="BB3567" i="93"/>
  <c r="AB3567" i="93"/>
  <c r="BB3566" i="93"/>
  <c r="AB3566" i="93"/>
  <c r="BB3565" i="93"/>
  <c r="AB3565" i="93"/>
  <c r="BB3564" i="93"/>
  <c r="AB3564" i="93"/>
  <c r="BB3563" i="93"/>
  <c r="AB3563" i="93"/>
  <c r="BB3562" i="93"/>
  <c r="AB3562" i="93"/>
  <c r="BB3561" i="93"/>
  <c r="AB3561" i="93"/>
  <c r="BB3560" i="93"/>
  <c r="AB3560" i="93"/>
  <c r="BB3559" i="93"/>
  <c r="AB3559" i="93"/>
  <c r="BB3558" i="93"/>
  <c r="AB3558" i="93"/>
  <c r="BB3557" i="93"/>
  <c r="AB3557" i="93"/>
  <c r="BB3556" i="93"/>
  <c r="AB3556" i="93"/>
  <c r="BB3553" i="93"/>
  <c r="AB3553" i="93"/>
  <c r="BB3552" i="93"/>
  <c r="BD3552" i="93" s="1"/>
  <c r="BF3552" i="93" s="1"/>
  <c r="BB3547" i="93"/>
  <c r="AB3547" i="93"/>
  <c r="AB3546" i="93"/>
  <c r="BB3541" i="93"/>
  <c r="AB3541" i="93"/>
  <c r="BB3540" i="93"/>
  <c r="AB3540" i="93"/>
  <c r="BB3539" i="93"/>
  <c r="AB3539" i="93"/>
  <c r="BB3538" i="93"/>
  <c r="AB3538" i="93"/>
  <c r="BB3537" i="93"/>
  <c r="AB3537" i="93"/>
  <c r="BB3536" i="93"/>
  <c r="AB3536" i="93"/>
  <c r="BB3573" i="93"/>
  <c r="AB3573" i="93"/>
  <c r="BB3530" i="93"/>
  <c r="AB3530" i="93"/>
  <c r="BB3529" i="93"/>
  <c r="BB3528" i="93"/>
  <c r="AB3528" i="93"/>
  <c r="BB3527" i="93"/>
  <c r="AB3527" i="93"/>
  <c r="BB3526" i="93"/>
  <c r="AB3526" i="93"/>
  <c r="BB3524" i="93"/>
  <c r="AB3524" i="93"/>
  <c r="BB3523" i="93"/>
  <c r="AB3523" i="93"/>
  <c r="BB3521" i="93"/>
  <c r="AB3521" i="93"/>
  <c r="BB3519" i="93"/>
  <c r="AB3519" i="93"/>
  <c r="BB3518" i="93"/>
  <c r="AB3518" i="93"/>
  <c r="BB3517" i="93"/>
  <c r="AB3517" i="93"/>
  <c r="BB3516" i="93"/>
  <c r="AB3516" i="93"/>
  <c r="BB3512" i="93"/>
  <c r="AB3512" i="93"/>
  <c r="BB3511" i="93"/>
  <c r="AB3511" i="93"/>
  <c r="BB3510" i="93"/>
  <c r="AB3510" i="93"/>
  <c r="BB3508" i="93"/>
  <c r="AB3508" i="93"/>
  <c r="BC3507" i="93"/>
  <c r="BA3507" i="93"/>
  <c r="AX3507" i="93"/>
  <c r="AW3507" i="93"/>
  <c r="AV3507" i="93"/>
  <c r="AU3507" i="93"/>
  <c r="AT3507" i="93"/>
  <c r="AS3507" i="93"/>
  <c r="AR3507" i="93"/>
  <c r="AQ3507" i="93"/>
  <c r="AP3507" i="93"/>
  <c r="AO3507" i="93"/>
  <c r="AN3507" i="93"/>
  <c r="AM3507" i="93"/>
  <c r="AL3507" i="93"/>
  <c r="AK3507" i="93"/>
  <c r="AJ3507" i="93"/>
  <c r="AI3507" i="93"/>
  <c r="AH3507" i="93"/>
  <c r="AG3507" i="93"/>
  <c r="AF3507" i="93"/>
  <c r="AE3507" i="93"/>
  <c r="AD3507" i="93"/>
  <c r="AC3507" i="93"/>
  <c r="AA3507" i="93"/>
  <c r="X3507" i="93"/>
  <c r="W3507" i="93"/>
  <c r="V3507" i="93"/>
  <c r="U3507" i="93"/>
  <c r="T3507" i="93"/>
  <c r="S3507" i="93"/>
  <c r="R3507" i="93"/>
  <c r="Q3507" i="93"/>
  <c r="P3507" i="93"/>
  <c r="O3507" i="93"/>
  <c r="N3507" i="93"/>
  <c r="M3507" i="93"/>
  <c r="L3507" i="93"/>
  <c r="K3507" i="93"/>
  <c r="J3507" i="93"/>
  <c r="I3507" i="93"/>
  <c r="H3507" i="93"/>
  <c r="G3507" i="93"/>
  <c r="F3507" i="93"/>
  <c r="E3507" i="93"/>
  <c r="D3507" i="93"/>
  <c r="BB3499" i="93"/>
  <c r="BD3499" i="93" s="1"/>
  <c r="BF3499" i="93" s="1"/>
  <c r="BB3497" i="93"/>
  <c r="AB3497" i="93"/>
  <c r="BB3496" i="93"/>
  <c r="AB3496" i="93"/>
  <c r="BB3492" i="93"/>
  <c r="AB3492" i="93"/>
  <c r="BB3491" i="93"/>
  <c r="AB3491" i="93"/>
  <c r="BC3488" i="93"/>
  <c r="BA3488" i="93"/>
  <c r="AX3488" i="93"/>
  <c r="AW3488" i="93"/>
  <c r="AV3488" i="93"/>
  <c r="AU3488" i="93"/>
  <c r="AT3488" i="93"/>
  <c r="AS3488" i="93"/>
  <c r="AR3488" i="93"/>
  <c r="AQ3488" i="93"/>
  <c r="AP3488" i="93"/>
  <c r="AO3488" i="93"/>
  <c r="AN3488" i="93"/>
  <c r="AM3488" i="93"/>
  <c r="AL3488" i="93"/>
  <c r="AK3488" i="93"/>
  <c r="AJ3488" i="93"/>
  <c r="AI3488" i="93"/>
  <c r="AH3488" i="93"/>
  <c r="AG3488" i="93"/>
  <c r="AF3488" i="93"/>
  <c r="AE3488" i="93"/>
  <c r="AD3488" i="93"/>
  <c r="AC3488" i="93"/>
  <c r="AA3488" i="93"/>
  <c r="X3488" i="93"/>
  <c r="W3488" i="93"/>
  <c r="V3488" i="93"/>
  <c r="U3488" i="93"/>
  <c r="T3488" i="93"/>
  <c r="S3488" i="93"/>
  <c r="R3488" i="93"/>
  <c r="Q3488" i="93"/>
  <c r="P3488" i="93"/>
  <c r="O3488" i="93"/>
  <c r="N3488" i="93"/>
  <c r="M3488" i="93"/>
  <c r="L3488" i="93"/>
  <c r="K3488" i="93"/>
  <c r="J3488" i="93"/>
  <c r="I3488" i="93"/>
  <c r="G3488" i="93"/>
  <c r="F3488" i="93"/>
  <c r="E3488" i="93"/>
  <c r="D3488" i="93"/>
  <c r="BB3486" i="93"/>
  <c r="AB3486" i="93"/>
  <c r="BB3485" i="93"/>
  <c r="AB3485" i="93"/>
  <c r="BB3484" i="93"/>
  <c r="AB3484" i="93"/>
  <c r="BB3483" i="93"/>
  <c r="AB3483" i="93"/>
  <c r="BB3482" i="93"/>
  <c r="AB3482" i="93"/>
  <c r="BB3481" i="93"/>
  <c r="AB3481" i="93"/>
  <c r="BB3480" i="93"/>
  <c r="AB3480" i="93"/>
  <c r="BB3479" i="93"/>
  <c r="AB3479" i="93"/>
  <c r="BB3478" i="93"/>
  <c r="AB3478" i="93"/>
  <c r="BB3476" i="93"/>
  <c r="AB3476" i="93"/>
  <c r="BB3475" i="93"/>
  <c r="AB3475" i="93"/>
  <c r="BB3474" i="93"/>
  <c r="AB3474" i="93"/>
  <c r="BB3473" i="93"/>
  <c r="AB3473" i="93"/>
  <c r="BB3472" i="93"/>
  <c r="AB3472" i="93"/>
  <c r="BB3471" i="93"/>
  <c r="AB3471" i="93"/>
  <c r="BB3470" i="93"/>
  <c r="AB3470" i="93"/>
  <c r="BB3469" i="93"/>
  <c r="AB3469" i="93"/>
  <c r="BB3468" i="93"/>
  <c r="AB3468" i="93"/>
  <c r="BB3466" i="93"/>
  <c r="AB3466" i="93"/>
  <c r="BB3465" i="93"/>
  <c r="AB3465" i="93"/>
  <c r="BB3464" i="93"/>
  <c r="AB3464" i="93"/>
  <c r="BB3462" i="93"/>
  <c r="AB3462" i="93"/>
  <c r="BB3461" i="93"/>
  <c r="AB3461" i="93"/>
  <c r="BB3460" i="93"/>
  <c r="AB3460" i="93"/>
  <c r="BB3458" i="93"/>
  <c r="AB3458" i="93"/>
  <c r="BB3457" i="93"/>
  <c r="AB3457" i="93"/>
  <c r="BB3456" i="93"/>
  <c r="AB3456" i="93"/>
  <c r="BB3455" i="93"/>
  <c r="AB3455" i="93"/>
  <c r="BB3453" i="93"/>
  <c r="AB3453" i="93"/>
  <c r="BB3452" i="93"/>
  <c r="AB3452" i="93"/>
  <c r="BB3451" i="93"/>
  <c r="AB3451" i="93"/>
  <c r="BB3450" i="93"/>
  <c r="AB3450" i="93"/>
  <c r="BB3449" i="93"/>
  <c r="AB3449" i="93"/>
  <c r="BB3445" i="93"/>
  <c r="AB3445" i="93"/>
  <c r="BB3443" i="93"/>
  <c r="AB3443" i="93"/>
  <c r="BB3442" i="93"/>
  <c r="AB3442" i="93"/>
  <c r="BB3441" i="93"/>
  <c r="AB3441" i="93"/>
  <c r="BB3440" i="93"/>
  <c r="AB3440" i="93"/>
  <c r="BB3439" i="93"/>
  <c r="AB3439" i="93"/>
  <c r="BB3438" i="93"/>
  <c r="AB3438" i="93"/>
  <c r="BB3436" i="93"/>
  <c r="AB3436" i="93"/>
  <c r="BB3435" i="93"/>
  <c r="AB3435" i="93"/>
  <c r="BB3434" i="93"/>
  <c r="AB3434" i="93"/>
  <c r="BB3433" i="93"/>
  <c r="AB3433" i="93"/>
  <c r="BB3430" i="93"/>
  <c r="AB3430" i="93"/>
  <c r="BB3429" i="93"/>
  <c r="AB3429" i="93"/>
  <c r="BB3487" i="93"/>
  <c r="BB3428" i="93"/>
  <c r="AB3428" i="93"/>
  <c r="BB3427" i="93"/>
  <c r="AB3427" i="93"/>
  <c r="AB3426" i="93"/>
  <c r="BB3423" i="93"/>
  <c r="AB3423" i="93"/>
  <c r="BB3420" i="93"/>
  <c r="AB3420" i="93"/>
  <c r="BB3419" i="93"/>
  <c r="AB3419" i="93"/>
  <c r="BB3418" i="93"/>
  <c r="AB3418" i="93"/>
  <c r="BB3417" i="93"/>
  <c r="AB3417" i="93"/>
  <c r="BB3416" i="93"/>
  <c r="AB3416" i="93"/>
  <c r="BB3414" i="93"/>
  <c r="AB3414" i="93"/>
  <c r="BB3413" i="93"/>
  <c r="AB3413" i="93"/>
  <c r="BB3412" i="93"/>
  <c r="AB3412" i="93"/>
  <c r="BB3411" i="93"/>
  <c r="AB3411" i="93"/>
  <c r="BB3410" i="93"/>
  <c r="AB3410" i="93"/>
  <c r="BB3409" i="93"/>
  <c r="AB3409" i="93"/>
  <c r="BB3408" i="93"/>
  <c r="AB3408" i="93"/>
  <c r="BB3407" i="93"/>
  <c r="AB3407" i="93"/>
  <c r="BB3406" i="93"/>
  <c r="AB3406" i="93"/>
  <c r="BB3405" i="93"/>
  <c r="BD3405" i="93" s="1"/>
  <c r="BF3405" i="93" s="1"/>
  <c r="BB3403" i="93"/>
  <c r="BB3401" i="93"/>
  <c r="BB3400" i="93"/>
  <c r="BB3398" i="93"/>
  <c r="BB3397" i="93"/>
  <c r="BB3396" i="93"/>
  <c r="BB3395" i="93"/>
  <c r="BB3394" i="93"/>
  <c r="BC3391" i="93"/>
  <c r="BA3391" i="93"/>
  <c r="AX3391" i="93"/>
  <c r="AW3391" i="93"/>
  <c r="AV3391" i="93"/>
  <c r="AU3391" i="93"/>
  <c r="AT3391" i="93"/>
  <c r="AS3391" i="93"/>
  <c r="AR3391" i="93"/>
  <c r="AQ3391" i="93"/>
  <c r="AP3391" i="93"/>
  <c r="AO3391" i="93"/>
  <c r="AN3391" i="93"/>
  <c r="AM3391" i="93"/>
  <c r="AL3391" i="93"/>
  <c r="AK3391" i="93"/>
  <c r="AJ3391" i="93"/>
  <c r="AI3391" i="93"/>
  <c r="AH3391" i="93"/>
  <c r="AG3391" i="93"/>
  <c r="AF3391" i="93"/>
  <c r="AE3391" i="93"/>
  <c r="AD3391" i="93"/>
  <c r="AC3391" i="93"/>
  <c r="AA3391" i="93"/>
  <c r="X3391" i="93"/>
  <c r="W3391" i="93"/>
  <c r="V3391" i="93"/>
  <c r="U3391" i="93"/>
  <c r="T3391" i="93"/>
  <c r="S3391" i="93"/>
  <c r="R3391" i="93"/>
  <c r="Q3391" i="93"/>
  <c r="P3391" i="93"/>
  <c r="O3391" i="93"/>
  <c r="N3391" i="93"/>
  <c r="M3391" i="93"/>
  <c r="L3391" i="93"/>
  <c r="K3391" i="93"/>
  <c r="J3391" i="93"/>
  <c r="I3391" i="93"/>
  <c r="H3391" i="93"/>
  <c r="G3391" i="93"/>
  <c r="F3391" i="93"/>
  <c r="E3391" i="93"/>
  <c r="D3391" i="93"/>
  <c r="BB3362" i="93"/>
  <c r="P3178" i="93"/>
  <c r="BB3361" i="93"/>
  <c r="AB3361" i="93"/>
  <c r="BB3360" i="93"/>
  <c r="AB3360" i="93"/>
  <c r="BB3357" i="93"/>
  <c r="AB3357" i="93"/>
  <c r="BB3355" i="93"/>
  <c r="AB3355" i="93"/>
  <c r="BB3354" i="93"/>
  <c r="AB3354" i="93"/>
  <c r="BB3353" i="93"/>
  <c r="AB3353" i="93"/>
  <c r="BB3352" i="93"/>
  <c r="AB3352" i="93"/>
  <c r="BB3351" i="93"/>
  <c r="AB3351" i="93"/>
  <c r="BB3350" i="93"/>
  <c r="AB3350" i="93"/>
  <c r="BB3349" i="93"/>
  <c r="AB3349" i="93"/>
  <c r="BB3348" i="93"/>
  <c r="AB3348" i="93"/>
  <c r="BB3344" i="93"/>
  <c r="AB3344" i="93"/>
  <c r="BB3343" i="93"/>
  <c r="AB3343" i="93"/>
  <c r="BB3342" i="93"/>
  <c r="AB3342" i="93"/>
  <c r="BB3341" i="93"/>
  <c r="AB3341" i="93"/>
  <c r="BB3340" i="93"/>
  <c r="AB3340" i="93"/>
  <c r="BB3339" i="93"/>
  <c r="AB3339" i="93"/>
  <c r="BB3338" i="93"/>
  <c r="AB3338" i="93"/>
  <c r="BB3337" i="93"/>
  <c r="AB3337" i="93"/>
  <c r="BB3336" i="93"/>
  <c r="AB3336" i="93"/>
  <c r="BB3335" i="93"/>
  <c r="AB3335" i="93"/>
  <c r="BB3334" i="93"/>
  <c r="AB3334" i="93"/>
  <c r="BB3331" i="93"/>
  <c r="AB3331" i="93"/>
  <c r="BB3327" i="93"/>
  <c r="AB3327" i="93"/>
  <c r="BB3325" i="93"/>
  <c r="AB3325" i="93"/>
  <c r="BB3324" i="93"/>
  <c r="AB3324" i="93"/>
  <c r="BB3323" i="93"/>
  <c r="AB3323" i="93"/>
  <c r="BB3322" i="93"/>
  <c r="BB3390" i="93"/>
  <c r="AB3390" i="93"/>
  <c r="BB3317" i="93"/>
  <c r="AB3317" i="93"/>
  <c r="BB3316" i="93"/>
  <c r="AB3316" i="93"/>
  <c r="BB3315" i="93"/>
  <c r="AB3315" i="93"/>
  <c r="BB3314" i="93"/>
  <c r="AB3314" i="93"/>
  <c r="BB3313" i="93"/>
  <c r="AB3313" i="93"/>
  <c r="BB3312" i="93"/>
  <c r="AB3312" i="93"/>
  <c r="BB3311" i="93"/>
  <c r="AB3311" i="93"/>
  <c r="BB3310" i="93"/>
  <c r="AB3310" i="93"/>
  <c r="BB3309" i="93"/>
  <c r="AB3309" i="93"/>
  <c r="BB3307" i="93"/>
  <c r="AB3307" i="93"/>
  <c r="BB3306" i="93"/>
  <c r="AB3306" i="93"/>
  <c r="BB3305" i="93"/>
  <c r="AB3305" i="93"/>
  <c r="BB3304" i="93"/>
  <c r="AB3304" i="93"/>
  <c r="BB3303" i="93"/>
  <c r="AB3303" i="93"/>
  <c r="BB3302" i="93"/>
  <c r="AB3302" i="93"/>
  <c r="BB3301" i="93"/>
  <c r="AB3301" i="93"/>
  <c r="BB3300" i="93"/>
  <c r="AB3300" i="93"/>
  <c r="BB3298" i="93"/>
  <c r="AB3298" i="93"/>
  <c r="BB3295" i="93"/>
  <c r="AB3295" i="93"/>
  <c r="BB3294" i="93"/>
  <c r="AB3294" i="93"/>
  <c r="BB3293" i="93"/>
  <c r="AB3293" i="93"/>
  <c r="BB3292" i="93"/>
  <c r="AB3292" i="93"/>
  <c r="BB3291" i="93"/>
  <c r="AB3291" i="93"/>
  <c r="BB3289" i="93"/>
  <c r="AB3289" i="93"/>
  <c r="BB3288" i="93"/>
  <c r="AB3288" i="93"/>
  <c r="BB3287" i="93"/>
  <c r="AB3287" i="93"/>
  <c r="BB3286" i="93"/>
  <c r="AB3286" i="93"/>
  <c r="BB3285" i="93"/>
  <c r="AB3285" i="93"/>
  <c r="BB3284" i="93"/>
  <c r="AB3284" i="93"/>
  <c r="BB3283" i="93"/>
  <c r="AB3283" i="93"/>
  <c r="BB3282" i="93"/>
  <c r="AB3282" i="93"/>
  <c r="BB3281" i="93"/>
  <c r="AB3281" i="93"/>
  <c r="BB3280" i="93"/>
  <c r="AB3280" i="93"/>
  <c r="BB3279" i="93"/>
  <c r="AB3279" i="93"/>
  <c r="BB3277" i="93"/>
  <c r="AB3277" i="93"/>
  <c r="BB3276" i="93"/>
  <c r="AB3276" i="93"/>
  <c r="AB3271" i="93"/>
  <c r="BD3271" i="93" s="1"/>
  <c r="BF3271" i="93" s="1"/>
  <c r="BB3269" i="93"/>
  <c r="AB3269" i="93"/>
  <c r="BB3265" i="93"/>
  <c r="H3178" i="93"/>
  <c r="BB3345" i="93"/>
  <c r="AB3345" i="93"/>
  <c r="BB3263" i="93"/>
  <c r="AB3263" i="93"/>
  <c r="BB3380" i="93"/>
  <c r="AB3380" i="93"/>
  <c r="BB3371" i="93"/>
  <c r="AB3371" i="93"/>
  <c r="BB3370" i="93"/>
  <c r="BB3262" i="93"/>
  <c r="AB3262" i="93"/>
  <c r="BB3261" i="93"/>
  <c r="AB3261" i="93"/>
  <c r="BB3260" i="93"/>
  <c r="AB3260" i="93"/>
  <c r="BB3259" i="93"/>
  <c r="AB3259" i="93"/>
  <c r="BB3258" i="93"/>
  <c r="AB3258" i="93"/>
  <c r="BB3257" i="93"/>
  <c r="AB3257" i="93"/>
  <c r="BB3256" i="93"/>
  <c r="AB3256" i="93"/>
  <c r="BB3255" i="93"/>
  <c r="AB3255" i="93"/>
  <c r="BB3254" i="93"/>
  <c r="AB3254" i="93"/>
  <c r="BB3253" i="93"/>
  <c r="AB3253" i="93"/>
  <c r="BB3252" i="93"/>
  <c r="AB3252" i="93"/>
  <c r="BB3251" i="93"/>
  <c r="AB3251" i="93"/>
  <c r="BB3250" i="93"/>
  <c r="AB3250" i="93"/>
  <c r="BB3249" i="93"/>
  <c r="AB3249" i="93"/>
  <c r="BB3248" i="93"/>
  <c r="AB3248" i="93"/>
  <c r="BB3247" i="93"/>
  <c r="AB3247" i="93"/>
  <c r="BB3246" i="93"/>
  <c r="AB3246" i="93"/>
  <c r="BB3243" i="93"/>
  <c r="AB3243" i="93"/>
  <c r="BB3241" i="93"/>
  <c r="AB3241" i="93"/>
  <c r="BB3239" i="93"/>
  <c r="AB3239" i="93"/>
  <c r="BB3238" i="93"/>
  <c r="AB3238" i="93"/>
  <c r="BB3237" i="93"/>
  <c r="AB3237" i="93"/>
  <c r="BB3236" i="93"/>
  <c r="AB3236" i="93"/>
  <c r="AB3235" i="93"/>
  <c r="BD3235" i="93" s="1"/>
  <c r="BF3235" i="93" s="1"/>
  <c r="BB3232" i="93"/>
  <c r="AB3232" i="93"/>
  <c r="BB3231" i="93"/>
  <c r="AB3231" i="93"/>
  <c r="BB3229" i="93"/>
  <c r="AB3229" i="93"/>
  <c r="BB3227" i="93"/>
  <c r="AB3227" i="93"/>
  <c r="BB3225" i="93"/>
  <c r="X3178" i="93"/>
  <c r="BB3222" i="93"/>
  <c r="T3178" i="93"/>
  <c r="D3178" i="93"/>
  <c r="BB3221" i="93"/>
  <c r="AB3221" i="93"/>
  <c r="BB3219" i="93"/>
  <c r="AB3219" i="93"/>
  <c r="BB3218" i="93"/>
  <c r="AB3218" i="93"/>
  <c r="BB3217" i="93"/>
  <c r="AB3217" i="93"/>
  <c r="BB3216" i="93"/>
  <c r="AB3216" i="93"/>
  <c r="BB3215" i="93"/>
  <c r="AB3215" i="93"/>
  <c r="BB3210" i="93"/>
  <c r="AB3210" i="93"/>
  <c r="BB3206" i="93"/>
  <c r="AB3206" i="93"/>
  <c r="BB3204" i="93"/>
  <c r="AB3204" i="93"/>
  <c r="BB3202" i="93"/>
  <c r="AB3202" i="93"/>
  <c r="BB3201" i="93"/>
  <c r="AB3201" i="93"/>
  <c r="BB3199" i="93"/>
  <c r="AB3199" i="93"/>
  <c r="BB3198" i="93"/>
  <c r="AB3198" i="93"/>
  <c r="BB3197" i="93"/>
  <c r="AB3197" i="93"/>
  <c r="BB3196" i="93"/>
  <c r="AB3196" i="93"/>
  <c r="BB3195" i="93"/>
  <c r="AB3195" i="93"/>
  <c r="BB3194" i="93"/>
  <c r="AB3194" i="93"/>
  <c r="BB3193" i="93"/>
  <c r="AB3193" i="93"/>
  <c r="BB3192" i="93"/>
  <c r="AB3192" i="93"/>
  <c r="BB3191" i="93"/>
  <c r="AB3191" i="93"/>
  <c r="BB3190" i="93"/>
  <c r="AB3190" i="93"/>
  <c r="BB3189" i="93"/>
  <c r="AB3189" i="93"/>
  <c r="BB3188" i="93"/>
  <c r="AB3188" i="93"/>
  <c r="BB3187" i="93"/>
  <c r="AB3187" i="93"/>
  <c r="BB3185" i="93"/>
  <c r="AB3185" i="93"/>
  <c r="BB3184" i="93"/>
  <c r="AB3184" i="93"/>
  <c r="BB3183" i="93"/>
  <c r="AB3183" i="93"/>
  <c r="BB3182" i="93"/>
  <c r="AB3182" i="93"/>
  <c r="BB3181" i="93"/>
  <c r="AB3181" i="93"/>
  <c r="BB3180" i="93"/>
  <c r="AB3180" i="93"/>
  <c r="BB3179" i="93"/>
  <c r="AB3179" i="93"/>
  <c r="BC3178" i="93"/>
  <c r="BA3178" i="93"/>
  <c r="AX3178" i="93"/>
  <c r="AW3178" i="93"/>
  <c r="AV3178" i="93"/>
  <c r="AU3178" i="93"/>
  <c r="AT3178" i="93"/>
  <c r="AS3178" i="93"/>
  <c r="AR3178" i="93"/>
  <c r="AQ3178" i="93"/>
  <c r="AP3178" i="93"/>
  <c r="AO3178" i="93"/>
  <c r="AN3178" i="93"/>
  <c r="AM3178" i="93"/>
  <c r="AL3178" i="93"/>
  <c r="AK3178" i="93"/>
  <c r="AJ3178" i="93"/>
  <c r="AI3178" i="93"/>
  <c r="AH3178" i="93"/>
  <c r="AG3178" i="93"/>
  <c r="AF3178" i="93"/>
  <c r="AE3178" i="93"/>
  <c r="AD3178" i="93"/>
  <c r="AC3178" i="93"/>
  <c r="AA3178" i="93"/>
  <c r="W3178" i="93"/>
  <c r="V3178" i="93"/>
  <c r="U3178" i="93"/>
  <c r="S3178" i="93"/>
  <c r="R3178" i="93"/>
  <c r="Q3178" i="93"/>
  <c r="O3178" i="93"/>
  <c r="N3178" i="93"/>
  <c r="M3178" i="93"/>
  <c r="K3178" i="93"/>
  <c r="J3178" i="93"/>
  <c r="I3178" i="93"/>
  <c r="G3178" i="93"/>
  <c r="F3178" i="93"/>
  <c r="E3178" i="93"/>
  <c r="BB3177" i="93"/>
  <c r="BB3176" i="93"/>
  <c r="AB3176" i="93"/>
  <c r="BB3174" i="93"/>
  <c r="BD3174" i="93" s="1"/>
  <c r="BF3174" i="93" s="1"/>
  <c r="BB3171" i="93"/>
  <c r="AB3171" i="93"/>
  <c r="BB3169" i="93"/>
  <c r="AB3169" i="93"/>
  <c r="BB3168" i="93"/>
  <c r="AB3168" i="93"/>
  <c r="BB3164" i="93"/>
  <c r="AB3164" i="93"/>
  <c r="BB3161" i="93"/>
  <c r="AB3161" i="93"/>
  <c r="BB3160" i="93"/>
  <c r="AB3160" i="93"/>
  <c r="BC3159" i="93"/>
  <c r="BA3159" i="93"/>
  <c r="AX3159" i="93"/>
  <c r="AW3159" i="93"/>
  <c r="AV3159" i="93"/>
  <c r="AU3159" i="93"/>
  <c r="AT3159" i="93"/>
  <c r="AS3159" i="93"/>
  <c r="AR3159" i="93"/>
  <c r="AQ3159" i="93"/>
  <c r="AP3159" i="93"/>
  <c r="AO3159" i="93"/>
  <c r="AN3159" i="93"/>
  <c r="AM3159" i="93"/>
  <c r="AK3159" i="93"/>
  <c r="AJ3159" i="93"/>
  <c r="AI3159" i="93"/>
  <c r="AH3159" i="93"/>
  <c r="AG3159" i="93"/>
  <c r="AF3159" i="93"/>
  <c r="AE3159" i="93"/>
  <c r="AD3159" i="93"/>
  <c r="AC3159" i="93"/>
  <c r="BE3159" i="93" s="1"/>
  <c r="AA3159" i="93"/>
  <c r="X3159" i="93"/>
  <c r="W3159" i="93"/>
  <c r="V3159" i="93"/>
  <c r="U3159" i="93"/>
  <c r="T3159" i="93"/>
  <c r="S3159" i="93"/>
  <c r="R3159" i="93"/>
  <c r="Q3159" i="93"/>
  <c r="P3159" i="93"/>
  <c r="O3159" i="93"/>
  <c r="N3159" i="93"/>
  <c r="M3159" i="93"/>
  <c r="L3159" i="93"/>
  <c r="K3159" i="93"/>
  <c r="J3159" i="93"/>
  <c r="I3159" i="93"/>
  <c r="H3159" i="93"/>
  <c r="G3159" i="93"/>
  <c r="F3159" i="93"/>
  <c r="E3159" i="93"/>
  <c r="D3159" i="93"/>
  <c r="BB3157" i="93"/>
  <c r="AB3157" i="93"/>
  <c r="BB3156" i="93"/>
  <c r="AB3156" i="93"/>
  <c r="BB3155" i="93"/>
  <c r="AB3155" i="93"/>
  <c r="BB3154" i="93"/>
  <c r="AB3154" i="93"/>
  <c r="BB3153" i="93"/>
  <c r="AB3153" i="93"/>
  <c r="BB3152" i="93"/>
  <c r="AB3152" i="93"/>
  <c r="BB3149" i="93"/>
  <c r="AB3149" i="93"/>
  <c r="BB3148" i="93"/>
  <c r="AB3148" i="93"/>
  <c r="BB3147" i="93"/>
  <c r="AB3147" i="93"/>
  <c r="BB3143" i="93"/>
  <c r="AB3143" i="93"/>
  <c r="BB3140" i="93"/>
  <c r="AB3140" i="93"/>
  <c r="BB3137" i="93"/>
  <c r="AB3137" i="93"/>
  <c r="BB3135" i="93"/>
  <c r="AB3135" i="93"/>
  <c r="BB3134" i="93"/>
  <c r="AB3134" i="93"/>
  <c r="BB3158" i="93"/>
  <c r="AB3158" i="93"/>
  <c r="BB3128" i="93"/>
  <c r="AB3128" i="93"/>
  <c r="BB3127" i="93"/>
  <c r="AB3127" i="93"/>
  <c r="BB3126" i="93"/>
  <c r="AB3126" i="93"/>
  <c r="BB3123" i="93"/>
  <c r="AB3123" i="93"/>
  <c r="BB3122" i="93"/>
  <c r="AB3122" i="93"/>
  <c r="BB3121" i="93"/>
  <c r="AB3121" i="93"/>
  <c r="BB3120" i="93"/>
  <c r="AB3120" i="93"/>
  <c r="BB3118" i="93"/>
  <c r="AB3118" i="93"/>
  <c r="BB3117" i="93"/>
  <c r="AB3117" i="93"/>
  <c r="BB3116" i="93"/>
  <c r="AB3116" i="93"/>
  <c r="BB3115" i="93"/>
  <c r="AB3115" i="93"/>
  <c r="BB3114" i="93"/>
  <c r="AB3114" i="93"/>
  <c r="BB3112" i="93"/>
  <c r="AB3112" i="93"/>
  <c r="BB3111" i="93"/>
  <c r="AB3111" i="93"/>
  <c r="BC3109" i="93"/>
  <c r="BA3109" i="93"/>
  <c r="AX3109" i="93"/>
  <c r="AW3109" i="93"/>
  <c r="AV3109" i="93"/>
  <c r="AU3109" i="93"/>
  <c r="AT3109" i="93"/>
  <c r="AS3109" i="93"/>
  <c r="AR3109" i="93"/>
  <c r="AQ3109" i="93"/>
  <c r="AP3109" i="93"/>
  <c r="AO3109" i="93"/>
  <c r="AN3109" i="93"/>
  <c r="AM3109" i="93"/>
  <c r="AK3109" i="93"/>
  <c r="AJ3109" i="93"/>
  <c r="AI3109" i="93"/>
  <c r="AH3109" i="93"/>
  <c r="AG3109" i="93"/>
  <c r="AF3109" i="93"/>
  <c r="AE3109" i="93"/>
  <c r="AD3109" i="93"/>
  <c r="AC3109" i="93"/>
  <c r="BE3109" i="93" s="1"/>
  <c r="AA3109" i="93"/>
  <c r="X3109" i="93"/>
  <c r="W3109" i="93"/>
  <c r="V3109" i="93"/>
  <c r="U3109" i="93"/>
  <c r="T3109" i="93"/>
  <c r="S3109" i="93"/>
  <c r="R3109" i="93"/>
  <c r="Q3109" i="93"/>
  <c r="P3109" i="93"/>
  <c r="O3109" i="93"/>
  <c r="N3109" i="93"/>
  <c r="M3109" i="93"/>
  <c r="L3109" i="93"/>
  <c r="K3109" i="93"/>
  <c r="J3109" i="93"/>
  <c r="I3109" i="93"/>
  <c r="H3109" i="93"/>
  <c r="G3109" i="93"/>
  <c r="F3109" i="93"/>
  <c r="E3109" i="93"/>
  <c r="D3109" i="93"/>
  <c r="BB3107" i="93"/>
  <c r="AB3107" i="93"/>
  <c r="BB3106" i="93"/>
  <c r="AB3106" i="93"/>
  <c r="BB3105" i="93"/>
  <c r="AB3105" i="93"/>
  <c r="BB3104" i="93"/>
  <c r="AB3104" i="93"/>
  <c r="BB3103" i="93"/>
  <c r="AB3103" i="93"/>
  <c r="BB3101" i="93"/>
  <c r="AB3101" i="93"/>
  <c r="BB3099" i="93"/>
  <c r="AB3099" i="93"/>
  <c r="BB3098" i="93"/>
  <c r="AB3098" i="93"/>
  <c r="BB3097" i="93"/>
  <c r="AB3097" i="93"/>
  <c r="BB3096" i="93"/>
  <c r="AB3096" i="93"/>
  <c r="BB3095" i="93"/>
  <c r="AB3095" i="93"/>
  <c r="BB3094" i="93"/>
  <c r="AB3094" i="93"/>
  <c r="BB3092" i="93"/>
  <c r="AB3092" i="93"/>
  <c r="BB3091" i="93"/>
  <c r="AB3091" i="93"/>
  <c r="BB3090" i="93"/>
  <c r="AB3090" i="93"/>
  <c r="BB3089" i="93"/>
  <c r="AB3089" i="93"/>
  <c r="BB3088" i="93"/>
  <c r="AB3088" i="93"/>
  <c r="BB3087" i="93"/>
  <c r="AB3087" i="93"/>
  <c r="BB3086" i="93"/>
  <c r="AB3086" i="93"/>
  <c r="BB3085" i="93"/>
  <c r="AB3085" i="93"/>
  <c r="BB3083" i="93"/>
  <c r="AB3083" i="93"/>
  <c r="BB3081" i="93"/>
  <c r="AB3081" i="93"/>
  <c r="BB3079" i="93"/>
  <c r="AB3079" i="93"/>
  <c r="BB3077" i="93"/>
  <c r="AB3077" i="93"/>
  <c r="BB3075" i="93"/>
  <c r="AB3075" i="93"/>
  <c r="BB3074" i="93"/>
  <c r="AB3074" i="93"/>
  <c r="BB3073" i="93"/>
  <c r="AB3073" i="93"/>
  <c r="BB3072" i="93"/>
  <c r="AB3072" i="93"/>
  <c r="BB3071" i="93"/>
  <c r="AB3071" i="93"/>
  <c r="BB3070" i="93"/>
  <c r="AB3070" i="93"/>
  <c r="BB3068" i="93"/>
  <c r="AB3068" i="93"/>
  <c r="BB3066" i="93"/>
  <c r="AB3066" i="93"/>
  <c r="BB3065" i="93"/>
  <c r="AB3065" i="93"/>
  <c r="BB3064" i="93"/>
  <c r="AB3064" i="93"/>
  <c r="BB3063" i="93"/>
  <c r="AB3063" i="93"/>
  <c r="BB3062" i="93"/>
  <c r="AB3062" i="93"/>
  <c r="BB3061" i="93"/>
  <c r="AB3061" i="93"/>
  <c r="BB3060" i="93"/>
  <c r="AB3060" i="93"/>
  <c r="BB3059" i="93"/>
  <c r="AB3059" i="93"/>
  <c r="BB3057" i="93"/>
  <c r="AB3057" i="93"/>
  <c r="BB3056" i="93"/>
  <c r="AB3056" i="93"/>
  <c r="BB3055" i="93"/>
  <c r="AB3055" i="93"/>
  <c r="BB3054" i="93"/>
  <c r="AB3054" i="93"/>
  <c r="BB3052" i="93"/>
  <c r="AB3052" i="93"/>
  <c r="BB3050" i="93"/>
  <c r="AB3050" i="93"/>
  <c r="BB3049" i="93"/>
  <c r="AB3049" i="93"/>
  <c r="BB3048" i="93"/>
  <c r="AB3048" i="93"/>
  <c r="BB3047" i="93"/>
  <c r="AB3047" i="93"/>
  <c r="BB3046" i="93"/>
  <c r="AB3046" i="93"/>
  <c r="BB3045" i="93"/>
  <c r="AB3045" i="93"/>
  <c r="BB3044" i="93"/>
  <c r="AB3044" i="93"/>
  <c r="BB3042" i="93"/>
  <c r="AB3042" i="93"/>
  <c r="BB3041" i="93"/>
  <c r="AB3041" i="93"/>
  <c r="BB3040" i="93"/>
  <c r="AB3040" i="93"/>
  <c r="BB3039" i="93"/>
  <c r="AB3039" i="93"/>
  <c r="BB3038" i="93"/>
  <c r="AB3038" i="93"/>
  <c r="BB3037" i="93"/>
  <c r="AB3037" i="93"/>
  <c r="BB3036" i="93"/>
  <c r="AB3036" i="93"/>
  <c r="BB3035" i="93"/>
  <c r="AB3035" i="93"/>
  <c r="BB3034" i="93"/>
  <c r="AB3034" i="93"/>
  <c r="AB3033" i="93"/>
  <c r="BD3033" i="93" s="1"/>
  <c r="BF3033" i="93" s="1"/>
  <c r="BB3031" i="93"/>
  <c r="AB3031" i="93"/>
  <c r="BB3030" i="93"/>
  <c r="AB3030" i="93"/>
  <c r="BB3029" i="93"/>
  <c r="AB3029" i="93"/>
  <c r="BB3028" i="93"/>
  <c r="AB3028" i="93"/>
  <c r="BB3027" i="93"/>
  <c r="AB3027" i="93"/>
  <c r="BB3026" i="93"/>
  <c r="AB3026" i="93"/>
  <c r="BB3025" i="93"/>
  <c r="AB3025" i="93"/>
  <c r="BB3024" i="93"/>
  <c r="AB3024" i="93"/>
  <c r="BB3023" i="93"/>
  <c r="AB3023" i="93"/>
  <c r="BB3022" i="93"/>
  <c r="AB3022" i="93"/>
  <c r="BB3021" i="93"/>
  <c r="AB3021" i="93"/>
  <c r="BB3020" i="93"/>
  <c r="AB3020" i="93"/>
  <c r="BB3019" i="93"/>
  <c r="AB3019" i="93"/>
  <c r="BB3018" i="93"/>
  <c r="AB3018" i="93"/>
  <c r="BB3017" i="93"/>
  <c r="AB3017" i="93"/>
  <c r="BB3015" i="93"/>
  <c r="AB3015" i="93"/>
  <c r="BB3014" i="93"/>
  <c r="AB3014" i="93"/>
  <c r="BB3011" i="93"/>
  <c r="AB3011" i="93"/>
  <c r="BB3010" i="93"/>
  <c r="AB3010" i="93"/>
  <c r="BB3009" i="93"/>
  <c r="AB3009" i="93"/>
  <c r="BB3008" i="93"/>
  <c r="AB3008" i="93"/>
  <c r="AB3108" i="93"/>
  <c r="BD3108" i="93" s="1"/>
  <c r="BF3108" i="93" s="1"/>
  <c r="BB3000" i="93"/>
  <c r="AB3000" i="93"/>
  <c r="BB2999" i="93"/>
  <c r="AB2999" i="93"/>
  <c r="BB2997" i="93"/>
  <c r="AB2997" i="93"/>
  <c r="BB2993" i="93"/>
  <c r="AB2993" i="93"/>
  <c r="BB2992" i="93"/>
  <c r="AB2992" i="93"/>
  <c r="AB2991" i="93"/>
  <c r="BB2986" i="93"/>
  <c r="AB2986" i="93"/>
  <c r="BB2985" i="93"/>
  <c r="BB2982" i="93"/>
  <c r="AB2982" i="93"/>
  <c r="BB2980" i="93"/>
  <c r="AB2980" i="93"/>
  <c r="BB2979" i="93"/>
  <c r="AB2979" i="93"/>
  <c r="BB2977" i="93"/>
  <c r="AB2977" i="93"/>
  <c r="BB2976" i="93"/>
  <c r="AB2976" i="93"/>
  <c r="BB2974" i="93"/>
  <c r="AB2974" i="93"/>
  <c r="BB2962" i="93"/>
  <c r="AB2962" i="93"/>
  <c r="BB2957" i="93"/>
  <c r="AB2957" i="93"/>
  <c r="BB2956" i="93"/>
  <c r="AB2956" i="93"/>
  <c r="AB2955" i="93"/>
  <c r="AB2954" i="93"/>
  <c r="BB2951" i="93"/>
  <c r="AB2951" i="93"/>
  <c r="AB2949" i="93"/>
  <c r="BB2947" i="93"/>
  <c r="AB2947" i="93"/>
  <c r="BB2946" i="93"/>
  <c r="AB2946" i="93"/>
  <c r="BB2945" i="93"/>
  <c r="AB2945" i="93"/>
  <c r="BB2944" i="93"/>
  <c r="AB2944" i="93"/>
  <c r="BB2943" i="93"/>
  <c r="AB2943" i="93"/>
  <c r="BB2942" i="93"/>
  <c r="AB2942" i="93"/>
  <c r="BB2941" i="93"/>
  <c r="AB2941" i="93"/>
  <c r="BB2940" i="93"/>
  <c r="AB2940" i="93"/>
  <c r="BB2939" i="93"/>
  <c r="AB2939" i="93"/>
  <c r="BB2938" i="93"/>
  <c r="AB2938" i="93"/>
  <c r="BB2937" i="93"/>
  <c r="AB2937" i="93"/>
  <c r="BB2936" i="93"/>
  <c r="AB2936" i="93"/>
  <c r="BB2935" i="93"/>
  <c r="AB2935" i="93"/>
  <c r="BB2934" i="93"/>
  <c r="AB2934" i="93"/>
  <c r="BB2933" i="93"/>
  <c r="AB2933" i="93"/>
  <c r="BB2932" i="93"/>
  <c r="AB2932" i="93"/>
  <c r="BB2931" i="93"/>
  <c r="AB2931" i="93"/>
  <c r="AB2929" i="93"/>
  <c r="BD2929" i="93" s="1"/>
  <c r="BF2929" i="93" s="1"/>
  <c r="BB2928" i="93"/>
  <c r="AB2928" i="93"/>
  <c r="BB2927" i="93"/>
  <c r="AB2927" i="93"/>
  <c r="BB2926" i="93"/>
  <c r="AB2926" i="93"/>
  <c r="BC2921" i="93"/>
  <c r="BA2921" i="93"/>
  <c r="AX2921" i="93"/>
  <c r="AW2921" i="93"/>
  <c r="AV2921" i="93"/>
  <c r="AU2921" i="93"/>
  <c r="AT2921" i="93"/>
  <c r="AS2921" i="93"/>
  <c r="AR2921" i="93"/>
  <c r="AQ2921" i="93"/>
  <c r="AP2921" i="93"/>
  <c r="AO2921" i="93"/>
  <c r="AN2921" i="93"/>
  <c r="AM2921" i="93"/>
  <c r="AL2921" i="93"/>
  <c r="AK2921" i="93"/>
  <c r="AJ2921" i="93"/>
  <c r="AI2921" i="93"/>
  <c r="AH2921" i="93"/>
  <c r="AG2921" i="93"/>
  <c r="AF2921" i="93"/>
  <c r="AE2921" i="93"/>
  <c r="AD2921" i="93"/>
  <c r="AC2921" i="93"/>
  <c r="AA2921" i="93"/>
  <c r="X2921" i="93"/>
  <c r="W2921" i="93"/>
  <c r="V2921" i="93"/>
  <c r="U2921" i="93"/>
  <c r="T2921" i="93"/>
  <c r="S2921" i="93"/>
  <c r="R2921" i="93"/>
  <c r="Q2921" i="93"/>
  <c r="P2921" i="93"/>
  <c r="O2921" i="93"/>
  <c r="N2921" i="93"/>
  <c r="M2921" i="93"/>
  <c r="L2921" i="93"/>
  <c r="K2921" i="93"/>
  <c r="J2921" i="93"/>
  <c r="I2921" i="93"/>
  <c r="H2921" i="93"/>
  <c r="G2921" i="93"/>
  <c r="F2921" i="93"/>
  <c r="E2921" i="93"/>
  <c r="D2921" i="93"/>
  <c r="BB2920" i="93"/>
  <c r="AB2920" i="93"/>
  <c r="BB2918" i="93"/>
  <c r="AB2918" i="93"/>
  <c r="BB2916" i="93"/>
  <c r="AB2916" i="93"/>
  <c r="BB2915" i="93"/>
  <c r="AB2915" i="93"/>
  <c r="BB2914" i="93"/>
  <c r="AB2914" i="93"/>
  <c r="BB2913" i="93"/>
  <c r="AB2913" i="93"/>
  <c r="BB2912" i="93"/>
  <c r="AB2912" i="93"/>
  <c r="BB2911" i="93"/>
  <c r="AB2911" i="93"/>
  <c r="BB2910" i="93"/>
  <c r="AB2910" i="93"/>
  <c r="BB2909" i="93"/>
  <c r="AB2909" i="93"/>
  <c r="BB2907" i="93"/>
  <c r="AB2907" i="93"/>
  <c r="BB2906" i="93"/>
  <c r="AB2906" i="93"/>
  <c r="BB2903" i="93"/>
  <c r="AB2903" i="93"/>
  <c r="BB2902" i="93"/>
  <c r="AB2902" i="93"/>
  <c r="BB2900" i="93"/>
  <c r="AB2900" i="93"/>
  <c r="BB2899" i="93"/>
  <c r="AB2899" i="93"/>
  <c r="BB2897" i="93"/>
  <c r="AB2897" i="93"/>
  <c r="BB2896" i="93"/>
  <c r="AB2896" i="93"/>
  <c r="BB2895" i="93"/>
  <c r="AB2895" i="93"/>
  <c r="BB2894" i="93"/>
  <c r="AB2894" i="93"/>
  <c r="BB2892" i="93"/>
  <c r="AB2892" i="93"/>
  <c r="BB2890" i="93"/>
  <c r="AB2890" i="93"/>
  <c r="BB2889" i="93"/>
  <c r="AB2889" i="93"/>
  <c r="AB2888" i="93"/>
  <c r="AB2883" i="93"/>
  <c r="BD2883" i="93" s="1"/>
  <c r="BF2883" i="93" s="1"/>
  <c r="AB2881" i="93"/>
  <c r="BD2881" i="93" s="1"/>
  <c r="BF2881" i="93" s="1"/>
  <c r="BB2879" i="93"/>
  <c r="AB2879" i="93"/>
  <c r="BB2877" i="93"/>
  <c r="AB2877" i="93"/>
  <c r="BB2876" i="93"/>
  <c r="AB2876" i="93"/>
  <c r="BB2875" i="93"/>
  <c r="AB2875" i="93"/>
  <c r="BB2874" i="93"/>
  <c r="AB2874" i="93"/>
  <c r="BB2872" i="93"/>
  <c r="AB2872" i="93"/>
  <c r="BB2871" i="93"/>
  <c r="AB2871" i="93"/>
  <c r="BB2870" i="93"/>
  <c r="AB2870" i="93"/>
  <c r="BB2869" i="93"/>
  <c r="AB2869" i="93"/>
  <c r="BB2868" i="93"/>
  <c r="AB2868" i="93"/>
  <c r="BB2867" i="93"/>
  <c r="AB2867" i="93"/>
  <c r="BB2866" i="93"/>
  <c r="AB2866" i="93"/>
  <c r="BB2865" i="93"/>
  <c r="AB2865" i="93"/>
  <c r="BB2864" i="93"/>
  <c r="AB2864" i="93"/>
  <c r="BB2862" i="93"/>
  <c r="AB2862" i="93"/>
  <c r="BB2860" i="93"/>
  <c r="AB2860" i="93"/>
  <c r="BB2859" i="93"/>
  <c r="AB2859" i="93"/>
  <c r="BB2855" i="93"/>
  <c r="AB2855" i="93"/>
  <c r="BB2854" i="93"/>
  <c r="AB2854" i="93"/>
  <c r="BB2850" i="93"/>
  <c r="AB2850" i="93"/>
  <c r="BB2849" i="93"/>
  <c r="AB2849" i="93"/>
  <c r="BB2847" i="93"/>
  <c r="AB2847" i="93"/>
  <c r="BB2846" i="93"/>
  <c r="AB2846" i="93"/>
  <c r="BB2845" i="93"/>
  <c r="AB2845" i="93"/>
  <c r="BB2844" i="93"/>
  <c r="AB2844" i="93"/>
  <c r="BB2843" i="93"/>
  <c r="AB2843" i="93"/>
  <c r="BB2842" i="93"/>
  <c r="AB2842" i="93"/>
  <c r="BB2841" i="93"/>
  <c r="AB2841" i="93"/>
  <c r="BB2839" i="93"/>
  <c r="AB2839" i="93"/>
  <c r="BB2837" i="93"/>
  <c r="AB2837" i="93"/>
  <c r="BB2836" i="93"/>
  <c r="AB2836" i="93"/>
  <c r="BB2835" i="93"/>
  <c r="AB2835" i="93"/>
  <c r="BB2833" i="93"/>
  <c r="AB2833" i="93"/>
  <c r="BB2832" i="93"/>
  <c r="AB2832" i="93"/>
  <c r="BB2830" i="93"/>
  <c r="AB2830" i="93"/>
  <c r="BB2827" i="93"/>
  <c r="AB2827" i="93"/>
  <c r="BB2826" i="93"/>
  <c r="AB2826" i="93"/>
  <c r="BB2919" i="93"/>
  <c r="AB2919" i="93"/>
  <c r="BB2825" i="93"/>
  <c r="AB2825" i="93"/>
  <c r="BB2822" i="93"/>
  <c r="AB2822" i="93"/>
  <c r="BB2820" i="93"/>
  <c r="AB2820" i="93"/>
  <c r="BB2817" i="93"/>
  <c r="AB2817" i="93"/>
  <c r="BB2816" i="93"/>
  <c r="AB2816" i="93"/>
  <c r="BB2815" i="93"/>
  <c r="AB2815" i="93"/>
  <c r="BB2814" i="93"/>
  <c r="AB2814" i="93"/>
  <c r="BB2812" i="93"/>
  <c r="AB2812" i="93"/>
  <c r="BB2811" i="93"/>
  <c r="AB2811" i="93"/>
  <c r="BB2810" i="93"/>
  <c r="AB2810" i="93"/>
  <c r="BB2809" i="93"/>
  <c r="AB2809" i="93"/>
  <c r="BB2804" i="93"/>
  <c r="AB2804" i="93"/>
  <c r="BB2802" i="93"/>
  <c r="AB2802" i="93"/>
  <c r="BB2801" i="93"/>
  <c r="AB2801" i="93"/>
  <c r="BB2799" i="93"/>
  <c r="AB2799" i="93"/>
  <c r="BB2797" i="93"/>
  <c r="AB2797" i="93"/>
  <c r="BB2796" i="93"/>
  <c r="AB2796" i="93"/>
  <c r="BB2795" i="93"/>
  <c r="AB2795" i="93"/>
  <c r="BB2794" i="93"/>
  <c r="AB2794" i="93"/>
  <c r="BB2791" i="93"/>
  <c r="AB2791" i="93"/>
  <c r="BB2790" i="93"/>
  <c r="AB2790" i="93"/>
  <c r="BB2788" i="93"/>
  <c r="AB2788" i="93"/>
  <c r="BB2787" i="93"/>
  <c r="AB2787" i="93"/>
  <c r="AB2786" i="93"/>
  <c r="BB2785" i="93"/>
  <c r="AB2785" i="93"/>
  <c r="BB2784" i="93"/>
  <c r="AB2784" i="93"/>
  <c r="BB2783" i="93"/>
  <c r="AB2783" i="93"/>
  <c r="BB2782" i="93"/>
  <c r="AB2782" i="93"/>
  <c r="BB2781" i="93"/>
  <c r="AB2781" i="93"/>
  <c r="BB2780" i="93"/>
  <c r="AB2780" i="93"/>
  <c r="BC2779" i="93"/>
  <c r="BA2779" i="93"/>
  <c r="AX2779" i="93"/>
  <c r="AW2779" i="93"/>
  <c r="AV2779" i="93"/>
  <c r="AU2779" i="93"/>
  <c r="AT2779" i="93"/>
  <c r="AS2779" i="93"/>
  <c r="AR2779" i="93"/>
  <c r="AQ2779" i="93"/>
  <c r="AP2779" i="93"/>
  <c r="AO2779" i="93"/>
  <c r="AN2779" i="93"/>
  <c r="AM2779" i="93"/>
  <c r="AL2779" i="93"/>
  <c r="AK2779" i="93"/>
  <c r="AJ2779" i="93"/>
  <c r="AI2779" i="93"/>
  <c r="AH2779" i="93"/>
  <c r="AG2779" i="93"/>
  <c r="AF2779" i="93"/>
  <c r="AE2779" i="93"/>
  <c r="AD2779" i="93"/>
  <c r="AC2779" i="93"/>
  <c r="AA2779" i="93"/>
  <c r="X2779" i="93"/>
  <c r="W2779" i="93"/>
  <c r="V2779" i="93"/>
  <c r="U2779" i="93"/>
  <c r="T2779" i="93"/>
  <c r="S2779" i="93"/>
  <c r="R2779" i="93"/>
  <c r="Q2779" i="93"/>
  <c r="P2779" i="93"/>
  <c r="O2779" i="93"/>
  <c r="N2779" i="93"/>
  <c r="M2779" i="93"/>
  <c r="L2779" i="93"/>
  <c r="K2779" i="93"/>
  <c r="J2779" i="93"/>
  <c r="I2779" i="93"/>
  <c r="H2779" i="93"/>
  <c r="G2779" i="93"/>
  <c r="F2779" i="93"/>
  <c r="E2779" i="93"/>
  <c r="D2779" i="93"/>
  <c r="BB2776" i="93"/>
  <c r="AB2776" i="93"/>
  <c r="BB2771" i="93"/>
  <c r="AB2771" i="93"/>
  <c r="BB2770" i="93"/>
  <c r="AB2770" i="93"/>
  <c r="BB2769" i="93"/>
  <c r="AB2769" i="93"/>
  <c r="BB2767" i="93"/>
  <c r="AB2767" i="93"/>
  <c r="BB2766" i="93"/>
  <c r="AB2766" i="93"/>
  <c r="BB2764" i="93"/>
  <c r="AB2764" i="93"/>
  <c r="BB2763" i="93"/>
  <c r="AB2763" i="93"/>
  <c r="BB2762" i="93"/>
  <c r="AB2762" i="93"/>
  <c r="BB2761" i="93"/>
  <c r="AB2761" i="93"/>
  <c r="BB2759" i="93"/>
  <c r="AB2759" i="93"/>
  <c r="BB2758" i="93"/>
  <c r="AB2758" i="93"/>
  <c r="BB2757" i="93"/>
  <c r="AB2757" i="93"/>
  <c r="BB2756" i="93"/>
  <c r="AB2756" i="93"/>
  <c r="BB2755" i="93"/>
  <c r="AB2755" i="93"/>
  <c r="BB2754" i="93"/>
  <c r="AB2754" i="93"/>
  <c r="BB2753" i="93"/>
  <c r="AB2753" i="93"/>
  <c r="BB2752" i="93"/>
  <c r="AB2752" i="93"/>
  <c r="BB2751" i="93"/>
  <c r="AB2751" i="93"/>
  <c r="BB2750" i="93"/>
  <c r="AB2750" i="93"/>
  <c r="BB2749" i="93"/>
  <c r="AB2749" i="93"/>
  <c r="BB2748" i="93"/>
  <c r="AB2748" i="93"/>
  <c r="BB2746" i="93"/>
  <c r="AB2746" i="93"/>
  <c r="BB2744" i="93"/>
  <c r="AB2744" i="93"/>
  <c r="BB2743" i="93"/>
  <c r="AB2743" i="93"/>
  <c r="BB2740" i="93"/>
  <c r="AB2740" i="93"/>
  <c r="BB2739" i="93"/>
  <c r="AB2739" i="93"/>
  <c r="BB2737" i="93"/>
  <c r="AB2737" i="93"/>
  <c r="BB2735" i="93"/>
  <c r="AB2735" i="93"/>
  <c r="BB2734" i="93"/>
  <c r="AB2734" i="93"/>
  <c r="BB2733" i="93"/>
  <c r="AB2733" i="93"/>
  <c r="BB2732" i="93"/>
  <c r="AB2732" i="93"/>
  <c r="BB2731" i="93"/>
  <c r="AB2731" i="93"/>
  <c r="BB2730" i="93"/>
  <c r="AB2730" i="93"/>
  <c r="BB2729" i="93"/>
  <c r="AB2729" i="93"/>
  <c r="BB2726" i="93"/>
  <c r="AB2726" i="93"/>
  <c r="BB2724" i="93"/>
  <c r="AB2724" i="93"/>
  <c r="BB2722" i="93"/>
  <c r="AB2722" i="93"/>
  <c r="BB2720" i="93"/>
  <c r="BD2720" i="93" s="1"/>
  <c r="BF2720" i="93" s="1"/>
  <c r="BB2718" i="93"/>
  <c r="AB2718" i="93"/>
  <c r="AB2716" i="93"/>
  <c r="BB2712" i="93"/>
  <c r="AB2712" i="93"/>
  <c r="BB2711" i="93"/>
  <c r="AB2711" i="93"/>
  <c r="BB2710" i="93"/>
  <c r="AB2710" i="93"/>
  <c r="BB2709" i="93"/>
  <c r="AB2709" i="93"/>
  <c r="BB2708" i="93"/>
  <c r="AB2708" i="93"/>
  <c r="BB2706" i="93"/>
  <c r="AB2706" i="93"/>
  <c r="BB2705" i="93"/>
  <c r="AB2705" i="93"/>
  <c r="BB2704" i="93"/>
  <c r="AB2704" i="93"/>
  <c r="BB2703" i="93"/>
  <c r="AB2703" i="93"/>
  <c r="BB2702" i="93"/>
  <c r="AB2702" i="93"/>
  <c r="BB2701" i="93"/>
  <c r="AB2701" i="93"/>
  <c r="BB2700" i="93"/>
  <c r="AB2700" i="93"/>
  <c r="BB2699" i="93"/>
  <c r="AB2699" i="93"/>
  <c r="BB2698" i="93"/>
  <c r="AB2698" i="93"/>
  <c r="BB2697" i="93"/>
  <c r="AB2697" i="93"/>
  <c r="BB2696" i="93"/>
  <c r="AB2696" i="93"/>
  <c r="BB2695" i="93"/>
  <c r="AB2695" i="93"/>
  <c r="BB2694" i="93"/>
  <c r="AB2694" i="93"/>
  <c r="BB2693" i="93"/>
  <c r="AB2693" i="93"/>
  <c r="BB2692" i="93"/>
  <c r="AB2692" i="93"/>
  <c r="BB2691" i="93"/>
  <c r="AB2691" i="93"/>
  <c r="AB2690" i="93"/>
  <c r="BD2690" i="93" s="1"/>
  <c r="BF2690" i="93" s="1"/>
  <c r="BB2686" i="93"/>
  <c r="AB2686" i="93"/>
  <c r="BB2778" i="93"/>
  <c r="AB2778" i="93"/>
  <c r="BB2684" i="93"/>
  <c r="AB2684" i="93"/>
  <c r="BB2682" i="93"/>
  <c r="AB2682" i="93"/>
  <c r="BB2680" i="93"/>
  <c r="AB2680" i="93"/>
  <c r="BB2679" i="93"/>
  <c r="AB2679" i="93"/>
  <c r="BB2677" i="93"/>
  <c r="AB2677" i="93"/>
  <c r="BB2676" i="93"/>
  <c r="AB2676" i="93"/>
  <c r="BB2675" i="93"/>
  <c r="AB2675" i="93"/>
  <c r="BB2674" i="93"/>
  <c r="AB2674" i="93"/>
  <c r="BB2673" i="93"/>
  <c r="AB2673" i="93"/>
  <c r="BB2672" i="93"/>
  <c r="AB2672" i="93"/>
  <c r="BB2671" i="93"/>
  <c r="AB2671" i="93"/>
  <c r="BB2670" i="93"/>
  <c r="AB2670" i="93"/>
  <c r="BB2669" i="93"/>
  <c r="AB2669" i="93"/>
  <c r="BB2668" i="93"/>
  <c r="AB2668" i="93"/>
  <c r="BB2665" i="93"/>
  <c r="AB2665" i="93"/>
  <c r="BB2664" i="93"/>
  <c r="AB2664" i="93"/>
  <c r="BB2663" i="93"/>
  <c r="BB2658" i="93"/>
  <c r="AB2658" i="93"/>
  <c r="BB2657" i="93"/>
  <c r="AB2657" i="93"/>
  <c r="BB2656" i="93"/>
  <c r="AB2656" i="93"/>
  <c r="BB2653" i="93"/>
  <c r="AB2653" i="93"/>
  <c r="BB2652" i="93"/>
  <c r="AB2652" i="93"/>
  <c r="BB2651" i="93"/>
  <c r="AB2651" i="93"/>
  <c r="BB2650" i="93"/>
  <c r="AB2650" i="93"/>
  <c r="BB2649" i="93"/>
  <c r="AB2649" i="93"/>
  <c r="BB2648" i="93"/>
  <c r="AB2648" i="93"/>
  <c r="BB2647" i="93"/>
  <c r="AB2647" i="93"/>
  <c r="BB2646" i="93"/>
  <c r="AB2646" i="93"/>
  <c r="BB2645" i="93"/>
  <c r="AB2645" i="93"/>
  <c r="BB2644" i="93"/>
  <c r="AB2644" i="93"/>
  <c r="BB2643" i="93"/>
  <c r="AB2643" i="93"/>
  <c r="BB2642" i="93"/>
  <c r="AB2642" i="93"/>
  <c r="BB2641" i="93"/>
  <c r="AB2641" i="93"/>
  <c r="BB2640" i="93"/>
  <c r="AB2640" i="93"/>
  <c r="BB2637" i="93"/>
  <c r="AB2637" i="93"/>
  <c r="BB2636" i="93"/>
  <c r="AB2636" i="93"/>
  <c r="BB2635" i="93"/>
  <c r="AB2635" i="93"/>
  <c r="BB2633" i="93"/>
  <c r="AB2633" i="93"/>
  <c r="BB2632" i="93"/>
  <c r="AB2632" i="93"/>
  <c r="BB2631" i="93"/>
  <c r="AB2631" i="93"/>
  <c r="BB2629" i="93"/>
  <c r="AB2629" i="93"/>
  <c r="BB2628" i="93"/>
  <c r="AB2628" i="93"/>
  <c r="BC2627" i="93"/>
  <c r="BA2627" i="93"/>
  <c r="AX2627" i="93"/>
  <c r="AW2627" i="93"/>
  <c r="AV2627" i="93"/>
  <c r="AU2627" i="93"/>
  <c r="AT2627" i="93"/>
  <c r="AS2627" i="93"/>
  <c r="AR2627" i="93"/>
  <c r="AQ2627" i="93"/>
  <c r="AP2627" i="93"/>
  <c r="AO2627" i="93"/>
  <c r="AN2627" i="93"/>
  <c r="AM2627" i="93"/>
  <c r="AL2627" i="93"/>
  <c r="AK2627" i="93"/>
  <c r="AJ2627" i="93"/>
  <c r="AI2627" i="93"/>
  <c r="AG2627" i="93"/>
  <c r="AF2627" i="93"/>
  <c r="AE2627" i="93"/>
  <c r="AD2627" i="93"/>
  <c r="AC2627" i="93"/>
  <c r="BE2627" i="93" s="1"/>
  <c r="AA2627" i="93"/>
  <c r="X2627" i="93"/>
  <c r="W2627" i="93"/>
  <c r="V2627" i="93"/>
  <c r="U2627" i="93"/>
  <c r="T2627" i="93"/>
  <c r="S2627" i="93"/>
  <c r="R2627" i="93"/>
  <c r="Q2627" i="93"/>
  <c r="P2627" i="93"/>
  <c r="O2627" i="93"/>
  <c r="N2627" i="93"/>
  <c r="M2627" i="93"/>
  <c r="L2627" i="93"/>
  <c r="K2627" i="93"/>
  <c r="J2627" i="93"/>
  <c r="I2627" i="93"/>
  <c r="H2627" i="93"/>
  <c r="G2627" i="93"/>
  <c r="F2627" i="93"/>
  <c r="E2627" i="93"/>
  <c r="D2627" i="93"/>
  <c r="BB2625" i="93"/>
  <c r="AB2625" i="93"/>
  <c r="BB2624" i="93"/>
  <c r="AB2624" i="93"/>
  <c r="BB2623" i="93"/>
  <c r="AB2623" i="93"/>
  <c r="BB2622" i="93"/>
  <c r="T2614" i="93"/>
  <c r="H2614" i="93"/>
  <c r="BB2620" i="93"/>
  <c r="AB2620" i="93"/>
  <c r="BB2619" i="93"/>
  <c r="AB2619" i="93"/>
  <c r="BB2618" i="93"/>
  <c r="AB2618" i="93"/>
  <c r="BB2626" i="93"/>
  <c r="AB2626" i="93"/>
  <c r="BB2617" i="93"/>
  <c r="AB2617" i="93"/>
  <c r="BB2616" i="93"/>
  <c r="AB2616" i="93"/>
  <c r="BB2615" i="93"/>
  <c r="AB2615" i="93"/>
  <c r="BC2614" i="93"/>
  <c r="BA2614" i="93"/>
  <c r="AX2614" i="93"/>
  <c r="AW2614" i="93"/>
  <c r="AV2614" i="93"/>
  <c r="AU2614" i="93"/>
  <c r="AT2614" i="93"/>
  <c r="AS2614" i="93"/>
  <c r="AR2614" i="93"/>
  <c r="AQ2614" i="93"/>
  <c r="AP2614" i="93"/>
  <c r="AO2614" i="93"/>
  <c r="AN2614" i="93"/>
  <c r="AM2614" i="93"/>
  <c r="AL2614" i="93"/>
  <c r="AK2614" i="93"/>
  <c r="AJ2614" i="93"/>
  <c r="AI2614" i="93"/>
  <c r="AH2614" i="93"/>
  <c r="AG2614" i="93"/>
  <c r="AF2614" i="93"/>
  <c r="AE2614" i="93"/>
  <c r="AC2614" i="93"/>
  <c r="AA2614" i="93"/>
  <c r="X2614" i="93"/>
  <c r="W2614" i="93"/>
  <c r="V2614" i="93"/>
  <c r="U2614" i="93"/>
  <c r="S2614" i="93"/>
  <c r="R2614" i="93"/>
  <c r="Q2614" i="93"/>
  <c r="O2614" i="93"/>
  <c r="N2614" i="93"/>
  <c r="M2614" i="93"/>
  <c r="L2614" i="93"/>
  <c r="K2614" i="93"/>
  <c r="J2614" i="93"/>
  <c r="I2614" i="93"/>
  <c r="G2614" i="93"/>
  <c r="F2614" i="93"/>
  <c r="E2614" i="93"/>
  <c r="BB2608" i="93"/>
  <c r="AB2608" i="93"/>
  <c r="BB2605" i="93"/>
  <c r="AB2605" i="93"/>
  <c r="BB2604" i="93"/>
  <c r="AB2604" i="93"/>
  <c r="BB2602" i="93"/>
  <c r="AB2602" i="93"/>
  <c r="BB2601" i="93"/>
  <c r="AB2601" i="93"/>
  <c r="BB2600" i="93"/>
  <c r="AB2600" i="93"/>
  <c r="BB2599" i="93"/>
  <c r="AB2599" i="93"/>
  <c r="BB2597" i="93"/>
  <c r="AB2597" i="93"/>
  <c r="BB2596" i="93"/>
  <c r="AB2596" i="93"/>
  <c r="BB2595" i="93"/>
  <c r="AB2595" i="93"/>
  <c r="BB2594" i="93"/>
  <c r="AB2594" i="93"/>
  <c r="BB2593" i="93"/>
  <c r="AB2593" i="93"/>
  <c r="BB2592" i="93"/>
  <c r="AB2592" i="93"/>
  <c r="BB2591" i="93"/>
  <c r="AB2591" i="93"/>
  <c r="BB2590" i="93"/>
  <c r="AB2590" i="93"/>
  <c r="BB2589" i="93"/>
  <c r="AB2589" i="93"/>
  <c r="BB2588" i="93"/>
  <c r="AB2588" i="93"/>
  <c r="BB2587" i="93"/>
  <c r="AB2587" i="93"/>
  <c r="BB2585" i="93"/>
  <c r="AB2585" i="93"/>
  <c r="BB2584" i="93"/>
  <c r="AB2584" i="93"/>
  <c r="BB2583" i="93"/>
  <c r="AB2583" i="93"/>
  <c r="BB2580" i="93"/>
  <c r="AB2580" i="93"/>
  <c r="BB2578" i="93"/>
  <c r="AB2578" i="93"/>
  <c r="BB2574" i="93"/>
  <c r="AB2574" i="93"/>
  <c r="BB2573" i="93"/>
  <c r="AB2573" i="93"/>
  <c r="BB2572" i="93"/>
  <c r="AB2572" i="93"/>
  <c r="BB2568" i="93"/>
  <c r="AB2568" i="93"/>
  <c r="BB2565" i="93"/>
  <c r="AB2565" i="93"/>
  <c r="BB2564" i="93"/>
  <c r="AB2564" i="93"/>
  <c r="BB2563" i="93"/>
  <c r="AB2563" i="93"/>
  <c r="BB2562" i="93"/>
  <c r="AB2562" i="93"/>
  <c r="BB2561" i="93"/>
  <c r="AB2561" i="93"/>
  <c r="BB2560" i="93"/>
  <c r="AB2560" i="93"/>
  <c r="BB2559" i="93"/>
  <c r="AB2559" i="93"/>
  <c r="BB2558" i="93"/>
  <c r="AB2558" i="93"/>
  <c r="BB2557" i="93"/>
  <c r="AB2557" i="93"/>
  <c r="BB2556" i="93"/>
  <c r="AB2556" i="93"/>
  <c r="BB2555" i="93"/>
  <c r="AB2555" i="93"/>
  <c r="BB2554" i="93"/>
  <c r="AB2554" i="93"/>
  <c r="BB2553" i="93"/>
  <c r="AB2553" i="93"/>
  <c r="BB2552" i="93"/>
  <c r="AB2552" i="93"/>
  <c r="BB2551" i="93"/>
  <c r="AB2551" i="93"/>
  <c r="BB2550" i="93"/>
  <c r="AB2550" i="93"/>
  <c r="BB2549" i="93"/>
  <c r="AB2549" i="93"/>
  <c r="BB2548" i="93"/>
  <c r="AB2548" i="93"/>
  <c r="BB2547" i="93"/>
  <c r="AB2547" i="93"/>
  <c r="BB2546" i="93"/>
  <c r="AB2546" i="93"/>
  <c r="BB2544" i="93"/>
  <c r="AB2544" i="93"/>
  <c r="BB2543" i="93"/>
  <c r="AB2543" i="93"/>
  <c r="BB2542" i="93"/>
  <c r="AB2542" i="93"/>
  <c r="BB2541" i="93"/>
  <c r="AB2541" i="93"/>
  <c r="BB2540" i="93"/>
  <c r="AB2540" i="93"/>
  <c r="BB2539" i="93"/>
  <c r="AB2539" i="93"/>
  <c r="BB2538" i="93"/>
  <c r="AB2538" i="93"/>
  <c r="BB2535" i="93"/>
  <c r="AB2535" i="93"/>
  <c r="BB2534" i="93"/>
  <c r="AB2534" i="93"/>
  <c r="BB2532" i="93"/>
  <c r="AB2532" i="93"/>
  <c r="BB2531" i="93"/>
  <c r="AB2531" i="93"/>
  <c r="BB2530" i="93"/>
  <c r="AB2530" i="93"/>
  <c r="BB2527" i="93"/>
  <c r="AB2527" i="93"/>
  <c r="BB2526" i="93"/>
  <c r="AB2526" i="93"/>
  <c r="BB2525" i="93"/>
  <c r="AB2525" i="93"/>
  <c r="BB2524" i="93"/>
  <c r="AB2524" i="93"/>
  <c r="BB2523" i="93"/>
  <c r="AB2523" i="93"/>
  <c r="BB2522" i="93"/>
  <c r="AB2522" i="93"/>
  <c r="BB2521" i="93"/>
  <c r="AB2521" i="93"/>
  <c r="BB2520" i="93"/>
  <c r="AB2520" i="93"/>
  <c r="BB2514" i="93"/>
  <c r="AB2514" i="93"/>
  <c r="BB2513" i="93"/>
  <c r="AB2513" i="93"/>
  <c r="BB2512" i="93"/>
  <c r="AB2512" i="93"/>
  <c r="BB2511" i="93"/>
  <c r="AB2511" i="93"/>
  <c r="BB2510" i="93"/>
  <c r="AB2510" i="93"/>
  <c r="BB2507" i="93"/>
  <c r="AB2507" i="93"/>
  <c r="BB2506" i="93"/>
  <c r="AB2506" i="93"/>
  <c r="BB2505" i="93"/>
  <c r="AB2505" i="93"/>
  <c r="BB2504" i="93"/>
  <c r="AB2504" i="93"/>
  <c r="BB2503" i="93"/>
  <c r="AB2503" i="93"/>
  <c r="BB2502" i="93"/>
  <c r="AB2502" i="93"/>
  <c r="BB2501" i="93"/>
  <c r="BB2499" i="93"/>
  <c r="AB2499" i="93"/>
  <c r="BB2498" i="93"/>
  <c r="AB2498" i="93"/>
  <c r="BB2497" i="93"/>
  <c r="AB2497" i="93"/>
  <c r="BB2496" i="93"/>
  <c r="AB2496" i="93"/>
  <c r="BB2494" i="93"/>
  <c r="AB2494" i="93"/>
  <c r="BB2493" i="93"/>
  <c r="AB2493" i="93"/>
  <c r="BB2492" i="93"/>
  <c r="AB2492" i="93"/>
  <c r="BB2491" i="93"/>
  <c r="AB2491" i="93"/>
  <c r="BB2490" i="93"/>
  <c r="AB2490" i="93"/>
  <c r="BB2489" i="93"/>
  <c r="AB2489" i="93"/>
  <c r="BB2487" i="93"/>
  <c r="AB2487" i="93"/>
  <c r="BB2486" i="93"/>
  <c r="AB2486" i="93"/>
  <c r="BB2480" i="93"/>
  <c r="AB2480" i="93"/>
  <c r="BB2488" i="93"/>
  <c r="AB2488" i="93"/>
  <c r="BB2477" i="93"/>
  <c r="AB2477" i="93"/>
  <c r="BB2612" i="93"/>
  <c r="AB2612" i="93"/>
  <c r="BB2472" i="93"/>
  <c r="AB2472" i="93"/>
  <c r="BB2471" i="93"/>
  <c r="AB2471" i="93"/>
  <c r="BB2466" i="93"/>
  <c r="AB2466" i="93"/>
  <c r="BB2465" i="93"/>
  <c r="AB2465" i="93"/>
  <c r="BB2461" i="93"/>
  <c r="AB2461" i="93"/>
  <c r="BB2457" i="93"/>
  <c r="AB2457" i="93"/>
  <c r="BB2455" i="93"/>
  <c r="AB2455" i="93"/>
  <c r="AB2454" i="93"/>
  <c r="BB2449" i="93"/>
  <c r="BD2449" i="93" s="1"/>
  <c r="BF2449" i="93" s="1"/>
  <c r="BB2446" i="93"/>
  <c r="AB2446" i="93"/>
  <c r="BB2442" i="93"/>
  <c r="AB2442" i="93"/>
  <c r="BB2444" i="93"/>
  <c r="AB2444" i="93"/>
  <c r="BB2443" i="93"/>
  <c r="BB2440" i="93"/>
  <c r="AB2440" i="93"/>
  <c r="BB2439" i="93"/>
  <c r="AB2439" i="93"/>
  <c r="BB2437" i="93"/>
  <c r="P2381" i="93"/>
  <c r="BB2436" i="93"/>
  <c r="AB2436" i="93"/>
  <c r="BB2435" i="93"/>
  <c r="AB2435" i="93"/>
  <c r="BB2431" i="93"/>
  <c r="AB2431" i="93"/>
  <c r="BB2430" i="93"/>
  <c r="AB2430" i="93"/>
  <c r="BB2429" i="93"/>
  <c r="AB2429" i="93"/>
  <c r="AB2427" i="93"/>
  <c r="BB2425" i="93"/>
  <c r="AB2425" i="93"/>
  <c r="BB2424" i="93"/>
  <c r="AB2424" i="93"/>
  <c r="BB2423" i="93"/>
  <c r="AB2423" i="93"/>
  <c r="BB2422" i="93"/>
  <c r="AB2422" i="93"/>
  <c r="BB2421" i="93"/>
  <c r="AB2421" i="93"/>
  <c r="BB2420" i="93"/>
  <c r="AB2420" i="93"/>
  <c r="BB2418" i="93"/>
  <c r="AB2418" i="93"/>
  <c r="BB2416" i="93"/>
  <c r="AB2416" i="93"/>
  <c r="BB2415" i="93"/>
  <c r="T2381" i="93"/>
  <c r="L2381" i="93"/>
  <c r="D2381" i="93"/>
  <c r="BB2414" i="93"/>
  <c r="AB2414" i="93"/>
  <c r="BB2413" i="93"/>
  <c r="AB2413" i="93"/>
  <c r="BB2412" i="93"/>
  <c r="AB2412" i="93"/>
  <c r="BB2410" i="93"/>
  <c r="AB2410" i="93"/>
  <c r="BB2409" i="93"/>
  <c r="AB2409" i="93"/>
  <c r="BB2407" i="93"/>
  <c r="AB2407" i="93"/>
  <c r="BB2406" i="93"/>
  <c r="AB2406" i="93"/>
  <c r="BB2405" i="93"/>
  <c r="AB2405" i="93"/>
  <c r="BB2404" i="93"/>
  <c r="AB2404" i="93"/>
  <c r="BB2403" i="93"/>
  <c r="AB2403" i="93"/>
  <c r="BB2402" i="93"/>
  <c r="AB2402" i="93"/>
  <c r="BB2401" i="93"/>
  <c r="AB2401" i="93"/>
  <c r="BB2400" i="93"/>
  <c r="AB2400" i="93"/>
  <c r="BB2399" i="93"/>
  <c r="AB2399" i="93"/>
  <c r="BB2397" i="93"/>
  <c r="AB2397" i="93"/>
  <c r="BB2396" i="93"/>
  <c r="AB2396" i="93"/>
  <c r="BB2395" i="93"/>
  <c r="AB2395" i="93"/>
  <c r="BB2394" i="93"/>
  <c r="AB2394" i="93"/>
  <c r="BB2392" i="93"/>
  <c r="AB2392" i="93"/>
  <c r="BB2391" i="93"/>
  <c r="AB2391" i="93"/>
  <c r="BB2389" i="93"/>
  <c r="BB2388" i="93"/>
  <c r="AB2388" i="93"/>
  <c r="BB2387" i="93"/>
  <c r="AB2387" i="93"/>
  <c r="BB2386" i="93"/>
  <c r="AB2386" i="93"/>
  <c r="BB2385" i="93"/>
  <c r="AB2385" i="93"/>
  <c r="AB2384" i="93"/>
  <c r="BB2383" i="93"/>
  <c r="AB2383" i="93"/>
  <c r="AX2381" i="93"/>
  <c r="AW2381" i="93"/>
  <c r="AV2381" i="93"/>
  <c r="AU2381" i="93"/>
  <c r="AT2381" i="93"/>
  <c r="AS2381" i="93"/>
  <c r="AR2381" i="93"/>
  <c r="AQ2381" i="93"/>
  <c r="AP2381" i="93"/>
  <c r="AO2381" i="93"/>
  <c r="AN2381" i="93"/>
  <c r="AM2381" i="93"/>
  <c r="AL2381" i="93"/>
  <c r="AK2381" i="93"/>
  <c r="AJ2381" i="93"/>
  <c r="AI2381" i="93"/>
  <c r="AH2381" i="93"/>
  <c r="AG2381" i="93"/>
  <c r="AF2381" i="93"/>
  <c r="AE2381" i="93"/>
  <c r="AD2381" i="93"/>
  <c r="AC2381" i="93"/>
  <c r="AA2381" i="93"/>
  <c r="X2381" i="93"/>
  <c r="W2381" i="93"/>
  <c r="V2381" i="93"/>
  <c r="U2381" i="93"/>
  <c r="S2381" i="93"/>
  <c r="R2381" i="93"/>
  <c r="Q2381" i="93"/>
  <c r="O2381" i="93"/>
  <c r="N2381" i="93"/>
  <c r="M2381" i="93"/>
  <c r="K2381" i="93"/>
  <c r="J2381" i="93"/>
  <c r="I2381" i="93"/>
  <c r="H2381" i="93"/>
  <c r="G2381" i="93"/>
  <c r="F2381" i="93"/>
  <c r="E2381" i="93"/>
  <c r="BB2376" i="93"/>
  <c r="AB2376" i="93"/>
  <c r="BB2369" i="93"/>
  <c r="AB2369" i="93"/>
  <c r="BB2368" i="93"/>
  <c r="AB2368" i="93"/>
  <c r="BB2360" i="93"/>
  <c r="AB2360" i="93"/>
  <c r="BB2359" i="93"/>
  <c r="AB2359" i="93"/>
  <c r="BB2380" i="93"/>
  <c r="BB2379" i="93"/>
  <c r="AB2379" i="93"/>
  <c r="BB2351" i="93"/>
  <c r="BB2350" i="93"/>
  <c r="AB2350" i="93"/>
  <c r="BB2349" i="93"/>
  <c r="X2338" i="93"/>
  <c r="P2338" i="93"/>
  <c r="H2338" i="93"/>
  <c r="BB2347" i="93"/>
  <c r="D2338" i="93"/>
  <c r="BB2344" i="93"/>
  <c r="T2338" i="93"/>
  <c r="BB2342" i="93"/>
  <c r="W2338" i="93"/>
  <c r="L2338" i="93"/>
  <c r="BB2339" i="93"/>
  <c r="AA2338" i="93"/>
  <c r="BC2338" i="93"/>
  <c r="BA2338" i="93"/>
  <c r="AX2338" i="93"/>
  <c r="AW2338" i="93"/>
  <c r="AV2338" i="93"/>
  <c r="AU2338" i="93"/>
  <c r="AT2338" i="93"/>
  <c r="AS2338" i="93"/>
  <c r="AR2338" i="93"/>
  <c r="AQ2338" i="93"/>
  <c r="AP2338" i="93"/>
  <c r="AO2338" i="93"/>
  <c r="AN2338" i="93"/>
  <c r="AM2338" i="93"/>
  <c r="AL2338" i="93"/>
  <c r="AK2338" i="93"/>
  <c r="AJ2338" i="93"/>
  <c r="AI2338" i="93"/>
  <c r="AH2338" i="93"/>
  <c r="AG2338" i="93"/>
  <c r="AF2338" i="93"/>
  <c r="AE2338" i="93"/>
  <c r="AD2338" i="93"/>
  <c r="AC2338" i="93"/>
  <c r="V2338" i="93"/>
  <c r="U2338" i="93"/>
  <c r="S2338" i="93"/>
  <c r="R2338" i="93"/>
  <c r="Q2338" i="93"/>
  <c r="O2338" i="93"/>
  <c r="N2338" i="93"/>
  <c r="M2338" i="93"/>
  <c r="K2338" i="93"/>
  <c r="J2338" i="93"/>
  <c r="I2338" i="93"/>
  <c r="G2338" i="93"/>
  <c r="F2338" i="93"/>
  <c r="E2338" i="93"/>
  <c r="BB2334" i="93"/>
  <c r="AB2334" i="93"/>
  <c r="BB2332" i="93"/>
  <c r="AB2332" i="93"/>
  <c r="BB2330" i="93"/>
  <c r="AB2330" i="93"/>
  <c r="BB2329" i="93"/>
  <c r="AB2329" i="93"/>
  <c r="BB2328" i="93"/>
  <c r="AB2328" i="93"/>
  <c r="BB2327" i="93"/>
  <c r="AB2327" i="93"/>
  <c r="BB2326" i="93"/>
  <c r="AB2326" i="93"/>
  <c r="BB2325" i="93"/>
  <c r="AB2325" i="93"/>
  <c r="BB2322" i="93"/>
  <c r="AB2322" i="93"/>
  <c r="BB2321" i="93"/>
  <c r="AB2321" i="93"/>
  <c r="BB2320" i="93"/>
  <c r="AB2320" i="93"/>
  <c r="BB2319" i="93"/>
  <c r="AB2319" i="93"/>
  <c r="BB2318" i="93"/>
  <c r="AB2318" i="93"/>
  <c r="BB2316" i="93"/>
  <c r="AB2316" i="93"/>
  <c r="BB2315" i="93"/>
  <c r="AB2315" i="93"/>
  <c r="BB2314" i="93"/>
  <c r="AB2314" i="93"/>
  <c r="AB2313" i="93"/>
  <c r="BB2311" i="93"/>
  <c r="AB2311" i="93"/>
  <c r="BB2310" i="93"/>
  <c r="BD2310" i="93" s="1"/>
  <c r="BF2310" i="93" s="1"/>
  <c r="AX2293" i="93"/>
  <c r="AL2293" i="93"/>
  <c r="BB2309" i="93"/>
  <c r="AB2309" i="93"/>
  <c r="BB2308" i="93"/>
  <c r="AB2308" i="93"/>
  <c r="BB2306" i="93"/>
  <c r="AB2306" i="93"/>
  <c r="BB2305" i="93"/>
  <c r="AB2305" i="93"/>
  <c r="BB2304" i="93"/>
  <c r="AB2304" i="93"/>
  <c r="BB2303" i="93"/>
  <c r="AB2303" i="93"/>
  <c r="BB2300" i="93"/>
  <c r="AB2300" i="93"/>
  <c r="BB2297" i="93"/>
  <c r="AB2297" i="93"/>
  <c r="BB2296" i="93"/>
  <c r="AB2296" i="93"/>
  <c r="BC2293" i="93"/>
  <c r="BA2293" i="93"/>
  <c r="AW2293" i="93"/>
  <c r="AV2293" i="93"/>
  <c r="AU2293" i="93"/>
  <c r="AS2293" i="93"/>
  <c r="AR2293" i="93"/>
  <c r="AQ2293" i="93"/>
  <c r="AP2293" i="93"/>
  <c r="AO2293" i="93"/>
  <c r="AN2293" i="93"/>
  <c r="AM2293" i="93"/>
  <c r="AK2293" i="93"/>
  <c r="AJ2293" i="93"/>
  <c r="AI2293" i="93"/>
  <c r="AH2293" i="93"/>
  <c r="AG2293" i="93"/>
  <c r="AF2293" i="93"/>
  <c r="AE2293" i="93"/>
  <c r="AD2293" i="93"/>
  <c r="AC2293" i="93"/>
  <c r="BE2293" i="93" s="1"/>
  <c r="AA2293" i="93"/>
  <c r="X2293" i="93"/>
  <c r="W2293" i="93"/>
  <c r="V2293" i="93"/>
  <c r="U2293" i="93"/>
  <c r="T2293" i="93"/>
  <c r="S2293" i="93"/>
  <c r="R2293" i="93"/>
  <c r="Q2293" i="93"/>
  <c r="P2293" i="93"/>
  <c r="O2293" i="93"/>
  <c r="N2293" i="93"/>
  <c r="M2293" i="93"/>
  <c r="L2293" i="93"/>
  <c r="K2293" i="93"/>
  <c r="J2293" i="93"/>
  <c r="I2293" i="93"/>
  <c r="H2293" i="93"/>
  <c r="G2293" i="93"/>
  <c r="F2293" i="93"/>
  <c r="E2293" i="93"/>
  <c r="D2293" i="93"/>
  <c r="BB2290" i="93"/>
  <c r="AB2290" i="93"/>
  <c r="BB2288" i="93"/>
  <c r="AB2288" i="93"/>
  <c r="BB2286" i="93"/>
  <c r="AB2286" i="93"/>
  <c r="BB2284" i="93"/>
  <c r="AB2284" i="93"/>
  <c r="BB2283" i="93"/>
  <c r="AB2283" i="93"/>
  <c r="BB2282" i="93"/>
  <c r="AB2282" i="93"/>
  <c r="BB2281" i="93"/>
  <c r="AB2281" i="93"/>
  <c r="BB2280" i="93"/>
  <c r="AB2280" i="93"/>
  <c r="BB2279" i="93"/>
  <c r="AB2279" i="93"/>
  <c r="BB2278" i="93"/>
  <c r="AB2278" i="93"/>
  <c r="BB2277" i="93"/>
  <c r="AB2277" i="93"/>
  <c r="BB2275" i="93"/>
  <c r="AB2275" i="93"/>
  <c r="BB2272" i="93"/>
  <c r="AB2272" i="93"/>
  <c r="BB2271" i="93"/>
  <c r="AB2271" i="93"/>
  <c r="BB2270" i="93"/>
  <c r="AB2270" i="93"/>
  <c r="BB2269" i="93"/>
  <c r="BD2269" i="93" s="1"/>
  <c r="BF2269" i="93" s="1"/>
  <c r="BB2266" i="93"/>
  <c r="AB2266" i="93"/>
  <c r="BB2265" i="93"/>
  <c r="AB2265" i="93"/>
  <c r="BB2264" i="93"/>
  <c r="AB2264" i="93"/>
  <c r="BB2263" i="93"/>
  <c r="AB2263" i="93"/>
  <c r="BB2262" i="93"/>
  <c r="AB2262" i="93"/>
  <c r="BB2261" i="93"/>
  <c r="AB2261" i="93"/>
  <c r="BB2259" i="93"/>
  <c r="AB2259" i="93"/>
  <c r="BB2258" i="93"/>
  <c r="AB2258" i="93"/>
  <c r="BB2257" i="93"/>
  <c r="AB2257" i="93"/>
  <c r="BB2256" i="93"/>
  <c r="AB2256" i="93"/>
  <c r="BB2255" i="93"/>
  <c r="AB2255" i="93"/>
  <c r="BB2254" i="93"/>
  <c r="AB2254" i="93"/>
  <c r="BB2253" i="93"/>
  <c r="AB2253" i="93"/>
  <c r="BB2252" i="93"/>
  <c r="AB2252" i="93"/>
  <c r="BB2251" i="93"/>
  <c r="AB2251" i="93"/>
  <c r="BB2250" i="93"/>
  <c r="AB2250" i="93"/>
  <c r="BB2245" i="93"/>
  <c r="AB2245" i="93"/>
  <c r="BB2244" i="93"/>
  <c r="AB2244" i="93"/>
  <c r="BB2243" i="93"/>
  <c r="AB2243" i="93"/>
  <c r="BB2242" i="93"/>
  <c r="AB2242" i="93"/>
  <c r="BB2240" i="93"/>
  <c r="AB2240" i="93"/>
  <c r="BB2239" i="93"/>
  <c r="AB2239" i="93"/>
  <c r="BB2238" i="93"/>
  <c r="AB2238" i="93"/>
  <c r="BB2237" i="93"/>
  <c r="AB2237" i="93"/>
  <c r="BB2236" i="93"/>
  <c r="AB2236" i="93"/>
  <c r="BB2235" i="93"/>
  <c r="AB2235" i="93"/>
  <c r="BB2234" i="93"/>
  <c r="AB2234" i="93"/>
  <c r="BB2231" i="93"/>
  <c r="AB2231" i="93"/>
  <c r="BB2230" i="93"/>
  <c r="AB2230" i="93"/>
  <c r="BB2229" i="93"/>
  <c r="AB2229" i="93"/>
  <c r="BB2228" i="93"/>
  <c r="AB2228" i="93"/>
  <c r="BB2226" i="93"/>
  <c r="AB2226" i="93"/>
  <c r="BB2225" i="93"/>
  <c r="AB2225" i="93"/>
  <c r="BB2224" i="93"/>
  <c r="AB2224" i="93"/>
  <c r="BB2223" i="93"/>
  <c r="AB2223" i="93"/>
  <c r="BB2222" i="93"/>
  <c r="AB2222" i="93"/>
  <c r="BB2221" i="93"/>
  <c r="AB2221" i="93"/>
  <c r="BB2220" i="93"/>
  <c r="AB2220" i="93"/>
  <c r="BB2219" i="93"/>
  <c r="AB2219" i="93"/>
  <c r="BB2218" i="93"/>
  <c r="AB2218" i="93"/>
  <c r="BB2215" i="93"/>
  <c r="AB2215" i="93"/>
  <c r="BB2214" i="93"/>
  <c r="AB2214" i="93"/>
  <c r="BB2213" i="93"/>
  <c r="AB2213" i="93"/>
  <c r="BB2212" i="93"/>
  <c r="AB2212" i="93"/>
  <c r="BB2211" i="93"/>
  <c r="AB2211" i="93"/>
  <c r="BB2210" i="93"/>
  <c r="AB2210" i="93"/>
  <c r="BB2209" i="93"/>
  <c r="AB2209" i="93"/>
  <c r="BB2207" i="93"/>
  <c r="AB2207" i="93"/>
  <c r="BB2206" i="93"/>
  <c r="AB2206" i="93"/>
  <c r="BB2205" i="93"/>
  <c r="AB2205" i="93"/>
  <c r="BB2204" i="93"/>
  <c r="AB2204" i="93"/>
  <c r="BB2203" i="93"/>
  <c r="AB2203" i="93"/>
  <c r="BB2201" i="93"/>
  <c r="AB2201" i="93"/>
  <c r="AB2292" i="93"/>
  <c r="BD2292" i="93" s="1"/>
  <c r="BF2292" i="93" s="1"/>
  <c r="BB2196" i="93"/>
  <c r="AB2196" i="93"/>
  <c r="AB2195" i="93"/>
  <c r="BD2195" i="93" s="1"/>
  <c r="BF2195" i="93" s="1"/>
  <c r="BB2193" i="93"/>
  <c r="AB2193" i="93"/>
  <c r="BB2192" i="93"/>
  <c r="AB2192" i="93"/>
  <c r="BB2191" i="93"/>
  <c r="AB2191" i="93"/>
  <c r="BB2187" i="93"/>
  <c r="AB2187" i="93"/>
  <c r="BB2186" i="93"/>
  <c r="AB2186" i="93"/>
  <c r="BB2185" i="93"/>
  <c r="AB2185" i="93"/>
  <c r="BB2184" i="93"/>
  <c r="AB2184" i="93"/>
  <c r="BB2183" i="93"/>
  <c r="AB2183" i="93"/>
  <c r="BB2181" i="93"/>
  <c r="AB2181" i="93"/>
  <c r="BB2179" i="93"/>
  <c r="AB2179" i="93"/>
  <c r="BB2177" i="93"/>
  <c r="AB2177" i="93"/>
  <c r="BB2176" i="93"/>
  <c r="AB2176" i="93"/>
  <c r="AB2174" i="93"/>
  <c r="BD2174" i="93" s="1"/>
  <c r="BF2174" i="93" s="1"/>
  <c r="AB2172" i="93"/>
  <c r="BD2172" i="93" s="1"/>
  <c r="BF2172" i="93" s="1"/>
  <c r="AB2171" i="93"/>
  <c r="BD2171" i="93" s="1"/>
  <c r="BF2171" i="93" s="1"/>
  <c r="AB2169" i="93"/>
  <c r="BD2169" i="93" s="1"/>
  <c r="BF2169" i="93" s="1"/>
  <c r="AB2168" i="93"/>
  <c r="BD2168" i="93" s="1"/>
  <c r="BF2168" i="93" s="1"/>
  <c r="BB2165" i="93"/>
  <c r="AB2165" i="93"/>
  <c r="BB2162" i="93"/>
  <c r="AB2162" i="93"/>
  <c r="BB2161" i="93"/>
  <c r="AB2161" i="93"/>
  <c r="BC2153" i="93"/>
  <c r="BA2153" i="93"/>
  <c r="AX2153" i="93"/>
  <c r="AW2153" i="93"/>
  <c r="AV2153" i="93"/>
  <c r="AU2153" i="93"/>
  <c r="AS2153" i="93"/>
  <c r="AR2153" i="93"/>
  <c r="AQ2153" i="93"/>
  <c r="AP2153" i="93"/>
  <c r="AO2153" i="93"/>
  <c r="AN2153" i="93"/>
  <c r="AM2153" i="93"/>
  <c r="AK2153" i="93"/>
  <c r="AJ2153" i="93"/>
  <c r="AI2153" i="93"/>
  <c r="AH2153" i="93"/>
  <c r="AG2153" i="93"/>
  <c r="AF2153" i="93"/>
  <c r="AE2153" i="93"/>
  <c r="AD2153" i="93"/>
  <c r="AC2153" i="93"/>
  <c r="AA2153" i="93"/>
  <c r="X2153" i="93"/>
  <c r="W2153" i="93"/>
  <c r="V2153" i="93"/>
  <c r="U2153" i="93"/>
  <c r="T2153" i="93"/>
  <c r="S2153" i="93"/>
  <c r="R2153" i="93"/>
  <c r="Q2153" i="93"/>
  <c r="P2153" i="93"/>
  <c r="O2153" i="93"/>
  <c r="N2153" i="93"/>
  <c r="M2153" i="93"/>
  <c r="L2153" i="93"/>
  <c r="K2153" i="93"/>
  <c r="J2153" i="93"/>
  <c r="I2153" i="93"/>
  <c r="H2153" i="93"/>
  <c r="G2153" i="93"/>
  <c r="F2153" i="93"/>
  <c r="E2153" i="93"/>
  <c r="D2153" i="93"/>
  <c r="BB2145" i="93"/>
  <c r="AB2145" i="93"/>
  <c r="BB2144" i="93"/>
  <c r="AB2144" i="93"/>
  <c r="BB2142" i="93"/>
  <c r="AB2142" i="93"/>
  <c r="BB2141" i="93"/>
  <c r="AB2141" i="93"/>
  <c r="BB2140" i="93"/>
  <c r="AB2140" i="93"/>
  <c r="BB2139" i="93"/>
  <c r="AB2139" i="93"/>
  <c r="BB2137" i="93"/>
  <c r="BB2135" i="93"/>
  <c r="AB2135" i="93"/>
  <c r="BB2134" i="93"/>
  <c r="AB2134" i="93"/>
  <c r="BB2133" i="93"/>
  <c r="AB2133" i="93"/>
  <c r="BB2132" i="93"/>
  <c r="BB2130" i="93"/>
  <c r="AB2130" i="93"/>
  <c r="BB2129" i="93"/>
  <c r="AB2129" i="93"/>
  <c r="BB2127" i="93"/>
  <c r="AB2127" i="93"/>
  <c r="BB2126" i="93"/>
  <c r="AB2126" i="93"/>
  <c r="BB2125" i="93"/>
  <c r="AB2125" i="93"/>
  <c r="BB2123" i="93"/>
  <c r="AB2123" i="93"/>
  <c r="BB2120" i="93"/>
  <c r="AB2120" i="93"/>
  <c r="BB2119" i="93"/>
  <c r="AB2119" i="93"/>
  <c r="BB2118" i="93"/>
  <c r="AB2118" i="93"/>
  <c r="BB2117" i="93"/>
  <c r="AB2117" i="93"/>
  <c r="BB2116" i="93"/>
  <c r="AB2116" i="93"/>
  <c r="BB2115" i="93"/>
  <c r="AB2115" i="93"/>
  <c r="BB2114" i="93"/>
  <c r="AB2114" i="93"/>
  <c r="BB2113" i="93"/>
  <c r="AB2113" i="93"/>
  <c r="BB2112" i="93"/>
  <c r="AB2112" i="93"/>
  <c r="BB2111" i="93"/>
  <c r="AB2111" i="93"/>
  <c r="BB2110" i="93"/>
  <c r="AB2110" i="93"/>
  <c r="BB2109" i="93"/>
  <c r="AB2109" i="93"/>
  <c r="BB2108" i="93"/>
  <c r="AB2108" i="93"/>
  <c r="BB2107" i="93"/>
  <c r="AB2107" i="93"/>
  <c r="BB2106" i="93"/>
  <c r="AB2106" i="93"/>
  <c r="BB2105" i="93"/>
  <c r="AB2105" i="93"/>
  <c r="BB2104" i="93"/>
  <c r="AB2104" i="93"/>
  <c r="BB2103" i="93"/>
  <c r="AB2103" i="93"/>
  <c r="BB2102" i="93"/>
  <c r="AB2102" i="93"/>
  <c r="BB2101" i="93"/>
  <c r="AB2101" i="93"/>
  <c r="BB2100" i="93"/>
  <c r="BB2099" i="93"/>
  <c r="AB2099" i="93"/>
  <c r="BB2098" i="93"/>
  <c r="AB2098" i="93"/>
  <c r="BB2097" i="93"/>
  <c r="AB2097" i="93"/>
  <c r="BB2096" i="93"/>
  <c r="AB2096" i="93"/>
  <c r="BB2095" i="93"/>
  <c r="BB2094" i="93"/>
  <c r="BB2093" i="93"/>
  <c r="AB2093" i="93"/>
  <c r="BB2092" i="93"/>
  <c r="AB2092" i="93"/>
  <c r="BB2091" i="93"/>
  <c r="AB2091" i="93"/>
  <c r="BB2089" i="93"/>
  <c r="AB2089" i="93"/>
  <c r="BB2087" i="93"/>
  <c r="AB2087" i="93"/>
  <c r="BB2086" i="93"/>
  <c r="AB2086" i="93"/>
  <c r="BB2085" i="93"/>
  <c r="AB2085" i="93"/>
  <c r="BB2083" i="93"/>
  <c r="AB2083" i="93"/>
  <c r="BB2082" i="93"/>
  <c r="AB2082" i="93"/>
  <c r="BB2081" i="93"/>
  <c r="AB2081" i="93"/>
  <c r="BB2080" i="93"/>
  <c r="AB2080" i="93"/>
  <c r="BB2079" i="93"/>
  <c r="AB2079" i="93"/>
  <c r="BB2078" i="93"/>
  <c r="AB2078" i="93"/>
  <c r="BB2076" i="93"/>
  <c r="AB2076" i="93"/>
  <c r="BB2075" i="93"/>
  <c r="AB2075" i="93"/>
  <c r="BB2074" i="93"/>
  <c r="AB2074" i="93"/>
  <c r="BB2073" i="93"/>
  <c r="BB2072" i="93"/>
  <c r="AB2072" i="93"/>
  <c r="AB2071" i="93"/>
  <c r="BB2069" i="93"/>
  <c r="AB2069" i="93"/>
  <c r="BB2068" i="93"/>
  <c r="AB2068" i="93"/>
  <c r="BB2067" i="93"/>
  <c r="AB2067" i="93"/>
  <c r="BB2065" i="93"/>
  <c r="AB2065" i="93"/>
  <c r="BB2062" i="93"/>
  <c r="BB2061" i="93"/>
  <c r="AB2061" i="93"/>
  <c r="BB2152" i="93"/>
  <c r="BB2060" i="93"/>
  <c r="AB2060" i="93"/>
  <c r="BB2059" i="93"/>
  <c r="AB2059" i="93"/>
  <c r="BB2058" i="93"/>
  <c r="AB2058" i="93"/>
  <c r="BB2057" i="93"/>
  <c r="BD2057" i="93" s="1"/>
  <c r="BF2057" i="93" s="1"/>
  <c r="BB2055" i="93"/>
  <c r="AB2055" i="93"/>
  <c r="BB2053" i="93"/>
  <c r="AB2053" i="93"/>
  <c r="BB2052" i="93"/>
  <c r="AB2052" i="93"/>
  <c r="BB2051" i="93"/>
  <c r="AB2051" i="93"/>
  <c r="BB2050" i="93"/>
  <c r="AB2050" i="93"/>
  <c r="BB2049" i="93"/>
  <c r="AB2049" i="93"/>
  <c r="BB2048" i="93"/>
  <c r="AB2048" i="93"/>
  <c r="BB2047" i="93"/>
  <c r="BD2047" i="93" s="1"/>
  <c r="BF2047" i="93" s="1"/>
  <c r="BB2042" i="93"/>
  <c r="X2009" i="93"/>
  <c r="BB2041" i="93"/>
  <c r="AB2041" i="93"/>
  <c r="BB2040" i="93"/>
  <c r="AB2040" i="93"/>
  <c r="BB2039" i="93"/>
  <c r="AB2039" i="93"/>
  <c r="BB2037" i="93"/>
  <c r="AB2037" i="93"/>
  <c r="BB2036" i="93"/>
  <c r="BB2034" i="93"/>
  <c r="AB2034" i="93"/>
  <c r="BB2033" i="93"/>
  <c r="AB2033" i="93"/>
  <c r="BB2032" i="93"/>
  <c r="AB2032" i="93"/>
  <c r="BB2030" i="93"/>
  <c r="AB2030" i="93"/>
  <c r="BB2028" i="93"/>
  <c r="AB2028" i="93"/>
  <c r="BB2027" i="93"/>
  <c r="AB2027" i="93"/>
  <c r="BB2026" i="93"/>
  <c r="AB2026" i="93"/>
  <c r="BB2024" i="93"/>
  <c r="AB2024" i="93"/>
  <c r="BB2023" i="93"/>
  <c r="AB2023" i="93"/>
  <c r="BB2022" i="93"/>
  <c r="AB2022" i="93"/>
  <c r="BB2021" i="93"/>
  <c r="AB2021" i="93"/>
  <c r="BB2020" i="93"/>
  <c r="AB2020" i="93"/>
  <c r="BB2019" i="93"/>
  <c r="AB2019" i="93"/>
  <c r="BB2018" i="93"/>
  <c r="AB2018" i="93"/>
  <c r="AB2017" i="93"/>
  <c r="BD2017" i="93" s="1"/>
  <c r="BF2017" i="93" s="1"/>
  <c r="BB2014" i="93"/>
  <c r="AB2014" i="93"/>
  <c r="BB2013" i="93"/>
  <c r="BB2010" i="93"/>
  <c r="AB2010" i="93"/>
  <c r="BC2009" i="93"/>
  <c r="BA2009" i="93"/>
  <c r="AX2009" i="93"/>
  <c r="AW2009" i="93"/>
  <c r="AV2009" i="93"/>
  <c r="AU2009" i="93"/>
  <c r="AT2009" i="93"/>
  <c r="AS2009" i="93"/>
  <c r="AR2009" i="93"/>
  <c r="AQ2009" i="93"/>
  <c r="AP2009" i="93"/>
  <c r="AO2009" i="93"/>
  <c r="AN2009" i="93"/>
  <c r="AM2009" i="93"/>
  <c r="AK2009" i="93"/>
  <c r="AJ2009" i="93"/>
  <c r="AI2009" i="93"/>
  <c r="AH2009" i="93"/>
  <c r="AG2009" i="93"/>
  <c r="AF2009" i="93"/>
  <c r="AE2009" i="93"/>
  <c r="AC2009" i="93"/>
  <c r="AA2009" i="93"/>
  <c r="W2009" i="93"/>
  <c r="V2009" i="93"/>
  <c r="U2009" i="93"/>
  <c r="S2009" i="93"/>
  <c r="R2009" i="93"/>
  <c r="Q2009" i="93"/>
  <c r="O2009" i="93"/>
  <c r="N2009" i="93"/>
  <c r="M2009" i="93"/>
  <c r="K2009" i="93"/>
  <c r="J2009" i="93"/>
  <c r="I2009" i="93"/>
  <c r="G2009" i="93"/>
  <c r="F2009" i="93"/>
  <c r="E2009" i="93"/>
  <c r="BB2008" i="93"/>
  <c r="AB2008" i="93"/>
  <c r="BB2007" i="93"/>
  <c r="AB2007" i="93"/>
  <c r="BC2006" i="93"/>
  <c r="BA2006" i="93"/>
  <c r="AX2006" i="93"/>
  <c r="AW2006" i="93"/>
  <c r="AV2006" i="93"/>
  <c r="AU2006" i="93"/>
  <c r="AT2006" i="93"/>
  <c r="AS2006" i="93"/>
  <c r="AR2006" i="93"/>
  <c r="AQ2006" i="93"/>
  <c r="AP2006" i="93"/>
  <c r="AO2006" i="93"/>
  <c r="AN2006" i="93"/>
  <c r="AM2006" i="93"/>
  <c r="AL2006" i="93"/>
  <c r="AK2006" i="93"/>
  <c r="AJ2006" i="93"/>
  <c r="AI2006" i="93"/>
  <c r="AH2006" i="93"/>
  <c r="AG2006" i="93"/>
  <c r="AF2006" i="93"/>
  <c r="AE2006" i="93"/>
  <c r="AD2006" i="93"/>
  <c r="AC2006" i="93"/>
  <c r="AA2006" i="93"/>
  <c r="X2006" i="93"/>
  <c r="W2006" i="93"/>
  <c r="V2006" i="93"/>
  <c r="U2006" i="93"/>
  <c r="T2006" i="93"/>
  <c r="S2006" i="93"/>
  <c r="R2006" i="93"/>
  <c r="Q2006" i="93"/>
  <c r="P2006" i="93"/>
  <c r="O2006" i="93"/>
  <c r="N2006" i="93"/>
  <c r="M2006" i="93"/>
  <c r="L2006" i="93"/>
  <c r="K2006" i="93"/>
  <c r="J2006" i="93"/>
  <c r="I2006" i="93"/>
  <c r="H2006" i="93"/>
  <c r="G2006" i="93"/>
  <c r="F2006" i="93"/>
  <c r="E2006" i="93"/>
  <c r="D2006" i="93"/>
  <c r="BB2005" i="93"/>
  <c r="AB2005" i="93"/>
  <c r="BB2001" i="93"/>
  <c r="AB2001" i="93"/>
  <c r="BB1999" i="93"/>
  <c r="AB1999" i="93"/>
  <c r="BB1998" i="93"/>
  <c r="AB1998" i="93"/>
  <c r="BB1994" i="93"/>
  <c r="AB1994" i="93"/>
  <c r="BB1993" i="93"/>
  <c r="AB1993" i="93"/>
  <c r="BB1987" i="93"/>
  <c r="AB1987" i="93"/>
  <c r="BB1985" i="93"/>
  <c r="AB1985" i="93"/>
  <c r="BB1982" i="93"/>
  <c r="AB1982" i="93"/>
  <c r="BB1981" i="93"/>
  <c r="AB1981" i="93"/>
  <c r="BB1980" i="93"/>
  <c r="AB1980" i="93"/>
  <c r="BB1979" i="93"/>
  <c r="AB1979" i="93"/>
  <c r="BB1975" i="93"/>
  <c r="AB1975" i="93"/>
  <c r="BB1974" i="93"/>
  <c r="AB1974" i="93"/>
  <c r="BB1973" i="93"/>
  <c r="BB1972" i="93"/>
  <c r="AB1972" i="93"/>
  <c r="BB1969" i="93"/>
  <c r="AB1969" i="93"/>
  <c r="BB1967" i="93"/>
  <c r="AB1967" i="93"/>
  <c r="BB1966" i="93"/>
  <c r="AB1966" i="93"/>
  <c r="BB1964" i="93"/>
  <c r="AB1964" i="93"/>
  <c r="BB1963" i="93"/>
  <c r="AB1963" i="93"/>
  <c r="BB1962" i="93"/>
  <c r="AB1962" i="93"/>
  <c r="BB1958" i="93"/>
  <c r="AB1958" i="93"/>
  <c r="BB1957" i="93"/>
  <c r="AB1957" i="93"/>
  <c r="BB1956" i="93"/>
  <c r="AB1956" i="93"/>
  <c r="BB1950" i="93"/>
  <c r="AB1950" i="93"/>
  <c r="BB1948" i="93"/>
  <c r="AB1948" i="93"/>
  <c r="BB1946" i="93"/>
  <c r="AB1946" i="93"/>
  <c r="BB1945" i="93"/>
  <c r="AB1945" i="93"/>
  <c r="BB1943" i="93"/>
  <c r="AB1943" i="93"/>
  <c r="BB1941" i="93"/>
  <c r="AB1941" i="93"/>
  <c r="BB1939" i="93"/>
  <c r="AB1939" i="93"/>
  <c r="BB1938" i="93"/>
  <c r="AB1938" i="93"/>
  <c r="BB1937" i="93"/>
  <c r="AB1937" i="93"/>
  <c r="BB2004" i="93"/>
  <c r="AB2004" i="93"/>
  <c r="BB2003" i="93"/>
  <c r="AB2003" i="93"/>
  <c r="BB2002" i="93"/>
  <c r="AB2002" i="93"/>
  <c r="BB1932" i="93"/>
  <c r="AB1932" i="93"/>
  <c r="BB1931" i="93"/>
  <c r="AB1931" i="93"/>
  <c r="BB1930" i="93"/>
  <c r="AB1930" i="93"/>
  <c r="AB1929" i="93"/>
  <c r="BD1929" i="93" s="1"/>
  <c r="BF1929" i="93" s="1"/>
  <c r="AB1928" i="93"/>
  <c r="BD1928" i="93" s="1"/>
  <c r="BF1928" i="93" s="1"/>
  <c r="BB1926" i="93"/>
  <c r="AB1926" i="93"/>
  <c r="BB1925" i="93"/>
  <c r="AB1925" i="93"/>
  <c r="BB1924" i="93"/>
  <c r="AB1924" i="93"/>
  <c r="BB1923" i="93"/>
  <c r="AB1923" i="93"/>
  <c r="BB1922" i="93"/>
  <c r="AB1922" i="93"/>
  <c r="BB1921" i="93"/>
  <c r="AB1921" i="93"/>
  <c r="BB1920" i="93"/>
  <c r="AB1920" i="93"/>
  <c r="BB1919" i="93"/>
  <c r="AB1919" i="93"/>
  <c r="BB1918" i="93"/>
  <c r="AB1918" i="93"/>
  <c r="AB1917" i="93"/>
  <c r="BB1914" i="93"/>
  <c r="AB1914" i="93"/>
  <c r="BB1912" i="93"/>
  <c r="AB1912" i="93"/>
  <c r="BB1911" i="93"/>
  <c r="AB1911" i="93"/>
  <c r="BC1910" i="93"/>
  <c r="BA1910" i="93"/>
  <c r="AX1910" i="93"/>
  <c r="AW1910" i="93"/>
  <c r="AV1910" i="93"/>
  <c r="AU1910" i="93"/>
  <c r="AT1910" i="93"/>
  <c r="AS1910" i="93"/>
  <c r="AR1910" i="93"/>
  <c r="AQ1910" i="93"/>
  <c r="AP1910" i="93"/>
  <c r="AO1910" i="93"/>
  <c r="AN1910" i="93"/>
  <c r="AM1910" i="93"/>
  <c r="AK1910" i="93"/>
  <c r="AJ1910" i="93"/>
  <c r="AI1910" i="93"/>
  <c r="AH1910" i="93"/>
  <c r="AG1910" i="93"/>
  <c r="AF1910" i="93"/>
  <c r="AE1910" i="93"/>
  <c r="AC1910" i="93"/>
  <c r="AA1910" i="93"/>
  <c r="X1910" i="93"/>
  <c r="W1910" i="93"/>
  <c r="V1910" i="93"/>
  <c r="U1910" i="93"/>
  <c r="S1910" i="93"/>
  <c r="R1910" i="93"/>
  <c r="Q1910" i="93"/>
  <c r="O1910" i="93"/>
  <c r="N1910" i="93"/>
  <c r="M1910" i="93"/>
  <c r="K1910" i="93"/>
  <c r="J1910" i="93"/>
  <c r="I1910" i="93"/>
  <c r="G1910" i="93"/>
  <c r="F1910" i="93"/>
  <c r="E1910" i="93"/>
  <c r="BB1907" i="93"/>
  <c r="AB1907" i="93"/>
  <c r="BB1906" i="93"/>
  <c r="AB1906" i="93"/>
  <c r="BB1904" i="93"/>
  <c r="AB1904" i="93"/>
  <c r="BB1903" i="93"/>
  <c r="AB1903" i="93"/>
  <c r="BB1902" i="93"/>
  <c r="AB1902" i="93"/>
  <c r="BB1901" i="93"/>
  <c r="AB1901" i="93"/>
  <c r="BB1899" i="93"/>
  <c r="AB1899" i="93"/>
  <c r="BB1898" i="93"/>
  <c r="AB1898" i="93"/>
  <c r="BB1897" i="93"/>
  <c r="AB1897" i="93"/>
  <c r="BB1896" i="93"/>
  <c r="AB1896" i="93"/>
  <c r="BB1895" i="93"/>
  <c r="AB1895" i="93"/>
  <c r="BB1890" i="93"/>
  <c r="AB1890" i="93"/>
  <c r="BB1889" i="93"/>
  <c r="AB1889" i="93"/>
  <c r="BB1888" i="93"/>
  <c r="AB1888" i="93"/>
  <c r="BB1887" i="93"/>
  <c r="AB1887" i="93"/>
  <c r="BB1886" i="93"/>
  <c r="AB1886" i="93"/>
  <c r="BB1885" i="93"/>
  <c r="AB1885" i="93"/>
  <c r="BB1884" i="93"/>
  <c r="AB1884" i="93"/>
  <c r="BB1883" i="93"/>
  <c r="AB1883" i="93"/>
  <c r="BB1882" i="93"/>
  <c r="AB1882" i="93"/>
  <c r="BB1881" i="93"/>
  <c r="AB1881" i="93"/>
  <c r="BB1880" i="93"/>
  <c r="AB1880" i="93"/>
  <c r="BB1879" i="93"/>
  <c r="AB1879" i="93"/>
  <c r="BB1878" i="93"/>
  <c r="AB1878" i="93"/>
  <c r="BB1877" i="93"/>
  <c r="AB1877" i="93"/>
  <c r="BB1875" i="93"/>
  <c r="AB1875" i="93"/>
  <c r="BB1874" i="93"/>
  <c r="AB1874" i="93"/>
  <c r="BB1872" i="93"/>
  <c r="AB1872" i="93"/>
  <c r="BB1871" i="93"/>
  <c r="AB1871" i="93"/>
  <c r="BB1870" i="93"/>
  <c r="AB1870" i="93"/>
  <c r="BB1869" i="93"/>
  <c r="AB1869" i="93"/>
  <c r="BB1867" i="93"/>
  <c r="AB1867" i="93"/>
  <c r="BB1865" i="93"/>
  <c r="AB1865" i="93"/>
  <c r="BB1862" i="93"/>
  <c r="AB1862" i="93"/>
  <c r="BB1861" i="93"/>
  <c r="AB1861" i="93"/>
  <c r="BB1859" i="93"/>
  <c r="AB1859" i="93"/>
  <c r="BB1858" i="93"/>
  <c r="AB1858" i="93"/>
  <c r="BB1857" i="93"/>
  <c r="AB1857" i="93"/>
  <c r="BB1856" i="93"/>
  <c r="AB1856" i="93"/>
  <c r="BB1855" i="93"/>
  <c r="AB1855" i="93"/>
  <c r="BB1854" i="93"/>
  <c r="AB1854" i="93"/>
  <c r="BB1853" i="93"/>
  <c r="AB1853" i="93"/>
  <c r="AB1851" i="93"/>
  <c r="BB1849" i="93"/>
  <c r="AB1849" i="93"/>
  <c r="BB1848" i="93"/>
  <c r="AB1848" i="93"/>
  <c r="BB1846" i="93"/>
  <c r="BB1844" i="93"/>
  <c r="AB1844" i="93"/>
  <c r="BB1841" i="93"/>
  <c r="AB1841" i="93"/>
  <c r="BB1836" i="93"/>
  <c r="AB1836" i="93"/>
  <c r="BB1835" i="93"/>
  <c r="AB1835" i="93"/>
  <c r="BB1834" i="93"/>
  <c r="AB1834" i="93"/>
  <c r="BB1833" i="93"/>
  <c r="AB1833" i="93"/>
  <c r="BB1832" i="93"/>
  <c r="AB1832" i="93"/>
  <c r="BB1830" i="93"/>
  <c r="AB1830" i="93"/>
  <c r="BB1828" i="93"/>
  <c r="AB1828" i="93"/>
  <c r="BB1827" i="93"/>
  <c r="AB1827" i="93"/>
  <c r="BB1826" i="93"/>
  <c r="AB1826" i="93"/>
  <c r="BB1825" i="93"/>
  <c r="AB1825" i="93"/>
  <c r="BB1824" i="93"/>
  <c r="AB1824" i="93"/>
  <c r="BB1823" i="93"/>
  <c r="AB1823" i="93"/>
  <c r="AB1822" i="93"/>
  <c r="BB1821" i="93"/>
  <c r="AB1821" i="93"/>
  <c r="BB1818" i="93"/>
  <c r="AB1818" i="93"/>
  <c r="BB1817" i="93"/>
  <c r="BB1815" i="93"/>
  <c r="BC1808" i="93"/>
  <c r="BA1808" i="93"/>
  <c r="AX1808" i="93"/>
  <c r="AW1808" i="93"/>
  <c r="AV1808" i="93"/>
  <c r="AU1808" i="93"/>
  <c r="AT1808" i="93"/>
  <c r="AS1808" i="93"/>
  <c r="AR1808" i="93"/>
  <c r="AQ1808" i="93"/>
  <c r="AP1808" i="93"/>
  <c r="AO1808" i="93"/>
  <c r="AN1808" i="93"/>
  <c r="AM1808" i="93"/>
  <c r="AK1808" i="93"/>
  <c r="AJ1808" i="93"/>
  <c r="AI1808" i="93"/>
  <c r="AH1808" i="93"/>
  <c r="AG1808" i="93"/>
  <c r="AF1808" i="93"/>
  <c r="AE1808" i="93"/>
  <c r="AD1808" i="93"/>
  <c r="AC1808" i="93"/>
  <c r="BE1808" i="93" s="1"/>
  <c r="AA1808" i="93"/>
  <c r="X1808" i="93"/>
  <c r="W1808" i="93"/>
  <c r="V1808" i="93"/>
  <c r="U1808" i="93"/>
  <c r="T1808" i="93"/>
  <c r="S1808" i="93"/>
  <c r="R1808" i="93"/>
  <c r="Q1808" i="93"/>
  <c r="P1808" i="93"/>
  <c r="O1808" i="93"/>
  <c r="N1808" i="93"/>
  <c r="M1808" i="93"/>
  <c r="L1808" i="93"/>
  <c r="K1808" i="93"/>
  <c r="J1808" i="93"/>
  <c r="I1808" i="93"/>
  <c r="H1808" i="93"/>
  <c r="G1808" i="93"/>
  <c r="F1808" i="93"/>
  <c r="E1808" i="93"/>
  <c r="D1808" i="93"/>
  <c r="BB1806" i="93"/>
  <c r="AB1806" i="93"/>
  <c r="BB1803" i="93"/>
  <c r="AB1803" i="93"/>
  <c r="BB1801" i="93"/>
  <c r="AB1801" i="93"/>
  <c r="BB1800" i="93"/>
  <c r="AB1800" i="93"/>
  <c r="BB1799" i="93"/>
  <c r="AB1799" i="93"/>
  <c r="BB1798" i="93"/>
  <c r="AB1798" i="93"/>
  <c r="BB1797" i="93"/>
  <c r="AB1797" i="93"/>
  <c r="BB1795" i="93"/>
  <c r="AB1795" i="93"/>
  <c r="BB1794" i="93"/>
  <c r="AB1794" i="93"/>
  <c r="BB1793" i="93"/>
  <c r="AB1793" i="93"/>
  <c r="BB1792" i="93"/>
  <c r="AB1792" i="93"/>
  <c r="BB1790" i="93"/>
  <c r="AB1790" i="93"/>
  <c r="BB1789" i="93"/>
  <c r="AB1789" i="93"/>
  <c r="BB1788" i="93"/>
  <c r="AB1788" i="93"/>
  <c r="BB1787" i="93"/>
  <c r="AB1787" i="93"/>
  <c r="AB1786" i="93"/>
  <c r="BB1785" i="93"/>
  <c r="AB1785" i="93"/>
  <c r="BB1784" i="93"/>
  <c r="AB1784" i="93"/>
  <c r="BB1783" i="93"/>
  <c r="AB1783" i="93"/>
  <c r="BB1781" i="93"/>
  <c r="AB1781" i="93"/>
  <c r="BB1778" i="93"/>
  <c r="AB1778" i="93"/>
  <c r="BB1777" i="93"/>
  <c r="AB1777" i="93"/>
  <c r="BB1775" i="93"/>
  <c r="AB1775" i="93"/>
  <c r="BB1774" i="93"/>
  <c r="AB1774" i="93"/>
  <c r="BB1773" i="93"/>
  <c r="AB1773" i="93"/>
  <c r="BB1772" i="93"/>
  <c r="AB1772" i="93"/>
  <c r="BB1771" i="93"/>
  <c r="AB1771" i="93"/>
  <c r="BB1770" i="93"/>
  <c r="AB1770" i="93"/>
  <c r="BB1769" i="93"/>
  <c r="AB1769" i="93"/>
  <c r="BB1768" i="93"/>
  <c r="AB1768" i="93"/>
  <c r="BB1766" i="93"/>
  <c r="AB1766" i="93"/>
  <c r="BB1765" i="93"/>
  <c r="AB1765" i="93"/>
  <c r="BB1762" i="93"/>
  <c r="AB1762" i="93"/>
  <c r="BB1758" i="93"/>
  <c r="AB1758" i="93"/>
  <c r="BB1756" i="93"/>
  <c r="AB1756" i="93"/>
  <c r="BB1755" i="93"/>
  <c r="AB1755" i="93"/>
  <c r="BB1753" i="93"/>
  <c r="AB1753" i="93"/>
  <c r="AB1752" i="93"/>
  <c r="BB1751" i="93"/>
  <c r="AB1751" i="93"/>
  <c r="BB1747" i="93"/>
  <c r="AB1747" i="93"/>
  <c r="BB1745" i="93"/>
  <c r="AB1745" i="93"/>
  <c r="AB1744" i="93"/>
  <c r="BD1744" i="93" s="1"/>
  <c r="BF1744" i="93" s="1"/>
  <c r="BB1807" i="93"/>
  <c r="AB1807" i="93"/>
  <c r="BB1742" i="93"/>
  <c r="AB1742" i="93"/>
  <c r="AB1740" i="93"/>
  <c r="AB1738" i="93"/>
  <c r="BD1735" i="93"/>
  <c r="BF1735" i="93" s="1"/>
  <c r="BB1728" i="93"/>
  <c r="AB1728" i="93"/>
  <c r="BB1727" i="93"/>
  <c r="AB1727" i="93"/>
  <c r="BB1726" i="93"/>
  <c r="AB1726" i="93"/>
  <c r="BB1724" i="93"/>
  <c r="AB1724" i="93"/>
  <c r="BB1723" i="93"/>
  <c r="AB1723" i="93"/>
  <c r="BB1722" i="93"/>
  <c r="AB1722" i="93"/>
  <c r="BB1719" i="93"/>
  <c r="AB1719" i="93"/>
  <c r="BB1717" i="93"/>
  <c r="AB1717" i="93"/>
  <c r="BB1716" i="93"/>
  <c r="AB1716" i="93"/>
  <c r="BB1714" i="93"/>
  <c r="AB1714" i="93"/>
  <c r="BB1713" i="93"/>
  <c r="AB1713" i="93"/>
  <c r="BB1711" i="93"/>
  <c r="AB1711" i="93"/>
  <c r="BB1710" i="93"/>
  <c r="AB1710" i="93"/>
  <c r="BB1708" i="93"/>
  <c r="AB1708" i="93"/>
  <c r="BB1707" i="93"/>
  <c r="AB1707" i="93"/>
  <c r="BA1698" i="93"/>
  <c r="AW1698" i="93"/>
  <c r="AS1698" i="93"/>
  <c r="BB1701" i="93"/>
  <c r="AB1701" i="93"/>
  <c r="BB1699" i="93"/>
  <c r="AB1699" i="93"/>
  <c r="BC1698" i="93"/>
  <c r="AV1698" i="93"/>
  <c r="AU1698" i="93"/>
  <c r="AR1698" i="93"/>
  <c r="AQ1698" i="93"/>
  <c r="AO1698" i="93"/>
  <c r="AN1698" i="93"/>
  <c r="AM1698" i="93"/>
  <c r="AK1698" i="93"/>
  <c r="AJ1698" i="93"/>
  <c r="AI1698" i="93"/>
  <c r="AG1698" i="93"/>
  <c r="AF1698" i="93"/>
  <c r="AE1698" i="93"/>
  <c r="AC1698" i="93"/>
  <c r="W1698" i="93"/>
  <c r="V1698" i="93"/>
  <c r="U1698" i="93"/>
  <c r="S1698" i="93"/>
  <c r="R1698" i="93"/>
  <c r="Q1698" i="93"/>
  <c r="O1698" i="93"/>
  <c r="N1698" i="93"/>
  <c r="M1698" i="93"/>
  <c r="K1698" i="93"/>
  <c r="J1698" i="93"/>
  <c r="I1698" i="93"/>
  <c r="G1698" i="93"/>
  <c r="F1698" i="93"/>
  <c r="E1698" i="93"/>
  <c r="BB1694" i="93"/>
  <c r="AB1694" i="93"/>
  <c r="AB1693" i="93"/>
  <c r="BB1692" i="93"/>
  <c r="AB1692" i="93"/>
  <c r="BB1691" i="93"/>
  <c r="AB1691" i="93"/>
  <c r="BB1690" i="93"/>
  <c r="AB1690" i="93"/>
  <c r="BB1689" i="93"/>
  <c r="AB1689" i="93"/>
  <c r="BB1688" i="93"/>
  <c r="AB1688" i="93"/>
  <c r="BB1687" i="93"/>
  <c r="AB1687" i="93"/>
  <c r="BB1686" i="93"/>
  <c r="AB1686" i="93"/>
  <c r="BB1685" i="93"/>
  <c r="AB1685" i="93"/>
  <c r="BB1684" i="93"/>
  <c r="AB1684" i="93"/>
  <c r="BB1683" i="93"/>
  <c r="AB1683" i="93"/>
  <c r="BB1682" i="93"/>
  <c r="AB1682" i="93"/>
  <c r="BB1681" i="93"/>
  <c r="AB1681" i="93"/>
  <c r="BB1680" i="93"/>
  <c r="AB1680" i="93"/>
  <c r="BB1678" i="93"/>
  <c r="AB1678" i="93"/>
  <c r="BB1677" i="93"/>
  <c r="AB1677" i="93"/>
  <c r="BB1676" i="93"/>
  <c r="AB1676" i="93"/>
  <c r="BB1675" i="93"/>
  <c r="AB1675" i="93"/>
  <c r="BB1672" i="93"/>
  <c r="AB1672" i="93"/>
  <c r="BB1671" i="93"/>
  <c r="AB1671" i="93"/>
  <c r="BB1668" i="93"/>
  <c r="AB1668" i="93"/>
  <c r="BB1667" i="93"/>
  <c r="AB1667" i="93"/>
  <c r="BB1666" i="93"/>
  <c r="AB1666" i="93"/>
  <c r="BB1665" i="93"/>
  <c r="AB1665" i="93"/>
  <c r="BB1663" i="93"/>
  <c r="AB1663" i="93"/>
  <c r="AB1662" i="93"/>
  <c r="BD1662" i="93" s="1"/>
  <c r="BF1662" i="93" s="1"/>
  <c r="BB1660" i="93"/>
  <c r="AB1660" i="93"/>
  <c r="BB1659" i="93"/>
  <c r="AB1659" i="93"/>
  <c r="AB1657" i="93"/>
  <c r="BB1654" i="93"/>
  <c r="AB1654" i="93"/>
  <c r="BB1653" i="93"/>
  <c r="AB1653" i="93"/>
  <c r="BB1651" i="93"/>
  <c r="AB1651" i="93"/>
  <c r="BB1650" i="93"/>
  <c r="AB1650" i="93"/>
  <c r="BB1649" i="93"/>
  <c r="AB1649" i="93"/>
  <c r="BB1648" i="93"/>
  <c r="AB1648" i="93"/>
  <c r="BB1647" i="93"/>
  <c r="AB1647" i="93"/>
  <c r="BB1697" i="93"/>
  <c r="AB1697" i="93"/>
  <c r="BB1696" i="93"/>
  <c r="AB1696" i="93"/>
  <c r="BB1695" i="93"/>
  <c r="AB1695" i="93"/>
  <c r="BB1646" i="93"/>
  <c r="AB1646" i="93"/>
  <c r="AX1620" i="93"/>
  <c r="AB1641" i="93"/>
  <c r="BB1640" i="93"/>
  <c r="AB1640" i="93"/>
  <c r="BB1638" i="93"/>
  <c r="AB1638" i="93"/>
  <c r="BB1637" i="93"/>
  <c r="AB1637" i="93"/>
  <c r="AB1636" i="93"/>
  <c r="BD1636" i="93" s="1"/>
  <c r="BF1636" i="93" s="1"/>
  <c r="BB1634" i="93"/>
  <c r="AB1634" i="93"/>
  <c r="BB1632" i="93"/>
  <c r="AB1632" i="93"/>
  <c r="BB1631" i="93"/>
  <c r="AB1631" i="93"/>
  <c r="BB1629" i="93"/>
  <c r="AB1629" i="93"/>
  <c r="AB1628" i="93"/>
  <c r="BB1626" i="93"/>
  <c r="AB1626" i="93"/>
  <c r="BB1625" i="93"/>
  <c r="AB1625" i="93"/>
  <c r="BB1622" i="93"/>
  <c r="AB1622" i="93"/>
  <c r="BB1621" i="93"/>
  <c r="AB1621" i="93"/>
  <c r="BC1620" i="93"/>
  <c r="BA1620" i="93"/>
  <c r="AW1620" i="93"/>
  <c r="AV1620" i="93"/>
  <c r="AU1620" i="93"/>
  <c r="AT1620" i="93"/>
  <c r="AS1620" i="93"/>
  <c r="AR1620" i="93"/>
  <c r="AQ1620" i="93"/>
  <c r="AP1620" i="93"/>
  <c r="AO1620" i="93"/>
  <c r="AN1620" i="93"/>
  <c r="AM1620" i="93"/>
  <c r="AK1620" i="93"/>
  <c r="AJ1620" i="93"/>
  <c r="AI1620" i="93"/>
  <c r="AH1620" i="93"/>
  <c r="AG1620" i="93"/>
  <c r="AF1620" i="93"/>
  <c r="AE1620" i="93"/>
  <c r="AD1620" i="93"/>
  <c r="AC1620" i="93"/>
  <c r="AA1620" i="93"/>
  <c r="X1620" i="93"/>
  <c r="W1620" i="93"/>
  <c r="V1620" i="93"/>
  <c r="U1620" i="93"/>
  <c r="T1620" i="93"/>
  <c r="S1620" i="93"/>
  <c r="R1620" i="93"/>
  <c r="Q1620" i="93"/>
  <c r="P1620" i="93"/>
  <c r="O1620" i="93"/>
  <c r="N1620" i="93"/>
  <c r="M1620" i="93"/>
  <c r="L1620" i="93"/>
  <c r="K1620" i="93"/>
  <c r="J1620" i="93"/>
  <c r="I1620" i="93"/>
  <c r="H1620" i="93"/>
  <c r="G1620" i="93"/>
  <c r="F1620" i="93"/>
  <c r="E1620" i="93"/>
  <c r="D1620" i="93"/>
  <c r="BB1617" i="93"/>
  <c r="AB1617" i="93"/>
  <c r="BB1616" i="93"/>
  <c r="AB1616" i="93"/>
  <c r="BB1615" i="93"/>
  <c r="AB1615" i="93"/>
  <c r="BB1613" i="93"/>
  <c r="AB1613" i="93"/>
  <c r="BB1611" i="93"/>
  <c r="AB1611" i="93"/>
  <c r="BB1610" i="93"/>
  <c r="AB1610" i="93"/>
  <c r="BB1609" i="93"/>
  <c r="AB1609" i="93"/>
  <c r="BB1608" i="93"/>
  <c r="AB1608" i="93"/>
  <c r="BB1607" i="93"/>
  <c r="AB1607" i="93"/>
  <c r="BB1606" i="93"/>
  <c r="AB1606" i="93"/>
  <c r="BB1605" i="93"/>
  <c r="AB1605" i="93"/>
  <c r="AB1604" i="93"/>
  <c r="BD1604" i="93" s="1"/>
  <c r="BF1604" i="93" s="1"/>
  <c r="BB1600" i="93"/>
  <c r="AB1600" i="93"/>
  <c r="BB1598" i="93"/>
  <c r="AB1598" i="93"/>
  <c r="BB1597" i="93"/>
  <c r="AB1597" i="93"/>
  <c r="BB1595" i="93"/>
  <c r="AB1595" i="93"/>
  <c r="BB1594" i="93"/>
  <c r="AB1594" i="93"/>
  <c r="BB1593" i="93"/>
  <c r="AB1593" i="93"/>
  <c r="BB1592" i="93"/>
  <c r="AB1592" i="93"/>
  <c r="BB1591" i="93"/>
  <c r="AB1591" i="93"/>
  <c r="BB1590" i="93"/>
  <c r="AB1590" i="93"/>
  <c r="BB1589" i="93"/>
  <c r="AB1589" i="93"/>
  <c r="BB1588" i="93"/>
  <c r="AB1588" i="93"/>
  <c r="BB1586" i="93"/>
  <c r="AB1586" i="93"/>
  <c r="BB1585" i="93"/>
  <c r="AB1585" i="93"/>
  <c r="BB1584" i="93"/>
  <c r="AB1584" i="93"/>
  <c r="BB1581" i="93"/>
  <c r="AB1581" i="93"/>
  <c r="BB1580" i="93"/>
  <c r="AB1580" i="93"/>
  <c r="BB1579" i="93"/>
  <c r="AB1579" i="93"/>
  <c r="BB1578" i="93"/>
  <c r="AB1578" i="93"/>
  <c r="BB1577" i="93"/>
  <c r="AB1577" i="93"/>
  <c r="BB1574" i="93"/>
  <c r="AB1574" i="93"/>
  <c r="BB1573" i="93"/>
  <c r="AB1573" i="93"/>
  <c r="BB1572" i="93"/>
  <c r="AB1572" i="93"/>
  <c r="BB1570" i="93"/>
  <c r="AB1570" i="93"/>
  <c r="BB1569" i="93"/>
  <c r="AB1569" i="93"/>
  <c r="BB1568" i="93"/>
  <c r="AB1568" i="93"/>
  <c r="BB1567" i="93"/>
  <c r="AB1567" i="93"/>
  <c r="BB1564" i="93"/>
  <c r="AB1564" i="93"/>
  <c r="BB1562" i="93"/>
  <c r="AB1562" i="93"/>
  <c r="BB1561" i="93"/>
  <c r="AB1561" i="93"/>
  <c r="BB1559" i="93"/>
  <c r="AB1559" i="93"/>
  <c r="BB1558" i="93"/>
  <c r="AB1558" i="93"/>
  <c r="BB1557" i="93"/>
  <c r="AB1557" i="93"/>
  <c r="BB1555" i="93"/>
  <c r="AB1555" i="93"/>
  <c r="BB1554" i="93"/>
  <c r="AB1554" i="93"/>
  <c r="BB1553" i="93"/>
  <c r="AB1553" i="93"/>
  <c r="BB1552" i="93"/>
  <c r="AB1552" i="93"/>
  <c r="BB1551" i="93"/>
  <c r="AB1551" i="93"/>
  <c r="BB1619" i="93"/>
  <c r="AB1619" i="93"/>
  <c r="BB1550" i="93"/>
  <c r="AB1550" i="93"/>
  <c r="BB1548" i="93"/>
  <c r="AB1548" i="93"/>
  <c r="BB1545" i="93"/>
  <c r="AB1545" i="93"/>
  <c r="BB1544" i="93"/>
  <c r="AB1544" i="93"/>
  <c r="BB1540" i="93"/>
  <c r="AB1540" i="93"/>
  <c r="BB1539" i="93"/>
  <c r="AB1539" i="93"/>
  <c r="BB1538" i="93"/>
  <c r="AB1538" i="93"/>
  <c r="BB1537" i="93"/>
  <c r="AB1537" i="93"/>
  <c r="BB1536" i="93"/>
  <c r="AB1536" i="93"/>
  <c r="BB1535" i="93"/>
  <c r="AB1535" i="93"/>
  <c r="BB1534" i="93"/>
  <c r="AB1534" i="93"/>
  <c r="BB1532" i="93"/>
  <c r="AB1532" i="93"/>
  <c r="BB1531" i="93"/>
  <c r="AB1531" i="93"/>
  <c r="BB1529" i="93"/>
  <c r="AB1529" i="93"/>
  <c r="BB1528" i="93"/>
  <c r="AB1528" i="93"/>
  <c r="BB1527" i="93"/>
  <c r="AB1527" i="93"/>
  <c r="BB1526" i="93"/>
  <c r="AB1526" i="93"/>
  <c r="BB1525" i="93"/>
  <c r="AB1525" i="93"/>
  <c r="BB1524" i="93"/>
  <c r="AB1524" i="93"/>
  <c r="BB1523" i="93"/>
  <c r="AB1523" i="93"/>
  <c r="BB1522" i="93"/>
  <c r="AB1522" i="93"/>
  <c r="BB1521" i="93"/>
  <c r="AB1521" i="93"/>
  <c r="BB1519" i="93"/>
  <c r="AB1519" i="93"/>
  <c r="BB1518" i="93"/>
  <c r="AB1518" i="93"/>
  <c r="BB1515" i="93"/>
  <c r="AB1515" i="93"/>
  <c r="BB1514" i="93"/>
  <c r="AB1514" i="93"/>
  <c r="BC1512" i="93"/>
  <c r="BA1512" i="93"/>
  <c r="AX1512" i="93"/>
  <c r="AW1512" i="93"/>
  <c r="AV1512" i="93"/>
  <c r="AU1512" i="93"/>
  <c r="AT1512" i="93"/>
  <c r="AS1512" i="93"/>
  <c r="AR1512" i="93"/>
  <c r="AQ1512" i="93"/>
  <c r="AP1512" i="93"/>
  <c r="AO1512" i="93"/>
  <c r="AN1512" i="93"/>
  <c r="AM1512" i="93"/>
  <c r="AK1512" i="93"/>
  <c r="AJ1512" i="93"/>
  <c r="AI1512" i="93"/>
  <c r="AH1512" i="93"/>
  <c r="AG1512" i="93"/>
  <c r="AF1512" i="93"/>
  <c r="AE1512" i="93"/>
  <c r="AD1512" i="93"/>
  <c r="AC1512" i="93"/>
  <c r="AA1512" i="93"/>
  <c r="X1512" i="93"/>
  <c r="W1512" i="93"/>
  <c r="V1512" i="93"/>
  <c r="U1512" i="93"/>
  <c r="T1512" i="93"/>
  <c r="S1512" i="93"/>
  <c r="R1512" i="93"/>
  <c r="Q1512" i="93"/>
  <c r="P1512" i="93"/>
  <c r="O1512" i="93"/>
  <c r="N1512" i="93"/>
  <c r="M1512" i="93"/>
  <c r="L1512" i="93"/>
  <c r="K1512" i="93"/>
  <c r="J1512" i="93"/>
  <c r="I1512" i="93"/>
  <c r="H1512" i="93"/>
  <c r="G1512" i="93"/>
  <c r="F1512" i="93"/>
  <c r="E1512" i="93"/>
  <c r="D1512" i="93"/>
  <c r="BB1509" i="93"/>
  <c r="AB1509" i="93"/>
  <c r="BB1507" i="93"/>
  <c r="AB1507" i="93"/>
  <c r="BB1505" i="93"/>
  <c r="AB1505" i="93"/>
  <c r="BB1504" i="93"/>
  <c r="AB1504" i="93"/>
  <c r="BB1503" i="93"/>
  <c r="AB1503" i="93"/>
  <c r="AB1501" i="93"/>
  <c r="BB1500" i="93"/>
  <c r="AB1500" i="93"/>
  <c r="BB1496" i="93"/>
  <c r="AB1496" i="93"/>
  <c r="BB1495" i="93"/>
  <c r="AB1495" i="93"/>
  <c r="BB1492" i="93"/>
  <c r="AB1492" i="93"/>
  <c r="BB1491" i="93"/>
  <c r="AB1491" i="93"/>
  <c r="BB1490" i="93"/>
  <c r="AB1490" i="93"/>
  <c r="BB1488" i="93"/>
  <c r="AB1488" i="93"/>
  <c r="BB1487" i="93"/>
  <c r="AB1487" i="93"/>
  <c r="AB1486" i="93"/>
  <c r="AB1485" i="93"/>
  <c r="AB1484" i="93"/>
  <c r="AB1483" i="93"/>
  <c r="AB1482" i="93"/>
  <c r="AB1481" i="93"/>
  <c r="BB1475" i="93"/>
  <c r="AB1475" i="93"/>
  <c r="BB1474" i="93"/>
  <c r="AB1474" i="93"/>
  <c r="AB1473" i="93"/>
  <c r="AB1472" i="93"/>
  <c r="BB1467" i="93"/>
  <c r="AB1467" i="93"/>
  <c r="BB1466" i="93"/>
  <c r="AB1466" i="93"/>
  <c r="BB1465" i="93"/>
  <c r="AB1465" i="93"/>
  <c r="BB1462" i="93"/>
  <c r="AB1462" i="93"/>
  <c r="AB1461" i="93"/>
  <c r="BB1460" i="93"/>
  <c r="AB1460" i="93"/>
  <c r="BB1458" i="93"/>
  <c r="AB1458" i="93"/>
  <c r="BB1456" i="93"/>
  <c r="AB1456" i="93"/>
  <c r="AB1455" i="93"/>
  <c r="AB1511" i="93"/>
  <c r="BB1452" i="93"/>
  <c r="AB1452" i="93"/>
  <c r="BB1449" i="93"/>
  <c r="AB1449" i="93"/>
  <c r="BB1448" i="93"/>
  <c r="AB1448" i="93"/>
  <c r="BB1447" i="93"/>
  <c r="AB1447" i="93"/>
  <c r="AB1446" i="93"/>
  <c r="BB1445" i="93"/>
  <c r="AB1445" i="93"/>
  <c r="AB1444" i="93"/>
  <c r="BB1443" i="93"/>
  <c r="AB1443" i="93"/>
  <c r="BB1440" i="93"/>
  <c r="AB1440" i="93"/>
  <c r="BB1438" i="93"/>
  <c r="AB1438" i="93"/>
  <c r="AB1435" i="93"/>
  <c r="AB1434" i="93"/>
  <c r="AB1433" i="93"/>
  <c r="BB1431" i="93"/>
  <c r="AB1431" i="93"/>
  <c r="BB1430" i="93"/>
  <c r="AB1430" i="93"/>
  <c r="BB1429" i="93"/>
  <c r="AB1429" i="93"/>
  <c r="BB1426" i="93"/>
  <c r="AB1426" i="93"/>
  <c r="BB1425" i="93"/>
  <c r="AB1425" i="93"/>
  <c r="BB1424" i="93"/>
  <c r="AB1424" i="93"/>
  <c r="BB1423" i="93"/>
  <c r="AB1423" i="93"/>
  <c r="AB1422" i="93"/>
  <c r="BB1421" i="93"/>
  <c r="AB1421" i="93"/>
  <c r="BB1420" i="93"/>
  <c r="AB1420" i="93"/>
  <c r="BB1419" i="93"/>
  <c r="AB1419" i="93"/>
  <c r="BB1418" i="93"/>
  <c r="AB1418" i="93"/>
  <c r="BB1417" i="93"/>
  <c r="AB1417" i="93"/>
  <c r="BB1416" i="93"/>
  <c r="AB1416" i="93"/>
  <c r="BA1409" i="93"/>
  <c r="AW1409" i="93"/>
  <c r="AB1413" i="93"/>
  <c r="BB1411" i="93"/>
  <c r="AB1411" i="93"/>
  <c r="BB1410" i="93"/>
  <c r="AB1410" i="93"/>
  <c r="BC1409" i="93"/>
  <c r="AV1409" i="93"/>
  <c r="AU1409" i="93"/>
  <c r="AS1409" i="93"/>
  <c r="AR1409" i="93"/>
  <c r="AQ1409" i="93"/>
  <c r="AO1409" i="93"/>
  <c r="AN1409" i="93"/>
  <c r="AM1409" i="93"/>
  <c r="AK1409" i="93"/>
  <c r="AJ1409" i="93"/>
  <c r="AI1409" i="93"/>
  <c r="AG1409" i="93"/>
  <c r="AF1409" i="93"/>
  <c r="AE1409" i="93"/>
  <c r="AC1409" i="93"/>
  <c r="AA1409" i="93"/>
  <c r="X1409" i="93"/>
  <c r="W1409" i="93"/>
  <c r="V1409" i="93"/>
  <c r="U1409" i="93"/>
  <c r="T1409" i="93"/>
  <c r="S1409" i="93"/>
  <c r="R1409" i="93"/>
  <c r="Q1409" i="93"/>
  <c r="P1409" i="93"/>
  <c r="O1409" i="93"/>
  <c r="N1409" i="93"/>
  <c r="M1409" i="93"/>
  <c r="L1409" i="93"/>
  <c r="K1409" i="93"/>
  <c r="J1409" i="93"/>
  <c r="I1409" i="93"/>
  <c r="H1409" i="93"/>
  <c r="G1409" i="93"/>
  <c r="F1409" i="93"/>
  <c r="E1409" i="93"/>
  <c r="D1409" i="93"/>
  <c r="BB1404" i="93"/>
  <c r="AB1404" i="93"/>
  <c r="BB1403" i="93"/>
  <c r="AB1403" i="93"/>
  <c r="BB1397" i="93"/>
  <c r="AB1397" i="93"/>
  <c r="BB1396" i="93"/>
  <c r="AB1396" i="93"/>
  <c r="BB1390" i="93"/>
  <c r="AB1390" i="93"/>
  <c r="BB1385" i="93"/>
  <c r="AB1385" i="93"/>
  <c r="BB1384" i="93"/>
  <c r="AB1384" i="93"/>
  <c r="BB1381" i="93"/>
  <c r="AB1381" i="93"/>
  <c r="BB1380" i="93"/>
  <c r="AB1380" i="93"/>
  <c r="BB1379" i="93"/>
  <c r="AB1379" i="93"/>
  <c r="BB1377" i="93"/>
  <c r="AB1377" i="93"/>
  <c r="BB1376" i="93"/>
  <c r="AB1376" i="93"/>
  <c r="BB1375" i="93"/>
  <c r="AB1375" i="93"/>
  <c r="BB1374" i="93"/>
  <c r="AB1374" i="93"/>
  <c r="AB1372" i="93"/>
  <c r="BB1368" i="93"/>
  <c r="AB1368" i="93"/>
  <c r="BB1366" i="93"/>
  <c r="AB1366" i="93"/>
  <c r="BB1360" i="93"/>
  <c r="AB1360" i="93"/>
  <c r="BB1358" i="93"/>
  <c r="AB1358" i="93"/>
  <c r="BB1353" i="93"/>
  <c r="AB1353" i="93"/>
  <c r="BB1352" i="93"/>
  <c r="AB1352" i="93"/>
  <c r="BB1348" i="93"/>
  <c r="AB1348" i="93"/>
  <c r="BB1347" i="93"/>
  <c r="AB1347" i="93"/>
  <c r="BB1346" i="93"/>
  <c r="AB1346" i="93"/>
  <c r="BB1345" i="93"/>
  <c r="AB1345" i="93"/>
  <c r="BB1344" i="93"/>
  <c r="AB1344" i="93"/>
  <c r="BB1343" i="93"/>
  <c r="AB1343" i="93"/>
  <c r="BB1342" i="93"/>
  <c r="AB1342" i="93"/>
  <c r="BB1339" i="93"/>
  <c r="AB1339" i="93"/>
  <c r="BB1334" i="93"/>
  <c r="AB1334" i="93"/>
  <c r="BB1332" i="93"/>
  <c r="AB1332" i="93"/>
  <c r="BB1330" i="93"/>
  <c r="AB1330" i="93"/>
  <c r="BB1329" i="93"/>
  <c r="AB1329" i="93"/>
  <c r="BB1325" i="93"/>
  <c r="AB1325" i="93"/>
  <c r="BB1322" i="93"/>
  <c r="AB1322" i="93"/>
  <c r="BB1321" i="93"/>
  <c r="AB1321" i="93"/>
  <c r="BB1318" i="93"/>
  <c r="AB1318" i="93"/>
  <c r="BB1317" i="93"/>
  <c r="AB1317" i="93"/>
  <c r="BB1316" i="93"/>
  <c r="AB1316" i="93"/>
  <c r="BB1408" i="93"/>
  <c r="AB1408" i="93"/>
  <c r="BB1407" i="93"/>
  <c r="T1258" i="93"/>
  <c r="L1258" i="93"/>
  <c r="AB1407" i="93"/>
  <c r="AB1315" i="93"/>
  <c r="BB1313" i="93"/>
  <c r="AB1313" i="93"/>
  <c r="BB1312" i="93"/>
  <c r="AB1312" i="93"/>
  <c r="AX1258" i="93"/>
  <c r="BB1305" i="93"/>
  <c r="AB1305" i="93"/>
  <c r="AT1258" i="93"/>
  <c r="AB1304" i="93"/>
  <c r="BB1303" i="93"/>
  <c r="AB1303" i="93"/>
  <c r="BB1296" i="93"/>
  <c r="AB1296" i="93"/>
  <c r="BB1295" i="93"/>
  <c r="AB1295" i="93"/>
  <c r="BB1293" i="93"/>
  <c r="AB1293" i="93"/>
  <c r="BB1292" i="93"/>
  <c r="AB1292" i="93"/>
  <c r="BB1290" i="93"/>
  <c r="AB1290" i="93"/>
  <c r="BB1289" i="93"/>
  <c r="AB1289" i="93"/>
  <c r="BB1288" i="93"/>
  <c r="AB1288" i="93"/>
  <c r="BB1287" i="93"/>
  <c r="AB1287" i="93"/>
  <c r="BB1286" i="93"/>
  <c r="AB1286" i="93"/>
  <c r="BB1285" i="93"/>
  <c r="AB1285" i="93"/>
  <c r="BB1284" i="93"/>
  <c r="AB1284" i="93"/>
  <c r="BB1282" i="93"/>
  <c r="AB1282" i="93"/>
  <c r="BB1279" i="93"/>
  <c r="AB1279" i="93"/>
  <c r="BB1278" i="93"/>
  <c r="AB1278" i="93"/>
  <c r="BB1277" i="93"/>
  <c r="AB1277" i="93"/>
  <c r="BB1274" i="93"/>
  <c r="AB1274" i="93"/>
  <c r="BB1273" i="93"/>
  <c r="AB1273" i="93"/>
  <c r="AB1272" i="93"/>
  <c r="BD1272" i="93" s="1"/>
  <c r="BF1272" i="93" s="1"/>
  <c r="BB1269" i="93"/>
  <c r="X1258" i="93"/>
  <c r="H1258" i="93"/>
  <c r="P1258" i="93"/>
  <c r="D1258" i="93"/>
  <c r="AB1268" i="93"/>
  <c r="BD1268" i="93" s="1"/>
  <c r="BF1268" i="93" s="1"/>
  <c r="AB1263" i="93"/>
  <c r="BB1261" i="93"/>
  <c r="AB1261" i="93"/>
  <c r="BB1259" i="93"/>
  <c r="AB1259" i="93"/>
  <c r="BC1258" i="93"/>
  <c r="BA1258" i="93"/>
  <c r="AW1258" i="93"/>
  <c r="AV1258" i="93"/>
  <c r="AU1258" i="93"/>
  <c r="AS1258" i="93"/>
  <c r="AR1258" i="93"/>
  <c r="AQ1258" i="93"/>
  <c r="AO1258" i="93"/>
  <c r="AN1258" i="93"/>
  <c r="AM1258" i="93"/>
  <c r="AL1258" i="93"/>
  <c r="AK1258" i="93"/>
  <c r="AJ1258" i="93"/>
  <c r="AI1258" i="93"/>
  <c r="AH1258" i="93"/>
  <c r="AG1258" i="93"/>
  <c r="AF1258" i="93"/>
  <c r="AE1258" i="93"/>
  <c r="AD1258" i="93"/>
  <c r="AC1258" i="93"/>
  <c r="AA1258" i="93"/>
  <c r="W1258" i="93"/>
  <c r="V1258" i="93"/>
  <c r="U1258" i="93"/>
  <c r="S1258" i="93"/>
  <c r="R1258" i="93"/>
  <c r="Q1258" i="93"/>
  <c r="O1258" i="93"/>
  <c r="N1258" i="93"/>
  <c r="M1258" i="93"/>
  <c r="K1258" i="93"/>
  <c r="J1258" i="93"/>
  <c r="I1258" i="93"/>
  <c r="G1258" i="93"/>
  <c r="F1258" i="93"/>
  <c r="E1258" i="93"/>
  <c r="BB1257" i="93"/>
  <c r="AB1257" i="93"/>
  <c r="BB1256" i="93"/>
  <c r="AB1256" i="93"/>
  <c r="AB1252" i="93"/>
  <c r="BD1252" i="93" s="1"/>
  <c r="BF1252" i="93" s="1"/>
  <c r="AB1248" i="93"/>
  <c r="BB1247" i="93"/>
  <c r="AB1247" i="93"/>
  <c r="BB1246" i="93"/>
  <c r="AB1246" i="93"/>
  <c r="BB1245" i="93"/>
  <c r="AB1245" i="93"/>
  <c r="BB1244" i="93"/>
  <c r="AB1244" i="93"/>
  <c r="BB1243" i="93"/>
  <c r="AB1243" i="93"/>
  <c r="BB1242" i="93"/>
  <c r="AB1242" i="93"/>
  <c r="BB1241" i="93"/>
  <c r="AB1241" i="93"/>
  <c r="BB1236" i="93"/>
  <c r="AB1236" i="93"/>
  <c r="BB1235" i="93"/>
  <c r="AB1235" i="93"/>
  <c r="BB1233" i="93"/>
  <c r="AB1233" i="93"/>
  <c r="BB1232" i="93"/>
  <c r="AB1232" i="93"/>
  <c r="BB1230" i="93"/>
  <c r="AB1230" i="93"/>
  <c r="BB1229" i="93"/>
  <c r="AB1229" i="93"/>
  <c r="BB1228" i="93"/>
  <c r="AB1228" i="93"/>
  <c r="BB1227" i="93"/>
  <c r="AB1227" i="93"/>
  <c r="BB1226" i="93"/>
  <c r="AB1226" i="93"/>
  <c r="BB1225" i="93"/>
  <c r="AB1225" i="93"/>
  <c r="BB1224" i="93"/>
  <c r="AB1224" i="93"/>
  <c r="AB1223" i="93"/>
  <c r="BD1223" i="93" s="1"/>
  <c r="BF1223" i="93" s="1"/>
  <c r="BB1221" i="93"/>
  <c r="AB1221" i="93"/>
  <c r="BB1217" i="93"/>
  <c r="AB1217" i="93"/>
  <c r="BB1215" i="93"/>
  <c r="AB1215" i="93"/>
  <c r="BB1212" i="93"/>
  <c r="AB1212" i="93"/>
  <c r="BB1210" i="93"/>
  <c r="AB1210" i="93"/>
  <c r="BB1209" i="93"/>
  <c r="AB1209" i="93"/>
  <c r="BB1208" i="93"/>
  <c r="AB1208" i="93"/>
  <c r="BB1206" i="93"/>
  <c r="AB1206" i="93"/>
  <c r="BB1205" i="93"/>
  <c r="AB1205" i="93"/>
  <c r="BB1203" i="93"/>
  <c r="AB1203" i="93"/>
  <c r="BB1199" i="93"/>
  <c r="AB1199" i="93"/>
  <c r="BB1198" i="93"/>
  <c r="AB1198" i="93"/>
  <c r="BB1197" i="93"/>
  <c r="AB1197" i="93"/>
  <c r="BB1194" i="93"/>
  <c r="AB1194" i="93"/>
  <c r="BB1193" i="93"/>
  <c r="AB1193" i="93"/>
  <c r="AB1190" i="93"/>
  <c r="BD1190" i="93" s="1"/>
  <c r="BF1190" i="93" s="1"/>
  <c r="BB1231" i="93"/>
  <c r="AB1231" i="93"/>
  <c r="BB1188" i="93"/>
  <c r="AB1188" i="93"/>
  <c r="BB1187" i="93"/>
  <c r="AB1187" i="93"/>
  <c r="BB1185" i="93"/>
  <c r="AB1185" i="93"/>
  <c r="BB1184" i="93"/>
  <c r="AB1184" i="93"/>
  <c r="BB1183" i="93"/>
  <c r="AB1183" i="93"/>
  <c r="BB1182" i="93"/>
  <c r="AB1182" i="93"/>
  <c r="BB1180" i="93"/>
  <c r="AB1180" i="93"/>
  <c r="BB1179" i="93"/>
  <c r="AB1179" i="93"/>
  <c r="BB1178" i="93"/>
  <c r="AB1178" i="93"/>
  <c r="BB1177" i="93"/>
  <c r="AB1177" i="93"/>
  <c r="BB1176" i="93"/>
  <c r="AB1176" i="93"/>
  <c r="AB1175" i="93"/>
  <c r="BB1174" i="93"/>
  <c r="AB1174" i="93"/>
  <c r="BB1172" i="93"/>
  <c r="AB1172" i="93"/>
  <c r="AB1171" i="93"/>
  <c r="AB1168" i="93"/>
  <c r="BB1165" i="93"/>
  <c r="AB1165" i="93"/>
  <c r="BB1163" i="93"/>
  <c r="AB1163" i="93"/>
  <c r="BB1255" i="93"/>
  <c r="AB1255" i="93"/>
  <c r="BB1159" i="93"/>
  <c r="AB1159" i="93"/>
  <c r="BB1154" i="93"/>
  <c r="AB1154" i="93"/>
  <c r="BB1153" i="93"/>
  <c r="AB1153" i="93"/>
  <c r="BB1152" i="93"/>
  <c r="AB1152" i="93"/>
  <c r="BB1151" i="93"/>
  <c r="AB1151" i="93"/>
  <c r="BB1150" i="93"/>
  <c r="AB1150" i="93"/>
  <c r="BB1149" i="93"/>
  <c r="AB1149" i="93"/>
  <c r="BB1148" i="93"/>
  <c r="AB1148" i="93"/>
  <c r="BB1147" i="93"/>
  <c r="AB1147" i="93"/>
  <c r="BB1144" i="93"/>
  <c r="AB1144" i="93"/>
  <c r="BB1143" i="93"/>
  <c r="AB1143" i="93"/>
  <c r="BB1142" i="93"/>
  <c r="AB1142" i="93"/>
  <c r="BB1141" i="93"/>
  <c r="AB1141" i="93"/>
  <c r="BB1140" i="93"/>
  <c r="AB1140" i="93"/>
  <c r="AB1139" i="93"/>
  <c r="BB1138" i="93"/>
  <c r="AB1138" i="93"/>
  <c r="BB1137" i="93"/>
  <c r="AB1137" i="93"/>
  <c r="BB1136" i="93"/>
  <c r="AB1136" i="93"/>
  <c r="AB1133" i="93"/>
  <c r="BB1131" i="93"/>
  <c r="AB1131" i="93"/>
  <c r="AB1130" i="93"/>
  <c r="BB1124" i="93"/>
  <c r="AB1124" i="93"/>
  <c r="BB1122" i="93"/>
  <c r="AB1122" i="93"/>
  <c r="BB1121" i="93"/>
  <c r="AB1121" i="93"/>
  <c r="AB1120" i="93"/>
  <c r="BB1118" i="93"/>
  <c r="AB1118" i="93"/>
  <c r="BB1117" i="93"/>
  <c r="AB1117" i="93"/>
  <c r="BB1116" i="93"/>
  <c r="AB1116" i="93"/>
  <c r="AB1114" i="93"/>
  <c r="BB1113" i="93"/>
  <c r="AB1113" i="93"/>
  <c r="BB1112" i="93"/>
  <c r="AB1112" i="93"/>
  <c r="BB1111" i="93"/>
  <c r="AB1111" i="93"/>
  <c r="BB1107" i="93"/>
  <c r="AB1107" i="93"/>
  <c r="BB1106" i="93"/>
  <c r="AB1106" i="93"/>
  <c r="BB1105" i="93"/>
  <c r="AB1105" i="93"/>
  <c r="BB1104" i="93"/>
  <c r="AB1104" i="93"/>
  <c r="AX1091" i="93"/>
  <c r="AP1091" i="93"/>
  <c r="AB1103" i="93"/>
  <c r="BB1102" i="93"/>
  <c r="AB1102" i="93"/>
  <c r="BB1101" i="93"/>
  <c r="AB1101" i="93"/>
  <c r="BB1100" i="93"/>
  <c r="P1091" i="93"/>
  <c r="D1091" i="93"/>
  <c r="BB1097" i="93"/>
  <c r="AB1097" i="93"/>
  <c r="AB1095" i="93"/>
  <c r="BB1094" i="93"/>
  <c r="AB1094" i="93"/>
  <c r="BB1092" i="93"/>
  <c r="AB1092" i="93"/>
  <c r="BA1091" i="93"/>
  <c r="AW1091" i="93"/>
  <c r="AV1091" i="93"/>
  <c r="AU1091" i="93"/>
  <c r="AS1091" i="93"/>
  <c r="AR1091" i="93"/>
  <c r="AQ1091" i="93"/>
  <c r="AO1091" i="93"/>
  <c r="AN1091" i="93"/>
  <c r="AM1091" i="93"/>
  <c r="AK1091" i="93"/>
  <c r="AJ1091" i="93"/>
  <c r="AI1091" i="93"/>
  <c r="AG1091" i="93"/>
  <c r="AF1091" i="93"/>
  <c r="AE1091" i="93"/>
  <c r="AC1091" i="93"/>
  <c r="AA1091" i="93"/>
  <c r="X1091" i="93"/>
  <c r="W1091" i="93"/>
  <c r="V1091" i="93"/>
  <c r="U1091" i="93"/>
  <c r="S1091" i="93"/>
  <c r="R1091" i="93"/>
  <c r="Q1091" i="93"/>
  <c r="O1091" i="93"/>
  <c r="N1091" i="93"/>
  <c r="M1091" i="93"/>
  <c r="K1091" i="93"/>
  <c r="J1091" i="93"/>
  <c r="I1091" i="93"/>
  <c r="H1091" i="93"/>
  <c r="G1091" i="93"/>
  <c r="F1091" i="93"/>
  <c r="E1091" i="93"/>
  <c r="BB1090" i="93"/>
  <c r="AB1090" i="93"/>
  <c r="BB1089" i="93"/>
  <c r="BB1088" i="93" s="1"/>
  <c r="AB1089" i="93"/>
  <c r="BC1088" i="93"/>
  <c r="BA1088" i="93"/>
  <c r="AX1088" i="93"/>
  <c r="AW1088" i="93"/>
  <c r="AV1088" i="93"/>
  <c r="AU1088" i="93"/>
  <c r="AT1088" i="93"/>
  <c r="AS1088" i="93"/>
  <c r="AR1088" i="93"/>
  <c r="AQ1088" i="93"/>
  <c r="AP1088" i="93"/>
  <c r="AO1088" i="93"/>
  <c r="AN1088" i="93"/>
  <c r="AM1088" i="93"/>
  <c r="AL1088" i="93"/>
  <c r="AK1088" i="93"/>
  <c r="AJ1088" i="93"/>
  <c r="AI1088" i="93"/>
  <c r="AH1088" i="93"/>
  <c r="AG1088" i="93"/>
  <c r="AF1088" i="93"/>
  <c r="AE1088" i="93"/>
  <c r="AD1088" i="93"/>
  <c r="AC1088" i="93"/>
  <c r="AA1088" i="93"/>
  <c r="X1088" i="93"/>
  <c r="W1088" i="93"/>
  <c r="V1088" i="93"/>
  <c r="U1088" i="93"/>
  <c r="T1088" i="93"/>
  <c r="S1088" i="93"/>
  <c r="R1088" i="93"/>
  <c r="Q1088" i="93"/>
  <c r="P1088" i="93"/>
  <c r="O1088" i="93"/>
  <c r="N1088" i="93"/>
  <c r="M1088" i="93"/>
  <c r="L1088" i="93"/>
  <c r="K1088" i="93"/>
  <c r="J1088" i="93"/>
  <c r="I1088" i="93"/>
  <c r="H1088" i="93"/>
  <c r="G1088" i="93"/>
  <c r="F1088" i="93"/>
  <c r="E1088" i="93"/>
  <c r="D1088" i="93"/>
  <c r="BB1087" i="93"/>
  <c r="BB1086" i="93" s="1"/>
  <c r="AB1087" i="93"/>
  <c r="BC1086" i="93"/>
  <c r="BA1086" i="93"/>
  <c r="AX1086" i="93"/>
  <c r="AW1086" i="93"/>
  <c r="AV1086" i="93"/>
  <c r="AU1086" i="93"/>
  <c r="AT1086" i="93"/>
  <c r="AS1086" i="93"/>
  <c r="AR1086" i="93"/>
  <c r="AQ1086" i="93"/>
  <c r="AP1086" i="93"/>
  <c r="AO1086" i="93"/>
  <c r="AN1086" i="93"/>
  <c r="AM1086" i="93"/>
  <c r="AL1086" i="93"/>
  <c r="AK1086" i="93"/>
  <c r="AJ1086" i="93"/>
  <c r="AI1086" i="93"/>
  <c r="AH1086" i="93"/>
  <c r="AG1086" i="93"/>
  <c r="AF1086" i="93"/>
  <c r="AE1086" i="93"/>
  <c r="AD1086" i="93"/>
  <c r="AC1086" i="93"/>
  <c r="AA1086" i="93"/>
  <c r="X1086" i="93"/>
  <c r="W1086" i="93"/>
  <c r="V1086" i="93"/>
  <c r="U1086" i="93"/>
  <c r="T1086" i="93"/>
  <c r="S1086" i="93"/>
  <c r="R1086" i="93"/>
  <c r="Q1086" i="93"/>
  <c r="P1086" i="93"/>
  <c r="O1086" i="93"/>
  <c r="N1086" i="93"/>
  <c r="M1086" i="93"/>
  <c r="L1086" i="93"/>
  <c r="K1086" i="93"/>
  <c r="J1086" i="93"/>
  <c r="I1086" i="93"/>
  <c r="H1086" i="93"/>
  <c r="G1086" i="93"/>
  <c r="F1086" i="93"/>
  <c r="E1086" i="93"/>
  <c r="D1086" i="93"/>
  <c r="BB1085" i="93"/>
  <c r="AB1085" i="93"/>
  <c r="BB1084" i="93"/>
  <c r="AB1084" i="93"/>
  <c r="BC1083" i="93"/>
  <c r="BA1083" i="93"/>
  <c r="AX1083" i="93"/>
  <c r="AW1083" i="93"/>
  <c r="AV1083" i="93"/>
  <c r="AU1083" i="93"/>
  <c r="AT1083" i="93"/>
  <c r="AS1083" i="93"/>
  <c r="AR1083" i="93"/>
  <c r="AQ1083" i="93"/>
  <c r="AP1083" i="93"/>
  <c r="AO1083" i="93"/>
  <c r="AN1083" i="93"/>
  <c r="AM1083" i="93"/>
  <c r="AL1083" i="93"/>
  <c r="AK1083" i="93"/>
  <c r="AJ1083" i="93"/>
  <c r="AI1083" i="93"/>
  <c r="AH1083" i="93"/>
  <c r="AG1083" i="93"/>
  <c r="AF1083" i="93"/>
  <c r="AE1083" i="93"/>
  <c r="AD1083" i="93"/>
  <c r="AC1083" i="93"/>
  <c r="AA1083" i="93"/>
  <c r="X1083" i="93"/>
  <c r="W1083" i="93"/>
  <c r="V1083" i="93"/>
  <c r="U1083" i="93"/>
  <c r="T1083" i="93"/>
  <c r="S1083" i="93"/>
  <c r="R1083" i="93"/>
  <c r="Q1083" i="93"/>
  <c r="P1083" i="93"/>
  <c r="O1083" i="93"/>
  <c r="N1083" i="93"/>
  <c r="M1083" i="93"/>
  <c r="L1083" i="93"/>
  <c r="K1083" i="93"/>
  <c r="J1083" i="93"/>
  <c r="I1083" i="93"/>
  <c r="H1083" i="93"/>
  <c r="G1083" i="93"/>
  <c r="F1083" i="93"/>
  <c r="E1083" i="93"/>
  <c r="D1083" i="93"/>
  <c r="BB1082" i="93"/>
  <c r="AB1082" i="93"/>
  <c r="BC1081" i="93"/>
  <c r="BA1081" i="93"/>
  <c r="AX1081" i="93"/>
  <c r="AW1081" i="93"/>
  <c r="AV1081" i="93"/>
  <c r="AU1081" i="93"/>
  <c r="AT1081" i="93"/>
  <c r="AS1081" i="93"/>
  <c r="AR1081" i="93"/>
  <c r="AQ1081" i="93"/>
  <c r="AP1081" i="93"/>
  <c r="AO1081" i="93"/>
  <c r="AN1081" i="93"/>
  <c r="AM1081" i="93"/>
  <c r="AL1081" i="93"/>
  <c r="AK1081" i="93"/>
  <c r="AJ1081" i="93"/>
  <c r="AI1081" i="93"/>
  <c r="AH1081" i="93"/>
  <c r="AG1081" i="93"/>
  <c r="AF1081" i="93"/>
  <c r="AE1081" i="93"/>
  <c r="AD1081" i="93"/>
  <c r="AC1081" i="93"/>
  <c r="AA1081" i="93"/>
  <c r="X1081" i="93"/>
  <c r="W1081" i="93"/>
  <c r="V1081" i="93"/>
  <c r="U1081" i="93"/>
  <c r="T1081" i="93"/>
  <c r="S1081" i="93"/>
  <c r="R1081" i="93"/>
  <c r="Q1081" i="93"/>
  <c r="P1081" i="93"/>
  <c r="O1081" i="93"/>
  <c r="N1081" i="93"/>
  <c r="M1081" i="93"/>
  <c r="L1081" i="93"/>
  <c r="K1081" i="93"/>
  <c r="J1081" i="93"/>
  <c r="I1081" i="93"/>
  <c r="H1081" i="93"/>
  <c r="G1081" i="93"/>
  <c r="F1081" i="93"/>
  <c r="E1081" i="93"/>
  <c r="D1081" i="93"/>
  <c r="BB1079" i="93"/>
  <c r="AB1079" i="93"/>
  <c r="BB1078" i="93"/>
  <c r="AB1078" i="93"/>
  <c r="BB1075" i="93"/>
  <c r="AB1075" i="93"/>
  <c r="BB1074" i="93"/>
  <c r="AB1074" i="93"/>
  <c r="BB1073" i="93"/>
  <c r="AB1073" i="93"/>
  <c r="BB1072" i="93"/>
  <c r="AB1072" i="93"/>
  <c r="BB1071" i="93"/>
  <c r="AB1071" i="93"/>
  <c r="BB1070" i="93"/>
  <c r="AB1070" i="93"/>
  <c r="BB1069" i="93"/>
  <c r="AB1069" i="93"/>
  <c r="BA1068" i="93"/>
  <c r="AX1068" i="93"/>
  <c r="AW1068" i="93"/>
  <c r="AV1068" i="93"/>
  <c r="AU1068" i="93"/>
  <c r="AT1068" i="93"/>
  <c r="AS1068" i="93"/>
  <c r="AR1068" i="93"/>
  <c r="AQ1068" i="93"/>
  <c r="AP1068" i="93"/>
  <c r="AO1068" i="93"/>
  <c r="AN1068" i="93"/>
  <c r="AM1068" i="93"/>
  <c r="AL1068" i="93"/>
  <c r="AK1068" i="93"/>
  <c r="AJ1068" i="93"/>
  <c r="AI1068" i="93"/>
  <c r="AH1068" i="93"/>
  <c r="AG1068" i="93"/>
  <c r="AF1068" i="93"/>
  <c r="AE1068" i="93"/>
  <c r="AD1068" i="93"/>
  <c r="AC1068" i="93"/>
  <c r="BE1068" i="93" s="1"/>
  <c r="AA1068" i="93"/>
  <c r="X1068" i="93"/>
  <c r="W1068" i="93"/>
  <c r="V1068" i="93"/>
  <c r="U1068" i="93"/>
  <c r="T1068" i="93"/>
  <c r="S1068" i="93"/>
  <c r="R1068" i="93"/>
  <c r="Q1068" i="93"/>
  <c r="P1068" i="93"/>
  <c r="O1068" i="93"/>
  <c r="N1068" i="93"/>
  <c r="M1068" i="93"/>
  <c r="L1068" i="93"/>
  <c r="K1068" i="93"/>
  <c r="J1068" i="93"/>
  <c r="I1068" i="93"/>
  <c r="H1068" i="93"/>
  <c r="G1068" i="93"/>
  <c r="F1068" i="93"/>
  <c r="E1068" i="93"/>
  <c r="D1068" i="93"/>
  <c r="BB1065" i="93"/>
  <c r="AB1065" i="93"/>
  <c r="BB1063" i="93"/>
  <c r="BB1062" i="93"/>
  <c r="AB1062" i="93"/>
  <c r="BB1057" i="93"/>
  <c r="AB1057" i="93"/>
  <c r="BB1055" i="93"/>
  <c r="AB1055" i="93"/>
  <c r="BB1053" i="93"/>
  <c r="AB1053" i="93"/>
  <c r="BB1052" i="93"/>
  <c r="AB1052" i="93"/>
  <c r="BB1049" i="93"/>
  <c r="AB1049" i="93"/>
  <c r="BB1045" i="93"/>
  <c r="X1043" i="93"/>
  <c r="BA1043" i="93"/>
  <c r="AX1043" i="93"/>
  <c r="AW1043" i="93"/>
  <c r="AV1043" i="93"/>
  <c r="AU1043" i="93"/>
  <c r="AT1043" i="93"/>
  <c r="AS1043" i="93"/>
  <c r="AR1043" i="93"/>
  <c r="AQ1043" i="93"/>
  <c r="AP1043" i="93"/>
  <c r="AO1043" i="93"/>
  <c r="AN1043" i="93"/>
  <c r="AM1043" i="93"/>
  <c r="AL1043" i="93"/>
  <c r="AK1043" i="93"/>
  <c r="AJ1043" i="93"/>
  <c r="AI1043" i="93"/>
  <c r="AH1043" i="93"/>
  <c r="AG1043" i="93"/>
  <c r="AF1043" i="93"/>
  <c r="AE1043" i="93"/>
  <c r="AD1043" i="93"/>
  <c r="AC1043" i="93"/>
  <c r="BE1043" i="93" s="1"/>
  <c r="AA1043" i="93"/>
  <c r="W1043" i="93"/>
  <c r="V1043" i="93"/>
  <c r="U1043" i="93"/>
  <c r="T1043" i="93"/>
  <c r="S1043" i="93"/>
  <c r="R1043" i="93"/>
  <c r="Q1043" i="93"/>
  <c r="O1043" i="93"/>
  <c r="N1043" i="93"/>
  <c r="M1043" i="93"/>
  <c r="K1043" i="93"/>
  <c r="J1043" i="93"/>
  <c r="I1043" i="93"/>
  <c r="H1043" i="93"/>
  <c r="G1043" i="93"/>
  <c r="F1043" i="93"/>
  <c r="E1043" i="93"/>
  <c r="D1043" i="93"/>
  <c r="BB1041" i="93"/>
  <c r="AB1041" i="93"/>
  <c r="BA1040" i="93"/>
  <c r="AX1040" i="93"/>
  <c r="AW1040" i="93"/>
  <c r="AV1040" i="93"/>
  <c r="AU1040" i="93"/>
  <c r="AT1040" i="93"/>
  <c r="AS1040" i="93"/>
  <c r="AR1040" i="93"/>
  <c r="AQ1040" i="93"/>
  <c r="AP1040" i="93"/>
  <c r="AO1040" i="93"/>
  <c r="AN1040" i="93"/>
  <c r="AM1040" i="93"/>
  <c r="AL1040" i="93"/>
  <c r="AK1040" i="93"/>
  <c r="AJ1040" i="93"/>
  <c r="AI1040" i="93"/>
  <c r="AH1040" i="93"/>
  <c r="AG1040" i="93"/>
  <c r="AF1040" i="93"/>
  <c r="AE1040" i="93"/>
  <c r="AD1040" i="93"/>
  <c r="AC1040" i="93"/>
  <c r="BE1040" i="93" s="1"/>
  <c r="AA1040" i="93"/>
  <c r="X1040" i="93"/>
  <c r="W1040" i="93"/>
  <c r="V1040" i="93"/>
  <c r="U1040" i="93"/>
  <c r="T1040" i="93"/>
  <c r="S1040" i="93"/>
  <c r="R1040" i="93"/>
  <c r="Q1040" i="93"/>
  <c r="P1040" i="93"/>
  <c r="O1040" i="93"/>
  <c r="N1040" i="93"/>
  <c r="M1040" i="93"/>
  <c r="L1040" i="93"/>
  <c r="K1040" i="93"/>
  <c r="J1040" i="93"/>
  <c r="I1040" i="93"/>
  <c r="H1040" i="93"/>
  <c r="G1040" i="93"/>
  <c r="F1040" i="93"/>
  <c r="E1040" i="93"/>
  <c r="D1040" i="93"/>
  <c r="BB1039" i="93"/>
  <c r="AB1039" i="93"/>
  <c r="BB1038" i="93"/>
  <c r="AB1038" i="93"/>
  <c r="BB1037" i="93"/>
  <c r="AB1037" i="93"/>
  <c r="BB1034" i="93"/>
  <c r="AB1034" i="93"/>
  <c r="BB1033" i="93"/>
  <c r="AB1033" i="93"/>
  <c r="BB1032" i="93"/>
  <c r="BA1028" i="93"/>
  <c r="AX1028" i="93"/>
  <c r="AW1028" i="93"/>
  <c r="AV1028" i="93"/>
  <c r="AU1028" i="93"/>
  <c r="AT1028" i="93"/>
  <c r="AS1028" i="93"/>
  <c r="AR1028" i="93"/>
  <c r="AQ1028" i="93"/>
  <c r="AP1028" i="93"/>
  <c r="AO1028" i="93"/>
  <c r="AN1028" i="93"/>
  <c r="AM1028" i="93"/>
  <c r="AL1028" i="93"/>
  <c r="AK1028" i="93"/>
  <c r="AJ1028" i="93"/>
  <c r="AI1028" i="93"/>
  <c r="AH1028" i="93"/>
  <c r="AG1028" i="93"/>
  <c r="AF1028" i="93"/>
  <c r="AE1028" i="93"/>
  <c r="AD1028" i="93"/>
  <c r="AC1028" i="93"/>
  <c r="BE1028" i="93" s="1"/>
  <c r="AA1028" i="93"/>
  <c r="W1028" i="93"/>
  <c r="V1028" i="93"/>
  <c r="U1028" i="93"/>
  <c r="T1028" i="93"/>
  <c r="S1028" i="93"/>
  <c r="R1028" i="93"/>
  <c r="Q1028" i="93"/>
  <c r="P1028" i="93"/>
  <c r="O1028" i="93"/>
  <c r="N1028" i="93"/>
  <c r="M1028" i="93"/>
  <c r="L1028" i="93"/>
  <c r="K1028" i="93"/>
  <c r="J1028" i="93"/>
  <c r="I1028" i="93"/>
  <c r="H1028" i="93"/>
  <c r="G1028" i="93"/>
  <c r="F1028" i="93"/>
  <c r="E1028" i="93"/>
  <c r="D1028" i="93"/>
  <c r="BB1025" i="93"/>
  <c r="AB1025" i="93"/>
  <c r="BB1024" i="93"/>
  <c r="AB1024" i="93"/>
  <c r="BA1023" i="93"/>
  <c r="AX1023" i="93"/>
  <c r="AW1023" i="93"/>
  <c r="AV1023" i="93"/>
  <c r="AU1023" i="93"/>
  <c r="AT1023" i="93"/>
  <c r="AS1023" i="93"/>
  <c r="AR1023" i="93"/>
  <c r="AQ1023" i="93"/>
  <c r="AP1023" i="93"/>
  <c r="AO1023" i="93"/>
  <c r="AN1023" i="93"/>
  <c r="AM1023" i="93"/>
  <c r="AL1023" i="93"/>
  <c r="AK1023" i="93"/>
  <c r="AJ1023" i="93"/>
  <c r="AI1023" i="93"/>
  <c r="AH1023" i="93"/>
  <c r="AG1023" i="93"/>
  <c r="AF1023" i="93"/>
  <c r="AE1023" i="93"/>
  <c r="AD1023" i="93"/>
  <c r="AC1023" i="93"/>
  <c r="BE1023" i="93" s="1"/>
  <c r="AA1023" i="93"/>
  <c r="X1023" i="93"/>
  <c r="W1023" i="93"/>
  <c r="V1023" i="93"/>
  <c r="U1023" i="93"/>
  <c r="T1023" i="93"/>
  <c r="S1023" i="93"/>
  <c r="R1023" i="93"/>
  <c r="Q1023" i="93"/>
  <c r="P1023" i="93"/>
  <c r="O1023" i="93"/>
  <c r="N1023" i="93"/>
  <c r="M1023" i="93"/>
  <c r="L1023" i="93"/>
  <c r="K1023" i="93"/>
  <c r="J1023" i="93"/>
  <c r="I1023" i="93"/>
  <c r="H1023" i="93"/>
  <c r="G1023" i="93"/>
  <c r="F1023" i="93"/>
  <c r="E1023" i="93"/>
  <c r="D1023" i="93"/>
  <c r="BB1022" i="93"/>
  <c r="AB1022" i="93"/>
  <c r="BB1021" i="93"/>
  <c r="AB1021" i="93"/>
  <c r="BB1020" i="93"/>
  <c r="AB1020" i="93"/>
  <c r="BB1019" i="93"/>
  <c r="AB1019" i="93"/>
  <c r="BC1018" i="93"/>
  <c r="BA1018" i="93"/>
  <c r="AX1018" i="93"/>
  <c r="AW1018" i="93"/>
  <c r="AV1018" i="93"/>
  <c r="AU1018" i="93"/>
  <c r="AT1018" i="93"/>
  <c r="AS1018" i="93"/>
  <c r="AR1018" i="93"/>
  <c r="AQ1018" i="93"/>
  <c r="AP1018" i="93"/>
  <c r="AO1018" i="93"/>
  <c r="AN1018" i="93"/>
  <c r="AM1018" i="93"/>
  <c r="AL1018" i="93"/>
  <c r="AK1018" i="93"/>
  <c r="AJ1018" i="93"/>
  <c r="AI1018" i="93"/>
  <c r="AH1018" i="93"/>
  <c r="AG1018" i="93"/>
  <c r="AF1018" i="93"/>
  <c r="AE1018" i="93"/>
  <c r="AD1018" i="93"/>
  <c r="AC1018" i="93"/>
  <c r="AA1018" i="93"/>
  <c r="X1018" i="93"/>
  <c r="W1018" i="93"/>
  <c r="V1018" i="93"/>
  <c r="U1018" i="93"/>
  <c r="T1018" i="93"/>
  <c r="S1018" i="93"/>
  <c r="R1018" i="93"/>
  <c r="Q1018" i="93"/>
  <c r="P1018" i="93"/>
  <c r="O1018" i="93"/>
  <c r="N1018" i="93"/>
  <c r="M1018" i="93"/>
  <c r="L1018" i="93"/>
  <c r="K1018" i="93"/>
  <c r="J1018" i="93"/>
  <c r="I1018" i="93"/>
  <c r="H1018" i="93"/>
  <c r="G1018" i="93"/>
  <c r="F1018" i="93"/>
  <c r="E1018" i="93"/>
  <c r="D1018" i="93"/>
  <c r="BB1017" i="93"/>
  <c r="AB1017" i="93"/>
  <c r="BB1016" i="93"/>
  <c r="AB1016" i="93"/>
  <c r="BB1013" i="93"/>
  <c r="AB1013" i="93"/>
  <c r="AB1011" i="93"/>
  <c r="BB1010" i="93"/>
  <c r="AB1010" i="93"/>
  <c r="BB1009" i="93"/>
  <c r="AB1009" i="93"/>
  <c r="BB1007" i="93"/>
  <c r="AB1007" i="93"/>
  <c r="BC1006" i="93"/>
  <c r="BA1006" i="93"/>
  <c r="AX1006" i="93"/>
  <c r="AW1006" i="93"/>
  <c r="AV1006" i="93"/>
  <c r="AU1006" i="93"/>
  <c r="AT1006" i="93"/>
  <c r="AS1006" i="93"/>
  <c r="AR1006" i="93"/>
  <c r="AQ1006" i="93"/>
  <c r="AP1006" i="93"/>
  <c r="AO1006" i="93"/>
  <c r="AN1006" i="93"/>
  <c r="AM1006" i="93"/>
  <c r="AL1006" i="93"/>
  <c r="AK1006" i="93"/>
  <c r="AJ1006" i="93"/>
  <c r="AI1006" i="93"/>
  <c r="AH1006" i="93"/>
  <c r="AG1006" i="93"/>
  <c r="AF1006" i="93"/>
  <c r="AE1006" i="93"/>
  <c r="AD1006" i="93"/>
  <c r="AC1006" i="93"/>
  <c r="AA1006" i="93"/>
  <c r="X1006" i="93"/>
  <c r="W1006" i="93"/>
  <c r="V1006" i="93"/>
  <c r="U1006" i="93"/>
  <c r="T1006" i="93"/>
  <c r="S1006" i="93"/>
  <c r="R1006" i="93"/>
  <c r="Q1006" i="93"/>
  <c r="P1006" i="93"/>
  <c r="O1006" i="93"/>
  <c r="N1006" i="93"/>
  <c r="M1006" i="93"/>
  <c r="L1006" i="93"/>
  <c r="K1006" i="93"/>
  <c r="J1006" i="93"/>
  <c r="I1006" i="93"/>
  <c r="H1006" i="93"/>
  <c r="G1006" i="93"/>
  <c r="F1006" i="93"/>
  <c r="E1006" i="93"/>
  <c r="D1006" i="93"/>
  <c r="BB1004" i="93"/>
  <c r="AB1004" i="93"/>
  <c r="BC1002" i="93"/>
  <c r="BA1002" i="93"/>
  <c r="AX1002" i="93"/>
  <c r="AW1002" i="93"/>
  <c r="AV1002" i="93"/>
  <c r="AU1002" i="93"/>
  <c r="AT1002" i="93"/>
  <c r="AS1002" i="93"/>
  <c r="AR1002" i="93"/>
  <c r="AQ1002" i="93"/>
  <c r="AP1002" i="93"/>
  <c r="AO1002" i="93"/>
  <c r="AN1002" i="93"/>
  <c r="AM1002" i="93"/>
  <c r="AL1002" i="93"/>
  <c r="AK1002" i="93"/>
  <c r="AJ1002" i="93"/>
  <c r="AI1002" i="93"/>
  <c r="AH1002" i="93"/>
  <c r="AG1002" i="93"/>
  <c r="AF1002" i="93"/>
  <c r="AE1002" i="93"/>
  <c r="AD1002" i="93"/>
  <c r="AC1002" i="93"/>
  <c r="AA1002" i="93"/>
  <c r="X1002" i="93"/>
  <c r="W1002" i="93"/>
  <c r="V1002" i="93"/>
  <c r="U1002" i="93"/>
  <c r="T1002" i="93"/>
  <c r="S1002" i="93"/>
  <c r="R1002" i="93"/>
  <c r="Q1002" i="93"/>
  <c r="P1002" i="93"/>
  <c r="O1002" i="93"/>
  <c r="N1002" i="93"/>
  <c r="M1002" i="93"/>
  <c r="L1002" i="93"/>
  <c r="K1002" i="93"/>
  <c r="J1002" i="93"/>
  <c r="I1002" i="93"/>
  <c r="H1002" i="93"/>
  <c r="G1002" i="93"/>
  <c r="F1002" i="93"/>
  <c r="E1002" i="93"/>
  <c r="D1002" i="93"/>
  <c r="BB1001" i="93"/>
  <c r="AB1001" i="93"/>
  <c r="BB1000" i="93"/>
  <c r="AB1000" i="93"/>
  <c r="BC999" i="93"/>
  <c r="BA999" i="93"/>
  <c r="AX999" i="93"/>
  <c r="AW999" i="93"/>
  <c r="AV999" i="93"/>
  <c r="AU999" i="93"/>
  <c r="AT999" i="93"/>
  <c r="AS999" i="93"/>
  <c r="AR999" i="93"/>
  <c r="AQ999" i="93"/>
  <c r="AP999" i="93"/>
  <c r="AO999" i="93"/>
  <c r="AN999" i="93"/>
  <c r="AM999" i="93"/>
  <c r="AL999" i="93"/>
  <c r="AK999" i="93"/>
  <c r="AJ999" i="93"/>
  <c r="AI999" i="93"/>
  <c r="AH999" i="93"/>
  <c r="AG999" i="93"/>
  <c r="AF999" i="93"/>
  <c r="AE999" i="93"/>
  <c r="AD999" i="93"/>
  <c r="AC999" i="93"/>
  <c r="AA999" i="93"/>
  <c r="X999" i="93"/>
  <c r="W999" i="93"/>
  <c r="V999" i="93"/>
  <c r="U999" i="93"/>
  <c r="T999" i="93"/>
  <c r="S999" i="93"/>
  <c r="R999" i="93"/>
  <c r="Q999" i="93"/>
  <c r="P999" i="93"/>
  <c r="O999" i="93"/>
  <c r="N999" i="93"/>
  <c r="M999" i="93"/>
  <c r="L999" i="93"/>
  <c r="K999" i="93"/>
  <c r="J999" i="93"/>
  <c r="I999" i="93"/>
  <c r="H999" i="93"/>
  <c r="G999" i="93"/>
  <c r="F999" i="93"/>
  <c r="E999" i="93"/>
  <c r="D999" i="93"/>
  <c r="BB998" i="93"/>
  <c r="AB998" i="93"/>
  <c r="BB997" i="93"/>
  <c r="AB997" i="93"/>
  <c r="BB994" i="93"/>
  <c r="AB994" i="93"/>
  <c r="BB993" i="93"/>
  <c r="AB993" i="93"/>
  <c r="BC989" i="93"/>
  <c r="BA989" i="93"/>
  <c r="AX989" i="93"/>
  <c r="AW989" i="93"/>
  <c r="AV989" i="93"/>
  <c r="AU989" i="93"/>
  <c r="AT989" i="93"/>
  <c r="AS989" i="93"/>
  <c r="AR989" i="93"/>
  <c r="AQ989" i="93"/>
  <c r="AP989" i="93"/>
  <c r="AO989" i="93"/>
  <c r="AN989" i="93"/>
  <c r="AM989" i="93"/>
  <c r="AL989" i="93"/>
  <c r="AK989" i="93"/>
  <c r="AJ989" i="93"/>
  <c r="AI989" i="93"/>
  <c r="AH989" i="93"/>
  <c r="AG989" i="93"/>
  <c r="AF989" i="93"/>
  <c r="AE989" i="93"/>
  <c r="AD989" i="93"/>
  <c r="AC989" i="93"/>
  <c r="AA989" i="93"/>
  <c r="X989" i="93"/>
  <c r="W989" i="93"/>
  <c r="V989" i="93"/>
  <c r="U989" i="93"/>
  <c r="T989" i="93"/>
  <c r="S989" i="93"/>
  <c r="R989" i="93"/>
  <c r="Q989" i="93"/>
  <c r="P989" i="93"/>
  <c r="O989" i="93"/>
  <c r="N989" i="93"/>
  <c r="M989" i="93"/>
  <c r="L989" i="93"/>
  <c r="K989" i="93"/>
  <c r="J989" i="93"/>
  <c r="I989" i="93"/>
  <c r="H989" i="93"/>
  <c r="G989" i="93"/>
  <c r="F989" i="93"/>
  <c r="E989" i="93"/>
  <c r="D989" i="93"/>
  <c r="AB987" i="93"/>
  <c r="BB982" i="93"/>
  <c r="BB979" i="93"/>
  <c r="AB979" i="93"/>
  <c r="BB976" i="93"/>
  <c r="AB976" i="93"/>
  <c r="AB974" i="93"/>
  <c r="BB968" i="93"/>
  <c r="AB968" i="93"/>
  <c r="BB962" i="93"/>
  <c r="AB962" i="93"/>
  <c r="BB957" i="93"/>
  <c r="AB957" i="93"/>
  <c r="BB950" i="93"/>
  <c r="AB950" i="93"/>
  <c r="BB948" i="93"/>
  <c r="AB948" i="93"/>
  <c r="BB947" i="93"/>
  <c r="AB947" i="93"/>
  <c r="BB944" i="93"/>
  <c r="AB944" i="93"/>
  <c r="BB943" i="93"/>
  <c r="AB943" i="93"/>
  <c r="AB949" i="93"/>
  <c r="BB939" i="93"/>
  <c r="AB939" i="93"/>
  <c r="AB938" i="93"/>
  <c r="BD938" i="93" s="1"/>
  <c r="BF938" i="93" s="1"/>
  <c r="BB936" i="93"/>
  <c r="AB936" i="93"/>
  <c r="BB933" i="93"/>
  <c r="AB933" i="93"/>
  <c r="BB932" i="93"/>
  <c r="AB932" i="93"/>
  <c r="BB931" i="93"/>
  <c r="AB931" i="93"/>
  <c r="BB930" i="93"/>
  <c r="AB930" i="93"/>
  <c r="BB929" i="93"/>
  <c r="AB929" i="93"/>
  <c r="BB928" i="93"/>
  <c r="AB928" i="93"/>
  <c r="BB926" i="93"/>
  <c r="AB926" i="93"/>
  <c r="BB925" i="93"/>
  <c r="AB925" i="93"/>
  <c r="BB924" i="93"/>
  <c r="AB924" i="93"/>
  <c r="BB922" i="93"/>
  <c r="AB922" i="93"/>
  <c r="BB921" i="93"/>
  <c r="AB921" i="93"/>
  <c r="BB919" i="93"/>
  <c r="AB919" i="93"/>
  <c r="BB918" i="93"/>
  <c r="AB918" i="93"/>
  <c r="BB915" i="93"/>
  <c r="AB915" i="93"/>
  <c r="BB914" i="93"/>
  <c r="AB914" i="93"/>
  <c r="BB908" i="93"/>
  <c r="AB908" i="93"/>
  <c r="BB907" i="93"/>
  <c r="AB907" i="93"/>
  <c r="BB906" i="93"/>
  <c r="AB906" i="93"/>
  <c r="BB905" i="93"/>
  <c r="AB905" i="93"/>
  <c r="BB902" i="93"/>
  <c r="AB902" i="93"/>
  <c r="BB901" i="93"/>
  <c r="AB901" i="93"/>
  <c r="BB900" i="93"/>
  <c r="AB900" i="93"/>
  <c r="BB898" i="93"/>
  <c r="AB898" i="93"/>
  <c r="BB897" i="93"/>
  <c r="BB896" i="93"/>
  <c r="AB896" i="93"/>
  <c r="BB895" i="93"/>
  <c r="AB895" i="93"/>
  <c r="BB894" i="93"/>
  <c r="AB894" i="93"/>
  <c r="BB893" i="93"/>
  <c r="AB893" i="93"/>
  <c r="AB892" i="93"/>
  <c r="AB891" i="93"/>
  <c r="BB890" i="93"/>
  <c r="AB890" i="93"/>
  <c r="BB888" i="93"/>
  <c r="AB888" i="93"/>
  <c r="BB887" i="93"/>
  <c r="AB887" i="93"/>
  <c r="BB886" i="93"/>
  <c r="AB886" i="93"/>
  <c r="BB885" i="93"/>
  <c r="AB885" i="93"/>
  <c r="BB884" i="93"/>
  <c r="AB884" i="93"/>
  <c r="BB883" i="93"/>
  <c r="AB883" i="93"/>
  <c r="BB882" i="93"/>
  <c r="AB882" i="93"/>
  <c r="BB881" i="93"/>
  <c r="AB881" i="93"/>
  <c r="BB880" i="93"/>
  <c r="AB880" i="93"/>
  <c r="BB879" i="93"/>
  <c r="AB879" i="93"/>
  <c r="BB878" i="93"/>
  <c r="AB878" i="93"/>
  <c r="BB876" i="93"/>
  <c r="AB876" i="93"/>
  <c r="BB875" i="93"/>
  <c r="AB875" i="93"/>
  <c r="BB873" i="93"/>
  <c r="AB873" i="93"/>
  <c r="BB872" i="93"/>
  <c r="AB872" i="93"/>
  <c r="BB870" i="93"/>
  <c r="AB870" i="93"/>
  <c r="BB869" i="93"/>
  <c r="AB869" i="93"/>
  <c r="BB868" i="93"/>
  <c r="AB868" i="93"/>
  <c r="BB867" i="93"/>
  <c r="AB867" i="93"/>
  <c r="BB866" i="93"/>
  <c r="AB866" i="93"/>
  <c r="BB865" i="93"/>
  <c r="AB865" i="93"/>
  <c r="BB864" i="93"/>
  <c r="AB864" i="93"/>
  <c r="AB861" i="93"/>
  <c r="BB860" i="93"/>
  <c r="AB860" i="93"/>
  <c r="BB859" i="93"/>
  <c r="AB859" i="93"/>
  <c r="BB858" i="93"/>
  <c r="AB858" i="93"/>
  <c r="BC855" i="93"/>
  <c r="BA855" i="93"/>
  <c r="AX855" i="93"/>
  <c r="AW855" i="93"/>
  <c r="AV855" i="93"/>
  <c r="AU855" i="93"/>
  <c r="AT855" i="93"/>
  <c r="AS855" i="93"/>
  <c r="AR855" i="93"/>
  <c r="AQ855" i="93"/>
  <c r="AP855" i="93"/>
  <c r="AO855" i="93"/>
  <c r="AN855" i="93"/>
  <c r="AM855" i="93"/>
  <c r="AK855" i="93"/>
  <c r="AJ855" i="93"/>
  <c r="AI855" i="93"/>
  <c r="AH855" i="93"/>
  <c r="AG855" i="93"/>
  <c r="AF855" i="93"/>
  <c r="AE855" i="93"/>
  <c r="AD855" i="93"/>
  <c r="AC855" i="93"/>
  <c r="AA855" i="93"/>
  <c r="X855" i="93"/>
  <c r="W855" i="93"/>
  <c r="V855" i="93"/>
  <c r="U855" i="93"/>
  <c r="T855" i="93"/>
  <c r="S855" i="93"/>
  <c r="R855" i="93"/>
  <c r="Q855" i="93"/>
  <c r="P855" i="93"/>
  <c r="O855" i="93"/>
  <c r="N855" i="93"/>
  <c r="M855" i="93"/>
  <c r="L855" i="93"/>
  <c r="K855" i="93"/>
  <c r="J855" i="93"/>
  <c r="I855" i="93"/>
  <c r="H855" i="93"/>
  <c r="G855" i="93"/>
  <c r="F855" i="93"/>
  <c r="E855" i="93"/>
  <c r="D855" i="93"/>
  <c r="BB854" i="93"/>
  <c r="BB853" i="93" s="1"/>
  <c r="AB854" i="93"/>
  <c r="BC853" i="93"/>
  <c r="BA853" i="93"/>
  <c r="AX853" i="93"/>
  <c r="AW853" i="93"/>
  <c r="AV853" i="93"/>
  <c r="AU853" i="93"/>
  <c r="AT853" i="93"/>
  <c r="AS853" i="93"/>
  <c r="AR853" i="93"/>
  <c r="AQ853" i="93"/>
  <c r="AP853" i="93"/>
  <c r="AO853" i="93"/>
  <c r="AN853" i="93"/>
  <c r="AM853" i="93"/>
  <c r="AL853" i="93"/>
  <c r="AK853" i="93"/>
  <c r="AJ853" i="93"/>
  <c r="AI853" i="93"/>
  <c r="AH853" i="93"/>
  <c r="AG853" i="93"/>
  <c r="AF853" i="93"/>
  <c r="AE853" i="93"/>
  <c r="AD853" i="93"/>
  <c r="AC853" i="93"/>
  <c r="AA853" i="93"/>
  <c r="X853" i="93"/>
  <c r="W853" i="93"/>
  <c r="V853" i="93"/>
  <c r="U853" i="93"/>
  <c r="T853" i="93"/>
  <c r="S853" i="93"/>
  <c r="R853" i="93"/>
  <c r="Q853" i="93"/>
  <c r="P853" i="93"/>
  <c r="O853" i="93"/>
  <c r="N853" i="93"/>
  <c r="M853" i="93"/>
  <c r="L853" i="93"/>
  <c r="K853" i="93"/>
  <c r="J853" i="93"/>
  <c r="I853" i="93"/>
  <c r="H853" i="93"/>
  <c r="G853" i="93"/>
  <c r="F853" i="93"/>
  <c r="E853" i="93"/>
  <c r="D853" i="93"/>
  <c r="BB850" i="93"/>
  <c r="AB850" i="93"/>
  <c r="BB848" i="93"/>
  <c r="AB848" i="93"/>
  <c r="BB847" i="93"/>
  <c r="AB847" i="93"/>
  <c r="BC846" i="93"/>
  <c r="BA846" i="93"/>
  <c r="AX846" i="93"/>
  <c r="AW846" i="93"/>
  <c r="AV846" i="93"/>
  <c r="AU846" i="93"/>
  <c r="AT846" i="93"/>
  <c r="AS846" i="93"/>
  <c r="AR846" i="93"/>
  <c r="AQ846" i="93"/>
  <c r="AP846" i="93"/>
  <c r="AO846" i="93"/>
  <c r="AN846" i="93"/>
  <c r="AM846" i="93"/>
  <c r="AL846" i="93"/>
  <c r="AK846" i="93"/>
  <c r="AJ846" i="93"/>
  <c r="AI846" i="93"/>
  <c r="AH846" i="93"/>
  <c r="AG846" i="93"/>
  <c r="AF846" i="93"/>
  <c r="AE846" i="93"/>
  <c r="AD846" i="93"/>
  <c r="AC846" i="93"/>
  <c r="AA846" i="93"/>
  <c r="X846" i="93"/>
  <c r="W846" i="93"/>
  <c r="V846" i="93"/>
  <c r="U846" i="93"/>
  <c r="T846" i="93"/>
  <c r="S846" i="93"/>
  <c r="R846" i="93"/>
  <c r="Q846" i="93"/>
  <c r="P846" i="93"/>
  <c r="O846" i="93"/>
  <c r="N846" i="93"/>
  <c r="M846" i="93"/>
  <c r="L846" i="93"/>
  <c r="K846" i="93"/>
  <c r="J846" i="93"/>
  <c r="I846" i="93"/>
  <c r="H846" i="93"/>
  <c r="G846" i="93"/>
  <c r="F846" i="93"/>
  <c r="E846" i="93"/>
  <c r="D846" i="93"/>
  <c r="BB845" i="93"/>
  <c r="AB845" i="93"/>
  <c r="BB842" i="93"/>
  <c r="AB842" i="93"/>
  <c r="BB841" i="93"/>
  <c r="AB841" i="93"/>
  <c r="BB840" i="93"/>
  <c r="AB840" i="93"/>
  <c r="BB838" i="93"/>
  <c r="AB838" i="93"/>
  <c r="BB832" i="93"/>
  <c r="AB832" i="93"/>
  <c r="BB831" i="93"/>
  <c r="AB831" i="93"/>
  <c r="BB828" i="93"/>
  <c r="AB828" i="93"/>
  <c r="BB827" i="93"/>
  <c r="AB827" i="93"/>
  <c r="BB826" i="93"/>
  <c r="AB826" i="93"/>
  <c r="BB825" i="93"/>
  <c r="AB825" i="93"/>
  <c r="BB824" i="93"/>
  <c r="AB824" i="93"/>
  <c r="BB822" i="93"/>
  <c r="AB822" i="93"/>
  <c r="BB821" i="93"/>
  <c r="AB821" i="93"/>
  <c r="BB820" i="93"/>
  <c r="AB820" i="93"/>
  <c r="BB819" i="93"/>
  <c r="AB819" i="93"/>
  <c r="BB818" i="93"/>
  <c r="AB818" i="93"/>
  <c r="BB817" i="93"/>
  <c r="AB817" i="93"/>
  <c r="BB815" i="93"/>
  <c r="AB815" i="93"/>
  <c r="BB814" i="93"/>
  <c r="AB814" i="93"/>
  <c r="BB810" i="93"/>
  <c r="AB810" i="93"/>
  <c r="BB808" i="93"/>
  <c r="AB808" i="93"/>
  <c r="BB806" i="93"/>
  <c r="AB806" i="93"/>
  <c r="BB805" i="93"/>
  <c r="AB805" i="93"/>
  <c r="BB804" i="93"/>
  <c r="AB804" i="93"/>
  <c r="BB803" i="93"/>
  <c r="AB803" i="93"/>
  <c r="BB799" i="93"/>
  <c r="AB799" i="93"/>
  <c r="BB797" i="93"/>
  <c r="AB797" i="93"/>
  <c r="BB795" i="93"/>
  <c r="AB795" i="93"/>
  <c r="BB793" i="93"/>
  <c r="AB793" i="93"/>
  <c r="BB791" i="93"/>
  <c r="AB791" i="93"/>
  <c r="BB790" i="93"/>
  <c r="AB790" i="93"/>
  <c r="BB789" i="93"/>
  <c r="AB789" i="93"/>
  <c r="BB786" i="93"/>
  <c r="AB786" i="93"/>
  <c r="BB785" i="93"/>
  <c r="AB785" i="93"/>
  <c r="BB784" i="93"/>
  <c r="AB784" i="93"/>
  <c r="BB783" i="93"/>
  <c r="AB783" i="93"/>
  <c r="BB781" i="93"/>
  <c r="AB781" i="93"/>
  <c r="BB780" i="93"/>
  <c r="AB780" i="93"/>
  <c r="BB779" i="93"/>
  <c r="AB779" i="93"/>
  <c r="BB778" i="93"/>
  <c r="AB778" i="93"/>
  <c r="BB774" i="93"/>
  <c r="AB774" i="93"/>
  <c r="BB773" i="93"/>
  <c r="AB773" i="93"/>
  <c r="BB769" i="93"/>
  <c r="AB769" i="93"/>
  <c r="BB760" i="93"/>
  <c r="AB760" i="93"/>
  <c r="BB757" i="93"/>
  <c r="AB757" i="93"/>
  <c r="BB756" i="93"/>
  <c r="AB756" i="93"/>
  <c r="BB755" i="93"/>
  <c r="AB755" i="93"/>
  <c r="BB752" i="93"/>
  <c r="AB752" i="93"/>
  <c r="BB745" i="93"/>
  <c r="AB745" i="93"/>
  <c r="BB744" i="93"/>
  <c r="AB744" i="93"/>
  <c r="BB742" i="93"/>
  <c r="AB742" i="93"/>
  <c r="BC741" i="93"/>
  <c r="BA741" i="93"/>
  <c r="AX741" i="93"/>
  <c r="AW741" i="93"/>
  <c r="AV741" i="93"/>
  <c r="AU741" i="93"/>
  <c r="AT741" i="93"/>
  <c r="AS741" i="93"/>
  <c r="AR741" i="93"/>
  <c r="AQ741" i="93"/>
  <c r="AP741" i="93"/>
  <c r="AO741" i="93"/>
  <c r="AN741" i="93"/>
  <c r="AM741" i="93"/>
  <c r="AK741" i="93"/>
  <c r="AJ741" i="93"/>
  <c r="AI741" i="93"/>
  <c r="AH741" i="93"/>
  <c r="AG741" i="93"/>
  <c r="AF741" i="93"/>
  <c r="AE741" i="93"/>
  <c r="AD741" i="93"/>
  <c r="AC741" i="93"/>
  <c r="AA741" i="93"/>
  <c r="X741" i="93"/>
  <c r="W741" i="93"/>
  <c r="V741" i="93"/>
  <c r="U741" i="93"/>
  <c r="T741" i="93"/>
  <c r="S741" i="93"/>
  <c r="R741" i="93"/>
  <c r="Q741" i="93"/>
  <c r="P741" i="93"/>
  <c r="O741" i="93"/>
  <c r="N741" i="93"/>
  <c r="M741" i="93"/>
  <c r="L741" i="93"/>
  <c r="K741" i="93"/>
  <c r="J741" i="93"/>
  <c r="I741" i="93"/>
  <c r="H741" i="93"/>
  <c r="G741" i="93"/>
  <c r="F741" i="93"/>
  <c r="E741" i="93"/>
  <c r="BB738" i="93"/>
  <c r="AB738" i="93"/>
  <c r="BB736" i="93"/>
  <c r="AB736" i="93"/>
  <c r="BB735" i="93"/>
  <c r="AB735" i="93"/>
  <c r="BB734" i="93"/>
  <c r="AB734" i="93"/>
  <c r="BB733" i="93"/>
  <c r="BB731" i="93"/>
  <c r="AB731" i="93"/>
  <c r="BB730" i="93"/>
  <c r="AB730" i="93"/>
  <c r="AB729" i="93"/>
  <c r="BB724" i="93"/>
  <c r="AB724" i="93"/>
  <c r="BB723" i="93"/>
  <c r="AB723" i="93"/>
  <c r="BB722" i="93"/>
  <c r="AB722" i="93"/>
  <c r="BB720" i="93"/>
  <c r="AB720" i="93"/>
  <c r="BB719" i="93"/>
  <c r="AB719" i="93"/>
  <c r="BB714" i="93"/>
  <c r="AB714" i="93"/>
  <c r="BB709" i="93"/>
  <c r="AB709" i="93"/>
  <c r="BB708" i="93"/>
  <c r="AB708" i="93"/>
  <c r="BB707" i="93"/>
  <c r="AB707" i="93"/>
  <c r="BB706" i="93"/>
  <c r="AB706" i="93"/>
  <c r="BB699" i="93"/>
  <c r="AB699" i="93"/>
  <c r="BB698" i="93"/>
  <c r="AB698" i="93"/>
  <c r="BB697" i="93"/>
  <c r="AB697" i="93"/>
  <c r="BB696" i="93"/>
  <c r="AB696" i="93"/>
  <c r="BB692" i="93"/>
  <c r="AB692" i="93"/>
  <c r="BB691" i="93"/>
  <c r="AB691" i="93"/>
  <c r="BB689" i="93"/>
  <c r="AB689" i="93"/>
  <c r="BB688" i="93"/>
  <c r="AB688" i="93"/>
  <c r="AB685" i="93"/>
  <c r="BB684" i="93"/>
  <c r="AB684" i="93"/>
  <c r="BB683" i="93"/>
  <c r="AB683" i="93"/>
  <c r="AB675" i="93"/>
  <c r="BD675" i="93" s="1"/>
  <c r="BF675" i="93" s="1"/>
  <c r="BB673" i="93"/>
  <c r="AB673" i="93"/>
  <c r="BC672" i="93"/>
  <c r="BA672" i="93"/>
  <c r="AX672" i="93"/>
  <c r="AW672" i="93"/>
  <c r="AV672" i="93"/>
  <c r="AU672" i="93"/>
  <c r="AT672" i="93"/>
  <c r="AS672" i="93"/>
  <c r="AR672" i="93"/>
  <c r="AQ672" i="93"/>
  <c r="AP672" i="93"/>
  <c r="AO672" i="93"/>
  <c r="AN672" i="93"/>
  <c r="AM672" i="93"/>
  <c r="AK672" i="93"/>
  <c r="AJ672" i="93"/>
  <c r="AI672" i="93"/>
  <c r="AH672" i="93"/>
  <c r="AG672" i="93"/>
  <c r="AF672" i="93"/>
  <c r="AE672" i="93"/>
  <c r="AD672" i="93"/>
  <c r="AC672" i="93"/>
  <c r="AA672" i="93"/>
  <c r="X672" i="93"/>
  <c r="W672" i="93"/>
  <c r="V672" i="93"/>
  <c r="U672" i="93"/>
  <c r="T672" i="93"/>
  <c r="S672" i="93"/>
  <c r="R672" i="93"/>
  <c r="Q672" i="93"/>
  <c r="P672" i="93"/>
  <c r="O672" i="93"/>
  <c r="N672" i="93"/>
  <c r="M672" i="93"/>
  <c r="L672" i="93"/>
  <c r="K672" i="93"/>
  <c r="J672" i="93"/>
  <c r="I672" i="93"/>
  <c r="H672" i="93"/>
  <c r="G672" i="93"/>
  <c r="F672" i="93"/>
  <c r="E672" i="93"/>
  <c r="D672" i="93"/>
  <c r="BB669" i="93"/>
  <c r="AB669" i="93"/>
  <c r="BB667" i="93"/>
  <c r="AB667" i="93"/>
  <c r="BB666" i="93"/>
  <c r="AB666" i="93"/>
  <c r="BB665" i="93"/>
  <c r="AB665" i="93"/>
  <c r="BB664" i="93"/>
  <c r="AB664" i="93"/>
  <c r="BB663" i="93"/>
  <c r="AB663" i="93"/>
  <c r="BB660" i="93"/>
  <c r="AB660" i="93"/>
  <c r="BB659" i="93"/>
  <c r="AB659" i="93"/>
  <c r="BB658" i="93"/>
  <c r="AB658" i="93"/>
  <c r="AB656" i="93"/>
  <c r="BB654" i="93"/>
  <c r="AB654" i="93"/>
  <c r="BB653" i="93"/>
  <c r="AB653" i="93"/>
  <c r="BB652" i="93"/>
  <c r="AB652" i="93"/>
  <c r="BB650" i="93"/>
  <c r="AB650" i="93"/>
  <c r="BB649" i="93"/>
  <c r="AB649" i="93"/>
  <c r="BB647" i="93"/>
  <c r="AB647" i="93"/>
  <c r="BB646" i="93"/>
  <c r="AB646" i="93"/>
  <c r="BB645" i="93"/>
  <c r="AB645" i="93"/>
  <c r="BB642" i="93"/>
  <c r="AB642" i="93"/>
  <c r="BB641" i="93"/>
  <c r="AB641" i="93"/>
  <c r="BB640" i="93"/>
  <c r="AB640" i="93"/>
  <c r="BB639" i="93"/>
  <c r="AB639" i="93"/>
  <c r="BB638" i="93"/>
  <c r="AB638" i="93"/>
  <c r="BB637" i="93"/>
  <c r="AB637" i="93"/>
  <c r="BB636" i="93"/>
  <c r="AB636" i="93"/>
  <c r="BB634" i="93"/>
  <c r="AB634" i="93"/>
  <c r="BB633" i="93"/>
  <c r="AB633" i="93"/>
  <c r="BB632" i="93"/>
  <c r="AB632" i="93"/>
  <c r="BB631" i="93"/>
  <c r="AB631" i="93"/>
  <c r="BB630" i="93"/>
  <c r="AB630" i="93"/>
  <c r="BB629" i="93"/>
  <c r="AB629" i="93"/>
  <c r="BB627" i="93"/>
  <c r="AB627" i="93"/>
  <c r="BB626" i="93"/>
  <c r="AB626" i="93"/>
  <c r="BB624" i="93"/>
  <c r="AB624" i="93"/>
  <c r="BB622" i="93"/>
  <c r="AB622" i="93"/>
  <c r="BB621" i="93"/>
  <c r="AB621" i="93"/>
  <c r="BB620" i="93"/>
  <c r="AB620" i="93"/>
  <c r="BB619" i="93"/>
  <c r="BD619" i="93" s="1"/>
  <c r="BF619" i="93" s="1"/>
  <c r="BB617" i="93"/>
  <c r="AB617" i="93"/>
  <c r="BB616" i="93"/>
  <c r="AB616" i="93"/>
  <c r="BB615" i="93"/>
  <c r="AB615" i="93"/>
  <c r="AB612" i="93"/>
  <c r="BB607" i="93"/>
  <c r="AB607" i="93"/>
  <c r="BB605" i="93"/>
  <c r="AB605" i="93"/>
  <c r="BB603" i="93"/>
  <c r="AB603" i="93"/>
  <c r="BB602" i="93"/>
  <c r="AB602" i="93"/>
  <c r="BB601" i="93"/>
  <c r="AB601" i="93"/>
  <c r="BB600" i="93"/>
  <c r="AB600" i="93"/>
  <c r="BB599" i="93"/>
  <c r="AB599" i="93"/>
  <c r="BB598" i="93"/>
  <c r="AB598" i="93"/>
  <c r="BB597" i="93"/>
  <c r="AB597" i="93"/>
  <c r="BB596" i="93"/>
  <c r="AB596" i="93"/>
  <c r="BB593" i="93"/>
  <c r="AB593" i="93"/>
  <c r="BB588" i="93"/>
  <c r="AB588" i="93"/>
  <c r="BB586" i="93"/>
  <c r="AB586" i="93"/>
  <c r="BB585" i="93"/>
  <c r="AB585" i="93"/>
  <c r="BB584" i="93"/>
  <c r="AB584" i="93"/>
  <c r="BB579" i="93"/>
  <c r="AB579" i="93"/>
  <c r="BB577" i="93"/>
  <c r="AB577" i="93"/>
  <c r="AB576" i="93"/>
  <c r="BB572" i="93"/>
  <c r="AB572" i="93"/>
  <c r="BB570" i="93"/>
  <c r="AB570" i="93"/>
  <c r="BC569" i="93"/>
  <c r="BA569" i="93"/>
  <c r="AX569" i="93"/>
  <c r="AW569" i="93"/>
  <c r="AV569" i="93"/>
  <c r="AU569" i="93"/>
  <c r="AT569" i="93"/>
  <c r="AS569" i="93"/>
  <c r="AR569" i="93"/>
  <c r="AQ569" i="93"/>
  <c r="AP569" i="93"/>
  <c r="AO569" i="93"/>
  <c r="AN569" i="93"/>
  <c r="AM569" i="93"/>
  <c r="AK569" i="93"/>
  <c r="AJ569" i="93"/>
  <c r="AI569" i="93"/>
  <c r="AH569" i="93"/>
  <c r="AG569" i="93"/>
  <c r="AF569" i="93"/>
  <c r="AE569" i="93"/>
  <c r="AD569" i="93"/>
  <c r="AC569" i="93"/>
  <c r="AA569" i="93"/>
  <c r="X569" i="93"/>
  <c r="W569" i="93"/>
  <c r="V569" i="93"/>
  <c r="U569" i="93"/>
  <c r="T569" i="93"/>
  <c r="S569" i="93"/>
  <c r="R569" i="93"/>
  <c r="Q569" i="93"/>
  <c r="P569" i="93"/>
  <c r="O569" i="93"/>
  <c r="N569" i="93"/>
  <c r="M569" i="93"/>
  <c r="L569" i="93"/>
  <c r="K569" i="93"/>
  <c r="J569" i="93"/>
  <c r="I569" i="93"/>
  <c r="H569" i="93"/>
  <c r="G569" i="93"/>
  <c r="F569" i="93"/>
  <c r="E569" i="93"/>
  <c r="D569" i="93"/>
  <c r="BB568" i="93"/>
  <c r="BB567" i="93" s="1"/>
  <c r="AB568" i="93"/>
  <c r="BC567" i="93"/>
  <c r="BE567" i="93" s="1"/>
  <c r="BA567" i="93"/>
  <c r="AX567" i="93"/>
  <c r="AW567" i="93"/>
  <c r="AV567" i="93"/>
  <c r="AU567" i="93"/>
  <c r="AT567" i="93"/>
  <c r="AS567" i="93"/>
  <c r="AR567" i="93"/>
  <c r="AQ567" i="93"/>
  <c r="AP567" i="93"/>
  <c r="AO567" i="93"/>
  <c r="AN567" i="93"/>
  <c r="AM567" i="93"/>
  <c r="AL567" i="93"/>
  <c r="AK567" i="93"/>
  <c r="AJ567" i="93"/>
  <c r="AI567" i="93"/>
  <c r="AH567" i="93"/>
  <c r="AG567" i="93"/>
  <c r="AF567" i="93"/>
  <c r="AE567" i="93"/>
  <c r="AD567" i="93"/>
  <c r="AB567" i="93"/>
  <c r="AA567" i="93"/>
  <c r="X567" i="93"/>
  <c r="W567" i="93"/>
  <c r="V567" i="93"/>
  <c r="U567" i="93"/>
  <c r="T567" i="93"/>
  <c r="S567" i="93"/>
  <c r="R567" i="93"/>
  <c r="Q567" i="93"/>
  <c r="P567" i="93"/>
  <c r="O567" i="93"/>
  <c r="N567" i="93"/>
  <c r="M567" i="93"/>
  <c r="L567" i="93"/>
  <c r="K567" i="93"/>
  <c r="J567" i="93"/>
  <c r="I567" i="93"/>
  <c r="H567" i="93"/>
  <c r="G567" i="93"/>
  <c r="F567" i="93"/>
  <c r="E567" i="93"/>
  <c r="D567" i="93"/>
  <c r="BB566" i="93"/>
  <c r="AB566" i="93"/>
  <c r="BB564" i="93"/>
  <c r="AB564" i="93"/>
  <c r="BB562" i="93"/>
  <c r="AB562" i="93"/>
  <c r="BB555" i="93"/>
  <c r="AB555" i="93"/>
  <c r="BB554" i="93"/>
  <c r="AB554" i="93"/>
  <c r="BB552" i="93"/>
  <c r="AB552" i="93"/>
  <c r="BB300" i="93"/>
  <c r="AB300" i="93"/>
  <c r="BB550" i="93"/>
  <c r="AB550" i="93"/>
  <c r="BB549" i="93"/>
  <c r="AB549" i="93"/>
  <c r="BB547" i="93"/>
  <c r="AB547" i="93"/>
  <c r="BB544" i="93"/>
  <c r="AB544" i="93"/>
  <c r="BB543" i="93"/>
  <c r="AB543" i="93"/>
  <c r="BB542" i="93"/>
  <c r="AB542" i="93"/>
  <c r="BB541" i="93"/>
  <c r="AB541" i="93"/>
  <c r="BB540" i="93"/>
  <c r="AB540" i="93"/>
  <c r="BB539" i="93"/>
  <c r="AB539" i="93"/>
  <c r="BB538" i="93"/>
  <c r="AB538" i="93"/>
  <c r="BB534" i="93"/>
  <c r="AB534" i="93"/>
  <c r="BB532" i="93"/>
  <c r="AB532" i="93"/>
  <c r="BB531" i="93"/>
  <c r="AB531" i="93"/>
  <c r="BB530" i="93"/>
  <c r="AB530" i="93"/>
  <c r="BB529" i="93"/>
  <c r="AB529" i="93"/>
  <c r="BB528" i="93"/>
  <c r="AB528" i="93"/>
  <c r="BB527" i="93"/>
  <c r="AB527" i="93"/>
  <c r="BB526" i="93"/>
  <c r="AB526" i="93"/>
  <c r="BB524" i="93"/>
  <c r="AB524" i="93"/>
  <c r="BB523" i="93"/>
  <c r="AB523" i="93"/>
  <c r="BB522" i="93"/>
  <c r="AB522" i="93"/>
  <c r="BB519" i="93"/>
  <c r="AB519" i="93"/>
  <c r="BB518" i="93"/>
  <c r="AB518" i="93"/>
  <c r="AB514" i="93"/>
  <c r="BD514" i="93" s="1"/>
  <c r="BF514" i="93" s="1"/>
  <c r="BB510" i="93"/>
  <c r="AB510" i="93"/>
  <c r="BB509" i="93"/>
  <c r="AB509" i="93"/>
  <c r="BB504" i="93"/>
  <c r="AB504" i="93"/>
  <c r="BB503" i="93"/>
  <c r="AB503" i="93"/>
  <c r="BB502" i="93"/>
  <c r="AB502" i="93"/>
  <c r="BB501" i="93"/>
  <c r="BD501" i="93" s="1"/>
  <c r="BF501" i="93" s="1"/>
  <c r="BB499" i="93"/>
  <c r="AB499" i="93"/>
  <c r="BB497" i="93"/>
  <c r="AB497" i="93"/>
  <c r="BB496" i="93"/>
  <c r="AB496" i="93"/>
  <c r="BB495" i="93"/>
  <c r="AB495" i="93"/>
  <c r="BB494" i="93"/>
  <c r="AB494" i="93"/>
  <c r="BB493" i="93"/>
  <c r="AB493" i="93"/>
  <c r="BB490" i="93"/>
  <c r="AB490" i="93"/>
  <c r="BB487" i="93"/>
  <c r="BD487" i="93" s="1"/>
  <c r="BF487" i="93" s="1"/>
  <c r="BB483" i="93"/>
  <c r="AB483" i="93"/>
  <c r="BB482" i="93"/>
  <c r="AB482" i="93"/>
  <c r="BB481" i="93"/>
  <c r="AB481" i="93"/>
  <c r="BB479" i="93"/>
  <c r="AB479" i="93"/>
  <c r="BB476" i="93"/>
  <c r="AB476" i="93"/>
  <c r="BB475" i="93"/>
  <c r="AB475" i="93"/>
  <c r="BB472" i="93"/>
  <c r="AB472" i="93"/>
  <c r="BB471" i="93"/>
  <c r="AB471" i="93"/>
  <c r="BB469" i="93"/>
  <c r="AB469" i="93"/>
  <c r="BB467" i="93"/>
  <c r="AB467" i="93"/>
  <c r="BB462" i="93"/>
  <c r="AB462" i="93"/>
  <c r="BB458" i="93"/>
  <c r="AB458" i="93"/>
  <c r="BB457" i="93"/>
  <c r="AB457" i="93"/>
  <c r="BB454" i="93"/>
  <c r="AB454" i="93"/>
  <c r="BB453" i="93"/>
  <c r="AB453" i="93"/>
  <c r="BB451" i="93"/>
  <c r="AB451" i="93"/>
  <c r="BB450" i="93"/>
  <c r="AB450" i="93"/>
  <c r="BB449" i="93"/>
  <c r="AB449" i="93"/>
  <c r="BB448" i="93"/>
  <c r="AB448" i="93"/>
  <c r="BB447" i="93"/>
  <c r="AB447" i="93"/>
  <c r="BB445" i="93"/>
  <c r="AB445" i="93"/>
  <c r="BB442" i="93"/>
  <c r="AB442" i="93"/>
  <c r="BB441" i="93"/>
  <c r="AB441" i="93"/>
  <c r="BB440" i="93"/>
  <c r="AB440" i="93"/>
  <c r="BB438" i="93"/>
  <c r="AB438" i="93"/>
  <c r="BB435" i="93"/>
  <c r="AB435" i="93"/>
  <c r="BB434" i="93"/>
  <c r="AB434" i="93"/>
  <c r="BB433" i="93"/>
  <c r="AB433" i="93"/>
  <c r="BB431" i="93"/>
  <c r="AB431" i="93"/>
  <c r="BB430" i="93"/>
  <c r="AB430" i="93"/>
  <c r="BB429" i="93"/>
  <c r="AB429" i="93"/>
  <c r="BB428" i="93"/>
  <c r="AB428" i="93"/>
  <c r="BB427" i="93"/>
  <c r="AB427" i="93"/>
  <c r="BB426" i="93"/>
  <c r="AB426" i="93"/>
  <c r="BB425" i="93"/>
  <c r="AB425" i="93"/>
  <c r="BB424" i="93"/>
  <c r="AB424" i="93"/>
  <c r="BB421" i="93"/>
  <c r="AB421" i="93"/>
  <c r="BB420" i="93"/>
  <c r="AB420" i="93"/>
  <c r="BB419" i="93"/>
  <c r="AB419" i="93"/>
  <c r="BB418" i="93"/>
  <c r="AB418" i="93"/>
  <c r="BB417" i="93"/>
  <c r="AB417" i="93"/>
  <c r="BB414" i="93"/>
  <c r="AB414" i="93"/>
  <c r="BB412" i="93"/>
  <c r="AB412" i="93"/>
  <c r="BB411" i="93"/>
  <c r="AB411" i="93"/>
  <c r="BB410" i="93"/>
  <c r="AB410" i="93"/>
  <c r="AB408" i="93"/>
  <c r="BD408" i="93" s="1"/>
  <c r="BB407" i="93"/>
  <c r="AB407" i="93"/>
  <c r="BB405" i="93"/>
  <c r="AB405" i="93"/>
  <c r="BB402" i="93"/>
  <c r="AB402" i="93"/>
  <c r="AB400" i="93"/>
  <c r="BB398" i="93"/>
  <c r="AB398" i="93"/>
  <c r="BB397" i="93"/>
  <c r="AB397" i="93"/>
  <c r="BB396" i="93"/>
  <c r="AB396" i="93"/>
  <c r="BB395" i="93"/>
  <c r="AB395" i="93"/>
  <c r="BB394" i="93"/>
  <c r="AB394" i="93"/>
  <c r="BB393" i="93"/>
  <c r="AB393" i="93"/>
  <c r="BB392" i="93"/>
  <c r="AB392" i="93"/>
  <c r="BB391" i="93"/>
  <c r="AB391" i="93"/>
  <c r="BB390" i="93"/>
  <c r="AB390" i="93"/>
  <c r="BB389" i="93"/>
  <c r="AB389" i="93"/>
  <c r="BB388" i="93"/>
  <c r="AB388" i="93"/>
  <c r="BB387" i="93"/>
  <c r="AB387" i="93"/>
  <c r="BB386" i="93"/>
  <c r="AB386" i="93"/>
  <c r="BB384" i="93"/>
  <c r="AB384" i="93"/>
  <c r="BB385" i="93"/>
  <c r="AB385" i="93"/>
  <c r="BB381" i="93"/>
  <c r="AB381" i="93"/>
  <c r="BB380" i="93"/>
  <c r="AB380" i="93"/>
  <c r="BB378" i="93"/>
  <c r="AB378" i="93"/>
  <c r="BB376" i="93"/>
  <c r="AB376" i="93"/>
  <c r="BB375" i="93"/>
  <c r="AB375" i="93"/>
  <c r="BB374" i="93"/>
  <c r="AB374" i="93"/>
  <c r="BB373" i="93"/>
  <c r="AB373" i="93"/>
  <c r="BB368" i="93"/>
  <c r="AB368" i="93"/>
  <c r="BB369" i="93"/>
  <c r="AB369" i="93"/>
  <c r="BB367" i="93"/>
  <c r="AB367" i="93"/>
  <c r="BB366" i="93"/>
  <c r="AB366" i="93"/>
  <c r="BB365" i="93"/>
  <c r="AB365" i="93"/>
  <c r="BB363" i="93"/>
  <c r="AB363" i="93"/>
  <c r="BB364" i="93"/>
  <c r="AB364" i="93"/>
  <c r="AB362" i="93"/>
  <c r="BD362" i="93" s="1"/>
  <c r="BF362" i="93" s="1"/>
  <c r="BB360" i="93"/>
  <c r="AB360" i="93"/>
  <c r="BB359" i="93"/>
  <c r="AB359" i="93"/>
  <c r="BB357" i="93"/>
  <c r="AB357" i="93"/>
  <c r="BB356" i="93"/>
  <c r="AB356" i="93"/>
  <c r="BB355" i="93"/>
  <c r="AB355" i="93"/>
  <c r="BB354" i="93"/>
  <c r="AB354" i="93"/>
  <c r="BB352" i="93"/>
  <c r="AB352" i="93"/>
  <c r="BB351" i="93"/>
  <c r="AB351" i="93"/>
  <c r="BB350" i="93"/>
  <c r="AB350" i="93"/>
  <c r="BB348" i="93"/>
  <c r="AB348" i="93"/>
  <c r="BB345" i="93"/>
  <c r="AB345" i="93"/>
  <c r="BB343" i="93"/>
  <c r="AB343" i="93"/>
  <c r="BB341" i="93"/>
  <c r="AB341" i="93"/>
  <c r="BB338" i="93"/>
  <c r="AB338" i="93"/>
  <c r="BB336" i="93"/>
  <c r="AB336" i="93"/>
  <c r="BB334" i="93"/>
  <c r="AB334" i="93"/>
  <c r="BB333" i="93"/>
  <c r="AB333" i="93"/>
  <c r="BB332" i="93"/>
  <c r="AB332" i="93"/>
  <c r="BB331" i="93"/>
  <c r="AB331" i="93"/>
  <c r="BB329" i="93"/>
  <c r="AB329" i="93"/>
  <c r="BB328" i="93"/>
  <c r="AB328" i="93"/>
  <c r="BB327" i="93"/>
  <c r="AB327" i="93"/>
  <c r="BB326" i="93"/>
  <c r="AB326" i="93"/>
  <c r="BB325" i="93"/>
  <c r="AB325" i="93"/>
  <c r="BB323" i="93"/>
  <c r="AB323" i="93"/>
  <c r="BB322" i="93"/>
  <c r="AB322" i="93"/>
  <c r="BB321" i="93"/>
  <c r="AB321" i="93"/>
  <c r="BB320" i="93"/>
  <c r="AB320" i="93"/>
  <c r="BB319" i="93"/>
  <c r="AB319" i="93"/>
  <c r="BB318" i="93"/>
  <c r="AB318" i="93"/>
  <c r="BB316" i="93"/>
  <c r="AB316" i="93"/>
  <c r="BB315" i="93"/>
  <c r="AB315" i="93"/>
  <c r="BB314" i="93"/>
  <c r="AB314" i="93"/>
  <c r="BB313" i="93"/>
  <c r="AB313" i="93"/>
  <c r="BB312" i="93"/>
  <c r="AB312" i="93"/>
  <c r="BB311" i="93"/>
  <c r="AB311" i="93"/>
  <c r="BB310" i="93"/>
  <c r="AB310" i="93"/>
  <c r="BB308" i="93"/>
  <c r="AB308" i="93"/>
  <c r="BB307" i="93"/>
  <c r="AB307" i="93"/>
  <c r="BB305" i="93"/>
  <c r="AB305" i="93"/>
  <c r="BB304" i="93"/>
  <c r="AB304" i="93"/>
  <c r="BB298" i="93"/>
  <c r="AB298" i="93"/>
  <c r="BB297" i="93"/>
  <c r="AB297" i="93"/>
  <c r="BB296" i="93"/>
  <c r="AB296" i="93"/>
  <c r="BB294" i="93"/>
  <c r="AB294" i="93"/>
  <c r="BB293" i="93"/>
  <c r="AB293" i="93"/>
  <c r="BB292" i="93"/>
  <c r="AB292" i="93"/>
  <c r="AB291" i="93"/>
  <c r="BD291" i="93" s="1"/>
  <c r="BF291" i="93" s="1"/>
  <c r="BB289" i="93"/>
  <c r="AB289" i="93"/>
  <c r="AX257" i="93"/>
  <c r="AB288" i="93"/>
  <c r="BB287" i="93"/>
  <c r="AB287" i="93"/>
  <c r="BB286" i="93"/>
  <c r="AB286" i="93"/>
  <c r="BB284" i="93"/>
  <c r="AB284" i="93"/>
  <c r="BB283" i="93"/>
  <c r="AB283" i="93"/>
  <c r="BB279" i="93"/>
  <c r="AB279" i="93"/>
  <c r="BB278" i="93"/>
  <c r="AB278" i="93"/>
  <c r="BB277" i="93"/>
  <c r="AB277" i="93"/>
  <c r="BB273" i="93"/>
  <c r="AB273" i="93"/>
  <c r="BB272" i="93"/>
  <c r="AB272" i="93"/>
  <c r="BB271" i="93"/>
  <c r="AB271" i="93"/>
  <c r="BB270" i="93"/>
  <c r="AB270" i="93"/>
  <c r="BB266" i="93"/>
  <c r="AB266" i="93"/>
  <c r="BB265" i="93"/>
  <c r="AB265" i="93"/>
  <c r="BB264" i="93"/>
  <c r="AB264" i="93"/>
  <c r="AB262" i="93"/>
  <c r="BD262" i="93" s="1"/>
  <c r="BF262" i="93" s="1"/>
  <c r="BB260" i="93"/>
  <c r="AB260" i="93"/>
  <c r="BB259" i="93"/>
  <c r="AB259" i="93"/>
  <c r="BB258" i="93"/>
  <c r="T257" i="93"/>
  <c r="L257" i="93"/>
  <c r="AB258" i="93"/>
  <c r="BC257" i="93"/>
  <c r="BA257" i="93"/>
  <c r="AW257" i="93"/>
  <c r="AV257" i="93"/>
  <c r="AU257" i="93"/>
  <c r="AS257" i="93"/>
  <c r="AR257" i="93"/>
  <c r="AQ257" i="93"/>
  <c r="AO257" i="93"/>
  <c r="AN257" i="93"/>
  <c r="AM257" i="93"/>
  <c r="AK257" i="93"/>
  <c r="AJ257" i="93"/>
  <c r="AI257" i="93"/>
  <c r="AH257" i="93"/>
  <c r="AG257" i="93"/>
  <c r="AF257" i="93"/>
  <c r="AE257" i="93"/>
  <c r="AD257" i="93"/>
  <c r="AC257" i="93"/>
  <c r="AA257" i="93"/>
  <c r="W257" i="93"/>
  <c r="V257" i="93"/>
  <c r="U257" i="93"/>
  <c r="S257" i="93"/>
  <c r="R257" i="93"/>
  <c r="Q257" i="93"/>
  <c r="P257" i="93"/>
  <c r="O257" i="93"/>
  <c r="N257" i="93"/>
  <c r="M257" i="93"/>
  <c r="K257" i="93"/>
  <c r="J257" i="93"/>
  <c r="I257" i="93"/>
  <c r="H257" i="93"/>
  <c r="G257" i="93"/>
  <c r="F257" i="93"/>
  <c r="E257" i="93"/>
  <c r="D257" i="93"/>
  <c r="BB256" i="93"/>
  <c r="BB255" i="93" s="1"/>
  <c r="AB256" i="93"/>
  <c r="BC255" i="93"/>
  <c r="BA255" i="93"/>
  <c r="AX255" i="93"/>
  <c r="AW255" i="93"/>
  <c r="AV255" i="93"/>
  <c r="AU255" i="93"/>
  <c r="AT255" i="93"/>
  <c r="AS255" i="93"/>
  <c r="AR255" i="93"/>
  <c r="AQ255" i="93"/>
  <c r="AP255" i="93"/>
  <c r="AO255" i="93"/>
  <c r="AN255" i="93"/>
  <c r="AM255" i="93"/>
  <c r="AL255" i="93"/>
  <c r="AK255" i="93"/>
  <c r="AJ255" i="93"/>
  <c r="AI255" i="93"/>
  <c r="AH255" i="93"/>
  <c r="AG255" i="93"/>
  <c r="AF255" i="93"/>
  <c r="AE255" i="93"/>
  <c r="AD255" i="93"/>
  <c r="AC255" i="93"/>
  <c r="AA255" i="93"/>
  <c r="X255" i="93"/>
  <c r="W255" i="93"/>
  <c r="V255" i="93"/>
  <c r="U255" i="93"/>
  <c r="T255" i="93"/>
  <c r="S255" i="93"/>
  <c r="R255" i="93"/>
  <c r="Q255" i="93"/>
  <c r="P255" i="93"/>
  <c r="O255" i="93"/>
  <c r="N255" i="93"/>
  <c r="M255" i="93"/>
  <c r="L255" i="93"/>
  <c r="K255" i="93"/>
  <c r="J255" i="93"/>
  <c r="I255" i="93"/>
  <c r="H255" i="93"/>
  <c r="G255" i="93"/>
  <c r="F255" i="93"/>
  <c r="E255" i="93"/>
  <c r="D255" i="93"/>
  <c r="BB254" i="93"/>
  <c r="BB253" i="93" s="1"/>
  <c r="AB254" i="93"/>
  <c r="BC253" i="93"/>
  <c r="BA253" i="93"/>
  <c r="AX253" i="93"/>
  <c r="AW253" i="93"/>
  <c r="AV253" i="93"/>
  <c r="AU253" i="93"/>
  <c r="AT253" i="93"/>
  <c r="AS253" i="93"/>
  <c r="AR253" i="93"/>
  <c r="AQ253" i="93"/>
  <c r="AP253" i="93"/>
  <c r="AO253" i="93"/>
  <c r="AN253" i="93"/>
  <c r="AM253" i="93"/>
  <c r="AL253" i="93"/>
  <c r="AK253" i="93"/>
  <c r="AJ253" i="93"/>
  <c r="AI253" i="93"/>
  <c r="AH253" i="93"/>
  <c r="AG253" i="93"/>
  <c r="AF253" i="93"/>
  <c r="AE253" i="93"/>
  <c r="AD253" i="93"/>
  <c r="AC253" i="93"/>
  <c r="AA253" i="93"/>
  <c r="X253" i="93"/>
  <c r="W253" i="93"/>
  <c r="V253" i="93"/>
  <c r="U253" i="93"/>
  <c r="T253" i="93"/>
  <c r="S253" i="93"/>
  <c r="R253" i="93"/>
  <c r="Q253" i="93"/>
  <c r="P253" i="93"/>
  <c r="O253" i="93"/>
  <c r="N253" i="93"/>
  <c r="M253" i="93"/>
  <c r="L253" i="93"/>
  <c r="K253" i="93"/>
  <c r="J253" i="93"/>
  <c r="I253" i="93"/>
  <c r="H253" i="93"/>
  <c r="G253" i="93"/>
  <c r="F253" i="93"/>
  <c r="E253" i="93"/>
  <c r="D253" i="93"/>
  <c r="BB252" i="93"/>
  <c r="AB252" i="93"/>
  <c r="BB251" i="93"/>
  <c r="AB251" i="93"/>
  <c r="BB250" i="93"/>
  <c r="AB250" i="93"/>
  <c r="BB247" i="93"/>
  <c r="AB247" i="93"/>
  <c r="BB246" i="93"/>
  <c r="AB246" i="93"/>
  <c r="BB245" i="93"/>
  <c r="AB245" i="93"/>
  <c r="BB242" i="93"/>
  <c r="AB242" i="93"/>
  <c r="BB226" i="93"/>
  <c r="AB226" i="93"/>
  <c r="BB225" i="93"/>
  <c r="AB225" i="93"/>
  <c r="AB223" i="93"/>
  <c r="BD223" i="93" s="1"/>
  <c r="BF223" i="93" s="1"/>
  <c r="BB224" i="93"/>
  <c r="AB224" i="93"/>
  <c r="AB212" i="93"/>
  <c r="BB211" i="93"/>
  <c r="AB211" i="93"/>
  <c r="BB210" i="93"/>
  <c r="AB210" i="93"/>
  <c r="BB208" i="93"/>
  <c r="AB208" i="93"/>
  <c r="BB204" i="93"/>
  <c r="AB204" i="93"/>
  <c r="BB203" i="93"/>
  <c r="AB203" i="93"/>
  <c r="BB202" i="93"/>
  <c r="AB202" i="93"/>
  <c r="BB201" i="93"/>
  <c r="AB201" i="93"/>
  <c r="BB200" i="93"/>
  <c r="AB200" i="93"/>
  <c r="BB199" i="93"/>
  <c r="AB199" i="93"/>
  <c r="BC198" i="93"/>
  <c r="BA198" i="93"/>
  <c r="AX198" i="93"/>
  <c r="AW198" i="93"/>
  <c r="AV198" i="93"/>
  <c r="AU198" i="93"/>
  <c r="AT198" i="93"/>
  <c r="AS198" i="93"/>
  <c r="AR198" i="93"/>
  <c r="AQ198" i="93"/>
  <c r="AP198" i="93"/>
  <c r="AO198" i="93"/>
  <c r="AN198" i="93"/>
  <c r="AM198" i="93"/>
  <c r="AL198" i="93"/>
  <c r="AK198" i="93"/>
  <c r="AJ198" i="93"/>
  <c r="AI198" i="93"/>
  <c r="AH198" i="93"/>
  <c r="AG198" i="93"/>
  <c r="AF198" i="93"/>
  <c r="AE198" i="93"/>
  <c r="AD198" i="93"/>
  <c r="AC198" i="93"/>
  <c r="AA198" i="93"/>
  <c r="X198" i="93"/>
  <c r="W198" i="93"/>
  <c r="V198" i="93"/>
  <c r="U198" i="93"/>
  <c r="T198" i="93"/>
  <c r="S198" i="93"/>
  <c r="R198" i="93"/>
  <c r="Q198" i="93"/>
  <c r="P198" i="93"/>
  <c r="O198" i="93"/>
  <c r="N198" i="93"/>
  <c r="M198" i="93"/>
  <c r="L198" i="93"/>
  <c r="K198" i="93"/>
  <c r="J198" i="93"/>
  <c r="I198" i="93"/>
  <c r="H198" i="93"/>
  <c r="G198" i="93"/>
  <c r="F198" i="93"/>
  <c r="E198" i="93"/>
  <c r="D198" i="93"/>
  <c r="BB197" i="93"/>
  <c r="AB197" i="93"/>
  <c r="BB196" i="93"/>
  <c r="AB196" i="93"/>
  <c r="BB194" i="93"/>
  <c r="AB194" i="93"/>
  <c r="BB192" i="93"/>
  <c r="AB192" i="93"/>
  <c r="BB191" i="93"/>
  <c r="AB191" i="93"/>
  <c r="BB190" i="93"/>
  <c r="AB190" i="93"/>
  <c r="BB189" i="93"/>
  <c r="AB189" i="93"/>
  <c r="BB186" i="93"/>
  <c r="AB186" i="93"/>
  <c r="BB184" i="93"/>
  <c r="AB184" i="93"/>
  <c r="BB183" i="93"/>
  <c r="AB183" i="93"/>
  <c r="BB182" i="93"/>
  <c r="AB182" i="93"/>
  <c r="BB179" i="93"/>
  <c r="AB179" i="93"/>
  <c r="BB178" i="93"/>
  <c r="AB178" i="93"/>
  <c r="BB177" i="93"/>
  <c r="AB177" i="93"/>
  <c r="BB176" i="93"/>
  <c r="AB176" i="93"/>
  <c r="BB175" i="93"/>
  <c r="AB175" i="93"/>
  <c r="BB174" i="93"/>
  <c r="AB174" i="93"/>
  <c r="BB173" i="93"/>
  <c r="AB173" i="93"/>
  <c r="BB172" i="93"/>
  <c r="AB172" i="93"/>
  <c r="BB171" i="93"/>
  <c r="AB171" i="93"/>
  <c r="BB170" i="93"/>
  <c r="AB170" i="93"/>
  <c r="BB169" i="93"/>
  <c r="AB169" i="93"/>
  <c r="BB168" i="93"/>
  <c r="AB168" i="93"/>
  <c r="BB166" i="93"/>
  <c r="AB166" i="93"/>
  <c r="BB164" i="93"/>
  <c r="AB164" i="93"/>
  <c r="AB163" i="93"/>
  <c r="BD163" i="93" s="1"/>
  <c r="BF163" i="93" s="1"/>
  <c r="BB162" i="93"/>
  <c r="AB162" i="93"/>
  <c r="BB160" i="93"/>
  <c r="AB160" i="93"/>
  <c r="BB159" i="93"/>
  <c r="AB159" i="93"/>
  <c r="BB158" i="93"/>
  <c r="AB158" i="93"/>
  <c r="BB157" i="93"/>
  <c r="AB157" i="93"/>
  <c r="BB156" i="93"/>
  <c r="AB156" i="93"/>
  <c r="BB155" i="93"/>
  <c r="AB155" i="93"/>
  <c r="BB153" i="93"/>
  <c r="AB153" i="93"/>
  <c r="BB152" i="93"/>
  <c r="AB152" i="93"/>
  <c r="BB151" i="93"/>
  <c r="AB151" i="93"/>
  <c r="BB150" i="93"/>
  <c r="AB150" i="93"/>
  <c r="BB149" i="93"/>
  <c r="BB148" i="93"/>
  <c r="BB147" i="93"/>
  <c r="BB142" i="93"/>
  <c r="AB142" i="93"/>
  <c r="BB140" i="93"/>
  <c r="AB140" i="93"/>
  <c r="BB139" i="93"/>
  <c r="AB139" i="93"/>
  <c r="BB137" i="93"/>
  <c r="AB137" i="93"/>
  <c r="BB134" i="93"/>
  <c r="AB134" i="93"/>
  <c r="BB133" i="93"/>
  <c r="AB133" i="93"/>
  <c r="BB132" i="93"/>
  <c r="AB132" i="93"/>
  <c r="BB131" i="93"/>
  <c r="AB131" i="93"/>
  <c r="BB130" i="93"/>
  <c r="AB130" i="93"/>
  <c r="BB128" i="93"/>
  <c r="AB128" i="93"/>
  <c r="BB125" i="93"/>
  <c r="AB125" i="93"/>
  <c r="BB124" i="93"/>
  <c r="AB124" i="93"/>
  <c r="BB123" i="93"/>
  <c r="AB123" i="93"/>
  <c r="BB122" i="93"/>
  <c r="AB122" i="93"/>
  <c r="BB121" i="93"/>
  <c r="AB121" i="93"/>
  <c r="BB120" i="93"/>
  <c r="AB120" i="93"/>
  <c r="BB118" i="93"/>
  <c r="AB118" i="93"/>
  <c r="BB117" i="93"/>
  <c r="P82" i="93"/>
  <c r="BB116" i="93"/>
  <c r="AB116" i="93"/>
  <c r="BB115" i="93"/>
  <c r="AB115" i="93"/>
  <c r="BB114" i="93"/>
  <c r="AB114" i="93"/>
  <c r="BB113" i="93"/>
  <c r="AB113" i="93"/>
  <c r="AB112" i="93"/>
  <c r="BD112" i="93" s="1"/>
  <c r="BF112" i="93" s="1"/>
  <c r="BB109" i="93"/>
  <c r="AB109" i="93"/>
  <c r="BB107" i="93"/>
  <c r="AB107" i="93"/>
  <c r="BB104" i="93"/>
  <c r="AB104" i="93"/>
  <c r="BB103" i="93"/>
  <c r="AB103" i="93"/>
  <c r="BB102" i="93"/>
  <c r="AB102" i="93"/>
  <c r="BB101" i="93"/>
  <c r="AB101" i="93"/>
  <c r="BB98" i="93"/>
  <c r="AB98" i="93"/>
  <c r="BB97" i="93"/>
  <c r="AB97" i="93"/>
  <c r="BB96" i="93"/>
  <c r="AB96" i="93"/>
  <c r="BB95" i="93"/>
  <c r="AB95" i="93"/>
  <c r="BB94" i="93"/>
  <c r="AB94" i="93"/>
  <c r="BB93" i="93"/>
  <c r="AB93" i="93"/>
  <c r="BB92" i="93"/>
  <c r="AB92" i="93"/>
  <c r="BB91" i="93"/>
  <c r="AB91" i="93"/>
  <c r="BB89" i="93"/>
  <c r="AB89" i="93"/>
  <c r="BB88" i="93"/>
  <c r="AB88" i="93"/>
  <c r="BB87" i="93"/>
  <c r="AB87" i="93"/>
  <c r="BB86" i="93"/>
  <c r="AB86" i="93"/>
  <c r="BB85" i="93"/>
  <c r="AB85" i="93"/>
  <c r="BB84" i="93"/>
  <c r="AB84" i="93"/>
  <c r="BB83" i="93"/>
  <c r="AB83" i="93"/>
  <c r="BC82" i="93"/>
  <c r="BA82" i="93"/>
  <c r="AX82" i="93"/>
  <c r="AW82" i="93"/>
  <c r="AV82" i="93"/>
  <c r="AU82" i="93"/>
  <c r="AT82" i="93"/>
  <c r="AS82" i="93"/>
  <c r="AR82" i="93"/>
  <c r="AQ82" i="93"/>
  <c r="AP82" i="93"/>
  <c r="AO82" i="93"/>
  <c r="AN82" i="93"/>
  <c r="AM82" i="93"/>
  <c r="AK82" i="93"/>
  <c r="AJ82" i="93"/>
  <c r="AI82" i="93"/>
  <c r="AH82" i="93"/>
  <c r="AG82" i="93"/>
  <c r="AF82" i="93"/>
  <c r="AE82" i="93"/>
  <c r="AD82" i="93"/>
  <c r="AC82" i="93"/>
  <c r="AA82" i="93"/>
  <c r="W82" i="93"/>
  <c r="V82" i="93"/>
  <c r="U82" i="93"/>
  <c r="S82" i="93"/>
  <c r="R82" i="93"/>
  <c r="Q82" i="93"/>
  <c r="O82" i="93"/>
  <c r="N82" i="93"/>
  <c r="M82" i="93"/>
  <c r="K82" i="93"/>
  <c r="J82" i="93"/>
  <c r="I82" i="93"/>
  <c r="G82" i="93"/>
  <c r="F82" i="93"/>
  <c r="E82" i="93"/>
  <c r="BB81" i="93"/>
  <c r="BB80" i="93" s="1"/>
  <c r="AB81" i="93"/>
  <c r="BC80" i="93"/>
  <c r="BA80" i="93"/>
  <c r="AX80" i="93"/>
  <c r="AW80" i="93"/>
  <c r="AV80" i="93"/>
  <c r="AU80" i="93"/>
  <c r="AT80" i="93"/>
  <c r="AS80" i="93"/>
  <c r="AR80" i="93"/>
  <c r="AQ80" i="93"/>
  <c r="AP80" i="93"/>
  <c r="AO80" i="93"/>
  <c r="AN80" i="93"/>
  <c r="AM80" i="93"/>
  <c r="AL80" i="93"/>
  <c r="AK80" i="93"/>
  <c r="AJ80" i="93"/>
  <c r="AI80" i="93"/>
  <c r="AH80" i="93"/>
  <c r="AG80" i="93"/>
  <c r="AF80" i="93"/>
  <c r="AE80" i="93"/>
  <c r="AD80" i="93"/>
  <c r="AC80" i="93"/>
  <c r="AA80" i="93"/>
  <c r="X80" i="93"/>
  <c r="W80" i="93"/>
  <c r="V80" i="93"/>
  <c r="U80" i="93"/>
  <c r="T80" i="93"/>
  <c r="S80" i="93"/>
  <c r="R80" i="93"/>
  <c r="Q80" i="93"/>
  <c r="P80" i="93"/>
  <c r="O80" i="93"/>
  <c r="N80" i="93"/>
  <c r="M80" i="93"/>
  <c r="L80" i="93"/>
  <c r="K80" i="93"/>
  <c r="J80" i="93"/>
  <c r="I80" i="93"/>
  <c r="H80" i="93"/>
  <c r="G80" i="93"/>
  <c r="F80" i="93"/>
  <c r="E80" i="93"/>
  <c r="D80" i="93"/>
  <c r="BB79" i="93"/>
  <c r="AB79" i="93"/>
  <c r="BC78" i="93"/>
  <c r="BA78" i="93"/>
  <c r="AX78" i="93"/>
  <c r="AW78" i="93"/>
  <c r="AV78" i="93"/>
  <c r="AU78" i="93"/>
  <c r="AT78" i="93"/>
  <c r="AS78" i="93"/>
  <c r="AR78" i="93"/>
  <c r="AQ78" i="93"/>
  <c r="AP78" i="93"/>
  <c r="AO78" i="93"/>
  <c r="AN78" i="93"/>
  <c r="AM78" i="93"/>
  <c r="AL78" i="93"/>
  <c r="AK78" i="93"/>
  <c r="AJ78" i="93"/>
  <c r="AI78" i="93"/>
  <c r="AH78" i="93"/>
  <c r="AG78" i="93"/>
  <c r="AF78" i="93"/>
  <c r="AE78" i="93"/>
  <c r="AD78" i="93"/>
  <c r="AC78" i="93"/>
  <c r="AA78" i="93"/>
  <c r="X78" i="93"/>
  <c r="W78" i="93"/>
  <c r="V78" i="93"/>
  <c r="U78" i="93"/>
  <c r="T78" i="93"/>
  <c r="S78" i="93"/>
  <c r="R78" i="93"/>
  <c r="Q78" i="93"/>
  <c r="P78" i="93"/>
  <c r="O78" i="93"/>
  <c r="N78" i="93"/>
  <c r="M78" i="93"/>
  <c r="L78" i="93"/>
  <c r="K78" i="93"/>
  <c r="J78" i="93"/>
  <c r="I78" i="93"/>
  <c r="H78" i="93"/>
  <c r="G78" i="93"/>
  <c r="F78" i="93"/>
  <c r="E78" i="93"/>
  <c r="D78" i="93"/>
  <c r="BB77" i="93"/>
  <c r="AB77" i="93"/>
  <c r="BB76" i="93"/>
  <c r="AB76" i="93"/>
  <c r="BC75" i="93"/>
  <c r="BA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A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BB71" i="93"/>
  <c r="AB71" i="93"/>
  <c r="BB69" i="93"/>
  <c r="AB69" i="93"/>
  <c r="BB67" i="93"/>
  <c r="AB67" i="93"/>
  <c r="BB64" i="93"/>
  <c r="AB64" i="93"/>
  <c r="BB60" i="93"/>
  <c r="AB60" i="93"/>
  <c r="BB59" i="93"/>
  <c r="AB59" i="93"/>
  <c r="BC55" i="93"/>
  <c r="BA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A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BB54" i="93"/>
  <c r="AB54" i="93"/>
  <c r="BB53" i="93"/>
  <c r="AB53" i="93"/>
  <c r="BC52" i="93"/>
  <c r="BA52" i="93"/>
  <c r="AX52" i="93"/>
  <c r="AW52" i="93"/>
  <c r="AV52" i="93"/>
  <c r="AU52" i="93"/>
  <c r="AT52" i="93"/>
  <c r="AS52" i="93"/>
  <c r="AR52" i="93"/>
  <c r="AQ52" i="93"/>
  <c r="AP52" i="93"/>
  <c r="AO52" i="93"/>
  <c r="AN52" i="93"/>
  <c r="AM52" i="93"/>
  <c r="AL52" i="93"/>
  <c r="AK52" i="93"/>
  <c r="AJ52" i="93"/>
  <c r="AI52" i="93"/>
  <c r="AH52" i="93"/>
  <c r="AG52" i="93"/>
  <c r="AF52" i="93"/>
  <c r="AE52" i="93"/>
  <c r="AD52" i="93"/>
  <c r="AC52" i="93"/>
  <c r="AA52" i="93"/>
  <c r="X52" i="93"/>
  <c r="W52" i="93"/>
  <c r="V52" i="93"/>
  <c r="U52" i="93"/>
  <c r="T52" i="93"/>
  <c r="S52" i="93"/>
  <c r="R52" i="93"/>
  <c r="Q52" i="93"/>
  <c r="P52" i="93"/>
  <c r="O52" i="93"/>
  <c r="N52" i="93"/>
  <c r="M52" i="93"/>
  <c r="L52" i="93"/>
  <c r="K52" i="93"/>
  <c r="J52" i="93"/>
  <c r="I52" i="93"/>
  <c r="H52" i="93"/>
  <c r="G52" i="93"/>
  <c r="F52" i="93"/>
  <c r="E52" i="93"/>
  <c r="D52" i="93"/>
  <c r="BB51" i="93"/>
  <c r="AB51" i="93"/>
  <c r="BB48" i="93"/>
  <c r="AB48" i="93"/>
  <c r="BC47" i="93"/>
  <c r="BA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A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BB42" i="93"/>
  <c r="AB42" i="93"/>
  <c r="BB41" i="93"/>
  <c r="AB41" i="93"/>
  <c r="BB39" i="93"/>
  <c r="AB39" i="93"/>
  <c r="BB36" i="93"/>
  <c r="AB36" i="93"/>
  <c r="BC33" i="93"/>
  <c r="BA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G33" i="93"/>
  <c r="AF33" i="93"/>
  <c r="AE33" i="93"/>
  <c r="AD33" i="93"/>
  <c r="AC33" i="93"/>
  <c r="AA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BB30" i="93"/>
  <c r="AB30" i="93"/>
  <c r="BB29" i="93"/>
  <c r="AB29" i="93"/>
  <c r="BB27" i="93"/>
  <c r="AB27" i="93"/>
  <c r="BC22" i="93"/>
  <c r="BA22" i="93"/>
  <c r="AX22" i="93"/>
  <c r="AW22" i="93"/>
  <c r="AV22" i="93"/>
  <c r="AU22" i="93"/>
  <c r="AT22" i="93"/>
  <c r="AS22" i="93"/>
  <c r="AR22" i="93"/>
  <c r="AQ22" i="93"/>
  <c r="AP22" i="93"/>
  <c r="AO22" i="93"/>
  <c r="AN22" i="93"/>
  <c r="AM22" i="93"/>
  <c r="AL22" i="93"/>
  <c r="AK22" i="93"/>
  <c r="AJ22" i="93"/>
  <c r="AI22" i="93"/>
  <c r="AH22" i="93"/>
  <c r="AG22" i="93"/>
  <c r="AF22" i="93"/>
  <c r="AE22" i="93"/>
  <c r="AD22" i="93"/>
  <c r="AC22" i="93"/>
  <c r="AA22" i="93"/>
  <c r="X22" i="93"/>
  <c r="W22" i="93"/>
  <c r="V22" i="93"/>
  <c r="U22" i="93"/>
  <c r="T22" i="93"/>
  <c r="S22" i="93"/>
  <c r="R22" i="93"/>
  <c r="Q22" i="93"/>
  <c r="P22" i="93"/>
  <c r="O22" i="93"/>
  <c r="N22" i="93"/>
  <c r="M22" i="93"/>
  <c r="L22" i="93"/>
  <c r="K22" i="93"/>
  <c r="J22" i="93"/>
  <c r="I22" i="93"/>
  <c r="H22" i="93"/>
  <c r="G22" i="93"/>
  <c r="F22" i="93"/>
  <c r="E22" i="93"/>
  <c r="D22" i="93"/>
  <c r="BC10" i="93"/>
  <c r="BA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A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BD4261" i="93" l="1"/>
  <c r="BF4261" i="93" s="1"/>
  <c r="BD689" i="93"/>
  <c r="BD2286" i="93"/>
  <c r="BF2286" i="93" s="1"/>
  <c r="BD1518" i="93"/>
  <c r="BF1518" i="93" s="1"/>
  <c r="BD2743" i="93"/>
  <c r="BF2743" i="93" s="1"/>
  <c r="BD1841" i="93"/>
  <c r="BF1841" i="93" s="1"/>
  <c r="BD278" i="93"/>
  <c r="BF278" i="93" s="1"/>
  <c r="BD378" i="93"/>
  <c r="BF378" i="93" s="1"/>
  <c r="BD900" i="93"/>
  <c r="BF900" i="93" s="1"/>
  <c r="BD1273" i="93"/>
  <c r="BF1273" i="93" s="1"/>
  <c r="BD1404" i="93"/>
  <c r="BF1404" i="93" s="1"/>
  <c r="BD1295" i="93"/>
  <c r="BF1295" i="93" s="1"/>
  <c r="BG408" i="93"/>
  <c r="BF408" i="93"/>
  <c r="BD4052" i="93"/>
  <c r="BF4052" i="93" s="1"/>
  <c r="BE4220" i="93"/>
  <c r="BE3918" i="93"/>
  <c r="BG3770" i="93"/>
  <c r="BD3185" i="93"/>
  <c r="BD2825" i="93"/>
  <c r="BF2825" i="93" s="1"/>
  <c r="BD3115" i="93"/>
  <c r="BD1104" i="93"/>
  <c r="BF1104" i="93" s="1"/>
  <c r="BD850" i="93"/>
  <c r="BF850" i="93" s="1"/>
  <c r="BD4257" i="93"/>
  <c r="BF4257" i="93" s="1"/>
  <c r="BG112" i="93"/>
  <c r="BG163" i="93"/>
  <c r="BG223" i="93"/>
  <c r="BG291" i="93"/>
  <c r="BG501" i="93"/>
  <c r="BG514" i="93"/>
  <c r="BG675" i="93"/>
  <c r="BG938" i="93"/>
  <c r="BG1223" i="93"/>
  <c r="BG1252" i="93"/>
  <c r="BG1268" i="93"/>
  <c r="BG1604" i="93"/>
  <c r="BG1735" i="93"/>
  <c r="BG1928" i="93"/>
  <c r="BG2017" i="93"/>
  <c r="BG2057" i="93"/>
  <c r="BG2168" i="93"/>
  <c r="BG2171" i="93"/>
  <c r="BG2174" i="93"/>
  <c r="BG2292" i="93"/>
  <c r="BG2310" i="93"/>
  <c r="BG2690" i="93"/>
  <c r="BG2720" i="93"/>
  <c r="BG2883" i="93"/>
  <c r="BG2929" i="93"/>
  <c r="BG3108" i="93"/>
  <c r="BG3174" i="93"/>
  <c r="BG3271" i="93"/>
  <c r="BG3499" i="93"/>
  <c r="BG3568" i="93"/>
  <c r="BG3711" i="93"/>
  <c r="BG3859" i="93"/>
  <c r="BG3926" i="93"/>
  <c r="BG3953" i="93"/>
  <c r="BG4001" i="93"/>
  <c r="BG4122" i="93"/>
  <c r="BG4215" i="93"/>
  <c r="BG362" i="93"/>
  <c r="BG487" i="93"/>
  <c r="BG1190" i="93"/>
  <c r="BG1636" i="93"/>
  <c r="BG1662" i="93"/>
  <c r="BG1744" i="93"/>
  <c r="BG1929" i="93"/>
  <c r="BG2047" i="93"/>
  <c r="BG2169" i="93"/>
  <c r="BG2172" i="93"/>
  <c r="BG2195" i="93"/>
  <c r="BG2449" i="93"/>
  <c r="BG2881" i="93"/>
  <c r="BG3033" i="93"/>
  <c r="BG3405" i="93"/>
  <c r="BG3552" i="93"/>
  <c r="BG3570" i="93"/>
  <c r="BG3602" i="93"/>
  <c r="BG3835" i="93"/>
  <c r="BG3868" i="93"/>
  <c r="BG4118" i="93"/>
  <c r="BG4218" i="93"/>
  <c r="BG4227" i="93"/>
  <c r="BE2381" i="93"/>
  <c r="BE1698" i="93"/>
  <c r="BE2614" i="93"/>
  <c r="BE1512" i="93"/>
  <c r="BD1100" i="93"/>
  <c r="BF1100" i="93" s="1"/>
  <c r="BE741" i="93"/>
  <c r="BE569" i="93"/>
  <c r="BE22" i="93"/>
  <c r="BE33" i="93"/>
  <c r="BE1258" i="93"/>
  <c r="BE10" i="93"/>
  <c r="BE82" i="93"/>
  <c r="BE855" i="93"/>
  <c r="BD1707" i="93"/>
  <c r="BF1707" i="93" s="1"/>
  <c r="BE672" i="93"/>
  <c r="BD384" i="93"/>
  <c r="BF384" i="93" s="1"/>
  <c r="BD3134" i="93"/>
  <c r="BF3134" i="93" s="1"/>
  <c r="BD1374" i="93"/>
  <c r="BF1374" i="93" s="1"/>
  <c r="BD2999" i="93"/>
  <c r="BF2999" i="93" s="1"/>
  <c r="BD2778" i="93"/>
  <c r="BF2778" i="93" s="1"/>
  <c r="BD2686" i="93"/>
  <c r="BF2686" i="93" s="1"/>
  <c r="BD1519" i="93"/>
  <c r="BF1519" i="93" s="1"/>
  <c r="BD2004" i="93"/>
  <c r="BF2004" i="93" s="1"/>
  <c r="BE4250" i="93"/>
  <c r="BE3178" i="93"/>
  <c r="BD4245" i="93"/>
  <c r="BF4245" i="93" s="1"/>
  <c r="BD4248" i="93"/>
  <c r="BF4248" i="93" s="1"/>
  <c r="BD4251" i="93"/>
  <c r="BF4251" i="93" s="1"/>
  <c r="BD4252" i="93"/>
  <c r="BF4252" i="93" s="1"/>
  <c r="BD36" i="93"/>
  <c r="BF36" i="93" s="1"/>
  <c r="BD39" i="93"/>
  <c r="BF39" i="93" s="1"/>
  <c r="BD41" i="93"/>
  <c r="BF41" i="93" s="1"/>
  <c r="BD42" i="93"/>
  <c r="BF42" i="93" s="1"/>
  <c r="BE47" i="93"/>
  <c r="BD48" i="93"/>
  <c r="BF48" i="93" s="1"/>
  <c r="BD51" i="93"/>
  <c r="BF51" i="93" s="1"/>
  <c r="BE52" i="93"/>
  <c r="BD53" i="93"/>
  <c r="BF53" i="93" s="1"/>
  <c r="BD54" i="93"/>
  <c r="BF54" i="93" s="1"/>
  <c r="BE55" i="93"/>
  <c r="BD59" i="93"/>
  <c r="BF59" i="93" s="1"/>
  <c r="BD60" i="93"/>
  <c r="BF60" i="93" s="1"/>
  <c r="BD64" i="93"/>
  <c r="BD67" i="93"/>
  <c r="BD69" i="93"/>
  <c r="BD71" i="93"/>
  <c r="BE75" i="93"/>
  <c r="BD76" i="93"/>
  <c r="BF76" i="93" s="1"/>
  <c r="BD77" i="93"/>
  <c r="BF77" i="93" s="1"/>
  <c r="BE78" i="93"/>
  <c r="BD79" i="93"/>
  <c r="BF79" i="93" s="1"/>
  <c r="BE80" i="93"/>
  <c r="BD113" i="93"/>
  <c r="BF113" i="93" s="1"/>
  <c r="BD114" i="93"/>
  <c r="BF114" i="93" s="1"/>
  <c r="BD115" i="93"/>
  <c r="BF115" i="93" s="1"/>
  <c r="BD116" i="93"/>
  <c r="BF116" i="93" s="1"/>
  <c r="BD118" i="93"/>
  <c r="BF118" i="93" s="1"/>
  <c r="BD120" i="93"/>
  <c r="BF120" i="93" s="1"/>
  <c r="BD121" i="93"/>
  <c r="BF121" i="93" s="1"/>
  <c r="BD122" i="93"/>
  <c r="BF122" i="93" s="1"/>
  <c r="BD123" i="93"/>
  <c r="BF123" i="93" s="1"/>
  <c r="BD124" i="93"/>
  <c r="BF124" i="93" s="1"/>
  <c r="BD125" i="93"/>
  <c r="BF125" i="93" s="1"/>
  <c r="BD128" i="93"/>
  <c r="BF128" i="93" s="1"/>
  <c r="BD130" i="93"/>
  <c r="BF130" i="93" s="1"/>
  <c r="BD131" i="93"/>
  <c r="BF131" i="93" s="1"/>
  <c r="BD132" i="93"/>
  <c r="BF132" i="93" s="1"/>
  <c r="BD133" i="93"/>
  <c r="BF133" i="93" s="1"/>
  <c r="BD134" i="93"/>
  <c r="BF134" i="93" s="1"/>
  <c r="BD137" i="93"/>
  <c r="BF137" i="93" s="1"/>
  <c r="BD139" i="93"/>
  <c r="BF139" i="93" s="1"/>
  <c r="BD140" i="93"/>
  <c r="BF140" i="93" s="1"/>
  <c r="BD142" i="93"/>
  <c r="BD164" i="93"/>
  <c r="BF164" i="93" s="1"/>
  <c r="BD166" i="93"/>
  <c r="BF166" i="93" s="1"/>
  <c r="BD168" i="93"/>
  <c r="BF168" i="93" s="1"/>
  <c r="BD169" i="93"/>
  <c r="BF169" i="93" s="1"/>
  <c r="BD170" i="93"/>
  <c r="BF170" i="93" s="1"/>
  <c r="BD171" i="93"/>
  <c r="BF171" i="93" s="1"/>
  <c r="BD172" i="93"/>
  <c r="BF172" i="93" s="1"/>
  <c r="BD173" i="93"/>
  <c r="BF173" i="93" s="1"/>
  <c r="BD174" i="93"/>
  <c r="BF174" i="93" s="1"/>
  <c r="BD175" i="93"/>
  <c r="BF175" i="93" s="1"/>
  <c r="BD176" i="93"/>
  <c r="BF176" i="93" s="1"/>
  <c r="BD177" i="93"/>
  <c r="BF177" i="93" s="1"/>
  <c r="BD178" i="93"/>
  <c r="BF178" i="93" s="1"/>
  <c r="BD179" i="93"/>
  <c r="BF179" i="93" s="1"/>
  <c r="BD182" i="93"/>
  <c r="BF182" i="93" s="1"/>
  <c r="BD183" i="93"/>
  <c r="BF183" i="93" s="1"/>
  <c r="BD184" i="93"/>
  <c r="BF184" i="93" s="1"/>
  <c r="BD186" i="93"/>
  <c r="BF186" i="93" s="1"/>
  <c r="BD189" i="93"/>
  <c r="BF189" i="93" s="1"/>
  <c r="BD190" i="93"/>
  <c r="BF190" i="93" s="1"/>
  <c r="BD191" i="93"/>
  <c r="BF191" i="93" s="1"/>
  <c r="BD192" i="93"/>
  <c r="BF192" i="93" s="1"/>
  <c r="BD194" i="93"/>
  <c r="BF194" i="93" s="1"/>
  <c r="BD196" i="93"/>
  <c r="BF196" i="93" s="1"/>
  <c r="BD197" i="93"/>
  <c r="BF197" i="93" s="1"/>
  <c r="BE198" i="93"/>
  <c r="BD199" i="93"/>
  <c r="BF199" i="93" s="1"/>
  <c r="BD200" i="93"/>
  <c r="BF200" i="93" s="1"/>
  <c r="BD201" i="93"/>
  <c r="BF201" i="93" s="1"/>
  <c r="BD202" i="93"/>
  <c r="BF202" i="93" s="1"/>
  <c r="BD203" i="93"/>
  <c r="BF203" i="93" s="1"/>
  <c r="BD204" i="93"/>
  <c r="BF204" i="93" s="1"/>
  <c r="BD208" i="93"/>
  <c r="BF208" i="93" s="1"/>
  <c r="BD210" i="93"/>
  <c r="BF210" i="93" s="1"/>
  <c r="BD211" i="93"/>
  <c r="BF211" i="93" s="1"/>
  <c r="BD212" i="93"/>
  <c r="BF212" i="93" s="1"/>
  <c r="BD224" i="93"/>
  <c r="BF224" i="93" s="1"/>
  <c r="BD242" i="93"/>
  <c r="BF242" i="93" s="1"/>
  <c r="BD245" i="93"/>
  <c r="BF245" i="93" s="1"/>
  <c r="BD246" i="93"/>
  <c r="BF246" i="93" s="1"/>
  <c r="BD247" i="93"/>
  <c r="BF247" i="93" s="1"/>
  <c r="BD250" i="93"/>
  <c r="BD251" i="93"/>
  <c r="BF251" i="93" s="1"/>
  <c r="BD252" i="93"/>
  <c r="BF252" i="93" s="1"/>
  <c r="BE253" i="93"/>
  <c r="BE255" i="93"/>
  <c r="BD292" i="93"/>
  <c r="BF292" i="93" s="1"/>
  <c r="BD293" i="93"/>
  <c r="BF293" i="93" s="1"/>
  <c r="BD294" i="93"/>
  <c r="BF294" i="93" s="1"/>
  <c r="BD296" i="93"/>
  <c r="BF296" i="93" s="1"/>
  <c r="BD297" i="93"/>
  <c r="BF297" i="93" s="1"/>
  <c r="BD298" i="93"/>
  <c r="BF298" i="93" s="1"/>
  <c r="BD304" i="93"/>
  <c r="BF304" i="93" s="1"/>
  <c r="BD305" i="93"/>
  <c r="BD307" i="93"/>
  <c r="BD308" i="93"/>
  <c r="BF308" i="93" s="1"/>
  <c r="BD310" i="93"/>
  <c r="BF310" i="93" s="1"/>
  <c r="BD311" i="93"/>
  <c r="BF311" i="93" s="1"/>
  <c r="BD312" i="93"/>
  <c r="BF312" i="93" s="1"/>
  <c r="BD313" i="93"/>
  <c r="BF313" i="93" s="1"/>
  <c r="BD314" i="93"/>
  <c r="BF314" i="93" s="1"/>
  <c r="BD315" i="93"/>
  <c r="BF315" i="93" s="1"/>
  <c r="BD316" i="93"/>
  <c r="BF316" i="93" s="1"/>
  <c r="BD318" i="93"/>
  <c r="BF318" i="93" s="1"/>
  <c r="BD319" i="93"/>
  <c r="BF319" i="93" s="1"/>
  <c r="BD320" i="93"/>
  <c r="BF320" i="93" s="1"/>
  <c r="BD321" i="93"/>
  <c r="BF321" i="93" s="1"/>
  <c r="BD322" i="93"/>
  <c r="BF322" i="93" s="1"/>
  <c r="BD323" i="93"/>
  <c r="BF323" i="93" s="1"/>
  <c r="BD325" i="93"/>
  <c r="BF325" i="93" s="1"/>
  <c r="BD326" i="93"/>
  <c r="BF326" i="93" s="1"/>
  <c r="BD327" i="93"/>
  <c r="BF327" i="93" s="1"/>
  <c r="BD328" i="93"/>
  <c r="BF328" i="93" s="1"/>
  <c r="BD329" i="93"/>
  <c r="BF329" i="93" s="1"/>
  <c r="BD331" i="93"/>
  <c r="BF331" i="93" s="1"/>
  <c r="BD332" i="93"/>
  <c r="BF332" i="93" s="1"/>
  <c r="BD333" i="93"/>
  <c r="BF333" i="93" s="1"/>
  <c r="BD334" i="93"/>
  <c r="BF334" i="93" s="1"/>
  <c r="BD336" i="93"/>
  <c r="BF336" i="93" s="1"/>
  <c r="BD338" i="93"/>
  <c r="BF338" i="93" s="1"/>
  <c r="BD341" i="93"/>
  <c r="BF341" i="93" s="1"/>
  <c r="BD343" i="93"/>
  <c r="BF343" i="93" s="1"/>
  <c r="BD345" i="93"/>
  <c r="BF345" i="93" s="1"/>
  <c r="BD348" i="93"/>
  <c r="BF348" i="93" s="1"/>
  <c r="BD350" i="93"/>
  <c r="BF350" i="93" s="1"/>
  <c r="BD351" i="93"/>
  <c r="BF351" i="93" s="1"/>
  <c r="BD352" i="93"/>
  <c r="BF352" i="93" s="1"/>
  <c r="BD354" i="93"/>
  <c r="BF354" i="93" s="1"/>
  <c r="BD355" i="93"/>
  <c r="BF355" i="93" s="1"/>
  <c r="BD356" i="93"/>
  <c r="BF356" i="93" s="1"/>
  <c r="BD357" i="93"/>
  <c r="BF357" i="93" s="1"/>
  <c r="BD359" i="93"/>
  <c r="BF359" i="93" s="1"/>
  <c r="BD360" i="93"/>
  <c r="BF360" i="93" s="1"/>
  <c r="BD402" i="93"/>
  <c r="BF402" i="93" s="1"/>
  <c r="BD405" i="93"/>
  <c r="BF405" i="93" s="1"/>
  <c r="BD407" i="93"/>
  <c r="BD471" i="93"/>
  <c r="BF471" i="93" s="1"/>
  <c r="BD472" i="93"/>
  <c r="BF472" i="93" s="1"/>
  <c r="BD475" i="93"/>
  <c r="BF475" i="93" s="1"/>
  <c r="BD476" i="93"/>
  <c r="BF476" i="93" s="1"/>
  <c r="BD479" i="93"/>
  <c r="BF479" i="93" s="1"/>
  <c r="BD481" i="93"/>
  <c r="BD482" i="93"/>
  <c r="BF482" i="93" s="1"/>
  <c r="BD483" i="93"/>
  <c r="BF483" i="93" s="1"/>
  <c r="BD502" i="93"/>
  <c r="BF502" i="93" s="1"/>
  <c r="BD503" i="93"/>
  <c r="BF503" i="93" s="1"/>
  <c r="BD504" i="93"/>
  <c r="BF504" i="93" s="1"/>
  <c r="BD509" i="93"/>
  <c r="BF509" i="93" s="1"/>
  <c r="BD510" i="93"/>
  <c r="BF510" i="93" s="1"/>
  <c r="BD518" i="93"/>
  <c r="BD519" i="93"/>
  <c r="BF519" i="93" s="1"/>
  <c r="BD522" i="93"/>
  <c r="BF522" i="93" s="1"/>
  <c r="BD523" i="93"/>
  <c r="BF523" i="93" s="1"/>
  <c r="BD524" i="93"/>
  <c r="BF524" i="93" s="1"/>
  <c r="BD526" i="93"/>
  <c r="BF526" i="93" s="1"/>
  <c r="BD527" i="93"/>
  <c r="BF527" i="93" s="1"/>
  <c r="BD528" i="93"/>
  <c r="BF528" i="93" s="1"/>
  <c r="BD529" i="93"/>
  <c r="BF529" i="93" s="1"/>
  <c r="BD530" i="93"/>
  <c r="BF530" i="93" s="1"/>
  <c r="BD531" i="93"/>
  <c r="BF531" i="93" s="1"/>
  <c r="BD532" i="93"/>
  <c r="BF532" i="93" s="1"/>
  <c r="BD534" i="93"/>
  <c r="BF534" i="93" s="1"/>
  <c r="BD538" i="93"/>
  <c r="BF538" i="93" s="1"/>
  <c r="BD539" i="93"/>
  <c r="BF539" i="93" s="1"/>
  <c r="BD540" i="93"/>
  <c r="BF540" i="93" s="1"/>
  <c r="BD541" i="93"/>
  <c r="BF541" i="93" s="1"/>
  <c r="BD542" i="93"/>
  <c r="BF542" i="93" s="1"/>
  <c r="BD543" i="93"/>
  <c r="BF543" i="93" s="1"/>
  <c r="BD544" i="93"/>
  <c r="BF544" i="93" s="1"/>
  <c r="BD547" i="93"/>
  <c r="BF547" i="93" s="1"/>
  <c r="BD549" i="93"/>
  <c r="BF549" i="93" s="1"/>
  <c r="BD550" i="93"/>
  <c r="BF550" i="93" s="1"/>
  <c r="BD300" i="93"/>
  <c r="BF300" i="93" s="1"/>
  <c r="BD552" i="93"/>
  <c r="BD554" i="93"/>
  <c r="BD555" i="93"/>
  <c r="BD562" i="93"/>
  <c r="BD564" i="93"/>
  <c r="BF564" i="93" s="1"/>
  <c r="BD566" i="93"/>
  <c r="BF566" i="93" s="1"/>
  <c r="BD567" i="93"/>
  <c r="BF567" i="93" s="1"/>
  <c r="BD568" i="93"/>
  <c r="BF568" i="93" s="1"/>
  <c r="BD593" i="93"/>
  <c r="BD596" i="93"/>
  <c r="BF596" i="93" s="1"/>
  <c r="BD597" i="93"/>
  <c r="BF597" i="93" s="1"/>
  <c r="BD598" i="93"/>
  <c r="BF598" i="93" s="1"/>
  <c r="BD599" i="93"/>
  <c r="BF599" i="93" s="1"/>
  <c r="BD600" i="93"/>
  <c r="BF600" i="93" s="1"/>
  <c r="BD601" i="93"/>
  <c r="BF601" i="93" s="1"/>
  <c r="BD602" i="93"/>
  <c r="BF602" i="93" s="1"/>
  <c r="BD603" i="93"/>
  <c r="BF603" i="93" s="1"/>
  <c r="BD605" i="93"/>
  <c r="BF605" i="93" s="1"/>
  <c r="BD607" i="93"/>
  <c r="BF607" i="93" s="1"/>
  <c r="BD612" i="93"/>
  <c r="BD615" i="93"/>
  <c r="BD616" i="93"/>
  <c r="BD617" i="93"/>
  <c r="BD673" i="93"/>
  <c r="BF673" i="93" s="1"/>
  <c r="BD769" i="93"/>
  <c r="BF769" i="93" s="1"/>
  <c r="BD773" i="93"/>
  <c r="BF773" i="93" s="1"/>
  <c r="BD774" i="93"/>
  <c r="BF774" i="93" s="1"/>
  <c r="BD778" i="93"/>
  <c r="BF778" i="93" s="1"/>
  <c r="BD779" i="93"/>
  <c r="BF779" i="93" s="1"/>
  <c r="BD780" i="93"/>
  <c r="BF780" i="93" s="1"/>
  <c r="BD781" i="93"/>
  <c r="BF781" i="93" s="1"/>
  <c r="BD783" i="93"/>
  <c r="BF783" i="93" s="1"/>
  <c r="BD784" i="93"/>
  <c r="BF784" i="93" s="1"/>
  <c r="BD785" i="93"/>
  <c r="BF785" i="93" s="1"/>
  <c r="BD786" i="93"/>
  <c r="BF786" i="93" s="1"/>
  <c r="BD789" i="93"/>
  <c r="BF789" i="93" s="1"/>
  <c r="BD790" i="93"/>
  <c r="BF790" i="93" s="1"/>
  <c r="BD791" i="93"/>
  <c r="BF791" i="93" s="1"/>
  <c r="BD793" i="93"/>
  <c r="BF793" i="93" s="1"/>
  <c r="BD795" i="93"/>
  <c r="BF795" i="93" s="1"/>
  <c r="BD797" i="93"/>
  <c r="BF797" i="93" s="1"/>
  <c r="BD799" i="93"/>
  <c r="BF799" i="93" s="1"/>
  <c r="BD803" i="93"/>
  <c r="BD804" i="93"/>
  <c r="BF804" i="93" s="1"/>
  <c r="BD805" i="93"/>
  <c r="BF805" i="93" s="1"/>
  <c r="BD806" i="93"/>
  <c r="BF806" i="93" s="1"/>
  <c r="BD808" i="93"/>
  <c r="BF808" i="93" s="1"/>
  <c r="BD810" i="93"/>
  <c r="BF810" i="93" s="1"/>
  <c r="BD814" i="93"/>
  <c r="BF814" i="93" s="1"/>
  <c r="BD815" i="93"/>
  <c r="F9" i="94" s="1"/>
  <c r="BD817" i="93"/>
  <c r="BF817" i="93" s="1"/>
  <c r="BD818" i="93"/>
  <c r="BF818" i="93" s="1"/>
  <c r="BD819" i="93"/>
  <c r="BD858" i="93"/>
  <c r="BD859" i="93"/>
  <c r="BD860" i="93"/>
  <c r="BD861" i="93"/>
  <c r="BD864" i="93"/>
  <c r="BD865" i="93"/>
  <c r="BD866" i="93"/>
  <c r="BD867" i="93"/>
  <c r="BD868" i="93"/>
  <c r="BD869" i="93"/>
  <c r="BD870" i="93"/>
  <c r="BD872" i="93"/>
  <c r="BD873" i="93"/>
  <c r="BD875" i="93"/>
  <c r="BD876" i="93"/>
  <c r="BD878" i="93"/>
  <c r="BF878" i="93" s="1"/>
  <c r="BD879" i="93"/>
  <c r="BF879" i="93" s="1"/>
  <c r="BD880" i="93"/>
  <c r="BF880" i="93" s="1"/>
  <c r="BD881" i="93"/>
  <c r="BF881" i="93" s="1"/>
  <c r="BD882" i="93"/>
  <c r="BF882" i="93" s="1"/>
  <c r="BD883" i="93"/>
  <c r="BF883" i="93" s="1"/>
  <c r="BD884" i="93"/>
  <c r="BF884" i="93" s="1"/>
  <c r="BD885" i="93"/>
  <c r="BF885" i="93" s="1"/>
  <c r="BD886" i="93"/>
  <c r="BF886" i="93" s="1"/>
  <c r="BD887" i="93"/>
  <c r="BF887" i="93" s="1"/>
  <c r="BD888" i="93"/>
  <c r="BF888" i="93" s="1"/>
  <c r="BD890" i="93"/>
  <c r="BD891" i="93"/>
  <c r="BD892" i="93"/>
  <c r="BD893" i="93"/>
  <c r="BD894" i="93"/>
  <c r="BD895" i="93"/>
  <c r="BD896" i="93"/>
  <c r="BD897" i="93"/>
  <c r="BD898" i="93"/>
  <c r="BD901" i="93"/>
  <c r="BD902" i="93"/>
  <c r="BD905" i="93"/>
  <c r="BD906" i="93"/>
  <c r="BD907" i="93"/>
  <c r="BD908" i="93"/>
  <c r="BD914" i="93"/>
  <c r="BD915" i="93"/>
  <c r="BD918" i="93"/>
  <c r="BD919" i="93"/>
  <c r="BD921" i="93"/>
  <c r="BF921" i="93" s="1"/>
  <c r="BD922" i="93"/>
  <c r="BF922" i="93" s="1"/>
  <c r="BD924" i="93"/>
  <c r="BF924" i="93" s="1"/>
  <c r="BD925" i="93"/>
  <c r="BF925" i="93" s="1"/>
  <c r="BD926" i="93"/>
  <c r="BF926" i="93" s="1"/>
  <c r="BD928" i="93"/>
  <c r="BF928" i="93" s="1"/>
  <c r="BD929" i="93"/>
  <c r="BF929" i="93" s="1"/>
  <c r="BD930" i="93"/>
  <c r="BF930" i="93" s="1"/>
  <c r="BD931" i="93"/>
  <c r="BF931" i="93" s="1"/>
  <c r="BD932" i="93"/>
  <c r="BF932" i="93" s="1"/>
  <c r="BD933" i="93"/>
  <c r="BF933" i="93" s="1"/>
  <c r="BD936" i="93"/>
  <c r="BF936" i="93" s="1"/>
  <c r="BD949" i="93"/>
  <c r="BF949" i="93" s="1"/>
  <c r="BD943" i="93"/>
  <c r="BF943" i="93" s="1"/>
  <c r="BD944" i="93"/>
  <c r="BF944" i="93" s="1"/>
  <c r="BD947" i="93"/>
  <c r="BD948" i="93"/>
  <c r="BD950" i="93"/>
  <c r="BF950" i="93" s="1"/>
  <c r="BD957" i="93"/>
  <c r="BF957" i="93" s="1"/>
  <c r="BD962" i="93"/>
  <c r="BF962" i="93" s="1"/>
  <c r="BD968" i="93"/>
  <c r="BD974" i="93"/>
  <c r="BF974" i="93" s="1"/>
  <c r="BD976" i="93"/>
  <c r="BF976" i="93" s="1"/>
  <c r="BD1024" i="93"/>
  <c r="BF1024" i="93" s="1"/>
  <c r="BD1025" i="93"/>
  <c r="BF1025" i="93" s="1"/>
  <c r="BD1032" i="93"/>
  <c r="BF1032" i="93" s="1"/>
  <c r="BD1033" i="93"/>
  <c r="BF1033" i="93" s="1"/>
  <c r="BD1034" i="93"/>
  <c r="BF1034" i="93" s="1"/>
  <c r="BD1037" i="93"/>
  <c r="BF1037" i="93" s="1"/>
  <c r="BD1038" i="93"/>
  <c r="BF1038" i="93" s="1"/>
  <c r="BD1039" i="93"/>
  <c r="BF1039" i="93" s="1"/>
  <c r="BD1057" i="93"/>
  <c r="BD1062" i="93"/>
  <c r="BD1069" i="93"/>
  <c r="BF1069" i="93" s="1"/>
  <c r="BD1070" i="93"/>
  <c r="BF1070" i="93" s="1"/>
  <c r="BD1071" i="93"/>
  <c r="BF1071" i="93" s="1"/>
  <c r="BD1072" i="93"/>
  <c r="BF1072" i="93" s="1"/>
  <c r="BD1073" i="93"/>
  <c r="BF1073" i="93" s="1"/>
  <c r="BD1074" i="93"/>
  <c r="BF1074" i="93" s="1"/>
  <c r="BD1075" i="93"/>
  <c r="BF1075" i="93" s="1"/>
  <c r="BD1078" i="93"/>
  <c r="BF1078" i="93" s="1"/>
  <c r="BD1079" i="93"/>
  <c r="BF1079" i="93" s="1"/>
  <c r="BE1081" i="93"/>
  <c r="BD1082" i="93"/>
  <c r="BF1082" i="93" s="1"/>
  <c r="BE1083" i="93"/>
  <c r="BD1084" i="93"/>
  <c r="BF1084" i="93" s="1"/>
  <c r="BD1085" i="93"/>
  <c r="BF1085" i="93" s="1"/>
  <c r="BE1086" i="93"/>
  <c r="BD1087" i="93"/>
  <c r="BF1087" i="93" s="1"/>
  <c r="BE1088" i="93"/>
  <c r="BD1090" i="93"/>
  <c r="BF1090" i="93" s="1"/>
  <c r="BE1091" i="93"/>
  <c r="BD1092" i="93"/>
  <c r="BF1092" i="93" s="1"/>
  <c r="BD1094" i="93"/>
  <c r="BF1094" i="93" s="1"/>
  <c r="BD1101" i="93"/>
  <c r="BF1101" i="93" s="1"/>
  <c r="BD1102" i="93"/>
  <c r="BF1102" i="93" s="1"/>
  <c r="BD1116" i="93"/>
  <c r="BF1116" i="93" s="1"/>
  <c r="BD1117" i="93"/>
  <c r="BF1117" i="93" s="1"/>
  <c r="BD1118" i="93"/>
  <c r="BF1118" i="93" s="1"/>
  <c r="BD1131" i="93"/>
  <c r="BF1131" i="93" s="1"/>
  <c r="BD1141" i="93"/>
  <c r="F14" i="94" s="1"/>
  <c r="BD1142" i="93"/>
  <c r="F15" i="94" s="1"/>
  <c r="BD1144" i="93"/>
  <c r="F17" i="94" s="1"/>
  <c r="BD1147" i="93"/>
  <c r="BD1148" i="93"/>
  <c r="BD1150" i="93"/>
  <c r="BD1151" i="93"/>
  <c r="BF1151" i="93" s="1"/>
  <c r="BD1152" i="93"/>
  <c r="BF1152" i="93" s="1"/>
  <c r="BD1153" i="93"/>
  <c r="BD1154" i="93"/>
  <c r="BF1154" i="93" s="1"/>
  <c r="BD1176" i="93"/>
  <c r="BF1176" i="93" s="1"/>
  <c r="BD1177" i="93"/>
  <c r="BF1177" i="93" s="1"/>
  <c r="BD1178" i="93"/>
  <c r="BF1178" i="93" s="1"/>
  <c r="BD1179" i="93"/>
  <c r="BF1179" i="93" s="1"/>
  <c r="BD1180" i="93"/>
  <c r="BF1180" i="93" s="1"/>
  <c r="BD1182" i="93"/>
  <c r="BF1182" i="93" s="1"/>
  <c r="BD1183" i="93"/>
  <c r="BF1183" i="93" s="1"/>
  <c r="BD1184" i="93"/>
  <c r="BF1184" i="93" s="1"/>
  <c r="BD1185" i="93"/>
  <c r="BF1185" i="93" s="1"/>
  <c r="BD1187" i="93"/>
  <c r="BF1187" i="93" s="1"/>
  <c r="BD1188" i="93"/>
  <c r="BF1188" i="93" s="1"/>
  <c r="BD1231" i="93"/>
  <c r="BF1231" i="93" s="1"/>
  <c r="BD1224" i="93"/>
  <c r="BF1224" i="93" s="1"/>
  <c r="BD1225" i="93"/>
  <c r="BF1225" i="93" s="1"/>
  <c r="BD1226" i="93"/>
  <c r="BF1226" i="93" s="1"/>
  <c r="BD1227" i="93"/>
  <c r="BF1227" i="93" s="1"/>
  <c r="BD1228" i="93"/>
  <c r="BF1228" i="93" s="1"/>
  <c r="BD1229" i="93"/>
  <c r="BF1229" i="93" s="1"/>
  <c r="BD1230" i="93"/>
  <c r="BF1230" i="93" s="1"/>
  <c r="BD1232" i="93"/>
  <c r="BF1232" i="93" s="1"/>
  <c r="BD1233" i="93"/>
  <c r="BF1233" i="93" s="1"/>
  <c r="BD1235" i="93"/>
  <c r="BF1235" i="93" s="1"/>
  <c r="BD1236" i="93"/>
  <c r="BF1236" i="93" s="1"/>
  <c r="BD1241" i="93"/>
  <c r="BF1241" i="93" s="1"/>
  <c r="BD1242" i="93"/>
  <c r="BF1242" i="93" s="1"/>
  <c r="BD1243" i="93"/>
  <c r="BF1243" i="93" s="1"/>
  <c r="BD1244" i="93"/>
  <c r="BF1244" i="93" s="1"/>
  <c r="BD1245" i="93"/>
  <c r="BF1245" i="93" s="1"/>
  <c r="BD1246" i="93"/>
  <c r="BF1246" i="93" s="1"/>
  <c r="BD1247" i="93"/>
  <c r="BF1247" i="93" s="1"/>
  <c r="BD1256" i="93"/>
  <c r="BF1256" i="93" s="1"/>
  <c r="BD1257" i="93"/>
  <c r="BF1257" i="93" s="1"/>
  <c r="BD1312" i="93"/>
  <c r="BF1312" i="93" s="1"/>
  <c r="BD1313" i="93"/>
  <c r="BF1313" i="93" s="1"/>
  <c r="BD1315" i="93"/>
  <c r="BF1315" i="93" s="1"/>
  <c r="BD1407" i="93"/>
  <c r="BD1408" i="93"/>
  <c r="BD1316" i="93"/>
  <c r="BF1316" i="93" s="1"/>
  <c r="BD1317" i="93"/>
  <c r="BF1317" i="93" s="1"/>
  <c r="BD1318" i="93"/>
  <c r="BF1318" i="93" s="1"/>
  <c r="BD1321" i="93"/>
  <c r="BF1321" i="93" s="1"/>
  <c r="BD1322" i="93"/>
  <c r="BF1322" i="93" s="1"/>
  <c r="BD1325" i="93"/>
  <c r="BD1329" i="93"/>
  <c r="BF1329" i="93" s="1"/>
  <c r="BD1330" i="93"/>
  <c r="BF1330" i="93" s="1"/>
  <c r="BD1332" i="93"/>
  <c r="BF1332" i="93" s="1"/>
  <c r="BD1334" i="93"/>
  <c r="BD1339" i="93"/>
  <c r="BD1342" i="93"/>
  <c r="BD1343" i="93"/>
  <c r="BD1344" i="93"/>
  <c r="BF1344" i="93" s="1"/>
  <c r="BD1345" i="93"/>
  <c r="BF1345" i="93" s="1"/>
  <c r="BD1346" i="93"/>
  <c r="BF1346" i="93" s="1"/>
  <c r="BD1347" i="93"/>
  <c r="BF1347" i="93" s="1"/>
  <c r="BD1348" i="93"/>
  <c r="BF1348" i="93" s="1"/>
  <c r="BD1352" i="93"/>
  <c r="BF1352" i="93" s="1"/>
  <c r="BD1353" i="93"/>
  <c r="BF1353" i="93" s="1"/>
  <c r="BD1358" i="93"/>
  <c r="BD1360" i="93"/>
  <c r="BF1360" i="93" s="1"/>
  <c r="BD1366" i="93"/>
  <c r="BF1366" i="93" s="1"/>
  <c r="BD1368" i="93"/>
  <c r="BD1372" i="93"/>
  <c r="BD1375" i="93"/>
  <c r="BF1375" i="93" s="1"/>
  <c r="BD1376" i="93"/>
  <c r="BF1376" i="93" s="1"/>
  <c r="BD1377" i="93"/>
  <c r="BF1377" i="93" s="1"/>
  <c r="BD1379" i="93"/>
  <c r="BF1379" i="93" s="1"/>
  <c r="BD1380" i="93"/>
  <c r="BF1380" i="93" s="1"/>
  <c r="BD1381" i="93"/>
  <c r="BF1381" i="93" s="1"/>
  <c r="BD1384" i="93"/>
  <c r="BD1385" i="93"/>
  <c r="BD1390" i="93"/>
  <c r="BD1396" i="93"/>
  <c r="BD1397" i="93"/>
  <c r="BD1403" i="93"/>
  <c r="BE1409" i="93"/>
  <c r="BD1410" i="93"/>
  <c r="BF1410" i="93" s="1"/>
  <c r="BD1411" i="93"/>
  <c r="BF1411" i="93" s="1"/>
  <c r="BD1423" i="93"/>
  <c r="BF1423" i="93" s="1"/>
  <c r="BD1424" i="93"/>
  <c r="BF1424" i="93" s="1"/>
  <c r="BD1425" i="93"/>
  <c r="BF1425" i="93" s="1"/>
  <c r="BD1426" i="93"/>
  <c r="BF1426" i="93" s="1"/>
  <c r="BD1429" i="93"/>
  <c r="BF1429" i="93" s="1"/>
  <c r="BD1430" i="93"/>
  <c r="BF1430" i="93" s="1"/>
  <c r="BD1431" i="93"/>
  <c r="BF1431" i="93" s="1"/>
  <c r="BD1445" i="93"/>
  <c r="BD1447" i="93"/>
  <c r="BF1447" i="93" s="1"/>
  <c r="BD1448" i="93"/>
  <c r="BF1448" i="93" s="1"/>
  <c r="BD1449" i="93"/>
  <c r="BD1452" i="93"/>
  <c r="BF1452" i="93" s="1"/>
  <c r="BD1456" i="93"/>
  <c r="BF1456" i="93" s="1"/>
  <c r="BD1458" i="93"/>
  <c r="BF1458" i="93" s="1"/>
  <c r="BD1460" i="93"/>
  <c r="BF1460" i="93" s="1"/>
  <c r="BD1503" i="93"/>
  <c r="BF1503" i="93" s="1"/>
  <c r="BD1504" i="93"/>
  <c r="BF1504" i="93" s="1"/>
  <c r="BD1505" i="93"/>
  <c r="BF1505" i="93" s="1"/>
  <c r="BD1507" i="93"/>
  <c r="BF1507" i="93" s="1"/>
  <c r="BD1509" i="93"/>
  <c r="BF1509" i="93" s="1"/>
  <c r="BD1564" i="93"/>
  <c r="BF1564" i="93" s="1"/>
  <c r="BD1567" i="93"/>
  <c r="BF1567" i="93" s="1"/>
  <c r="BD1568" i="93"/>
  <c r="BF1568" i="93" s="1"/>
  <c r="BD1569" i="93"/>
  <c r="BF1569" i="93" s="1"/>
  <c r="BD1570" i="93"/>
  <c r="BF1570" i="93" s="1"/>
  <c r="BD1572" i="93"/>
  <c r="BF1572" i="93" s="1"/>
  <c r="BD1573" i="93"/>
  <c r="BF1573" i="93" s="1"/>
  <c r="BD1574" i="93"/>
  <c r="BF1574" i="93" s="1"/>
  <c r="BD1577" i="93"/>
  <c r="BF1577" i="93" s="1"/>
  <c r="BD1578" i="93"/>
  <c r="BF1578" i="93" s="1"/>
  <c r="BD1579" i="93"/>
  <c r="BF1579" i="93" s="1"/>
  <c r="BD1580" i="93"/>
  <c r="BF1580" i="93" s="1"/>
  <c r="BD1581" i="93"/>
  <c r="BF1581" i="93" s="1"/>
  <c r="BD1584" i="93"/>
  <c r="BF1584" i="93" s="1"/>
  <c r="BD1585" i="93"/>
  <c r="BF1585" i="93" s="1"/>
  <c r="BD1586" i="93"/>
  <c r="BF1586" i="93" s="1"/>
  <c r="BD1588" i="93"/>
  <c r="BF1588" i="93" s="1"/>
  <c r="BD1589" i="93"/>
  <c r="BF1589" i="93" s="1"/>
  <c r="BD1590" i="93"/>
  <c r="BF1590" i="93" s="1"/>
  <c r="BD1591" i="93"/>
  <c r="BF1591" i="93" s="1"/>
  <c r="BD1592" i="93"/>
  <c r="BF1592" i="93" s="1"/>
  <c r="BD1593" i="93"/>
  <c r="BF1593" i="93" s="1"/>
  <c r="BD1594" i="93"/>
  <c r="BF1594" i="93" s="1"/>
  <c r="BD1595" i="93"/>
  <c r="BF1595" i="93" s="1"/>
  <c r="BD1597" i="93"/>
  <c r="BF1597" i="93" s="1"/>
  <c r="BD1598" i="93"/>
  <c r="BF1598" i="93" s="1"/>
  <c r="BD1600" i="93"/>
  <c r="BF1600" i="93" s="1"/>
  <c r="BD1637" i="93"/>
  <c r="BF1637" i="93" s="1"/>
  <c r="BD1638" i="93"/>
  <c r="BF1638" i="93" s="1"/>
  <c r="BD1640" i="93"/>
  <c r="BF1640" i="93" s="1"/>
  <c r="BD1646" i="93"/>
  <c r="BF1646" i="93" s="1"/>
  <c r="BD1695" i="93"/>
  <c r="BF1695" i="93" s="1"/>
  <c r="BD1696" i="93"/>
  <c r="BF1696" i="93" s="1"/>
  <c r="BD1697" i="93"/>
  <c r="BF1697" i="93" s="1"/>
  <c r="BD1647" i="93"/>
  <c r="BF1647" i="93" s="1"/>
  <c r="BD1648" i="93"/>
  <c r="BF1648" i="93" s="1"/>
  <c r="BD1649" i="93"/>
  <c r="BF1649" i="93" s="1"/>
  <c r="BD1650" i="93"/>
  <c r="BF1650" i="93" s="1"/>
  <c r="BD1651" i="93"/>
  <c r="BF1651" i="93" s="1"/>
  <c r="BD1653" i="93"/>
  <c r="BF1653" i="93" s="1"/>
  <c r="BD1654" i="93"/>
  <c r="BF1654" i="93" s="1"/>
  <c r="BD1657" i="93"/>
  <c r="BF1657" i="93" s="1"/>
  <c r="BD1659" i="93"/>
  <c r="BF1659" i="93" s="1"/>
  <c r="BD1660" i="93"/>
  <c r="BF1660" i="93" s="1"/>
  <c r="BD1694" i="93"/>
  <c r="BF1694" i="93" s="1"/>
  <c r="BD1699" i="93"/>
  <c r="BF1699" i="93" s="1"/>
  <c r="BD1701" i="93"/>
  <c r="BF1701" i="93" s="1"/>
  <c r="BD1738" i="93"/>
  <c r="BF1738" i="93" s="1"/>
  <c r="BD1740" i="93"/>
  <c r="BD1742" i="93"/>
  <c r="BF1742" i="93" s="1"/>
  <c r="BD1807" i="93"/>
  <c r="BF1807" i="93" s="1"/>
  <c r="BD1753" i="93"/>
  <c r="BF1753" i="93" s="1"/>
  <c r="BD1755" i="93"/>
  <c r="BF1755" i="93" s="1"/>
  <c r="BD1756" i="93"/>
  <c r="BF1756" i="93" s="1"/>
  <c r="BD1758" i="93"/>
  <c r="BF1758" i="93" s="1"/>
  <c r="BD1762" i="93"/>
  <c r="BF1762" i="93" s="1"/>
  <c r="BD1765" i="93"/>
  <c r="BF1765" i="93" s="1"/>
  <c r="BD1766" i="93"/>
  <c r="BF1766" i="93" s="1"/>
  <c r="BD1768" i="93"/>
  <c r="BF1768" i="93" s="1"/>
  <c r="BD1769" i="93"/>
  <c r="BF1769" i="93" s="1"/>
  <c r="BD1770" i="93"/>
  <c r="BF1770" i="93" s="1"/>
  <c r="BD1771" i="93"/>
  <c r="BF1771" i="93" s="1"/>
  <c r="BD1772" i="93"/>
  <c r="BF1772" i="93" s="1"/>
  <c r="BD1773" i="93"/>
  <c r="BF1773" i="93" s="1"/>
  <c r="BD1774" i="93"/>
  <c r="BF1774" i="93" s="1"/>
  <c r="BD1775" i="93"/>
  <c r="BF1775" i="93" s="1"/>
  <c r="BD1777" i="93"/>
  <c r="BF1777" i="93" s="1"/>
  <c r="BD1778" i="93"/>
  <c r="BF1778" i="93" s="1"/>
  <c r="BD1781" i="93"/>
  <c r="BF1781" i="93" s="1"/>
  <c r="BD1783" i="93"/>
  <c r="BF1783" i="93" s="1"/>
  <c r="BD1784" i="93"/>
  <c r="BF1784" i="93" s="1"/>
  <c r="BD1785" i="93"/>
  <c r="BF1785" i="93" s="1"/>
  <c r="BD1815" i="93"/>
  <c r="BF1815" i="93" s="1"/>
  <c r="BD1817" i="93"/>
  <c r="BF1817" i="93" s="1"/>
  <c r="BD1818" i="93"/>
  <c r="BF1818" i="93" s="1"/>
  <c r="BD1821" i="93"/>
  <c r="BF1821" i="93" s="1"/>
  <c r="BD1822" i="93"/>
  <c r="BD1823" i="93"/>
  <c r="BF1823" i="93" s="1"/>
  <c r="BD1824" i="93"/>
  <c r="BF1824" i="93" s="1"/>
  <c r="BD1825" i="93"/>
  <c r="BF1825" i="93" s="1"/>
  <c r="BD1826" i="93"/>
  <c r="BF1826" i="93" s="1"/>
  <c r="BD1827" i="93"/>
  <c r="BF1827" i="93" s="1"/>
  <c r="BD1828" i="93"/>
  <c r="BF1828" i="93" s="1"/>
  <c r="BD1830" i="93"/>
  <c r="BF1830" i="93" s="1"/>
  <c r="BD1832" i="93"/>
  <c r="BF1832" i="93" s="1"/>
  <c r="BD1833" i="93"/>
  <c r="BF1833" i="93" s="1"/>
  <c r="BD1834" i="93"/>
  <c r="BF1834" i="93" s="1"/>
  <c r="BD1835" i="93"/>
  <c r="BF1835" i="93" s="1"/>
  <c r="BD1836" i="93"/>
  <c r="BF1836" i="93" s="1"/>
  <c r="BD1844" i="93"/>
  <c r="BF1844" i="93" s="1"/>
  <c r="BD1846" i="93"/>
  <c r="BF1846" i="93" s="1"/>
  <c r="BD1848" i="93"/>
  <c r="BF1848" i="93" s="1"/>
  <c r="BD1849" i="93"/>
  <c r="BF1849" i="93" s="1"/>
  <c r="BD1851" i="93"/>
  <c r="BF1851" i="93" s="1"/>
  <c r="BD1853" i="93"/>
  <c r="BF1853" i="93" s="1"/>
  <c r="BD1854" i="93"/>
  <c r="BF1854" i="93" s="1"/>
  <c r="BD1855" i="93"/>
  <c r="BF1855" i="93" s="1"/>
  <c r="BD1856" i="93"/>
  <c r="BF1856" i="93" s="1"/>
  <c r="BD1857" i="93"/>
  <c r="BF1857" i="93" s="1"/>
  <c r="BD1858" i="93"/>
  <c r="BF1858" i="93" s="1"/>
  <c r="BD1859" i="93"/>
  <c r="BF1859" i="93" s="1"/>
  <c r="BD1861" i="93"/>
  <c r="BF1861" i="93" s="1"/>
  <c r="BD1862" i="93"/>
  <c r="BF1862" i="93" s="1"/>
  <c r="BD1865" i="93"/>
  <c r="BF1865" i="93" s="1"/>
  <c r="BD1867" i="93"/>
  <c r="BF1867" i="93" s="1"/>
  <c r="BD1869" i="93"/>
  <c r="BD1870" i="93"/>
  <c r="BF1870" i="93" s="1"/>
  <c r="BD1871" i="93"/>
  <c r="BF1871" i="93" s="1"/>
  <c r="BD1872" i="93"/>
  <c r="BF1872" i="93" s="1"/>
  <c r="BD1874" i="93"/>
  <c r="BF1874" i="93" s="1"/>
  <c r="BD1875" i="93"/>
  <c r="BF1875" i="93" s="1"/>
  <c r="BD1877" i="93"/>
  <c r="BF1877" i="93" s="1"/>
  <c r="BD1878" i="93"/>
  <c r="BF1878" i="93" s="1"/>
  <c r="BD1879" i="93"/>
  <c r="BF1879" i="93" s="1"/>
  <c r="BD1880" i="93"/>
  <c r="BF1880" i="93" s="1"/>
  <c r="BD1881" i="93"/>
  <c r="BF1881" i="93" s="1"/>
  <c r="BD1882" i="93"/>
  <c r="BF1882" i="93" s="1"/>
  <c r="BD1883" i="93"/>
  <c r="BF1883" i="93" s="1"/>
  <c r="BD1884" i="93"/>
  <c r="BF1884" i="93" s="1"/>
  <c r="BD1885" i="93"/>
  <c r="BF1885" i="93" s="1"/>
  <c r="BD1886" i="93"/>
  <c r="BF1886" i="93" s="1"/>
  <c r="BD1887" i="93"/>
  <c r="BF1887" i="93" s="1"/>
  <c r="BD1888" i="93"/>
  <c r="BF1888" i="93" s="1"/>
  <c r="BD1889" i="93"/>
  <c r="BF1889" i="93" s="1"/>
  <c r="BD1890" i="93"/>
  <c r="BF1890" i="93" s="1"/>
  <c r="BD1895" i="93"/>
  <c r="BF1895" i="93" s="1"/>
  <c r="BD1896" i="93"/>
  <c r="BF1896" i="93" s="1"/>
  <c r="BD1897" i="93"/>
  <c r="BF1897" i="93" s="1"/>
  <c r="BD1898" i="93"/>
  <c r="BF1898" i="93" s="1"/>
  <c r="BD1899" i="93"/>
  <c r="BF1899" i="93" s="1"/>
  <c r="BD1901" i="93"/>
  <c r="BF1901" i="93" s="1"/>
  <c r="BD1902" i="93"/>
  <c r="BF1902" i="93" s="1"/>
  <c r="BD1903" i="93"/>
  <c r="BF1903" i="93" s="1"/>
  <c r="BD1904" i="93"/>
  <c r="BF1904" i="93" s="1"/>
  <c r="BD1906" i="93"/>
  <c r="BF1906" i="93" s="1"/>
  <c r="BD1907" i="93"/>
  <c r="BF1907" i="93" s="1"/>
  <c r="BD1974" i="93"/>
  <c r="BF1974" i="93" s="1"/>
  <c r="BD1975" i="93"/>
  <c r="BF1975" i="93" s="1"/>
  <c r="BD1979" i="93"/>
  <c r="BF1979" i="93" s="1"/>
  <c r="BD1980" i="93"/>
  <c r="BF1980" i="93" s="1"/>
  <c r="BD1981" i="93"/>
  <c r="BF1981" i="93" s="1"/>
  <c r="BD1982" i="93"/>
  <c r="BF1982" i="93" s="1"/>
  <c r="BD1985" i="93"/>
  <c r="BF1985" i="93" s="1"/>
  <c r="BD1987" i="93"/>
  <c r="BF1987" i="93" s="1"/>
  <c r="BD1993" i="93"/>
  <c r="BF1993" i="93" s="1"/>
  <c r="BD1994" i="93"/>
  <c r="BF1994" i="93" s="1"/>
  <c r="BD1998" i="93"/>
  <c r="BF1998" i="93" s="1"/>
  <c r="BD1999" i="93"/>
  <c r="BF1999" i="93" s="1"/>
  <c r="BD2001" i="93"/>
  <c r="BF2001" i="93" s="1"/>
  <c r="BD2005" i="93"/>
  <c r="BF2005" i="93" s="1"/>
  <c r="BE2006" i="93"/>
  <c r="BD2007" i="93"/>
  <c r="BF2007" i="93" s="1"/>
  <c r="BD2008" i="93"/>
  <c r="BF2008" i="93" s="1"/>
  <c r="BE2009" i="93"/>
  <c r="BD2010" i="93"/>
  <c r="BF2010" i="93" s="1"/>
  <c r="BD2018" i="93"/>
  <c r="BF2018" i="93" s="1"/>
  <c r="BD2019" i="93"/>
  <c r="BF2019" i="93" s="1"/>
  <c r="BD2037" i="93"/>
  <c r="BF2037" i="93" s="1"/>
  <c r="BD2039" i="93"/>
  <c r="BF2039" i="93" s="1"/>
  <c r="BD2040" i="93"/>
  <c r="BF2040" i="93" s="1"/>
  <c r="BD2041" i="93"/>
  <c r="BF2041" i="93" s="1"/>
  <c r="BD2055" i="93"/>
  <c r="BF2055" i="93" s="1"/>
  <c r="BD2061" i="93"/>
  <c r="BF2061" i="93" s="1"/>
  <c r="BD2074" i="93"/>
  <c r="BF2074" i="93" s="1"/>
  <c r="BD2075" i="93"/>
  <c r="BF2075" i="93" s="1"/>
  <c r="BD2076" i="93"/>
  <c r="BF2076" i="93" s="1"/>
  <c r="BD2078" i="93"/>
  <c r="BF2078" i="93" s="1"/>
  <c r="BD2079" i="93"/>
  <c r="BF2079" i="93" s="1"/>
  <c r="BD2080" i="93"/>
  <c r="BF2080" i="93" s="1"/>
  <c r="BD2081" i="93"/>
  <c r="BF2081" i="93" s="1"/>
  <c r="BD2082" i="93"/>
  <c r="BF2082" i="93" s="1"/>
  <c r="BD2083" i="93"/>
  <c r="BF2083" i="93" s="1"/>
  <c r="BD2085" i="93"/>
  <c r="BF2085" i="93" s="1"/>
  <c r="BD2086" i="93"/>
  <c r="BF2086" i="93" s="1"/>
  <c r="BD2087" i="93"/>
  <c r="BF2087" i="93" s="1"/>
  <c r="BD2089" i="93"/>
  <c r="BF2089" i="93" s="1"/>
  <c r="BD2091" i="93"/>
  <c r="BF2091" i="93" s="1"/>
  <c r="BD2092" i="93"/>
  <c r="BF2092" i="93" s="1"/>
  <c r="BD2093" i="93"/>
  <c r="BF2093" i="93" s="1"/>
  <c r="BD2096" i="93"/>
  <c r="BF2096" i="93" s="1"/>
  <c r="BD2097" i="93"/>
  <c r="BF2097" i="93" s="1"/>
  <c r="BD2098" i="93"/>
  <c r="BF2098" i="93" s="1"/>
  <c r="BD2099" i="93"/>
  <c r="BF2099" i="93" s="1"/>
  <c r="BD2176" i="93"/>
  <c r="BF2176" i="93" s="1"/>
  <c r="BD2177" i="93"/>
  <c r="BF2177" i="93" s="1"/>
  <c r="BD2179" i="93"/>
  <c r="BF2179" i="93" s="1"/>
  <c r="BD2181" i="93"/>
  <c r="BF2181" i="93" s="1"/>
  <c r="BD2183" i="93"/>
  <c r="BF2183" i="93" s="1"/>
  <c r="BD2184" i="93"/>
  <c r="BF2184" i="93" s="1"/>
  <c r="BD2185" i="93"/>
  <c r="BF2185" i="93" s="1"/>
  <c r="BD2186" i="93"/>
  <c r="BF2186" i="93" s="1"/>
  <c r="BD2187" i="93"/>
  <c r="BF2187" i="93" s="1"/>
  <c r="BD2191" i="93"/>
  <c r="BF2191" i="93" s="1"/>
  <c r="BD2192" i="93"/>
  <c r="BF2192" i="93" s="1"/>
  <c r="BD2193" i="93"/>
  <c r="BF2193" i="93" s="1"/>
  <c r="BD2201" i="93"/>
  <c r="BF2201" i="93" s="1"/>
  <c r="BD2203" i="93"/>
  <c r="BF2203" i="93" s="1"/>
  <c r="BD2204" i="93"/>
  <c r="BF2204" i="93" s="1"/>
  <c r="BD2205" i="93"/>
  <c r="BF2205" i="93" s="1"/>
  <c r="BD2206" i="93"/>
  <c r="BF2206" i="93" s="1"/>
  <c r="BD2207" i="93"/>
  <c r="BF2207" i="93" s="1"/>
  <c r="BD2209" i="93"/>
  <c r="BF2209" i="93" s="1"/>
  <c r="BD2210" i="93"/>
  <c r="BF2210" i="93" s="1"/>
  <c r="BD2211" i="93"/>
  <c r="BF2211" i="93" s="1"/>
  <c r="BD2212" i="93"/>
  <c r="BF2212" i="93" s="1"/>
  <c r="BD2213" i="93"/>
  <c r="BF2213" i="93" s="1"/>
  <c r="BD2214" i="93"/>
  <c r="BF2214" i="93" s="1"/>
  <c r="BD2215" i="93"/>
  <c r="BF2215" i="93" s="1"/>
  <c r="BD2218" i="93"/>
  <c r="BF2218" i="93" s="1"/>
  <c r="BD2219" i="93"/>
  <c r="BF2219" i="93" s="1"/>
  <c r="BD2220" i="93"/>
  <c r="BF2220" i="93" s="1"/>
  <c r="BD2221" i="93"/>
  <c r="BF2221" i="93" s="1"/>
  <c r="BD2222" i="93"/>
  <c r="BF2222" i="93" s="1"/>
  <c r="BD2223" i="93"/>
  <c r="BF2223" i="93" s="1"/>
  <c r="BD2224" i="93"/>
  <c r="BF2224" i="93" s="1"/>
  <c r="BD2225" i="93"/>
  <c r="BF2225" i="93" s="1"/>
  <c r="BD2226" i="93"/>
  <c r="BF2226" i="93" s="1"/>
  <c r="BD2228" i="93"/>
  <c r="BF2228" i="93" s="1"/>
  <c r="BD2229" i="93"/>
  <c r="BF2229" i="93" s="1"/>
  <c r="BD2230" i="93"/>
  <c r="BF2230" i="93" s="1"/>
  <c r="BD2231" i="93"/>
  <c r="BF2231" i="93" s="1"/>
  <c r="BD2234" i="93"/>
  <c r="BF2234" i="93" s="1"/>
  <c r="BD2235" i="93"/>
  <c r="BF2235" i="93" s="1"/>
  <c r="BD2236" i="93"/>
  <c r="BF2236" i="93" s="1"/>
  <c r="BD2237" i="93"/>
  <c r="BF2237" i="93" s="1"/>
  <c r="BD2238" i="93"/>
  <c r="BF2238" i="93" s="1"/>
  <c r="BD2239" i="93"/>
  <c r="BD2240" i="93"/>
  <c r="BD2242" i="93"/>
  <c r="BD2243" i="93"/>
  <c r="BD2244" i="93"/>
  <c r="BD2245" i="93"/>
  <c r="BD2250" i="93"/>
  <c r="BF2250" i="93" s="1"/>
  <c r="BD2251" i="93"/>
  <c r="BF2251" i="93" s="1"/>
  <c r="BD2252" i="93"/>
  <c r="BF2252" i="93" s="1"/>
  <c r="BD2253" i="93"/>
  <c r="BF2253" i="93" s="1"/>
  <c r="BD2254" i="93"/>
  <c r="BF2254" i="93" s="1"/>
  <c r="BD2255" i="93"/>
  <c r="BF2255" i="93" s="1"/>
  <c r="BD2256" i="93"/>
  <c r="BF2256" i="93" s="1"/>
  <c r="BD2257" i="93"/>
  <c r="BF2257" i="93" s="1"/>
  <c r="BD2258" i="93"/>
  <c r="BF2258" i="93" s="1"/>
  <c r="BD2259" i="93"/>
  <c r="BF2259" i="93" s="1"/>
  <c r="BD2261" i="93"/>
  <c r="BF2261" i="93" s="1"/>
  <c r="BD2262" i="93"/>
  <c r="BF2262" i="93" s="1"/>
  <c r="BD2263" i="93"/>
  <c r="BF2263" i="93" s="1"/>
  <c r="BD2264" i="93"/>
  <c r="BF2264" i="93" s="1"/>
  <c r="BD2265" i="93"/>
  <c r="BF2265" i="93" s="1"/>
  <c r="BD2266" i="93"/>
  <c r="BF2266" i="93" s="1"/>
  <c r="BD2270" i="93"/>
  <c r="BF2270" i="93" s="1"/>
  <c r="BD2271" i="93"/>
  <c r="BF2271" i="93" s="1"/>
  <c r="BD2272" i="93"/>
  <c r="BF2272" i="93" s="1"/>
  <c r="BD2296" i="93"/>
  <c r="BF2296" i="93" s="1"/>
  <c r="BD2297" i="93"/>
  <c r="BF2297" i="93" s="1"/>
  <c r="BD2300" i="93"/>
  <c r="BF2300" i="93" s="1"/>
  <c r="BD2303" i="93"/>
  <c r="BF2303" i="93" s="1"/>
  <c r="BD2304" i="93"/>
  <c r="BF2304" i="93" s="1"/>
  <c r="BD2305" i="93"/>
  <c r="BF2305" i="93" s="1"/>
  <c r="BD2306" i="93"/>
  <c r="BF2306" i="93" s="1"/>
  <c r="BD2308" i="93"/>
  <c r="BF2308" i="93" s="1"/>
  <c r="BD2309" i="93"/>
  <c r="BF2309" i="93" s="1"/>
  <c r="BD2311" i="93"/>
  <c r="BF2311" i="93" s="1"/>
  <c r="BD2379" i="93"/>
  <c r="BF2379" i="93" s="1"/>
  <c r="BD2383" i="93"/>
  <c r="BF2383" i="93" s="1"/>
  <c r="BD2444" i="93"/>
  <c r="BF2444" i="93" s="1"/>
  <c r="BD2442" i="93"/>
  <c r="BF2442" i="93" s="1"/>
  <c r="BD2446" i="93"/>
  <c r="BF2446" i="93" s="1"/>
  <c r="BD2534" i="93"/>
  <c r="BF2534" i="93" s="1"/>
  <c r="BD2535" i="93"/>
  <c r="BF2535" i="93" s="1"/>
  <c r="BD2538" i="93"/>
  <c r="BF2538" i="93" s="1"/>
  <c r="BD2539" i="93"/>
  <c r="BF2539" i="93" s="1"/>
  <c r="BD2540" i="93"/>
  <c r="BF2540" i="93" s="1"/>
  <c r="BD2541" i="93"/>
  <c r="BF2541" i="93" s="1"/>
  <c r="BD2542" i="93"/>
  <c r="BF2542" i="93" s="1"/>
  <c r="BD2543" i="93"/>
  <c r="BF2543" i="93" s="1"/>
  <c r="BD2544" i="93"/>
  <c r="BF2544" i="93" s="1"/>
  <c r="BD2546" i="93"/>
  <c r="BF2546" i="93" s="1"/>
  <c r="BD2547" i="93"/>
  <c r="BF2547" i="93" s="1"/>
  <c r="BD2548" i="93"/>
  <c r="BF2548" i="93" s="1"/>
  <c r="BD2549" i="93"/>
  <c r="BF2549" i="93" s="1"/>
  <c r="BD2550" i="93"/>
  <c r="BF2550" i="93" s="1"/>
  <c r="BD2551" i="93"/>
  <c r="BF2551" i="93" s="1"/>
  <c r="BD2552" i="93"/>
  <c r="BF2552" i="93" s="1"/>
  <c r="BD2553" i="93"/>
  <c r="BF2553" i="93" s="1"/>
  <c r="BD2554" i="93"/>
  <c r="BF2554" i="93" s="1"/>
  <c r="BD2555" i="93"/>
  <c r="BF2555" i="93" s="1"/>
  <c r="BD2556" i="93"/>
  <c r="BF2556" i="93" s="1"/>
  <c r="BD2557" i="93"/>
  <c r="BF2557" i="93" s="1"/>
  <c r="BD2558" i="93"/>
  <c r="BF2558" i="93" s="1"/>
  <c r="BD2559" i="93"/>
  <c r="BF2559" i="93" s="1"/>
  <c r="BD2560" i="93"/>
  <c r="BF2560" i="93" s="1"/>
  <c r="BD2561" i="93"/>
  <c r="BF2561" i="93" s="1"/>
  <c r="BD2562" i="93"/>
  <c r="BF2562" i="93" s="1"/>
  <c r="BD2563" i="93"/>
  <c r="BF2563" i="93" s="1"/>
  <c r="BD2564" i="93"/>
  <c r="BF2564" i="93" s="1"/>
  <c r="BD2565" i="93"/>
  <c r="BF2565" i="93" s="1"/>
  <c r="BD2568" i="93"/>
  <c r="BF2568" i="93" s="1"/>
  <c r="BD2572" i="93"/>
  <c r="BF2572" i="93" s="1"/>
  <c r="BD2573" i="93"/>
  <c r="BF2573" i="93" s="1"/>
  <c r="BD2574" i="93"/>
  <c r="BF2574" i="93" s="1"/>
  <c r="BD2578" i="93"/>
  <c r="BF2578" i="93" s="1"/>
  <c r="BD2580" i="93"/>
  <c r="BF2580" i="93" s="1"/>
  <c r="BD2583" i="93"/>
  <c r="BF2583" i="93" s="1"/>
  <c r="BD2584" i="93"/>
  <c r="BF2584" i="93" s="1"/>
  <c r="BD2585" i="93"/>
  <c r="BF2585" i="93" s="1"/>
  <c r="BD2587" i="93"/>
  <c r="BF2587" i="93" s="1"/>
  <c r="BD2588" i="93"/>
  <c r="BF2588" i="93" s="1"/>
  <c r="BD2589" i="93"/>
  <c r="BF2589" i="93" s="1"/>
  <c r="BD2590" i="93"/>
  <c r="BF2590" i="93" s="1"/>
  <c r="BD2591" i="93"/>
  <c r="BF2591" i="93" s="1"/>
  <c r="BD2592" i="93"/>
  <c r="BF2592" i="93" s="1"/>
  <c r="BD2593" i="93"/>
  <c r="BF2593" i="93" s="1"/>
  <c r="BD2594" i="93"/>
  <c r="BF2594" i="93" s="1"/>
  <c r="BD2595" i="93"/>
  <c r="BF2595" i="93" s="1"/>
  <c r="BD2596" i="93"/>
  <c r="BF2596" i="93" s="1"/>
  <c r="BD2597" i="93"/>
  <c r="BF2597" i="93" s="1"/>
  <c r="BD2599" i="93"/>
  <c r="BF2599" i="93" s="1"/>
  <c r="BD2600" i="93"/>
  <c r="BF2600" i="93" s="1"/>
  <c r="BD2601" i="93"/>
  <c r="BF2601" i="93" s="1"/>
  <c r="BD2602" i="93"/>
  <c r="BF2602" i="93" s="1"/>
  <c r="BD2604" i="93"/>
  <c r="BF2604" i="93" s="1"/>
  <c r="BD2605" i="93"/>
  <c r="BF2605" i="93" s="1"/>
  <c r="BD2608" i="93"/>
  <c r="BF2608" i="93" s="1"/>
  <c r="BD2616" i="93"/>
  <c r="BF2616" i="93" s="1"/>
  <c r="BD2617" i="93"/>
  <c r="BF2617" i="93" s="1"/>
  <c r="BD2626" i="93"/>
  <c r="BF2626" i="93" s="1"/>
  <c r="BD2618" i="93"/>
  <c r="BF2618" i="93" s="1"/>
  <c r="BD2619" i="93"/>
  <c r="BF2619" i="93" s="1"/>
  <c r="BD2620" i="93"/>
  <c r="BF2620" i="93" s="1"/>
  <c r="BD2628" i="93"/>
  <c r="BF2628" i="93" s="1"/>
  <c r="BD2629" i="93"/>
  <c r="BF2629" i="93" s="1"/>
  <c r="BD2631" i="93"/>
  <c r="BF2631" i="93" s="1"/>
  <c r="BD2632" i="93"/>
  <c r="BF2632" i="93" s="1"/>
  <c r="BD2633" i="93"/>
  <c r="BF2633" i="93" s="1"/>
  <c r="BD2635" i="93"/>
  <c r="BF2635" i="93" s="1"/>
  <c r="BD2636" i="93"/>
  <c r="BF2636" i="93" s="1"/>
  <c r="BD2637" i="93"/>
  <c r="BF2637" i="93" s="1"/>
  <c r="BD2722" i="93"/>
  <c r="BF2722" i="93" s="1"/>
  <c r="BD2724" i="93"/>
  <c r="BF2724" i="93" s="1"/>
  <c r="BD2726" i="93"/>
  <c r="BF2726" i="93" s="1"/>
  <c r="BD2729" i="93"/>
  <c r="BF2729" i="93" s="1"/>
  <c r="BD2730" i="93"/>
  <c r="BF2730" i="93" s="1"/>
  <c r="BD2731" i="93"/>
  <c r="BF2731" i="93" s="1"/>
  <c r="BD2732" i="93"/>
  <c r="BF2732" i="93" s="1"/>
  <c r="BD2733" i="93"/>
  <c r="BF2733" i="93" s="1"/>
  <c r="BD2734" i="93"/>
  <c r="BF2734" i="93" s="1"/>
  <c r="BD2735" i="93"/>
  <c r="BF2735" i="93" s="1"/>
  <c r="BD2737" i="93"/>
  <c r="BF2737" i="93" s="1"/>
  <c r="BD2739" i="93"/>
  <c r="BF2739" i="93" s="1"/>
  <c r="BD2740" i="93"/>
  <c r="BF2740" i="93" s="1"/>
  <c r="BD2744" i="93"/>
  <c r="BF2744" i="93" s="1"/>
  <c r="BD2746" i="93"/>
  <c r="BF2746" i="93" s="1"/>
  <c r="BD2748" i="93"/>
  <c r="BF2748" i="93" s="1"/>
  <c r="BD2749" i="93"/>
  <c r="BF2749" i="93" s="1"/>
  <c r="BD2750" i="93"/>
  <c r="BF2750" i="93" s="1"/>
  <c r="BD2751" i="93"/>
  <c r="BF2751" i="93" s="1"/>
  <c r="BD2752" i="93"/>
  <c r="BF2752" i="93" s="1"/>
  <c r="BD2753" i="93"/>
  <c r="BF2753" i="93" s="1"/>
  <c r="BD2754" i="93"/>
  <c r="BF2754" i="93" s="1"/>
  <c r="BD2755" i="93"/>
  <c r="BF2755" i="93" s="1"/>
  <c r="BD2756" i="93"/>
  <c r="BF2756" i="93" s="1"/>
  <c r="BD2757" i="93"/>
  <c r="BF2757" i="93" s="1"/>
  <c r="BD2758" i="93"/>
  <c r="BF2758" i="93" s="1"/>
  <c r="BD2759" i="93"/>
  <c r="BF2759" i="93" s="1"/>
  <c r="BD2761" i="93"/>
  <c r="BF2761" i="93" s="1"/>
  <c r="BD2762" i="93"/>
  <c r="BF2762" i="93" s="1"/>
  <c r="BD2763" i="93"/>
  <c r="BF2763" i="93" s="1"/>
  <c r="BD2764" i="93"/>
  <c r="BF2764" i="93" s="1"/>
  <c r="BD2766" i="93"/>
  <c r="BF2766" i="93" s="1"/>
  <c r="BD2767" i="93"/>
  <c r="BF2767" i="93" s="1"/>
  <c r="BD2769" i="93"/>
  <c r="BF2769" i="93" s="1"/>
  <c r="BD2770" i="93"/>
  <c r="BF2770" i="93" s="1"/>
  <c r="BD2771" i="93"/>
  <c r="BF2771" i="93" s="1"/>
  <c r="BD2776" i="93"/>
  <c r="BF2776" i="93" s="1"/>
  <c r="BE2779" i="93"/>
  <c r="BD2780" i="93"/>
  <c r="BF2780" i="93" s="1"/>
  <c r="BD2781" i="93"/>
  <c r="BF2781" i="93" s="1"/>
  <c r="BD2782" i="93"/>
  <c r="BF2782" i="93" s="1"/>
  <c r="BD2783" i="93"/>
  <c r="BF2783" i="93" s="1"/>
  <c r="BD2784" i="93"/>
  <c r="BF2784" i="93" s="1"/>
  <c r="BD2785" i="93"/>
  <c r="BF2785" i="93" s="1"/>
  <c r="BD2786" i="93"/>
  <c r="BF2786" i="93" s="1"/>
  <c r="BD2787" i="93"/>
  <c r="BF2787" i="93" s="1"/>
  <c r="BD2788" i="93"/>
  <c r="BF2788" i="93" s="1"/>
  <c r="BD2790" i="93"/>
  <c r="BF2790" i="93" s="1"/>
  <c r="BD2791" i="93"/>
  <c r="BF2791" i="93" s="1"/>
  <c r="BD2794" i="93"/>
  <c r="BF2794" i="93" s="1"/>
  <c r="BD2795" i="93"/>
  <c r="BF2795" i="93" s="1"/>
  <c r="BD2796" i="93"/>
  <c r="BF2796" i="93" s="1"/>
  <c r="BD2797" i="93"/>
  <c r="BF2797" i="93" s="1"/>
  <c r="BD2799" i="93"/>
  <c r="BF2799" i="93" s="1"/>
  <c r="BD2801" i="93"/>
  <c r="BF2801" i="93" s="1"/>
  <c r="BD2802" i="93"/>
  <c r="BF2802" i="93" s="1"/>
  <c r="BD2804" i="93"/>
  <c r="BF2804" i="93" s="1"/>
  <c r="BD2809" i="93"/>
  <c r="BF2809" i="93" s="1"/>
  <c r="BD2810" i="93"/>
  <c r="BF2810" i="93" s="1"/>
  <c r="BD2811" i="93"/>
  <c r="BF2811" i="93" s="1"/>
  <c r="BD2812" i="93"/>
  <c r="BF2812" i="93" s="1"/>
  <c r="BD2814" i="93"/>
  <c r="BF2814" i="93" s="1"/>
  <c r="BD2815" i="93"/>
  <c r="BD2816" i="93"/>
  <c r="BD2817" i="93"/>
  <c r="BF2817" i="93" s="1"/>
  <c r="BD2822" i="93"/>
  <c r="BF2822" i="93" s="1"/>
  <c r="BD2919" i="93"/>
  <c r="BF2919" i="93" s="1"/>
  <c r="BD2826" i="93"/>
  <c r="BF2826" i="93" s="1"/>
  <c r="BD2827" i="93"/>
  <c r="BF2827" i="93" s="1"/>
  <c r="BD2830" i="93"/>
  <c r="BF2830" i="93" s="1"/>
  <c r="BD2832" i="93"/>
  <c r="BF2832" i="93" s="1"/>
  <c r="BD2833" i="93"/>
  <c r="BF2833" i="93" s="1"/>
  <c r="BD2835" i="93"/>
  <c r="BF2835" i="93" s="1"/>
  <c r="BD2836" i="93"/>
  <c r="BF2836" i="93" s="1"/>
  <c r="BD2837" i="93"/>
  <c r="BF2837" i="93" s="1"/>
  <c r="BD2839" i="93"/>
  <c r="BF2839" i="93" s="1"/>
  <c r="BD2841" i="93"/>
  <c r="BF2841" i="93" s="1"/>
  <c r="BD2842" i="93"/>
  <c r="BF2842" i="93" s="1"/>
  <c r="BD2843" i="93"/>
  <c r="BF2843" i="93" s="1"/>
  <c r="BD2844" i="93"/>
  <c r="BF2844" i="93" s="1"/>
  <c r="BD2845" i="93"/>
  <c r="BF2845" i="93" s="1"/>
  <c r="BD2846" i="93"/>
  <c r="BF2846" i="93" s="1"/>
  <c r="BD2847" i="93"/>
  <c r="BF2847" i="93" s="1"/>
  <c r="BD2849" i="93"/>
  <c r="BF2849" i="93" s="1"/>
  <c r="BD2850" i="93"/>
  <c r="BF2850" i="93" s="1"/>
  <c r="BD2854" i="93"/>
  <c r="BF2854" i="93" s="1"/>
  <c r="BD2855" i="93"/>
  <c r="BF2855" i="93" s="1"/>
  <c r="BD2859" i="93"/>
  <c r="BF2859" i="93" s="1"/>
  <c r="BD2860" i="93"/>
  <c r="BF2860" i="93" s="1"/>
  <c r="BD2862" i="93"/>
  <c r="BF2862" i="93" s="1"/>
  <c r="BD2864" i="93"/>
  <c r="BF2864" i="93" s="1"/>
  <c r="BD2865" i="93"/>
  <c r="BF2865" i="93" s="1"/>
  <c r="BD2866" i="93"/>
  <c r="BF2866" i="93" s="1"/>
  <c r="BD2867" i="93"/>
  <c r="BF2867" i="93" s="1"/>
  <c r="BD2868" i="93"/>
  <c r="BF2868" i="93" s="1"/>
  <c r="BD2869" i="93"/>
  <c r="BF2869" i="93" s="1"/>
  <c r="BD2870" i="93"/>
  <c r="BF2870" i="93" s="1"/>
  <c r="BD2871" i="93"/>
  <c r="BF2871" i="93" s="1"/>
  <c r="BD2872" i="93"/>
  <c r="BF2872" i="93" s="1"/>
  <c r="BD2874" i="93"/>
  <c r="BF2874" i="93" s="1"/>
  <c r="BD2875" i="93"/>
  <c r="BF2875" i="93" s="1"/>
  <c r="BD2876" i="93"/>
  <c r="BF2876" i="93" s="1"/>
  <c r="BD2877" i="93"/>
  <c r="BF2877" i="93" s="1"/>
  <c r="BD2879" i="93"/>
  <c r="BF2879" i="93" s="1"/>
  <c r="BD2931" i="93"/>
  <c r="BF2931" i="93" s="1"/>
  <c r="BD2932" i="93"/>
  <c r="BF2932" i="93" s="1"/>
  <c r="BD2933" i="93"/>
  <c r="BF2933" i="93" s="1"/>
  <c r="BD2934" i="93"/>
  <c r="BF2934" i="93" s="1"/>
  <c r="BD2935" i="93"/>
  <c r="BF2935" i="93" s="1"/>
  <c r="BD2936" i="93"/>
  <c r="BF2936" i="93" s="1"/>
  <c r="BD2937" i="93"/>
  <c r="BF2937" i="93" s="1"/>
  <c r="BD2938" i="93"/>
  <c r="BF2938" i="93" s="1"/>
  <c r="BD2939" i="93"/>
  <c r="BF2939" i="93" s="1"/>
  <c r="BD2940" i="93"/>
  <c r="BF2940" i="93" s="1"/>
  <c r="BD2941" i="93"/>
  <c r="BF2941" i="93" s="1"/>
  <c r="BD2942" i="93"/>
  <c r="BF2942" i="93" s="1"/>
  <c r="BD2943" i="93"/>
  <c r="BF2943" i="93" s="1"/>
  <c r="BD2944" i="93"/>
  <c r="BF2944" i="93" s="1"/>
  <c r="BD2945" i="93"/>
  <c r="BF2945" i="93" s="1"/>
  <c r="BD2946" i="93"/>
  <c r="BF2946" i="93" s="1"/>
  <c r="BD2947" i="93"/>
  <c r="BF2947" i="93" s="1"/>
  <c r="BD2949" i="93"/>
  <c r="BF2949" i="93" s="1"/>
  <c r="BD2951" i="93"/>
  <c r="BF2951" i="93" s="1"/>
  <c r="BD2954" i="93"/>
  <c r="BF2954" i="93" s="1"/>
  <c r="BD2955" i="93"/>
  <c r="BF2955" i="93" s="1"/>
  <c r="BD2956" i="93"/>
  <c r="BF2956" i="93" s="1"/>
  <c r="BD2957" i="93"/>
  <c r="BF2957" i="93" s="1"/>
  <c r="BD2962" i="93"/>
  <c r="BF2962" i="93" s="1"/>
  <c r="BD2974" i="93"/>
  <c r="BF2974" i="93" s="1"/>
  <c r="BD2976" i="93"/>
  <c r="BF2976" i="93" s="1"/>
  <c r="BD2977" i="93"/>
  <c r="BF2977" i="93" s="1"/>
  <c r="BD2979" i="93"/>
  <c r="BF2979" i="93" s="1"/>
  <c r="BD2980" i="93"/>
  <c r="BF2980" i="93" s="1"/>
  <c r="BD2982" i="93"/>
  <c r="BF2982" i="93" s="1"/>
  <c r="BD2985" i="93"/>
  <c r="BF2985" i="93" s="1"/>
  <c r="BD2986" i="93"/>
  <c r="BF2986" i="93" s="1"/>
  <c r="BD2991" i="93"/>
  <c r="BF2991" i="93" s="1"/>
  <c r="BD2992" i="93"/>
  <c r="BF2992" i="93" s="1"/>
  <c r="BD2993" i="93"/>
  <c r="BF2993" i="93" s="1"/>
  <c r="BD2997" i="93"/>
  <c r="BF2997" i="93" s="1"/>
  <c r="BD3000" i="93"/>
  <c r="BF3000" i="93" s="1"/>
  <c r="BD3034" i="93"/>
  <c r="BF3034" i="93" s="1"/>
  <c r="BD3035" i="93"/>
  <c r="BF3035" i="93" s="1"/>
  <c r="BD3036" i="93"/>
  <c r="BF3036" i="93" s="1"/>
  <c r="BD3037" i="93"/>
  <c r="BF3037" i="93" s="1"/>
  <c r="BD3038" i="93"/>
  <c r="BF3038" i="93" s="1"/>
  <c r="BD3039" i="93"/>
  <c r="BF3039" i="93" s="1"/>
  <c r="BD3040" i="93"/>
  <c r="BF3040" i="93" s="1"/>
  <c r="BD3041" i="93"/>
  <c r="BF3041" i="93" s="1"/>
  <c r="BD3042" i="93"/>
  <c r="BF3042" i="93" s="1"/>
  <c r="BD3044" i="93"/>
  <c r="BF3044" i="93" s="1"/>
  <c r="BD3045" i="93"/>
  <c r="BF3045" i="93" s="1"/>
  <c r="BD3046" i="93"/>
  <c r="BF3046" i="93" s="1"/>
  <c r="BD3047" i="93"/>
  <c r="BF3047" i="93" s="1"/>
  <c r="BD3048" i="93"/>
  <c r="BF3048" i="93" s="1"/>
  <c r="BD3049" i="93"/>
  <c r="BF3049" i="93" s="1"/>
  <c r="BD3050" i="93"/>
  <c r="BF3050" i="93" s="1"/>
  <c r="BD3052" i="93"/>
  <c r="BF3052" i="93" s="1"/>
  <c r="BD3054" i="93"/>
  <c r="BF3054" i="93" s="1"/>
  <c r="BD3055" i="93"/>
  <c r="BF3055" i="93" s="1"/>
  <c r="BD3056" i="93"/>
  <c r="BF3056" i="93" s="1"/>
  <c r="BD3057" i="93"/>
  <c r="BF3057" i="93" s="1"/>
  <c r="BD3059" i="93"/>
  <c r="BF3059" i="93" s="1"/>
  <c r="BD3060" i="93"/>
  <c r="BF3060" i="93" s="1"/>
  <c r="BD3061" i="93"/>
  <c r="BF3061" i="93" s="1"/>
  <c r="BD3062" i="93"/>
  <c r="BF3062" i="93" s="1"/>
  <c r="BD3063" i="93"/>
  <c r="BF3063" i="93" s="1"/>
  <c r="BD3064" i="93"/>
  <c r="BF3064" i="93" s="1"/>
  <c r="BD3065" i="93"/>
  <c r="BF3065" i="93" s="1"/>
  <c r="BD3066" i="93"/>
  <c r="BF3066" i="93" s="1"/>
  <c r="BD3068" i="93"/>
  <c r="BF3068" i="93" s="1"/>
  <c r="BD3070" i="93"/>
  <c r="BF3070" i="93" s="1"/>
  <c r="BD3071" i="93"/>
  <c r="BF3071" i="93" s="1"/>
  <c r="BD3072" i="93"/>
  <c r="BF3072" i="93" s="1"/>
  <c r="BD3073" i="93"/>
  <c r="BF3073" i="93" s="1"/>
  <c r="BD3074" i="93"/>
  <c r="BF3074" i="93" s="1"/>
  <c r="BD3075" i="93"/>
  <c r="BF3075" i="93" s="1"/>
  <c r="BD3077" i="93"/>
  <c r="BF3077" i="93" s="1"/>
  <c r="BD3160" i="93"/>
  <c r="BF3160" i="93" s="1"/>
  <c r="BD3161" i="93"/>
  <c r="BF3161" i="93" s="1"/>
  <c r="BD3164" i="93"/>
  <c r="BF3164" i="93" s="1"/>
  <c r="BD3168" i="93"/>
  <c r="BF3168" i="93" s="1"/>
  <c r="BD3169" i="93"/>
  <c r="BF3169" i="93" s="1"/>
  <c r="BD3171" i="93"/>
  <c r="BF3171" i="93" s="1"/>
  <c r="BD3227" i="93"/>
  <c r="BF3227" i="93" s="1"/>
  <c r="BD3229" i="93"/>
  <c r="BF3229" i="93" s="1"/>
  <c r="BD3231" i="93"/>
  <c r="BF3231" i="93" s="1"/>
  <c r="BD3232" i="93"/>
  <c r="BF3232" i="93" s="1"/>
  <c r="BD3236" i="93"/>
  <c r="BF3236" i="93" s="1"/>
  <c r="BD3237" i="93"/>
  <c r="BF3237" i="93" s="1"/>
  <c r="BD3238" i="93"/>
  <c r="BF3238" i="93" s="1"/>
  <c r="BD3239" i="93"/>
  <c r="BF3239" i="93" s="1"/>
  <c r="BD3241" i="93"/>
  <c r="BF3241" i="93" s="1"/>
  <c r="BD3243" i="93"/>
  <c r="BF3243" i="93" s="1"/>
  <c r="BD3276" i="93"/>
  <c r="BF3276" i="93" s="1"/>
  <c r="BD3277" i="93"/>
  <c r="BF3277" i="93" s="1"/>
  <c r="BD3279" i="93"/>
  <c r="BF3279" i="93" s="1"/>
  <c r="BD3280" i="93"/>
  <c r="BF3280" i="93" s="1"/>
  <c r="BD3281" i="93"/>
  <c r="BF3281" i="93" s="1"/>
  <c r="BD3282" i="93"/>
  <c r="BF3282" i="93" s="1"/>
  <c r="BD3283" i="93"/>
  <c r="BF3283" i="93" s="1"/>
  <c r="BD3284" i="93"/>
  <c r="BF3284" i="93" s="1"/>
  <c r="BD3285" i="93"/>
  <c r="BF3285" i="93" s="1"/>
  <c r="BD3286" i="93"/>
  <c r="BF3286" i="93" s="1"/>
  <c r="BD3287" i="93"/>
  <c r="BF3287" i="93" s="1"/>
  <c r="BD3288" i="93"/>
  <c r="BF3288" i="93" s="1"/>
  <c r="BD3289" i="93"/>
  <c r="BF3289" i="93" s="1"/>
  <c r="BD3291" i="93"/>
  <c r="BF3291" i="93" s="1"/>
  <c r="BD3292" i="93"/>
  <c r="BF3292" i="93" s="1"/>
  <c r="BD3293" i="93"/>
  <c r="BF3293" i="93" s="1"/>
  <c r="BD3294" i="93"/>
  <c r="BF3294" i="93" s="1"/>
  <c r="BD3295" i="93"/>
  <c r="BF3295" i="93" s="1"/>
  <c r="BD3298" i="93"/>
  <c r="BF3298" i="93" s="1"/>
  <c r="BD3300" i="93"/>
  <c r="BF3300" i="93" s="1"/>
  <c r="BD3301" i="93"/>
  <c r="BF3301" i="93" s="1"/>
  <c r="BD3302" i="93"/>
  <c r="BF3302" i="93" s="1"/>
  <c r="BD3303" i="93"/>
  <c r="BF3303" i="93" s="1"/>
  <c r="BD3304" i="93"/>
  <c r="BF3304" i="93" s="1"/>
  <c r="BD3305" i="93"/>
  <c r="BF3305" i="93" s="1"/>
  <c r="BD3306" i="93"/>
  <c r="BF3306" i="93" s="1"/>
  <c r="BD3307" i="93"/>
  <c r="BF3307" i="93" s="1"/>
  <c r="BD3309" i="93"/>
  <c r="BF3309" i="93" s="1"/>
  <c r="BD3310" i="93"/>
  <c r="BF3310" i="93" s="1"/>
  <c r="BD3311" i="93"/>
  <c r="BF3311" i="93" s="1"/>
  <c r="BD3312" i="93"/>
  <c r="BF3312" i="93" s="1"/>
  <c r="BD3313" i="93"/>
  <c r="BF3313" i="93" s="1"/>
  <c r="BD3314" i="93"/>
  <c r="BF3314" i="93" s="1"/>
  <c r="BD3315" i="93"/>
  <c r="BF3315" i="93" s="1"/>
  <c r="BD3316" i="93"/>
  <c r="BF3316" i="93" s="1"/>
  <c r="BD3317" i="93"/>
  <c r="BF3317" i="93" s="1"/>
  <c r="BD3390" i="93"/>
  <c r="BF3390" i="93" s="1"/>
  <c r="BD3322" i="93"/>
  <c r="BF3322" i="93" s="1"/>
  <c r="BD3323" i="93"/>
  <c r="BF3323" i="93" s="1"/>
  <c r="BD3324" i="93"/>
  <c r="BF3324" i="93" s="1"/>
  <c r="BD3325" i="93"/>
  <c r="BF3325" i="93" s="1"/>
  <c r="BD3327" i="93"/>
  <c r="BF3327" i="93" s="1"/>
  <c r="BD3331" i="93"/>
  <c r="BF3331" i="93" s="1"/>
  <c r="BD3334" i="93"/>
  <c r="BF3334" i="93" s="1"/>
  <c r="BD3335" i="93"/>
  <c r="BF3335" i="93" s="1"/>
  <c r="BD3336" i="93"/>
  <c r="BF3336" i="93" s="1"/>
  <c r="BD3337" i="93"/>
  <c r="BF3337" i="93" s="1"/>
  <c r="BD3338" i="93"/>
  <c r="BF3338" i="93" s="1"/>
  <c r="BD3339" i="93"/>
  <c r="BF3339" i="93" s="1"/>
  <c r="BD3340" i="93"/>
  <c r="BF3340" i="93" s="1"/>
  <c r="BD3341" i="93"/>
  <c r="BF3341" i="93" s="1"/>
  <c r="BD3342" i="93"/>
  <c r="BF3342" i="93" s="1"/>
  <c r="BD3343" i="93"/>
  <c r="BF3343" i="93" s="1"/>
  <c r="BD3344" i="93"/>
  <c r="BF3344" i="93" s="1"/>
  <c r="BD3348" i="93"/>
  <c r="BF3348" i="93" s="1"/>
  <c r="BD3349" i="93"/>
  <c r="BF3349" i="93" s="1"/>
  <c r="BD3350" i="93"/>
  <c r="BF3350" i="93" s="1"/>
  <c r="BD3351" i="93"/>
  <c r="BF3351" i="93" s="1"/>
  <c r="BD3352" i="93"/>
  <c r="BF3352" i="93" s="1"/>
  <c r="BD3353" i="93"/>
  <c r="BF3353" i="93" s="1"/>
  <c r="BD3354" i="93"/>
  <c r="BF3354" i="93" s="1"/>
  <c r="BD3355" i="93"/>
  <c r="BF3355" i="93" s="1"/>
  <c r="BD3357" i="93"/>
  <c r="BF3357" i="93" s="1"/>
  <c r="BD3360" i="93"/>
  <c r="BF3360" i="93" s="1"/>
  <c r="BD3361" i="93"/>
  <c r="BF3361" i="93" s="1"/>
  <c r="BE3391" i="93"/>
  <c r="BE3488" i="93"/>
  <c r="BD3491" i="93"/>
  <c r="BF3491" i="93" s="1"/>
  <c r="BD3492" i="93"/>
  <c r="BF3492" i="93" s="1"/>
  <c r="BD3496" i="93"/>
  <c r="BF3496" i="93" s="1"/>
  <c r="BD3497" i="93"/>
  <c r="BF3497" i="93" s="1"/>
  <c r="BE3507" i="93"/>
  <c r="BD3508" i="93"/>
  <c r="BF3508" i="93" s="1"/>
  <c r="BD3510" i="93"/>
  <c r="BF3510" i="93" s="1"/>
  <c r="BD3511" i="93"/>
  <c r="BF3511" i="93" s="1"/>
  <c r="BD3512" i="93"/>
  <c r="BF3512" i="93" s="1"/>
  <c r="BD3516" i="93"/>
  <c r="BF3516" i="93" s="1"/>
  <c r="BD3517" i="93"/>
  <c r="BF3517" i="93" s="1"/>
  <c r="BD3518" i="93"/>
  <c r="BF3518" i="93" s="1"/>
  <c r="BD3519" i="93"/>
  <c r="BF3519" i="93" s="1"/>
  <c r="BD3521" i="93"/>
  <c r="BF3521" i="93" s="1"/>
  <c r="BD3523" i="93"/>
  <c r="BF3523" i="93" s="1"/>
  <c r="BD3524" i="93"/>
  <c r="BF3524" i="93" s="1"/>
  <c r="BD3526" i="93"/>
  <c r="BF3526" i="93" s="1"/>
  <c r="BD3527" i="93"/>
  <c r="BF3527" i="93" s="1"/>
  <c r="BD3528" i="93"/>
  <c r="BF3528" i="93" s="1"/>
  <c r="BD3529" i="93"/>
  <c r="BF3529" i="93" s="1"/>
  <c r="BD3530" i="93"/>
  <c r="BF3530" i="93" s="1"/>
  <c r="BD3573" i="93"/>
  <c r="BF3573" i="93" s="1"/>
  <c r="BD3536" i="93"/>
  <c r="BF3536" i="93" s="1"/>
  <c r="BD3537" i="93"/>
  <c r="BF3537" i="93" s="1"/>
  <c r="BD3538" i="93"/>
  <c r="BF3538" i="93" s="1"/>
  <c r="BD3539" i="93"/>
  <c r="BF3539" i="93" s="1"/>
  <c r="BD3540" i="93"/>
  <c r="BF3540" i="93" s="1"/>
  <c r="BD3541" i="93"/>
  <c r="BF3541" i="93" s="1"/>
  <c r="BD3546" i="93"/>
  <c r="BF3546" i="93" s="1"/>
  <c r="BD3547" i="93"/>
  <c r="BF3547" i="93" s="1"/>
  <c r="BD3576" i="93"/>
  <c r="BF3576" i="93" s="1"/>
  <c r="BD3577" i="93"/>
  <c r="BF3577" i="93" s="1"/>
  <c r="BD3578" i="93"/>
  <c r="BF3578" i="93" s="1"/>
  <c r="BD3581" i="93"/>
  <c r="BF3581" i="93" s="1"/>
  <c r="BD3583" i="93"/>
  <c r="BF3583" i="93" s="1"/>
  <c r="BD3584" i="93"/>
  <c r="BF3584" i="93" s="1"/>
  <c r="BD3585" i="93"/>
  <c r="BF3585" i="93" s="1"/>
  <c r="BD3586" i="93"/>
  <c r="BF3586" i="93" s="1"/>
  <c r="BD3587" i="93"/>
  <c r="BF3587" i="93" s="1"/>
  <c r="BD3588" i="93"/>
  <c r="BF3588" i="93" s="1"/>
  <c r="BD3589" i="93"/>
  <c r="BF3589" i="93" s="1"/>
  <c r="BD3590" i="93"/>
  <c r="BF3590" i="93" s="1"/>
  <c r="BD3591" i="93"/>
  <c r="BF3591" i="93" s="1"/>
  <c r="BD3592" i="93"/>
  <c r="BF3592" i="93" s="1"/>
  <c r="BD3593" i="93"/>
  <c r="BF3593" i="93" s="1"/>
  <c r="BD3594" i="93"/>
  <c r="BF3594" i="93" s="1"/>
  <c r="BD3595" i="93"/>
  <c r="BF3595" i="93" s="1"/>
  <c r="BD3599" i="93"/>
  <c r="BF3599" i="93" s="1"/>
  <c r="BD3600" i="93"/>
  <c r="BF3600" i="93" s="1"/>
  <c r="BD3601" i="93"/>
  <c r="BF3601" i="93" s="1"/>
  <c r="BD3652" i="93"/>
  <c r="BF3652" i="93" s="1"/>
  <c r="BD3653" i="93"/>
  <c r="BF3653" i="93" s="1"/>
  <c r="BD3654" i="93"/>
  <c r="BF3654" i="93" s="1"/>
  <c r="BD3657" i="93"/>
  <c r="BF3657" i="93" s="1"/>
  <c r="BD3658" i="93"/>
  <c r="BF3658" i="93" s="1"/>
  <c r="BD3659" i="93"/>
  <c r="BF3659" i="93" s="1"/>
  <c r="BD3660" i="93"/>
  <c r="BF3660" i="93" s="1"/>
  <c r="BD3661" i="93"/>
  <c r="BF3661" i="93" s="1"/>
  <c r="BD3662" i="93"/>
  <c r="BF3662" i="93" s="1"/>
  <c r="BD3665" i="93"/>
  <c r="BF3665" i="93" s="1"/>
  <c r="BD3666" i="93"/>
  <c r="BF3666" i="93" s="1"/>
  <c r="BD3668" i="93"/>
  <c r="BF3668" i="93" s="1"/>
  <c r="BD3672" i="93"/>
  <c r="BF3672" i="93" s="1"/>
  <c r="BD3673" i="93"/>
  <c r="BF3673" i="93" s="1"/>
  <c r="BD3674" i="93"/>
  <c r="BF3674" i="93" s="1"/>
  <c r="BD3675" i="93"/>
  <c r="BF3675" i="93" s="1"/>
  <c r="BD3676" i="93"/>
  <c r="BF3676" i="93" s="1"/>
  <c r="BD3683" i="93"/>
  <c r="BF3683" i="93" s="1"/>
  <c r="BD3684" i="93"/>
  <c r="BF3684" i="93" s="1"/>
  <c r="BD3687" i="93"/>
  <c r="BF3687" i="93" s="1"/>
  <c r="BD3688" i="93"/>
  <c r="BF3688" i="93" s="1"/>
  <c r="BD3690" i="93"/>
  <c r="BF3690" i="93" s="1"/>
  <c r="BD3691" i="93"/>
  <c r="BF3691" i="93" s="1"/>
  <c r="BD3695" i="93"/>
  <c r="BF3695" i="93" s="1"/>
  <c r="BD3696" i="93"/>
  <c r="BF3696" i="93" s="1"/>
  <c r="BD3698" i="93"/>
  <c r="BF3698" i="93" s="1"/>
  <c r="BE3699" i="93"/>
  <c r="BD3700" i="93"/>
  <c r="BF3700" i="93" s="1"/>
  <c r="BD3701" i="93"/>
  <c r="BF3701" i="93" s="1"/>
  <c r="BD3704" i="93"/>
  <c r="BF3704" i="93" s="1"/>
  <c r="BD3705" i="93"/>
  <c r="BF3705" i="93" s="1"/>
  <c r="BD3706" i="93"/>
  <c r="BF3706" i="93" s="1"/>
  <c r="BD3707" i="93"/>
  <c r="BF3707" i="93" s="1"/>
  <c r="BD3708" i="93"/>
  <c r="BF3708" i="93" s="1"/>
  <c r="BD3762" i="93"/>
  <c r="BF3762" i="93" s="1"/>
  <c r="BD3766" i="93"/>
  <c r="BF3766" i="93" s="1"/>
  <c r="BD3767" i="93"/>
  <c r="BF3767" i="93" s="1"/>
  <c r="BD3769" i="93"/>
  <c r="BF3769" i="93" s="1"/>
  <c r="BD3775" i="93"/>
  <c r="BF3775" i="93" s="1"/>
  <c r="BD3776" i="93"/>
  <c r="BF3776" i="93" s="1"/>
  <c r="BD3777" i="93"/>
  <c r="BF3777" i="93" s="1"/>
  <c r="BD3778" i="93"/>
  <c r="BF3778" i="93" s="1"/>
  <c r="BD3779" i="93"/>
  <c r="BF3779" i="93" s="1"/>
  <c r="BD3792" i="93"/>
  <c r="BF3792" i="93" s="1"/>
  <c r="BD3793" i="93"/>
  <c r="BF3793" i="93" s="1"/>
  <c r="BD3794" i="93"/>
  <c r="BF3794" i="93" s="1"/>
  <c r="BD3795" i="93"/>
  <c r="BF3795" i="93" s="1"/>
  <c r="BD3796" i="93"/>
  <c r="BF3796" i="93" s="1"/>
  <c r="BD3797" i="93"/>
  <c r="BF3797" i="93" s="1"/>
  <c r="BD3798" i="93"/>
  <c r="BF3798" i="93" s="1"/>
  <c r="BD3801" i="93"/>
  <c r="BF3801" i="93" s="1"/>
  <c r="BD3802" i="93"/>
  <c r="BF3802" i="93" s="1"/>
  <c r="BD3810" i="93"/>
  <c r="BF3810" i="93" s="1"/>
  <c r="BD3812" i="93"/>
  <c r="BF3812" i="93" s="1"/>
  <c r="BD3815" i="93"/>
  <c r="BF3815" i="93" s="1"/>
  <c r="BD3817" i="93"/>
  <c r="BF3817" i="93" s="1"/>
  <c r="BD3818" i="93"/>
  <c r="BF3818" i="93" s="1"/>
  <c r="BD3819" i="93"/>
  <c r="BF3819" i="93" s="1"/>
  <c r="BD3836" i="93"/>
  <c r="BF3836" i="93" s="1"/>
  <c r="BD3837" i="93"/>
  <c r="BF3837" i="93" s="1"/>
  <c r="BD3838" i="93"/>
  <c r="BF3838" i="93" s="1"/>
  <c r="BD3839" i="93"/>
  <c r="BF3839" i="93" s="1"/>
  <c r="BD3841" i="93"/>
  <c r="BF3841" i="93" s="1"/>
  <c r="BD3842" i="93"/>
  <c r="BF3842" i="93" s="1"/>
  <c r="BD3843" i="93"/>
  <c r="BF3843" i="93" s="1"/>
  <c r="BD3844" i="93"/>
  <c r="BF3844" i="93" s="1"/>
  <c r="BD3847" i="93"/>
  <c r="BF3847" i="93" s="1"/>
  <c r="BD3848" i="93"/>
  <c r="BF3848" i="93" s="1"/>
  <c r="BD3849" i="93"/>
  <c r="BF3849" i="93" s="1"/>
  <c r="BD3851" i="93"/>
  <c r="BF3851" i="93" s="1"/>
  <c r="BE3852" i="93"/>
  <c r="BD3858" i="93"/>
  <c r="BF3858" i="93" s="1"/>
  <c r="BD3869" i="93"/>
  <c r="BF3869" i="93" s="1"/>
  <c r="BE3872" i="93"/>
  <c r="BD3874" i="93"/>
  <c r="BF3874" i="93" s="1"/>
  <c r="BD3876" i="93"/>
  <c r="BF3876" i="93" s="1"/>
  <c r="BD3877" i="93"/>
  <c r="BF3877" i="93" s="1"/>
  <c r="BD3878" i="93"/>
  <c r="BF3878" i="93" s="1"/>
  <c r="BD3879" i="93"/>
  <c r="BF3879" i="93" s="1"/>
  <c r="BB3904" i="93"/>
  <c r="BE3908" i="93"/>
  <c r="BD3909" i="93"/>
  <c r="BF3909" i="93" s="1"/>
  <c r="BD3910" i="93"/>
  <c r="BF3910" i="93" s="1"/>
  <c r="BD3912" i="93"/>
  <c r="BF3912" i="93" s="1"/>
  <c r="BD3919" i="93"/>
  <c r="BF3919" i="93" s="1"/>
  <c r="BD3923" i="93"/>
  <c r="BF3923" i="93" s="1"/>
  <c r="BD3924" i="93"/>
  <c r="BF3924" i="93" s="1"/>
  <c r="BD3925" i="93"/>
  <c r="BF3925" i="93" s="1"/>
  <c r="BD3927" i="93"/>
  <c r="BF3927" i="93" s="1"/>
  <c r="BD3928" i="93"/>
  <c r="BF3928" i="93" s="1"/>
  <c r="BD3931" i="93"/>
  <c r="BF3931" i="93" s="1"/>
  <c r="BD3935" i="93"/>
  <c r="BF3935" i="93" s="1"/>
  <c r="BD3932" i="93"/>
  <c r="BF3932" i="93" s="1"/>
  <c r="BD3933" i="93"/>
  <c r="BF3933" i="93" s="1"/>
  <c r="BD3936" i="93"/>
  <c r="BF3936" i="93" s="1"/>
  <c r="BD3937" i="93"/>
  <c r="BF3937" i="93" s="1"/>
  <c r="BD3942" i="93"/>
  <c r="BF3942" i="93" s="1"/>
  <c r="BD3954" i="93"/>
  <c r="BF3954" i="93" s="1"/>
  <c r="BD3956" i="93"/>
  <c r="BF3956" i="93" s="1"/>
  <c r="BD3958" i="93"/>
  <c r="BF3958" i="93" s="1"/>
  <c r="BD3961" i="93"/>
  <c r="BF3961" i="93" s="1"/>
  <c r="BD3952" i="93"/>
  <c r="BF3952" i="93" s="1"/>
  <c r="BD3959" i="93"/>
  <c r="BF3959" i="93" s="1"/>
  <c r="BD3964" i="93"/>
  <c r="BF3964" i="93" s="1"/>
  <c r="BD3965" i="93"/>
  <c r="BF3965" i="93" s="1"/>
  <c r="BD3966" i="93"/>
  <c r="BF3966" i="93" s="1"/>
  <c r="BD3967" i="93"/>
  <c r="BF3967" i="93" s="1"/>
  <c r="BD4002" i="93"/>
  <c r="BF4002" i="93" s="1"/>
  <c r="BE4004" i="93"/>
  <c r="BD4005" i="93"/>
  <c r="BF4005" i="93" s="1"/>
  <c r="BD4008" i="93"/>
  <c r="BF4008" i="93" s="1"/>
  <c r="BD4009" i="93"/>
  <c r="BF4009" i="93" s="1"/>
  <c r="BD4011" i="93"/>
  <c r="BF4011" i="93" s="1"/>
  <c r="BD4012" i="93"/>
  <c r="BF4012" i="93" s="1"/>
  <c r="BD4014" i="93"/>
  <c r="BF4014" i="93" s="1"/>
  <c r="BD4016" i="93"/>
  <c r="BF4016" i="93" s="1"/>
  <c r="BD4017" i="93"/>
  <c r="BF4017" i="93" s="1"/>
  <c r="BD4018" i="93"/>
  <c r="BF4018" i="93" s="1"/>
  <c r="BD4023" i="93"/>
  <c r="BF4023" i="93" s="1"/>
  <c r="BE4024" i="93"/>
  <c r="BD4026" i="93"/>
  <c r="BF4026" i="93" s="1"/>
  <c r="BD4028" i="93"/>
  <c r="BF4028" i="93" s="1"/>
  <c r="BD4029" i="93"/>
  <c r="BF4029" i="93" s="1"/>
  <c r="BD4031" i="93"/>
  <c r="BF4031" i="93" s="1"/>
  <c r="BD4032" i="93"/>
  <c r="BF4032" i="93" s="1"/>
  <c r="BD4033" i="93"/>
  <c r="BF4033" i="93" s="1"/>
  <c r="BD4034" i="93"/>
  <c r="BF4034" i="93" s="1"/>
  <c r="BD4037" i="93"/>
  <c r="BF4037" i="93" s="1"/>
  <c r="BD4035" i="93"/>
  <c r="BF4035" i="93" s="1"/>
  <c r="BD4036" i="93"/>
  <c r="BF4036" i="93" s="1"/>
  <c r="BD4038" i="93"/>
  <c r="BF4038" i="93" s="1"/>
  <c r="BD4039" i="93"/>
  <c r="BF4039" i="93" s="1"/>
  <c r="BD4040" i="93"/>
  <c r="BF4040" i="93" s="1"/>
  <c r="BD4041" i="93"/>
  <c r="BF4041" i="93" s="1"/>
  <c r="BD4042" i="93"/>
  <c r="BF4042" i="93" s="1"/>
  <c r="BE4044" i="93"/>
  <c r="BD4045" i="93"/>
  <c r="BF4045" i="93" s="1"/>
  <c r="BD4046" i="93"/>
  <c r="BF4046" i="93" s="1"/>
  <c r="BD4047" i="93"/>
  <c r="BF4047" i="93" s="1"/>
  <c r="BD4048" i="93"/>
  <c r="BF4048" i="93" s="1"/>
  <c r="BD4049" i="93"/>
  <c r="BF4049" i="93" s="1"/>
  <c r="BD4050" i="93"/>
  <c r="BF4050" i="93" s="1"/>
  <c r="BD4051" i="93"/>
  <c r="BF4051" i="93" s="1"/>
  <c r="BD4063" i="93"/>
  <c r="BF4063" i="93" s="1"/>
  <c r="BD4054" i="93"/>
  <c r="BF4054" i="93" s="1"/>
  <c r="BD4057" i="93"/>
  <c r="BF4057" i="93" s="1"/>
  <c r="BD4055" i="93"/>
  <c r="BF4055" i="93" s="1"/>
  <c r="BD4056" i="93"/>
  <c r="BF4056" i="93" s="1"/>
  <c r="BD4058" i="93"/>
  <c r="BF4058" i="93" s="1"/>
  <c r="BD4059" i="93"/>
  <c r="BF4059" i="93" s="1"/>
  <c r="BD4060" i="93"/>
  <c r="BF4060" i="93" s="1"/>
  <c r="BD4061" i="93"/>
  <c r="BF4061" i="93" s="1"/>
  <c r="BD4062" i="93"/>
  <c r="BF4062" i="93" s="1"/>
  <c r="BD4064" i="93"/>
  <c r="BF4064" i="93" s="1"/>
  <c r="BD4065" i="93"/>
  <c r="BF4065" i="93" s="1"/>
  <c r="BE4066" i="93"/>
  <c r="BD4067" i="93"/>
  <c r="BF4067" i="93" s="1"/>
  <c r="BD4069" i="93"/>
  <c r="BF4069" i="93" s="1"/>
  <c r="BD4070" i="93"/>
  <c r="BF4070" i="93" s="1"/>
  <c r="BD4072" i="93"/>
  <c r="BF4072" i="93" s="1"/>
  <c r="BD4073" i="93"/>
  <c r="BF4073" i="93" s="1"/>
  <c r="BD4074" i="93"/>
  <c r="BF4074" i="93" s="1"/>
  <c r="BD4075" i="93"/>
  <c r="BF4075" i="93" s="1"/>
  <c r="BD4076" i="93"/>
  <c r="BF4076" i="93" s="1"/>
  <c r="BD4077" i="93"/>
  <c r="BF4077" i="93" s="1"/>
  <c r="BD4078" i="93"/>
  <c r="BF4078" i="93" s="1"/>
  <c r="BD4080" i="93"/>
  <c r="BF4080" i="93" s="1"/>
  <c r="BD4081" i="93"/>
  <c r="BF4081" i="93" s="1"/>
  <c r="BD4087" i="93"/>
  <c r="BF4087" i="93" s="1"/>
  <c r="BD4082" i="93"/>
  <c r="BF4082" i="93" s="1"/>
  <c r="BD4084" i="93"/>
  <c r="BF4084" i="93" s="1"/>
  <c r="BD4085" i="93"/>
  <c r="BF4085" i="93" s="1"/>
  <c r="BD4089" i="93"/>
  <c r="BF4089" i="93" s="1"/>
  <c r="BD4090" i="93"/>
  <c r="BF4090" i="93" s="1"/>
  <c r="BD4091" i="93"/>
  <c r="BF4091" i="93" s="1"/>
  <c r="BD4092" i="93"/>
  <c r="BF4092" i="93" s="1"/>
  <c r="BD4094" i="93"/>
  <c r="BF4094" i="93" s="1"/>
  <c r="BE4095" i="93"/>
  <c r="BD4096" i="93"/>
  <c r="BF4096" i="93" s="1"/>
  <c r="BD4097" i="93"/>
  <c r="BF4097" i="93" s="1"/>
  <c r="BE4098" i="93"/>
  <c r="BD4099" i="93"/>
  <c r="BF4099" i="93" s="1"/>
  <c r="BD4101" i="93"/>
  <c r="BF4101" i="93" s="1"/>
  <c r="BD4102" i="93"/>
  <c r="BF4102" i="93" s="1"/>
  <c r="BD4103" i="93"/>
  <c r="BF4103" i="93" s="1"/>
  <c r="BD4112" i="93"/>
  <c r="BF4112" i="93" s="1"/>
  <c r="BD4110" i="93"/>
  <c r="BF4110" i="93" s="1"/>
  <c r="BD4104" i="93"/>
  <c r="BF4104" i="93" s="1"/>
  <c r="BD4105" i="93"/>
  <c r="BF4105" i="93" s="1"/>
  <c r="BD4107" i="93"/>
  <c r="BF4107" i="93" s="1"/>
  <c r="BD4108" i="93"/>
  <c r="BF4108" i="93" s="1"/>
  <c r="BD4109" i="93"/>
  <c r="BF4109" i="93" s="1"/>
  <c r="BD4111" i="93"/>
  <c r="BF4111" i="93" s="1"/>
  <c r="BE4114" i="93"/>
  <c r="BD4115" i="93"/>
  <c r="BF4115" i="93" s="1"/>
  <c r="BE4123" i="93"/>
  <c r="BE4125" i="93"/>
  <c r="BD4128" i="93"/>
  <c r="BF4128" i="93" s="1"/>
  <c r="BE4132" i="93"/>
  <c r="BD4133" i="93"/>
  <c r="BF4133" i="93" s="1"/>
  <c r="BD4135" i="93"/>
  <c r="BF4135" i="93" s="1"/>
  <c r="BD4136" i="93"/>
  <c r="BF4136" i="93" s="1"/>
  <c r="BD4137" i="93"/>
  <c r="BF4137" i="93" s="1"/>
  <c r="BD4138" i="93"/>
  <c r="BF4138" i="93" s="1"/>
  <c r="BD4139" i="93"/>
  <c r="BF4139" i="93" s="1"/>
  <c r="BD4140" i="93"/>
  <c r="BF4140" i="93" s="1"/>
  <c r="BD4142" i="93"/>
  <c r="BF4142" i="93" s="1"/>
  <c r="BD4143" i="93"/>
  <c r="BF4143" i="93" s="1"/>
  <c r="BD4157" i="93"/>
  <c r="BF4157" i="93" s="1"/>
  <c r="BD4144" i="93"/>
  <c r="BF4144" i="93" s="1"/>
  <c r="BD4146" i="93"/>
  <c r="BF4146" i="93" s="1"/>
  <c r="BD4151" i="93"/>
  <c r="BF4151" i="93" s="1"/>
  <c r="BD4148" i="93"/>
  <c r="BF4148" i="93" s="1"/>
  <c r="BD4149" i="93"/>
  <c r="BF4149" i="93" s="1"/>
  <c r="BD4153" i="93"/>
  <c r="BF4153" i="93" s="1"/>
  <c r="BD4154" i="93"/>
  <c r="BF4154" i="93" s="1"/>
  <c r="BD4155" i="93"/>
  <c r="BF4155" i="93" s="1"/>
  <c r="BD4156" i="93"/>
  <c r="BF4156" i="93" s="1"/>
  <c r="BE4159" i="93"/>
  <c r="BD4160" i="93"/>
  <c r="BF4160" i="93" s="1"/>
  <c r="BE4161" i="93"/>
  <c r="BD4163" i="93"/>
  <c r="BF4163" i="93" s="1"/>
  <c r="BD4164" i="93"/>
  <c r="BF4164" i="93" s="1"/>
  <c r="BD4170" i="93"/>
  <c r="BF4170" i="93" s="1"/>
  <c r="BD4176" i="93"/>
  <c r="BF4176" i="93" s="1"/>
  <c r="BD4180" i="93"/>
  <c r="BF4180" i="93" s="1"/>
  <c r="BD4181" i="93"/>
  <c r="BF4181" i="93" s="1"/>
  <c r="BD4182" i="93"/>
  <c r="BF4182" i="93" s="1"/>
  <c r="BD4185" i="93"/>
  <c r="BF4185" i="93" s="1"/>
  <c r="BE4186" i="93"/>
  <c r="BD4188" i="93"/>
  <c r="BF4188" i="93" s="1"/>
  <c r="BD4189" i="93"/>
  <c r="BF4189" i="93" s="1"/>
  <c r="BD4190" i="93"/>
  <c r="BF4190" i="93" s="1"/>
  <c r="BD4191" i="93"/>
  <c r="BF4191" i="93" s="1"/>
  <c r="BD3111" i="93"/>
  <c r="BF3111" i="93" s="1"/>
  <c r="BD3112" i="93"/>
  <c r="BF3112" i="93" s="1"/>
  <c r="BD3114" i="93"/>
  <c r="BF3114" i="93" s="1"/>
  <c r="BD3116" i="93"/>
  <c r="BF3116" i="93" s="1"/>
  <c r="BD3117" i="93"/>
  <c r="BF3117" i="93" s="1"/>
  <c r="BD3118" i="93"/>
  <c r="BF3118" i="93" s="1"/>
  <c r="BD3120" i="93"/>
  <c r="BF3120" i="93" s="1"/>
  <c r="BD3121" i="93"/>
  <c r="BF3121" i="93" s="1"/>
  <c r="BD3122" i="93"/>
  <c r="BF3122" i="93" s="1"/>
  <c r="BD2133" i="93"/>
  <c r="BF2133" i="93" s="1"/>
  <c r="BD2134" i="93"/>
  <c r="BF2134" i="93" s="1"/>
  <c r="BD2135" i="93"/>
  <c r="BF2135" i="93" s="1"/>
  <c r="BD4195" i="93"/>
  <c r="BF4195" i="93" s="1"/>
  <c r="BD4196" i="93"/>
  <c r="BF4196" i="93" s="1"/>
  <c r="BD4197" i="93"/>
  <c r="BF4197" i="93" s="1"/>
  <c r="BD4216" i="93"/>
  <c r="BF4216" i="93" s="1"/>
  <c r="BD4198" i="93"/>
  <c r="BF4198" i="93" s="1"/>
  <c r="BD4200" i="93"/>
  <c r="BF4200" i="93" s="1"/>
  <c r="BD4207" i="93"/>
  <c r="BF4207" i="93" s="1"/>
  <c r="BD4202" i="93"/>
  <c r="BF4202" i="93" s="1"/>
  <c r="BD4201" i="93"/>
  <c r="BF4201" i="93" s="1"/>
  <c r="BD4204" i="93"/>
  <c r="BF4204" i="93" s="1"/>
  <c r="BD4205" i="93"/>
  <c r="BF4205" i="93" s="1"/>
  <c r="BD4206" i="93"/>
  <c r="BF4206" i="93" s="1"/>
  <c r="BD4210" i="93"/>
  <c r="BF4210" i="93" s="1"/>
  <c r="BD4212" i="93"/>
  <c r="BF4212" i="93" s="1"/>
  <c r="BD4213" i="93"/>
  <c r="BF4213" i="93" s="1"/>
  <c r="BD4228" i="93"/>
  <c r="BF4228" i="93" s="1"/>
  <c r="BD4231" i="93"/>
  <c r="BF4231" i="93" s="1"/>
  <c r="BD4232" i="93"/>
  <c r="BF4232" i="93" s="1"/>
  <c r="BD4233" i="93"/>
  <c r="BF4233" i="93" s="1"/>
  <c r="BD4247" i="93"/>
  <c r="BF4247" i="93" s="1"/>
  <c r="BD4315" i="93"/>
  <c r="BF4315" i="93" s="1"/>
  <c r="BD4318" i="93"/>
  <c r="BF4318" i="93" s="1"/>
  <c r="BD4319" i="93"/>
  <c r="BF4319" i="93" s="1"/>
  <c r="BD4320" i="93"/>
  <c r="BF4320" i="93" s="1"/>
  <c r="BD4321" i="93"/>
  <c r="BF4321" i="93" s="1"/>
  <c r="BD4322" i="93"/>
  <c r="BF4322" i="93" s="1"/>
  <c r="BD4330" i="93"/>
  <c r="BF4330" i="93" s="1"/>
  <c r="BD4332" i="93"/>
  <c r="BF4332" i="93" s="1"/>
  <c r="BD4333" i="93"/>
  <c r="BF4333" i="93" s="1"/>
  <c r="BD4334" i="93"/>
  <c r="BF4334" i="93" s="1"/>
  <c r="BD4335" i="93"/>
  <c r="BF4335" i="93" s="1"/>
  <c r="BD2820" i="93"/>
  <c r="BF2820" i="93" s="1"/>
  <c r="BD1143" i="93"/>
  <c r="F16" i="94" s="1"/>
  <c r="BD1140" i="93"/>
  <c r="F13" i="94" s="1"/>
  <c r="BD3123" i="93"/>
  <c r="BF3123" i="93" s="1"/>
  <c r="BD3126" i="93"/>
  <c r="BF3126" i="93" s="1"/>
  <c r="BD3127" i="93"/>
  <c r="BF3127" i="93" s="1"/>
  <c r="BD3128" i="93"/>
  <c r="BF3128" i="93" s="1"/>
  <c r="BD3158" i="93"/>
  <c r="BF3158" i="93" s="1"/>
  <c r="BD3135" i="93"/>
  <c r="BF3135" i="93" s="1"/>
  <c r="BD3137" i="93"/>
  <c r="BF3137" i="93" s="1"/>
  <c r="BD3406" i="93"/>
  <c r="BF3406" i="93" s="1"/>
  <c r="BD3407" i="93"/>
  <c r="BF3407" i="93" s="1"/>
  <c r="BD3408" i="93"/>
  <c r="BF3408" i="93" s="1"/>
  <c r="BD3409" i="93"/>
  <c r="BF3409" i="93" s="1"/>
  <c r="BD3410" i="93"/>
  <c r="BF3410" i="93" s="1"/>
  <c r="BD3411" i="93"/>
  <c r="BF3411" i="93" s="1"/>
  <c r="BD3412" i="93"/>
  <c r="BF3412" i="93" s="1"/>
  <c r="BD3413" i="93"/>
  <c r="BF3413" i="93" s="1"/>
  <c r="BD3414" i="93"/>
  <c r="BF3414" i="93" s="1"/>
  <c r="BD3416" i="93"/>
  <c r="BF3416" i="93" s="1"/>
  <c r="BD3417" i="93"/>
  <c r="BF3417" i="93" s="1"/>
  <c r="BD3418" i="93"/>
  <c r="BF3418" i="93" s="1"/>
  <c r="BD3419" i="93"/>
  <c r="BF3419" i="93" s="1"/>
  <c r="BD3420" i="93"/>
  <c r="BF3420" i="93" s="1"/>
  <c r="BD3423" i="93"/>
  <c r="BF3423" i="93" s="1"/>
  <c r="BD3426" i="93"/>
  <c r="BF3426" i="93" s="1"/>
  <c r="BD3427" i="93"/>
  <c r="BF3427" i="93" s="1"/>
  <c r="BD3428" i="93"/>
  <c r="BF3428" i="93" s="1"/>
  <c r="BD3487" i="93"/>
  <c r="BF3487" i="93" s="1"/>
  <c r="BD3429" i="93"/>
  <c r="BF3429" i="93" s="1"/>
  <c r="BD3430" i="93"/>
  <c r="BF3430" i="93" s="1"/>
  <c r="BD4234" i="93"/>
  <c r="BF4234" i="93" s="1"/>
  <c r="BD27" i="93"/>
  <c r="BF27" i="93" s="1"/>
  <c r="BD29" i="93"/>
  <c r="BF29" i="93" s="1"/>
  <c r="BD30" i="93"/>
  <c r="BF30" i="93" s="1"/>
  <c r="BD83" i="93"/>
  <c r="BF83" i="93" s="1"/>
  <c r="BD84" i="93"/>
  <c r="BF84" i="93" s="1"/>
  <c r="BD85" i="93"/>
  <c r="BF85" i="93" s="1"/>
  <c r="BD86" i="93"/>
  <c r="BF86" i="93" s="1"/>
  <c r="BD87" i="93"/>
  <c r="BF87" i="93" s="1"/>
  <c r="BD88" i="93"/>
  <c r="BF88" i="93" s="1"/>
  <c r="BD89" i="93"/>
  <c r="BF89" i="93" s="1"/>
  <c r="BD91" i="93"/>
  <c r="BF91" i="93" s="1"/>
  <c r="BD92" i="93"/>
  <c r="BF92" i="93" s="1"/>
  <c r="BD93" i="93"/>
  <c r="BF93" i="93" s="1"/>
  <c r="BD94" i="93"/>
  <c r="BF94" i="93" s="1"/>
  <c r="BD95" i="93"/>
  <c r="BF95" i="93" s="1"/>
  <c r="BD96" i="93"/>
  <c r="BF96" i="93" s="1"/>
  <c r="BD97" i="93"/>
  <c r="BF97" i="93" s="1"/>
  <c r="BD98" i="93"/>
  <c r="BF98" i="93" s="1"/>
  <c r="BD101" i="93"/>
  <c r="BF101" i="93" s="1"/>
  <c r="BD102" i="93"/>
  <c r="BF102" i="93" s="1"/>
  <c r="BD103" i="93"/>
  <c r="BF103" i="93" s="1"/>
  <c r="BD104" i="93"/>
  <c r="BF104" i="93" s="1"/>
  <c r="BD107" i="93"/>
  <c r="BF107" i="93" s="1"/>
  <c r="BD109" i="93"/>
  <c r="BF109" i="93" s="1"/>
  <c r="BD150" i="93"/>
  <c r="BF150" i="93" s="1"/>
  <c r="BD151" i="93"/>
  <c r="BF151" i="93" s="1"/>
  <c r="BD152" i="93"/>
  <c r="BF152" i="93" s="1"/>
  <c r="BD153" i="93"/>
  <c r="BF153" i="93" s="1"/>
  <c r="BD155" i="93"/>
  <c r="BF155" i="93" s="1"/>
  <c r="BD156" i="93"/>
  <c r="BF156" i="93" s="1"/>
  <c r="BD157" i="93"/>
  <c r="BF157" i="93" s="1"/>
  <c r="BD158" i="93"/>
  <c r="BF158" i="93" s="1"/>
  <c r="BD159" i="93"/>
  <c r="BF159" i="93" s="1"/>
  <c r="BD160" i="93"/>
  <c r="BF160" i="93" s="1"/>
  <c r="BD162" i="93"/>
  <c r="BF162" i="93" s="1"/>
  <c r="BD225" i="93"/>
  <c r="BF225" i="93" s="1"/>
  <c r="BD226" i="93"/>
  <c r="BF226" i="93" s="1"/>
  <c r="BE257" i="93"/>
  <c r="BD258" i="93"/>
  <c r="BF258" i="93" s="1"/>
  <c r="BD259" i="93"/>
  <c r="BF259" i="93" s="1"/>
  <c r="BD260" i="93"/>
  <c r="BF260" i="93" s="1"/>
  <c r="BD264" i="93"/>
  <c r="BF264" i="93" s="1"/>
  <c r="BD265" i="93"/>
  <c r="BF265" i="93" s="1"/>
  <c r="BD266" i="93"/>
  <c r="BF266" i="93" s="1"/>
  <c r="BD270" i="93"/>
  <c r="BF270" i="93" s="1"/>
  <c r="BD271" i="93"/>
  <c r="BF271" i="93" s="1"/>
  <c r="BD272" i="93"/>
  <c r="BF272" i="93" s="1"/>
  <c r="BD273" i="93"/>
  <c r="BF273" i="93" s="1"/>
  <c r="BD277" i="93"/>
  <c r="BF277" i="93" s="1"/>
  <c r="BD279" i="93"/>
  <c r="BF279" i="93" s="1"/>
  <c r="BD283" i="93"/>
  <c r="BF283" i="93" s="1"/>
  <c r="BD284" i="93"/>
  <c r="BF284" i="93" s="1"/>
  <c r="BD286" i="93"/>
  <c r="BF286" i="93" s="1"/>
  <c r="BD287" i="93"/>
  <c r="BF287" i="93" s="1"/>
  <c r="BD289" i="93"/>
  <c r="BF289" i="93" s="1"/>
  <c r="BD364" i="93"/>
  <c r="BF364" i="93" s="1"/>
  <c r="BD363" i="93"/>
  <c r="BF363" i="93" s="1"/>
  <c r="BD365" i="93"/>
  <c r="BF365" i="93" s="1"/>
  <c r="BD366" i="93"/>
  <c r="BF366" i="93" s="1"/>
  <c r="BD367" i="93"/>
  <c r="BF367" i="93" s="1"/>
  <c r="BD369" i="93"/>
  <c r="BF369" i="93" s="1"/>
  <c r="BD368" i="93"/>
  <c r="BF368" i="93" s="1"/>
  <c r="BD373" i="93"/>
  <c r="BF373" i="93" s="1"/>
  <c r="BD374" i="93"/>
  <c r="BF374" i="93" s="1"/>
  <c r="BD375" i="93"/>
  <c r="BF375" i="93" s="1"/>
  <c r="BD376" i="93"/>
  <c r="BF376" i="93" s="1"/>
  <c r="BD380" i="93"/>
  <c r="BF380" i="93" s="1"/>
  <c r="BD381" i="93"/>
  <c r="BF381" i="93" s="1"/>
  <c r="BD385" i="93"/>
  <c r="BF385" i="93" s="1"/>
  <c r="BD386" i="93"/>
  <c r="BF386" i="93" s="1"/>
  <c r="BD387" i="93"/>
  <c r="BF387" i="93" s="1"/>
  <c r="BD388" i="93"/>
  <c r="BF388" i="93" s="1"/>
  <c r="BD389" i="93"/>
  <c r="BF389" i="93" s="1"/>
  <c r="BD390" i="93"/>
  <c r="BF390" i="93" s="1"/>
  <c r="BD391" i="93"/>
  <c r="BF391" i="93" s="1"/>
  <c r="BD392" i="93"/>
  <c r="BF392" i="93" s="1"/>
  <c r="BD393" i="93"/>
  <c r="BF393" i="93" s="1"/>
  <c r="BD394" i="93"/>
  <c r="BF394" i="93" s="1"/>
  <c r="BD395" i="93"/>
  <c r="BF395" i="93" s="1"/>
  <c r="BD396" i="93"/>
  <c r="BF396" i="93" s="1"/>
  <c r="BD397" i="93"/>
  <c r="BF397" i="93" s="1"/>
  <c r="BD398" i="93"/>
  <c r="BF398" i="93" s="1"/>
  <c r="BD410" i="93"/>
  <c r="BD411" i="93"/>
  <c r="BD412" i="93"/>
  <c r="BD414" i="93"/>
  <c r="BD417" i="93"/>
  <c r="BD418" i="93"/>
  <c r="BD419" i="93"/>
  <c r="BD420" i="93"/>
  <c r="BD421" i="93"/>
  <c r="BD424" i="93"/>
  <c r="BD425" i="93"/>
  <c r="BD426" i="93"/>
  <c r="BD427" i="93"/>
  <c r="BD428" i="93"/>
  <c r="BD429" i="93"/>
  <c r="BD430" i="93"/>
  <c r="BD431" i="93"/>
  <c r="BD433" i="93"/>
  <c r="BD434" i="93"/>
  <c r="BF434" i="93" s="1"/>
  <c r="BD435" i="93"/>
  <c r="BF435" i="93" s="1"/>
  <c r="BD438" i="93"/>
  <c r="BD440" i="93"/>
  <c r="BD441" i="93"/>
  <c r="BD442" i="93"/>
  <c r="BD445" i="93"/>
  <c r="BF445" i="93" s="1"/>
  <c r="BD447" i="93"/>
  <c r="BF447" i="93" s="1"/>
  <c r="BD448" i="93"/>
  <c r="BF448" i="93" s="1"/>
  <c r="BD449" i="93"/>
  <c r="BF449" i="93" s="1"/>
  <c r="BD450" i="93"/>
  <c r="BF450" i="93" s="1"/>
  <c r="BD451" i="93"/>
  <c r="BF451" i="93" s="1"/>
  <c r="BD453" i="93"/>
  <c r="BF453" i="93" s="1"/>
  <c r="BD454" i="93"/>
  <c r="BF454" i="93" s="1"/>
  <c r="BD457" i="93"/>
  <c r="BF457" i="93" s="1"/>
  <c r="BD458" i="93"/>
  <c r="BF458" i="93" s="1"/>
  <c r="BD462" i="93"/>
  <c r="BD467" i="93"/>
  <c r="BD469" i="93"/>
  <c r="BF469" i="93" s="1"/>
  <c r="BD490" i="93"/>
  <c r="BF490" i="93" s="1"/>
  <c r="BD493" i="93"/>
  <c r="BF493" i="93" s="1"/>
  <c r="BD494" i="93"/>
  <c r="BF494" i="93" s="1"/>
  <c r="BD495" i="93"/>
  <c r="BF495" i="93" s="1"/>
  <c r="BD496" i="93"/>
  <c r="BF496" i="93" s="1"/>
  <c r="BD497" i="93"/>
  <c r="BF497" i="93" s="1"/>
  <c r="BD499" i="93"/>
  <c r="BF499" i="93" s="1"/>
  <c r="BD570" i="93"/>
  <c r="BF570" i="93" s="1"/>
  <c r="BD572" i="93"/>
  <c r="BF572" i="93" s="1"/>
  <c r="BD576" i="93"/>
  <c r="BF576" i="93" s="1"/>
  <c r="BD577" i="93"/>
  <c r="BD579" i="93"/>
  <c r="BD584" i="93"/>
  <c r="BD585" i="93"/>
  <c r="BF585" i="93" s="1"/>
  <c r="BD586" i="93"/>
  <c r="BF586" i="93" s="1"/>
  <c r="BD588" i="93"/>
  <c r="BF588" i="93" s="1"/>
  <c r="BD620" i="93"/>
  <c r="BF620" i="93" s="1"/>
  <c r="BD621" i="93"/>
  <c r="BF621" i="93" s="1"/>
  <c r="BD622" i="93"/>
  <c r="BF622" i="93" s="1"/>
  <c r="BD624" i="93"/>
  <c r="BF624" i="93" s="1"/>
  <c r="BD626" i="93"/>
  <c r="BF626" i="93" s="1"/>
  <c r="BD627" i="93"/>
  <c r="BF627" i="93" s="1"/>
  <c r="BD629" i="93"/>
  <c r="BF629" i="93" s="1"/>
  <c r="BD630" i="93"/>
  <c r="BF630" i="93" s="1"/>
  <c r="BD631" i="93"/>
  <c r="BF631" i="93" s="1"/>
  <c r="BD632" i="93"/>
  <c r="BF632" i="93" s="1"/>
  <c r="BD633" i="93"/>
  <c r="BF633" i="93" s="1"/>
  <c r="BD634" i="93"/>
  <c r="BF634" i="93" s="1"/>
  <c r="BD636" i="93"/>
  <c r="BF636" i="93" s="1"/>
  <c r="BD637" i="93"/>
  <c r="BF637" i="93" s="1"/>
  <c r="BD638" i="93"/>
  <c r="BF638" i="93" s="1"/>
  <c r="BD639" i="93"/>
  <c r="BF639" i="93" s="1"/>
  <c r="BD640" i="93"/>
  <c r="BF640" i="93" s="1"/>
  <c r="BD641" i="93"/>
  <c r="BF641" i="93" s="1"/>
  <c r="BD642" i="93"/>
  <c r="BF642" i="93" s="1"/>
  <c r="BD645" i="93"/>
  <c r="BF645" i="93" s="1"/>
  <c r="BD646" i="93"/>
  <c r="BF646" i="93" s="1"/>
  <c r="BD647" i="93"/>
  <c r="BF647" i="93" s="1"/>
  <c r="BD649" i="93"/>
  <c r="BF649" i="93" s="1"/>
  <c r="BD650" i="93"/>
  <c r="BF650" i="93" s="1"/>
  <c r="BD652" i="93"/>
  <c r="BF652" i="93" s="1"/>
  <c r="BD653" i="93"/>
  <c r="BF653" i="93" s="1"/>
  <c r="BD654" i="93"/>
  <c r="BF654" i="93" s="1"/>
  <c r="BD656" i="93"/>
  <c r="BF656" i="93" s="1"/>
  <c r="BD658" i="93"/>
  <c r="BF658" i="93" s="1"/>
  <c r="BD659" i="93"/>
  <c r="BF659" i="93" s="1"/>
  <c r="BD660" i="93"/>
  <c r="BF660" i="93" s="1"/>
  <c r="BD663" i="93"/>
  <c r="BD664" i="93"/>
  <c r="BD665" i="93"/>
  <c r="BF665" i="93" s="1"/>
  <c r="BD666" i="93"/>
  <c r="BF666" i="93" s="1"/>
  <c r="BD667" i="93"/>
  <c r="BF667" i="93" s="1"/>
  <c r="BD669" i="93"/>
  <c r="BF669" i="93" s="1"/>
  <c r="BD683" i="93"/>
  <c r="BF683" i="93" s="1"/>
  <c r="BD684" i="93"/>
  <c r="BF684" i="93" s="1"/>
  <c r="BD685" i="93"/>
  <c r="BF685" i="93" s="1"/>
  <c r="BD688" i="93"/>
  <c r="BD691" i="93"/>
  <c r="BF691" i="93" s="1"/>
  <c r="BD692" i="93"/>
  <c r="BF692" i="93" s="1"/>
  <c r="BD696" i="93"/>
  <c r="BF696" i="93" s="1"/>
  <c r="BD697" i="93"/>
  <c r="BF697" i="93" s="1"/>
  <c r="BD698" i="93"/>
  <c r="BF698" i="93" s="1"/>
  <c r="BD699" i="93"/>
  <c r="BF699" i="93" s="1"/>
  <c r="BD706" i="93"/>
  <c r="BD707" i="93"/>
  <c r="BF707" i="93" s="1"/>
  <c r="BD708" i="93"/>
  <c r="BF708" i="93" s="1"/>
  <c r="BD709" i="93"/>
  <c r="BF709" i="93" s="1"/>
  <c r="BD714" i="93"/>
  <c r="BD719" i="93"/>
  <c r="BD720" i="93"/>
  <c r="BF720" i="93" s="1"/>
  <c r="BD722" i="93"/>
  <c r="BF722" i="93" s="1"/>
  <c r="BD723" i="93"/>
  <c r="BF723" i="93" s="1"/>
  <c r="BD724" i="93"/>
  <c r="BF724" i="93" s="1"/>
  <c r="BD729" i="93"/>
  <c r="BF729" i="93" s="1"/>
  <c r="BD730" i="93"/>
  <c r="BF730" i="93" s="1"/>
  <c r="BD731" i="93"/>
  <c r="BF731" i="93" s="1"/>
  <c r="BD733" i="93"/>
  <c r="BD734" i="93"/>
  <c r="BF734" i="93" s="1"/>
  <c r="BD735" i="93"/>
  <c r="BF735" i="93" s="1"/>
  <c r="BD736" i="93"/>
  <c r="BF736" i="93" s="1"/>
  <c r="BD738" i="93"/>
  <c r="F49" i="94" s="1"/>
  <c r="BD742" i="93"/>
  <c r="BF742" i="93" s="1"/>
  <c r="BD744" i="93"/>
  <c r="BF744" i="93" s="1"/>
  <c r="BD745" i="93"/>
  <c r="BF745" i="93" s="1"/>
  <c r="BD752" i="93"/>
  <c r="BF752" i="93" s="1"/>
  <c r="BD755" i="93"/>
  <c r="BF755" i="93" s="1"/>
  <c r="BD756" i="93"/>
  <c r="BF756" i="93" s="1"/>
  <c r="BD757" i="93"/>
  <c r="BF757" i="93" s="1"/>
  <c r="BD760" i="93"/>
  <c r="BF760" i="93" s="1"/>
  <c r="BD820" i="93"/>
  <c r="BF820" i="93" s="1"/>
  <c r="BD821" i="93"/>
  <c r="BF821" i="93" s="1"/>
  <c r="BD822" i="93"/>
  <c r="BF822" i="93" s="1"/>
  <c r="BD824" i="93"/>
  <c r="BF824" i="93" s="1"/>
  <c r="BD825" i="93"/>
  <c r="BF825" i="93" s="1"/>
  <c r="BD826" i="93"/>
  <c r="BF826" i="93" s="1"/>
  <c r="BD827" i="93"/>
  <c r="BF827" i="93" s="1"/>
  <c r="BD828" i="93"/>
  <c r="BF828" i="93" s="1"/>
  <c r="BD831" i="93"/>
  <c r="BF831" i="93" s="1"/>
  <c r="BD832" i="93"/>
  <c r="BF832" i="93" s="1"/>
  <c r="BD838" i="93"/>
  <c r="BD840" i="93"/>
  <c r="BF840" i="93" s="1"/>
  <c r="BD841" i="93"/>
  <c r="BF841" i="93" s="1"/>
  <c r="BD842" i="93"/>
  <c r="BF842" i="93" s="1"/>
  <c r="BD845" i="93"/>
  <c r="BF845" i="93" s="1"/>
  <c r="BE846" i="93"/>
  <c r="BD847" i="93"/>
  <c r="BF847" i="93" s="1"/>
  <c r="BD848" i="93"/>
  <c r="BE853" i="93"/>
  <c r="AB853" i="93"/>
  <c r="BD853" i="93" s="1"/>
  <c r="BD854" i="93"/>
  <c r="BF854" i="93" s="1"/>
  <c r="BD939" i="93"/>
  <c r="BF939" i="93" s="1"/>
  <c r="BD979" i="93"/>
  <c r="BF979" i="93" s="1"/>
  <c r="BD982" i="93"/>
  <c r="BF982" i="93" s="1"/>
  <c r="BD987" i="93"/>
  <c r="BF987" i="93" s="1"/>
  <c r="BE989" i="93"/>
  <c r="BD993" i="93"/>
  <c r="BD994" i="93"/>
  <c r="BD997" i="93"/>
  <c r="BD998" i="93"/>
  <c r="BE999" i="93"/>
  <c r="BD1000" i="93"/>
  <c r="BF1000" i="93" s="1"/>
  <c r="BD1001" i="93"/>
  <c r="BF1001" i="93" s="1"/>
  <c r="BE1002" i="93"/>
  <c r="BD1004" i="93"/>
  <c r="BF1004" i="93" s="1"/>
  <c r="BE1006" i="93"/>
  <c r="BD1007" i="93"/>
  <c r="BF1007" i="93" s="1"/>
  <c r="BD1009" i="93"/>
  <c r="BF1009" i="93" s="1"/>
  <c r="BD1010" i="93"/>
  <c r="BF1010" i="93" s="1"/>
  <c r="BD1011" i="93"/>
  <c r="BF1011" i="93" s="1"/>
  <c r="BD1013" i="93"/>
  <c r="BF1013" i="93" s="1"/>
  <c r="BD1016" i="93"/>
  <c r="BD1017" i="93"/>
  <c r="BF1017" i="93" s="1"/>
  <c r="BE1018" i="93"/>
  <c r="BD1019" i="93"/>
  <c r="BF1019" i="93" s="1"/>
  <c r="BD1020" i="93"/>
  <c r="BF1020" i="93" s="1"/>
  <c r="BD1021" i="93"/>
  <c r="BF1021" i="93" s="1"/>
  <c r="BD1022" i="93"/>
  <c r="BF1022" i="93" s="1"/>
  <c r="BD1041" i="93"/>
  <c r="BF1041" i="93" s="1"/>
  <c r="BD1049" i="93"/>
  <c r="BF1049" i="93" s="1"/>
  <c r="BD1052" i="93"/>
  <c r="BD1053" i="93"/>
  <c r="BF1053" i="93" s="1"/>
  <c r="BD1055" i="93"/>
  <c r="BF1055" i="93" s="1"/>
  <c r="BD1065" i="93"/>
  <c r="BF1065" i="93" s="1"/>
  <c r="BD1097" i="93"/>
  <c r="BF1097" i="93" s="1"/>
  <c r="BD1105" i="93"/>
  <c r="BF1105" i="93" s="1"/>
  <c r="BD1106" i="93"/>
  <c r="BF1106" i="93" s="1"/>
  <c r="BD1107" i="93"/>
  <c r="BF1107" i="93" s="1"/>
  <c r="BD1111" i="93"/>
  <c r="BF1111" i="93" s="1"/>
  <c r="BD1112" i="93"/>
  <c r="BF1112" i="93" s="1"/>
  <c r="BD1113" i="93"/>
  <c r="BF1113" i="93" s="1"/>
  <c r="BD1121" i="93"/>
  <c r="BF1121" i="93" s="1"/>
  <c r="BD1122" i="93"/>
  <c r="BF1122" i="93" s="1"/>
  <c r="BD1124" i="93"/>
  <c r="BF1124" i="93" s="1"/>
  <c r="BD1136" i="93"/>
  <c r="BD1137" i="93"/>
  <c r="F11" i="94" s="1"/>
  <c r="BD1138" i="93"/>
  <c r="BF1138" i="93" s="1"/>
  <c r="BD1149" i="93"/>
  <c r="BD1159" i="93"/>
  <c r="BD1255" i="93"/>
  <c r="BF1255" i="93" s="1"/>
  <c r="BD1163" i="93"/>
  <c r="BF1163" i="93" s="1"/>
  <c r="BD1165" i="93"/>
  <c r="BD1171" i="93"/>
  <c r="BD1172" i="93"/>
  <c r="BD1174" i="93"/>
  <c r="BF1174" i="93" s="1"/>
  <c r="BD1193" i="93"/>
  <c r="BF1193" i="93" s="1"/>
  <c r="BD1194" i="93"/>
  <c r="BF1194" i="93" s="1"/>
  <c r="BD1197" i="93"/>
  <c r="BF1197" i="93" s="1"/>
  <c r="BD1198" i="93"/>
  <c r="BF1198" i="93" s="1"/>
  <c r="BD1199" i="93"/>
  <c r="BF1199" i="93" s="1"/>
  <c r="BD1203" i="93"/>
  <c r="BF1203" i="93" s="1"/>
  <c r="BD1205" i="93"/>
  <c r="BF1205" i="93" s="1"/>
  <c r="BD1206" i="93"/>
  <c r="BF1206" i="93" s="1"/>
  <c r="BD1208" i="93"/>
  <c r="BF1208" i="93" s="1"/>
  <c r="BD1209" i="93"/>
  <c r="BF1209" i="93" s="1"/>
  <c r="BD1210" i="93"/>
  <c r="BF1210" i="93" s="1"/>
  <c r="BD1212" i="93"/>
  <c r="BF1212" i="93" s="1"/>
  <c r="BD1215" i="93"/>
  <c r="BF1215" i="93" s="1"/>
  <c r="BD1217" i="93"/>
  <c r="BF1217" i="93" s="1"/>
  <c r="BD1221" i="93"/>
  <c r="BF1221" i="93" s="1"/>
  <c r="BD1259" i="93"/>
  <c r="BF1259" i="93" s="1"/>
  <c r="BD1261" i="93"/>
  <c r="BF1261" i="93" s="1"/>
  <c r="BD1263" i="93"/>
  <c r="BF1263" i="93" s="1"/>
  <c r="BD1274" i="93"/>
  <c r="BF1274" i="93" s="1"/>
  <c r="BD1277" i="93"/>
  <c r="BF1277" i="93" s="1"/>
  <c r="BD1278" i="93"/>
  <c r="BF1278" i="93" s="1"/>
  <c r="BD1279" i="93"/>
  <c r="BF1279" i="93" s="1"/>
  <c r="BD1282" i="93"/>
  <c r="BF1282" i="93" s="1"/>
  <c r="BD1284" i="93"/>
  <c r="BF1284" i="93" s="1"/>
  <c r="BD1285" i="93"/>
  <c r="BF1285" i="93" s="1"/>
  <c r="BD1286" i="93"/>
  <c r="BF1286" i="93" s="1"/>
  <c r="BD1287" i="93"/>
  <c r="BF1287" i="93" s="1"/>
  <c r="BD1288" i="93"/>
  <c r="BF1288" i="93" s="1"/>
  <c r="BD1289" i="93"/>
  <c r="BF1289" i="93" s="1"/>
  <c r="BD1290" i="93"/>
  <c r="BF1290" i="93" s="1"/>
  <c r="BD1292" i="93"/>
  <c r="BF1292" i="93" s="1"/>
  <c r="BD1293" i="93"/>
  <c r="BF1293" i="93" s="1"/>
  <c r="BD1296" i="93"/>
  <c r="BD1303" i="93"/>
  <c r="BF1303" i="93" s="1"/>
  <c r="BD1305" i="93"/>
  <c r="BF1305" i="93" s="1"/>
  <c r="BD1416" i="93"/>
  <c r="BF1416" i="93" s="1"/>
  <c r="BD1417" i="93"/>
  <c r="BF1417" i="93" s="1"/>
  <c r="BD1418" i="93"/>
  <c r="BF1418" i="93" s="1"/>
  <c r="BD1419" i="93"/>
  <c r="BF1419" i="93" s="1"/>
  <c r="BD1420" i="93"/>
  <c r="BF1420" i="93" s="1"/>
  <c r="BD1421" i="93"/>
  <c r="BF1421" i="93" s="1"/>
  <c r="BD1438" i="93"/>
  <c r="BF1438" i="93" s="1"/>
  <c r="BD1440" i="93"/>
  <c r="BF1440" i="93" s="1"/>
  <c r="BD1443" i="93"/>
  <c r="BD1462" i="93"/>
  <c r="BF1462" i="93" s="1"/>
  <c r="BD1465" i="93"/>
  <c r="BF1465" i="93" s="1"/>
  <c r="BD1466" i="93"/>
  <c r="BF1466" i="93" s="1"/>
  <c r="BD1467" i="93"/>
  <c r="BF1467" i="93" s="1"/>
  <c r="BD1474" i="93"/>
  <c r="BF1474" i="93" s="1"/>
  <c r="BD1475" i="93"/>
  <c r="BF1475" i="93" s="1"/>
  <c r="BD1487" i="93"/>
  <c r="BF1487" i="93" s="1"/>
  <c r="BD1488" i="93"/>
  <c r="BF1488" i="93" s="1"/>
  <c r="BD1490" i="93"/>
  <c r="BF1490" i="93" s="1"/>
  <c r="BD1491" i="93"/>
  <c r="BF1491" i="93" s="1"/>
  <c r="BD1492" i="93"/>
  <c r="BF1492" i="93" s="1"/>
  <c r="BD1495" i="93"/>
  <c r="BF1495" i="93" s="1"/>
  <c r="BD1496" i="93"/>
  <c r="BF1496" i="93" s="1"/>
  <c r="BD1500" i="93"/>
  <c r="BF1500" i="93" s="1"/>
  <c r="BD1514" i="93"/>
  <c r="BF1514" i="93" s="1"/>
  <c r="BD1515" i="93"/>
  <c r="BF1515" i="93" s="1"/>
  <c r="BD1521" i="93"/>
  <c r="BF1521" i="93" s="1"/>
  <c r="BD1522" i="93"/>
  <c r="BF1522" i="93" s="1"/>
  <c r="BD1523" i="93"/>
  <c r="BF1523" i="93" s="1"/>
  <c r="BD1524" i="93"/>
  <c r="BF1524" i="93" s="1"/>
  <c r="BD1525" i="93"/>
  <c r="BD1526" i="93"/>
  <c r="BF1526" i="93" s="1"/>
  <c r="BD1527" i="93"/>
  <c r="BF1527" i="93" s="1"/>
  <c r="BD1528" i="93"/>
  <c r="BF1528" i="93" s="1"/>
  <c r="BD1529" i="93"/>
  <c r="BF1529" i="93" s="1"/>
  <c r="BD1531" i="93"/>
  <c r="BF1531" i="93" s="1"/>
  <c r="BD1532" i="93"/>
  <c r="BF1532" i="93" s="1"/>
  <c r="BD1534" i="93"/>
  <c r="BF1534" i="93" s="1"/>
  <c r="BD1535" i="93"/>
  <c r="BF1535" i="93" s="1"/>
  <c r="BD1536" i="93"/>
  <c r="BF1536" i="93" s="1"/>
  <c r="BD1537" i="93"/>
  <c r="BF1537" i="93" s="1"/>
  <c r="BD1538" i="93"/>
  <c r="BF1538" i="93" s="1"/>
  <c r="BD1539" i="93"/>
  <c r="BF1539" i="93" s="1"/>
  <c r="BD1540" i="93"/>
  <c r="BF1540" i="93" s="1"/>
  <c r="BD1544" i="93"/>
  <c r="BF1544" i="93" s="1"/>
  <c r="BD1545" i="93"/>
  <c r="BF1545" i="93" s="1"/>
  <c r="BD1548" i="93"/>
  <c r="BD1550" i="93"/>
  <c r="BF1550" i="93" s="1"/>
  <c r="BD1619" i="93"/>
  <c r="BF1619" i="93" s="1"/>
  <c r="BD1551" i="93"/>
  <c r="BF1551" i="93" s="1"/>
  <c r="BD1552" i="93"/>
  <c r="BF1552" i="93" s="1"/>
  <c r="BD1553" i="93"/>
  <c r="BF1553" i="93" s="1"/>
  <c r="BD1554" i="93"/>
  <c r="BF1554" i="93" s="1"/>
  <c r="BD1555" i="93"/>
  <c r="BF1555" i="93" s="1"/>
  <c r="BD1557" i="93"/>
  <c r="BF1557" i="93" s="1"/>
  <c r="BD1558" i="93"/>
  <c r="BF1558" i="93" s="1"/>
  <c r="BD1559" i="93"/>
  <c r="BF1559" i="93" s="1"/>
  <c r="BD1561" i="93"/>
  <c r="BF1561" i="93" s="1"/>
  <c r="BD1562" i="93"/>
  <c r="BF1562" i="93" s="1"/>
  <c r="BD1605" i="93"/>
  <c r="BF1605" i="93" s="1"/>
  <c r="BD1606" i="93"/>
  <c r="BF1606" i="93" s="1"/>
  <c r="BD1607" i="93"/>
  <c r="BF1607" i="93" s="1"/>
  <c r="BD1608" i="93"/>
  <c r="BF1608" i="93" s="1"/>
  <c r="BD1609" i="93"/>
  <c r="BF1609" i="93" s="1"/>
  <c r="BD1610" i="93"/>
  <c r="BF1610" i="93" s="1"/>
  <c r="BD1611" i="93"/>
  <c r="BF1611" i="93" s="1"/>
  <c r="BD1613" i="93"/>
  <c r="BF1613" i="93" s="1"/>
  <c r="BD1615" i="93"/>
  <c r="BF1615" i="93" s="1"/>
  <c r="BD1616" i="93"/>
  <c r="BF1616" i="93" s="1"/>
  <c r="BD1617" i="93"/>
  <c r="BF1617" i="93" s="1"/>
  <c r="BE1620" i="93"/>
  <c r="BD1621" i="93"/>
  <c r="BF1621" i="93" s="1"/>
  <c r="BD1622" i="93"/>
  <c r="BF1622" i="93" s="1"/>
  <c r="BD1625" i="93"/>
  <c r="BF1625" i="93" s="1"/>
  <c r="BD1626" i="93"/>
  <c r="BF1626" i="93" s="1"/>
  <c r="BD1628" i="93"/>
  <c r="BF1628" i="93" s="1"/>
  <c r="BD1629" i="93"/>
  <c r="BF1629" i="93" s="1"/>
  <c r="BD1631" i="93"/>
  <c r="BF1631" i="93" s="1"/>
  <c r="BD1632" i="93"/>
  <c r="BF1632" i="93" s="1"/>
  <c r="BD1634" i="93"/>
  <c r="BF1634" i="93" s="1"/>
  <c r="BD1663" i="93"/>
  <c r="BF1663" i="93" s="1"/>
  <c r="BD1665" i="93"/>
  <c r="BF1665" i="93" s="1"/>
  <c r="BD1666" i="93"/>
  <c r="BF1666" i="93" s="1"/>
  <c r="BD1667" i="93"/>
  <c r="BF1667" i="93" s="1"/>
  <c r="BD1668" i="93"/>
  <c r="BF1668" i="93" s="1"/>
  <c r="BD1671" i="93"/>
  <c r="BF1671" i="93" s="1"/>
  <c r="BD1672" i="93"/>
  <c r="BF1672" i="93" s="1"/>
  <c r="BD1675" i="93"/>
  <c r="BF1675" i="93" s="1"/>
  <c r="BD1676" i="93"/>
  <c r="BF1676" i="93" s="1"/>
  <c r="BD1677" i="93"/>
  <c r="BF1677" i="93" s="1"/>
  <c r="BD1678" i="93"/>
  <c r="BF1678" i="93" s="1"/>
  <c r="BD1680" i="93"/>
  <c r="BF1680" i="93" s="1"/>
  <c r="BD1681" i="93"/>
  <c r="BF1681" i="93" s="1"/>
  <c r="BD1682" i="93"/>
  <c r="BF1682" i="93" s="1"/>
  <c r="BD1683" i="93"/>
  <c r="BF1683" i="93" s="1"/>
  <c r="BD1684" i="93"/>
  <c r="BF1684" i="93" s="1"/>
  <c r="BD1685" i="93"/>
  <c r="BF1685" i="93" s="1"/>
  <c r="BD1686" i="93"/>
  <c r="BF1686" i="93" s="1"/>
  <c r="BD1687" i="93"/>
  <c r="BF1687" i="93" s="1"/>
  <c r="BD1688" i="93"/>
  <c r="BF1688" i="93" s="1"/>
  <c r="BD1689" i="93"/>
  <c r="BF1689" i="93" s="1"/>
  <c r="BD1690" i="93"/>
  <c r="BF1690" i="93" s="1"/>
  <c r="BD1691" i="93"/>
  <c r="BF1691" i="93" s="1"/>
  <c r="BD1692" i="93"/>
  <c r="BF1692" i="93" s="1"/>
  <c r="BD1708" i="93"/>
  <c r="BF1708" i="93" s="1"/>
  <c r="BD1710" i="93"/>
  <c r="BF1710" i="93" s="1"/>
  <c r="BD1711" i="93"/>
  <c r="BF1711" i="93" s="1"/>
  <c r="BD1713" i="93"/>
  <c r="BF1713" i="93" s="1"/>
  <c r="BD1714" i="93"/>
  <c r="BF1714" i="93" s="1"/>
  <c r="BD1716" i="93"/>
  <c r="BF1716" i="93" s="1"/>
  <c r="BD1717" i="93"/>
  <c r="BD1719" i="93"/>
  <c r="BF1719" i="93" s="1"/>
  <c r="BD1722" i="93"/>
  <c r="BF1722" i="93" s="1"/>
  <c r="BD1723" i="93"/>
  <c r="BF1723" i="93" s="1"/>
  <c r="BD1724" i="93"/>
  <c r="BF1724" i="93" s="1"/>
  <c r="BD1726" i="93"/>
  <c r="BF1726" i="93" s="1"/>
  <c r="BD1727" i="93"/>
  <c r="BF1727" i="93" s="1"/>
  <c r="BD1728" i="93"/>
  <c r="BF1728" i="93" s="1"/>
  <c r="BD1745" i="93"/>
  <c r="BF1745" i="93" s="1"/>
  <c r="BD1747" i="93"/>
  <c r="BF1747" i="93" s="1"/>
  <c r="BD1751" i="93"/>
  <c r="BF1751" i="93" s="1"/>
  <c r="BD1787" i="93"/>
  <c r="BF1787" i="93" s="1"/>
  <c r="BD1788" i="93"/>
  <c r="BF1788" i="93" s="1"/>
  <c r="BD1789" i="93"/>
  <c r="BF1789" i="93" s="1"/>
  <c r="BD1790" i="93"/>
  <c r="BF1790" i="93" s="1"/>
  <c r="BD1792" i="93"/>
  <c r="BF1792" i="93" s="1"/>
  <c r="BD1793" i="93"/>
  <c r="BF1793" i="93" s="1"/>
  <c r="BD1794" i="93"/>
  <c r="BF1794" i="93" s="1"/>
  <c r="BD1795" i="93"/>
  <c r="BF1795" i="93" s="1"/>
  <c r="BD1797" i="93"/>
  <c r="BF1797" i="93" s="1"/>
  <c r="BD1798" i="93"/>
  <c r="BF1798" i="93" s="1"/>
  <c r="BD1799" i="93"/>
  <c r="BF1799" i="93" s="1"/>
  <c r="BD1800" i="93"/>
  <c r="BF1800" i="93" s="1"/>
  <c r="BD1801" i="93"/>
  <c r="BF1801" i="93" s="1"/>
  <c r="BD1803" i="93"/>
  <c r="BF1803" i="93" s="1"/>
  <c r="BD1806" i="93"/>
  <c r="BF1806" i="93" s="1"/>
  <c r="BE1910" i="93"/>
  <c r="BD1911" i="93"/>
  <c r="BF1911" i="93" s="1"/>
  <c r="BD1912" i="93"/>
  <c r="BF1912" i="93" s="1"/>
  <c r="BD1914" i="93"/>
  <c r="BF1914" i="93" s="1"/>
  <c r="BD1918" i="93"/>
  <c r="BF1918" i="93" s="1"/>
  <c r="BD1919" i="93"/>
  <c r="BF1919" i="93" s="1"/>
  <c r="BD1920" i="93"/>
  <c r="BF1920" i="93" s="1"/>
  <c r="BD1921" i="93"/>
  <c r="BF1921" i="93" s="1"/>
  <c r="BD1922" i="93"/>
  <c r="BF1922" i="93" s="1"/>
  <c r="BD1923" i="93"/>
  <c r="BF1923" i="93" s="1"/>
  <c r="BD1924" i="93"/>
  <c r="BF1924" i="93" s="1"/>
  <c r="BD1925" i="93"/>
  <c r="BF1925" i="93" s="1"/>
  <c r="BD1926" i="93"/>
  <c r="BF1926" i="93" s="1"/>
  <c r="BD1930" i="93"/>
  <c r="BF1930" i="93" s="1"/>
  <c r="BD1931" i="93"/>
  <c r="BF1931" i="93" s="1"/>
  <c r="BD1932" i="93"/>
  <c r="BF1932" i="93" s="1"/>
  <c r="BD2002" i="93"/>
  <c r="BF2002" i="93" s="1"/>
  <c r="BD2003" i="93"/>
  <c r="BF2003" i="93" s="1"/>
  <c r="BD1937" i="93"/>
  <c r="BF1937" i="93" s="1"/>
  <c r="BD1938" i="93"/>
  <c r="BF1938" i="93" s="1"/>
  <c r="BD1939" i="93"/>
  <c r="BF1939" i="93" s="1"/>
  <c r="BD1941" i="93"/>
  <c r="BF1941" i="93" s="1"/>
  <c r="BD1943" i="93"/>
  <c r="BF1943" i="93" s="1"/>
  <c r="BD1945" i="93"/>
  <c r="BF1945" i="93" s="1"/>
  <c r="BD1946" i="93"/>
  <c r="BF1946" i="93" s="1"/>
  <c r="BD1948" i="93"/>
  <c r="BF1948" i="93" s="1"/>
  <c r="BD1950" i="93"/>
  <c r="BF1950" i="93" s="1"/>
  <c r="BD1956" i="93"/>
  <c r="BF1956" i="93" s="1"/>
  <c r="BD1957" i="93"/>
  <c r="BF1957" i="93" s="1"/>
  <c r="BD1958" i="93"/>
  <c r="BF1958" i="93" s="1"/>
  <c r="BD1962" i="93"/>
  <c r="BF1962" i="93" s="1"/>
  <c r="BD1963" i="93"/>
  <c r="BF1963" i="93" s="1"/>
  <c r="BD1964" i="93"/>
  <c r="BF1964" i="93" s="1"/>
  <c r="BD1966" i="93"/>
  <c r="BF1966" i="93" s="1"/>
  <c r="BD1967" i="93"/>
  <c r="BF1967" i="93" s="1"/>
  <c r="BD1969" i="93"/>
  <c r="BF1969" i="93" s="1"/>
  <c r="BD1972" i="93"/>
  <c r="BF1972" i="93" s="1"/>
  <c r="BD2014" i="93"/>
  <c r="BF2014" i="93" s="1"/>
  <c r="BD2020" i="93"/>
  <c r="BF2020" i="93" s="1"/>
  <c r="BD2021" i="93"/>
  <c r="BF2021" i="93" s="1"/>
  <c r="BD2022" i="93"/>
  <c r="BD2023" i="93"/>
  <c r="BD2024" i="93"/>
  <c r="BD2026" i="93"/>
  <c r="BF2026" i="93" s="1"/>
  <c r="BD2027" i="93"/>
  <c r="BF2027" i="93" s="1"/>
  <c r="BD2028" i="93"/>
  <c r="BF2028" i="93" s="1"/>
  <c r="BD2030" i="93"/>
  <c r="BF2030" i="93" s="1"/>
  <c r="BD2032" i="93"/>
  <c r="BF2032" i="93" s="1"/>
  <c r="BD2033" i="93"/>
  <c r="BF2033" i="93" s="1"/>
  <c r="BD2034" i="93"/>
  <c r="BF2034" i="93" s="1"/>
  <c r="BD2048" i="93"/>
  <c r="BF2048" i="93" s="1"/>
  <c r="BD2049" i="93"/>
  <c r="BF2049" i="93" s="1"/>
  <c r="BD2050" i="93"/>
  <c r="BF2050" i="93" s="1"/>
  <c r="BD2051" i="93"/>
  <c r="BF2051" i="93" s="1"/>
  <c r="BD2052" i="93"/>
  <c r="BF2052" i="93" s="1"/>
  <c r="BD2053" i="93"/>
  <c r="BF2053" i="93" s="1"/>
  <c r="BD2058" i="93"/>
  <c r="BF2058" i="93" s="1"/>
  <c r="BD2059" i="93"/>
  <c r="BF2059" i="93" s="1"/>
  <c r="BD2060" i="93"/>
  <c r="BF2060" i="93" s="1"/>
  <c r="BD2065" i="93"/>
  <c r="BF2065" i="93" s="1"/>
  <c r="BD2067" i="93"/>
  <c r="BF2067" i="93" s="1"/>
  <c r="BD2068" i="93"/>
  <c r="BF2068" i="93" s="1"/>
  <c r="BD2069" i="93"/>
  <c r="BF2069" i="93" s="1"/>
  <c r="BD2071" i="93"/>
  <c r="BF2071" i="93" s="1"/>
  <c r="BD2072" i="93"/>
  <c r="BF2072" i="93" s="1"/>
  <c r="BD2101" i="93"/>
  <c r="BF2101" i="93" s="1"/>
  <c r="BD2102" i="93"/>
  <c r="BF2102" i="93" s="1"/>
  <c r="BD2103" i="93"/>
  <c r="BF2103" i="93" s="1"/>
  <c r="BD2104" i="93"/>
  <c r="BF2104" i="93" s="1"/>
  <c r="BD2105" i="93"/>
  <c r="BF2105" i="93" s="1"/>
  <c r="BD2106" i="93"/>
  <c r="BF2106" i="93" s="1"/>
  <c r="BD2107" i="93"/>
  <c r="BF2107" i="93" s="1"/>
  <c r="BD2108" i="93"/>
  <c r="BF2108" i="93" s="1"/>
  <c r="BD2109" i="93"/>
  <c r="BF2109" i="93" s="1"/>
  <c r="BD2110" i="93"/>
  <c r="BF2110" i="93" s="1"/>
  <c r="BD2111" i="93"/>
  <c r="BF2111" i="93" s="1"/>
  <c r="BD2112" i="93"/>
  <c r="BF2112" i="93" s="1"/>
  <c r="BD2113" i="93"/>
  <c r="BF2113" i="93" s="1"/>
  <c r="BD2114" i="93"/>
  <c r="BF2114" i="93" s="1"/>
  <c r="BD2115" i="93"/>
  <c r="BF2115" i="93" s="1"/>
  <c r="BD2116" i="93"/>
  <c r="BF2116" i="93" s="1"/>
  <c r="BD2117" i="93"/>
  <c r="BF2117" i="93" s="1"/>
  <c r="BD2118" i="93"/>
  <c r="BF2118" i="93" s="1"/>
  <c r="BD2119" i="93"/>
  <c r="BF2119" i="93" s="1"/>
  <c r="BD2120" i="93"/>
  <c r="BF2120" i="93" s="1"/>
  <c r="BD2123" i="93"/>
  <c r="BF2123" i="93" s="1"/>
  <c r="BD2125" i="93"/>
  <c r="BF2125" i="93" s="1"/>
  <c r="BD2126" i="93"/>
  <c r="BF2126" i="93" s="1"/>
  <c r="BD2127" i="93"/>
  <c r="BF2127" i="93" s="1"/>
  <c r="BD2129" i="93"/>
  <c r="BF2129" i="93" s="1"/>
  <c r="BD2130" i="93"/>
  <c r="BF2130" i="93" s="1"/>
  <c r="BD2139" i="93"/>
  <c r="BF2139" i="93" s="1"/>
  <c r="BD2140" i="93"/>
  <c r="BF2140" i="93" s="1"/>
  <c r="BD2141" i="93"/>
  <c r="BF2141" i="93" s="1"/>
  <c r="BD2142" i="93"/>
  <c r="BF2142" i="93" s="1"/>
  <c r="BD2144" i="93"/>
  <c r="BF2144" i="93" s="1"/>
  <c r="BD2145" i="93"/>
  <c r="BF2145" i="93" s="1"/>
  <c r="BE2153" i="93"/>
  <c r="BD2161" i="93"/>
  <c r="BF2161" i="93" s="1"/>
  <c r="BD2162" i="93"/>
  <c r="BF2162" i="93" s="1"/>
  <c r="BD2165" i="93"/>
  <c r="BF2165" i="93" s="1"/>
  <c r="BD2196" i="93"/>
  <c r="BF2196" i="93" s="1"/>
  <c r="BD2275" i="93"/>
  <c r="BF2275" i="93" s="1"/>
  <c r="BD2277" i="93"/>
  <c r="BF2277" i="93" s="1"/>
  <c r="BD2278" i="93"/>
  <c r="BF2278" i="93" s="1"/>
  <c r="BD2279" i="93"/>
  <c r="BF2279" i="93" s="1"/>
  <c r="BD2280" i="93"/>
  <c r="BF2280" i="93" s="1"/>
  <c r="BD2281" i="93"/>
  <c r="BF2281" i="93" s="1"/>
  <c r="BD2282" i="93"/>
  <c r="BF2282" i="93" s="1"/>
  <c r="BD2283" i="93"/>
  <c r="BF2283" i="93" s="1"/>
  <c r="BD2284" i="93"/>
  <c r="BF2284" i="93" s="1"/>
  <c r="BD2288" i="93"/>
  <c r="BF2288" i="93" s="1"/>
  <c r="BD2290" i="93"/>
  <c r="BF2290" i="93" s="1"/>
  <c r="BD2314" i="93"/>
  <c r="BF2314" i="93" s="1"/>
  <c r="BD2315" i="93"/>
  <c r="BF2315" i="93" s="1"/>
  <c r="BD2316" i="93"/>
  <c r="BF2316" i="93" s="1"/>
  <c r="BD2318" i="93"/>
  <c r="BF2318" i="93" s="1"/>
  <c r="BD2319" i="93"/>
  <c r="BF2319" i="93" s="1"/>
  <c r="BD2320" i="93"/>
  <c r="BF2320" i="93" s="1"/>
  <c r="BD2321" i="93"/>
  <c r="BF2321" i="93" s="1"/>
  <c r="BD2322" i="93"/>
  <c r="BF2322" i="93" s="1"/>
  <c r="BD2325" i="93"/>
  <c r="BF2325" i="93" s="1"/>
  <c r="BD2326" i="93"/>
  <c r="BF2326" i="93" s="1"/>
  <c r="BD2327" i="93"/>
  <c r="BF2327" i="93" s="1"/>
  <c r="BD2328" i="93"/>
  <c r="BF2328" i="93" s="1"/>
  <c r="BD2329" i="93"/>
  <c r="BF2329" i="93" s="1"/>
  <c r="BD2330" i="93"/>
  <c r="BF2330" i="93" s="1"/>
  <c r="BD2332" i="93"/>
  <c r="BF2332" i="93" s="1"/>
  <c r="BD2334" i="93"/>
  <c r="BF2334" i="93" s="1"/>
  <c r="BE2338" i="93"/>
  <c r="BD2350" i="93"/>
  <c r="BF2350" i="93" s="1"/>
  <c r="BD2359" i="93"/>
  <c r="BF2359" i="93" s="1"/>
  <c r="BD2360" i="93"/>
  <c r="BF2360" i="93" s="1"/>
  <c r="BD2368" i="93"/>
  <c r="BF2368" i="93" s="1"/>
  <c r="BD2369" i="93"/>
  <c r="BF2369" i="93" s="1"/>
  <c r="BD2376" i="93"/>
  <c r="BF2376" i="93" s="1"/>
  <c r="BD2385" i="93"/>
  <c r="BF2385" i="93" s="1"/>
  <c r="BD2386" i="93"/>
  <c r="BF2386" i="93" s="1"/>
  <c r="BD2387" i="93"/>
  <c r="BF2387" i="93" s="1"/>
  <c r="BD2388" i="93"/>
  <c r="BF2388" i="93" s="1"/>
  <c r="BD2389" i="93"/>
  <c r="BF2389" i="93" s="1"/>
  <c r="BD2391" i="93"/>
  <c r="BF2391" i="93" s="1"/>
  <c r="BD2392" i="93"/>
  <c r="BF2392" i="93" s="1"/>
  <c r="BD2394" i="93"/>
  <c r="BF2394" i="93" s="1"/>
  <c r="BD2395" i="93"/>
  <c r="BF2395" i="93" s="1"/>
  <c r="BD2396" i="93"/>
  <c r="BF2396" i="93" s="1"/>
  <c r="BD2397" i="93"/>
  <c r="BF2397" i="93" s="1"/>
  <c r="BD2399" i="93"/>
  <c r="BF2399" i="93" s="1"/>
  <c r="BD2400" i="93"/>
  <c r="BD2401" i="93"/>
  <c r="BF2401" i="93" s="1"/>
  <c r="BD2402" i="93"/>
  <c r="BF2402" i="93" s="1"/>
  <c r="BD2403" i="93"/>
  <c r="BF2403" i="93" s="1"/>
  <c r="BD2404" i="93"/>
  <c r="BF2404" i="93" s="1"/>
  <c r="BD2405" i="93"/>
  <c r="BF2405" i="93" s="1"/>
  <c r="BD2406" i="93"/>
  <c r="BF2406" i="93" s="1"/>
  <c r="BD2407" i="93"/>
  <c r="BF2407" i="93" s="1"/>
  <c r="BD2409" i="93"/>
  <c r="BF2409" i="93" s="1"/>
  <c r="BD2410" i="93"/>
  <c r="BF2410" i="93" s="1"/>
  <c r="BD2412" i="93"/>
  <c r="BF2412" i="93" s="1"/>
  <c r="BD2413" i="93"/>
  <c r="BF2413" i="93" s="1"/>
  <c r="BD2414" i="93"/>
  <c r="BF2414" i="93" s="1"/>
  <c r="BD2416" i="93"/>
  <c r="BF2416" i="93" s="1"/>
  <c r="BD2418" i="93"/>
  <c r="BF2418" i="93" s="1"/>
  <c r="BD2420" i="93"/>
  <c r="BF2420" i="93" s="1"/>
  <c r="BD2421" i="93"/>
  <c r="BF2421" i="93" s="1"/>
  <c r="BD2422" i="93"/>
  <c r="BF2422" i="93" s="1"/>
  <c r="BD2423" i="93"/>
  <c r="BF2423" i="93" s="1"/>
  <c r="BD2424" i="93"/>
  <c r="BF2424" i="93" s="1"/>
  <c r="BD2425" i="93"/>
  <c r="BF2425" i="93" s="1"/>
  <c r="BD2427" i="93"/>
  <c r="BF2427" i="93" s="1"/>
  <c r="BD2429" i="93"/>
  <c r="BF2429" i="93" s="1"/>
  <c r="BD2430" i="93"/>
  <c r="BF2430" i="93" s="1"/>
  <c r="BD2431" i="93"/>
  <c r="BF2431" i="93" s="1"/>
  <c r="BD2435" i="93"/>
  <c r="BF2435" i="93" s="1"/>
  <c r="BD2436" i="93"/>
  <c r="BF2436" i="93" s="1"/>
  <c r="BD2439" i="93"/>
  <c r="BF2439" i="93" s="1"/>
  <c r="BD2440" i="93"/>
  <c r="BF2440" i="93" s="1"/>
  <c r="BD2454" i="93"/>
  <c r="BF2454" i="93" s="1"/>
  <c r="BD2455" i="93"/>
  <c r="BF2455" i="93" s="1"/>
  <c r="BD2457" i="93"/>
  <c r="BF2457" i="93" s="1"/>
  <c r="BD2461" i="93"/>
  <c r="BF2461" i="93" s="1"/>
  <c r="BD2465" i="93"/>
  <c r="BF2465" i="93" s="1"/>
  <c r="BD2466" i="93"/>
  <c r="BF2466" i="93" s="1"/>
  <c r="BD2471" i="93"/>
  <c r="BF2471" i="93" s="1"/>
  <c r="BD2472" i="93"/>
  <c r="BF2472" i="93" s="1"/>
  <c r="BD2612" i="93"/>
  <c r="BF2612" i="93" s="1"/>
  <c r="BD2477" i="93"/>
  <c r="BF2477" i="93" s="1"/>
  <c r="BD2488" i="93"/>
  <c r="BF2488" i="93" s="1"/>
  <c r="BD2480" i="93"/>
  <c r="BF2480" i="93" s="1"/>
  <c r="BD2486" i="93"/>
  <c r="BF2486" i="93" s="1"/>
  <c r="BD2487" i="93"/>
  <c r="BF2487" i="93" s="1"/>
  <c r="BD2489" i="93"/>
  <c r="BF2489" i="93" s="1"/>
  <c r="BD2490" i="93"/>
  <c r="BF2490" i="93" s="1"/>
  <c r="BD2491" i="93"/>
  <c r="BF2491" i="93" s="1"/>
  <c r="BD2492" i="93"/>
  <c r="BF2492" i="93" s="1"/>
  <c r="BD2493" i="93"/>
  <c r="BF2493" i="93" s="1"/>
  <c r="BD2494" i="93"/>
  <c r="BF2494" i="93" s="1"/>
  <c r="BD2496" i="93"/>
  <c r="BF2496" i="93" s="1"/>
  <c r="BD2497" i="93"/>
  <c r="BF2497" i="93" s="1"/>
  <c r="BD2498" i="93"/>
  <c r="BF2498" i="93" s="1"/>
  <c r="BD2499" i="93"/>
  <c r="BF2499" i="93" s="1"/>
  <c r="BD2501" i="93"/>
  <c r="BF2501" i="93" s="1"/>
  <c r="BD2502" i="93"/>
  <c r="BF2502" i="93" s="1"/>
  <c r="BD2503" i="93"/>
  <c r="BF2503" i="93" s="1"/>
  <c r="BD2504" i="93"/>
  <c r="BF2504" i="93" s="1"/>
  <c r="BD2505" i="93"/>
  <c r="BF2505" i="93" s="1"/>
  <c r="BD2506" i="93"/>
  <c r="BF2506" i="93" s="1"/>
  <c r="BD2507" i="93"/>
  <c r="BF2507" i="93" s="1"/>
  <c r="BD2510" i="93"/>
  <c r="BF2510" i="93" s="1"/>
  <c r="BD2511" i="93"/>
  <c r="BF2511" i="93" s="1"/>
  <c r="BD2512" i="93"/>
  <c r="BF2512" i="93" s="1"/>
  <c r="BD2513" i="93"/>
  <c r="BF2513" i="93" s="1"/>
  <c r="BD2514" i="93"/>
  <c r="BF2514" i="93" s="1"/>
  <c r="BD2520" i="93"/>
  <c r="BF2520" i="93" s="1"/>
  <c r="BD2521" i="93"/>
  <c r="BF2521" i="93" s="1"/>
  <c r="BD2522" i="93"/>
  <c r="BF2522" i="93" s="1"/>
  <c r="BD2523" i="93"/>
  <c r="BF2523" i="93" s="1"/>
  <c r="BD2524" i="93"/>
  <c r="BF2524" i="93" s="1"/>
  <c r="BD2525" i="93"/>
  <c r="BF2525" i="93" s="1"/>
  <c r="BD2526" i="93"/>
  <c r="BF2526" i="93" s="1"/>
  <c r="BD2527" i="93"/>
  <c r="BF2527" i="93" s="1"/>
  <c r="BD2530" i="93"/>
  <c r="BF2530" i="93" s="1"/>
  <c r="BD2531" i="93"/>
  <c r="BF2531" i="93" s="1"/>
  <c r="BD2532" i="93"/>
  <c r="BF2532" i="93" s="1"/>
  <c r="BD2615" i="93"/>
  <c r="BF2615" i="93" s="1"/>
  <c r="BD2623" i="93"/>
  <c r="BF2623" i="93" s="1"/>
  <c r="BD2624" i="93"/>
  <c r="BF2624" i="93" s="1"/>
  <c r="BD2625" i="93"/>
  <c r="BF2625" i="93" s="1"/>
  <c r="BD2640" i="93"/>
  <c r="BF2640" i="93" s="1"/>
  <c r="BD2641" i="93"/>
  <c r="BF2641" i="93" s="1"/>
  <c r="BD2642" i="93"/>
  <c r="BF2642" i="93" s="1"/>
  <c r="BD2643" i="93"/>
  <c r="BF2643" i="93" s="1"/>
  <c r="BD2644" i="93"/>
  <c r="BF2644" i="93" s="1"/>
  <c r="BD2645" i="93"/>
  <c r="BF2645" i="93" s="1"/>
  <c r="BD2646" i="93"/>
  <c r="BF2646" i="93" s="1"/>
  <c r="BD2647" i="93"/>
  <c r="BF2647" i="93" s="1"/>
  <c r="BD2648" i="93"/>
  <c r="BF2648" i="93" s="1"/>
  <c r="BD2649" i="93"/>
  <c r="BF2649" i="93" s="1"/>
  <c r="BD2650" i="93"/>
  <c r="BF2650" i="93" s="1"/>
  <c r="BD2651" i="93"/>
  <c r="BF2651" i="93" s="1"/>
  <c r="BD2652" i="93"/>
  <c r="BF2652" i="93" s="1"/>
  <c r="BD2653" i="93"/>
  <c r="BF2653" i="93" s="1"/>
  <c r="BD2656" i="93"/>
  <c r="BF2656" i="93" s="1"/>
  <c r="BD2657" i="93"/>
  <c r="BF2657" i="93" s="1"/>
  <c r="BD2658" i="93"/>
  <c r="BF2658" i="93" s="1"/>
  <c r="BD2663" i="93"/>
  <c r="BF2663" i="93" s="1"/>
  <c r="BD2664" i="93"/>
  <c r="BF2664" i="93" s="1"/>
  <c r="BD2665" i="93"/>
  <c r="BF2665" i="93" s="1"/>
  <c r="BD2668" i="93"/>
  <c r="BF2668" i="93" s="1"/>
  <c r="BD2669" i="93"/>
  <c r="BD2670" i="93"/>
  <c r="BF2670" i="93" s="1"/>
  <c r="BD2671" i="93"/>
  <c r="BF2671" i="93" s="1"/>
  <c r="BD2672" i="93"/>
  <c r="BF2672" i="93" s="1"/>
  <c r="BD2673" i="93"/>
  <c r="BF2673" i="93" s="1"/>
  <c r="BD2674" i="93"/>
  <c r="BF2674" i="93" s="1"/>
  <c r="BD2675" i="93"/>
  <c r="BF2675" i="93" s="1"/>
  <c r="BD2676" i="93"/>
  <c r="BF2676" i="93" s="1"/>
  <c r="BD2677" i="93"/>
  <c r="BF2677" i="93" s="1"/>
  <c r="BD2679" i="93"/>
  <c r="BF2679" i="93" s="1"/>
  <c r="BD2680" i="93"/>
  <c r="BF2680" i="93" s="1"/>
  <c r="BD2682" i="93"/>
  <c r="BF2682" i="93" s="1"/>
  <c r="BD2684" i="93"/>
  <c r="BF2684" i="93" s="1"/>
  <c r="BD2691" i="93"/>
  <c r="BF2691" i="93" s="1"/>
  <c r="BD2692" i="93"/>
  <c r="BF2692" i="93" s="1"/>
  <c r="BD2693" i="93"/>
  <c r="BF2693" i="93" s="1"/>
  <c r="BD2694" i="93"/>
  <c r="BF2694" i="93" s="1"/>
  <c r="BD2695" i="93"/>
  <c r="BF2695" i="93" s="1"/>
  <c r="BD2696" i="93"/>
  <c r="BF2696" i="93" s="1"/>
  <c r="BD2697" i="93"/>
  <c r="BF2697" i="93" s="1"/>
  <c r="BD2698" i="93"/>
  <c r="BF2698" i="93" s="1"/>
  <c r="BD2699" i="93"/>
  <c r="BF2699" i="93" s="1"/>
  <c r="BD2700" i="93"/>
  <c r="BF2700" i="93" s="1"/>
  <c r="BD2701" i="93"/>
  <c r="BF2701" i="93" s="1"/>
  <c r="BD2702" i="93"/>
  <c r="BF2702" i="93" s="1"/>
  <c r="BD2703" i="93"/>
  <c r="BF2703" i="93" s="1"/>
  <c r="BD2704" i="93"/>
  <c r="BF2704" i="93" s="1"/>
  <c r="BD2705" i="93"/>
  <c r="BF2705" i="93" s="1"/>
  <c r="BD2706" i="93"/>
  <c r="BF2706" i="93" s="1"/>
  <c r="BD2708" i="93"/>
  <c r="BF2708" i="93" s="1"/>
  <c r="BD2709" i="93"/>
  <c r="BF2709" i="93" s="1"/>
  <c r="BD2710" i="93"/>
  <c r="BF2710" i="93" s="1"/>
  <c r="BD2711" i="93"/>
  <c r="BF2711" i="93" s="1"/>
  <c r="BD2712" i="93"/>
  <c r="BF2712" i="93" s="1"/>
  <c r="BD2716" i="93"/>
  <c r="BF2716" i="93" s="1"/>
  <c r="BD2718" i="93"/>
  <c r="BF2718" i="93" s="1"/>
  <c r="BD2889" i="93"/>
  <c r="BF2889" i="93" s="1"/>
  <c r="BD2890" i="93"/>
  <c r="BF2890" i="93" s="1"/>
  <c r="BD2892" i="93"/>
  <c r="BF2892" i="93" s="1"/>
  <c r="BD2894" i="93"/>
  <c r="BF2894" i="93" s="1"/>
  <c r="BD2895" i="93"/>
  <c r="BF2895" i="93" s="1"/>
  <c r="BD2896" i="93"/>
  <c r="BF2896" i="93" s="1"/>
  <c r="BD2897" i="93"/>
  <c r="BF2897" i="93" s="1"/>
  <c r="BD2899" i="93"/>
  <c r="BF2899" i="93" s="1"/>
  <c r="BD2900" i="93"/>
  <c r="BF2900" i="93" s="1"/>
  <c r="BD2902" i="93"/>
  <c r="BF2902" i="93" s="1"/>
  <c r="BD2903" i="93"/>
  <c r="BF2903" i="93" s="1"/>
  <c r="BD2906" i="93"/>
  <c r="BF2906" i="93" s="1"/>
  <c r="BD2907" i="93"/>
  <c r="BF2907" i="93" s="1"/>
  <c r="BD2909" i="93"/>
  <c r="BF2909" i="93" s="1"/>
  <c r="BD2910" i="93"/>
  <c r="BF2910" i="93" s="1"/>
  <c r="BD2911" i="93"/>
  <c r="BF2911" i="93" s="1"/>
  <c r="BD2912" i="93"/>
  <c r="BF2912" i="93" s="1"/>
  <c r="BD2913" i="93"/>
  <c r="BF2913" i="93" s="1"/>
  <c r="BD2914" i="93"/>
  <c r="BF2914" i="93" s="1"/>
  <c r="BD2915" i="93"/>
  <c r="BF2915" i="93" s="1"/>
  <c r="BD2916" i="93"/>
  <c r="BF2916" i="93" s="1"/>
  <c r="BD2918" i="93"/>
  <c r="BF2918" i="93" s="1"/>
  <c r="BD2920" i="93"/>
  <c r="BF2920" i="93" s="1"/>
  <c r="BE2921" i="93"/>
  <c r="BD2926" i="93"/>
  <c r="BF2926" i="93" s="1"/>
  <c r="BD2927" i="93"/>
  <c r="BF2927" i="93" s="1"/>
  <c r="BD2928" i="93"/>
  <c r="BF2928" i="93" s="1"/>
  <c r="BD3008" i="93"/>
  <c r="BF3008" i="93" s="1"/>
  <c r="BD3009" i="93"/>
  <c r="BF3009" i="93" s="1"/>
  <c r="BD3010" i="93"/>
  <c r="BF3010" i="93" s="1"/>
  <c r="BD3011" i="93"/>
  <c r="BF3011" i="93" s="1"/>
  <c r="BD3014" i="93"/>
  <c r="BF3014" i="93" s="1"/>
  <c r="BD3015" i="93"/>
  <c r="BF3015" i="93" s="1"/>
  <c r="BD3017" i="93"/>
  <c r="BF3017" i="93" s="1"/>
  <c r="BD3018" i="93"/>
  <c r="BF3018" i="93" s="1"/>
  <c r="BD3019" i="93"/>
  <c r="BF3019" i="93" s="1"/>
  <c r="BD3020" i="93"/>
  <c r="BF3020" i="93" s="1"/>
  <c r="BD3021" i="93"/>
  <c r="BF3021" i="93" s="1"/>
  <c r="BD3022" i="93"/>
  <c r="BF3022" i="93" s="1"/>
  <c r="BD3023" i="93"/>
  <c r="BF3023" i="93" s="1"/>
  <c r="BD3024" i="93"/>
  <c r="BF3024" i="93" s="1"/>
  <c r="BD3025" i="93"/>
  <c r="BF3025" i="93" s="1"/>
  <c r="BD3026" i="93"/>
  <c r="BF3026" i="93" s="1"/>
  <c r="BD3027" i="93"/>
  <c r="BF3027" i="93" s="1"/>
  <c r="BD3028" i="93"/>
  <c r="BF3028" i="93" s="1"/>
  <c r="BD3029" i="93"/>
  <c r="BF3029" i="93" s="1"/>
  <c r="BD3030" i="93"/>
  <c r="BF3030" i="93" s="1"/>
  <c r="BD3031" i="93"/>
  <c r="BF3031" i="93" s="1"/>
  <c r="BD3140" i="93"/>
  <c r="BF3140" i="93" s="1"/>
  <c r="BD3143" i="93"/>
  <c r="BF3143" i="93" s="1"/>
  <c r="BD3147" i="93"/>
  <c r="BF3147" i="93" s="1"/>
  <c r="BD3148" i="93"/>
  <c r="BF3148" i="93" s="1"/>
  <c r="BD3149" i="93"/>
  <c r="BF3149" i="93" s="1"/>
  <c r="BD3152" i="93"/>
  <c r="BF3152" i="93" s="1"/>
  <c r="BD3153" i="93"/>
  <c r="BF3153" i="93" s="1"/>
  <c r="BD3154" i="93"/>
  <c r="BF3154" i="93" s="1"/>
  <c r="BD3155" i="93"/>
  <c r="BF3155" i="93" s="1"/>
  <c r="BD3156" i="93"/>
  <c r="BF3156" i="93" s="1"/>
  <c r="BD3157" i="93"/>
  <c r="BF3157" i="93" s="1"/>
  <c r="BD3176" i="93"/>
  <c r="BF3176" i="93" s="1"/>
  <c r="BD3177" i="93"/>
  <c r="BF3177" i="93" s="1"/>
  <c r="BD3179" i="93"/>
  <c r="BF3179" i="93" s="1"/>
  <c r="BD3180" i="93"/>
  <c r="BF3180" i="93" s="1"/>
  <c r="BD3181" i="93"/>
  <c r="BF3181" i="93" s="1"/>
  <c r="BD3182" i="93"/>
  <c r="BF3182" i="93" s="1"/>
  <c r="BD3183" i="93"/>
  <c r="BF3183" i="93" s="1"/>
  <c r="BD3184" i="93"/>
  <c r="BF3184" i="93" s="1"/>
  <c r="BD3187" i="93"/>
  <c r="BF3187" i="93" s="1"/>
  <c r="BD3188" i="93"/>
  <c r="BF3188" i="93" s="1"/>
  <c r="BD3189" i="93"/>
  <c r="BF3189" i="93" s="1"/>
  <c r="BD3190" i="93"/>
  <c r="BF3190" i="93" s="1"/>
  <c r="BD3191" i="93"/>
  <c r="BF3191" i="93" s="1"/>
  <c r="BD3192" i="93"/>
  <c r="BF3192" i="93" s="1"/>
  <c r="BD3193" i="93"/>
  <c r="BF3193" i="93" s="1"/>
  <c r="BD3194" i="93"/>
  <c r="BF3194" i="93" s="1"/>
  <c r="BD3195" i="93"/>
  <c r="BF3195" i="93" s="1"/>
  <c r="BD3196" i="93"/>
  <c r="BF3196" i="93" s="1"/>
  <c r="BD3197" i="93"/>
  <c r="BF3197" i="93" s="1"/>
  <c r="BD3198" i="93"/>
  <c r="BF3198" i="93" s="1"/>
  <c r="BD3199" i="93"/>
  <c r="BF3199" i="93" s="1"/>
  <c r="BD3201" i="93"/>
  <c r="BF3201" i="93" s="1"/>
  <c r="BD3202" i="93"/>
  <c r="BF3202" i="93" s="1"/>
  <c r="BD3204" i="93"/>
  <c r="BF3204" i="93" s="1"/>
  <c r="BD3206" i="93"/>
  <c r="BF3206" i="93" s="1"/>
  <c r="BD3210" i="93"/>
  <c r="BF3210" i="93" s="1"/>
  <c r="BD3215" i="93"/>
  <c r="BF3215" i="93" s="1"/>
  <c r="BD3216" i="93"/>
  <c r="BF3216" i="93" s="1"/>
  <c r="BD3217" i="93"/>
  <c r="BF3217" i="93" s="1"/>
  <c r="BD3218" i="93"/>
  <c r="BF3218" i="93" s="1"/>
  <c r="BD3219" i="93"/>
  <c r="BF3219" i="93" s="1"/>
  <c r="BD3221" i="93"/>
  <c r="BF3221" i="93" s="1"/>
  <c r="BD3246" i="93"/>
  <c r="BF3246" i="93" s="1"/>
  <c r="BD3247" i="93"/>
  <c r="BF3247" i="93" s="1"/>
  <c r="BD3248" i="93"/>
  <c r="BF3248" i="93" s="1"/>
  <c r="BD3249" i="93"/>
  <c r="BF3249" i="93" s="1"/>
  <c r="BD3250" i="93"/>
  <c r="BF3250" i="93" s="1"/>
  <c r="BD3251" i="93"/>
  <c r="BF3251" i="93" s="1"/>
  <c r="BD3252" i="93"/>
  <c r="BF3252" i="93" s="1"/>
  <c r="BD3253" i="93"/>
  <c r="BF3253" i="93" s="1"/>
  <c r="BD3254" i="93"/>
  <c r="BF3254" i="93" s="1"/>
  <c r="BD3255" i="93"/>
  <c r="BF3255" i="93" s="1"/>
  <c r="BD3256" i="93"/>
  <c r="BF3256" i="93" s="1"/>
  <c r="BD3257" i="93"/>
  <c r="BF3257" i="93" s="1"/>
  <c r="BD3258" i="93"/>
  <c r="BF3258" i="93" s="1"/>
  <c r="BD3259" i="93"/>
  <c r="BF3259" i="93" s="1"/>
  <c r="BD3260" i="93"/>
  <c r="BF3260" i="93" s="1"/>
  <c r="BD3261" i="93"/>
  <c r="BF3261" i="93" s="1"/>
  <c r="BD3262" i="93"/>
  <c r="BF3262" i="93" s="1"/>
  <c r="BD3370" i="93"/>
  <c r="BF3370" i="93" s="1"/>
  <c r="BD3371" i="93"/>
  <c r="BF3371" i="93" s="1"/>
  <c r="BD3380" i="93"/>
  <c r="BF3380" i="93" s="1"/>
  <c r="BD3263" i="93"/>
  <c r="BF3263" i="93" s="1"/>
  <c r="BD3345" i="93"/>
  <c r="BF3345" i="93" s="1"/>
  <c r="BD3269" i="93"/>
  <c r="BF3269" i="93" s="1"/>
  <c r="BD3433" i="93"/>
  <c r="BF3433" i="93" s="1"/>
  <c r="BD3434" i="93"/>
  <c r="BF3434" i="93" s="1"/>
  <c r="BD3435" i="93"/>
  <c r="BF3435" i="93" s="1"/>
  <c r="BD3436" i="93"/>
  <c r="BF3436" i="93" s="1"/>
  <c r="BD3438" i="93"/>
  <c r="BF3438" i="93" s="1"/>
  <c r="BD3439" i="93"/>
  <c r="BF3439" i="93" s="1"/>
  <c r="BD3440" i="93"/>
  <c r="BF3440" i="93" s="1"/>
  <c r="BD3441" i="93"/>
  <c r="BF3441" i="93" s="1"/>
  <c r="BD3442" i="93"/>
  <c r="BF3442" i="93" s="1"/>
  <c r="BD3443" i="93"/>
  <c r="BF3443" i="93" s="1"/>
  <c r="BD3445" i="93"/>
  <c r="BF3445" i="93" s="1"/>
  <c r="BD3449" i="93"/>
  <c r="BF3449" i="93" s="1"/>
  <c r="BD3450" i="93"/>
  <c r="BF3450" i="93" s="1"/>
  <c r="BD3451" i="93"/>
  <c r="BF3451" i="93" s="1"/>
  <c r="BD3452" i="93"/>
  <c r="BF3452" i="93" s="1"/>
  <c r="BD3453" i="93"/>
  <c r="BF3453" i="93" s="1"/>
  <c r="BD3455" i="93"/>
  <c r="BF3455" i="93" s="1"/>
  <c r="BD3456" i="93"/>
  <c r="BF3456" i="93" s="1"/>
  <c r="BD3457" i="93"/>
  <c r="BF3457" i="93" s="1"/>
  <c r="BD3458" i="93"/>
  <c r="BF3458" i="93" s="1"/>
  <c r="BD3460" i="93"/>
  <c r="BF3460" i="93" s="1"/>
  <c r="BD3461" i="93"/>
  <c r="BF3461" i="93" s="1"/>
  <c r="BD3462" i="93"/>
  <c r="BF3462" i="93" s="1"/>
  <c r="BD3464" i="93"/>
  <c r="BF3464" i="93" s="1"/>
  <c r="BD3465" i="93"/>
  <c r="BF3465" i="93" s="1"/>
  <c r="BD3466" i="93"/>
  <c r="BF3466" i="93" s="1"/>
  <c r="BD3468" i="93"/>
  <c r="BF3468" i="93" s="1"/>
  <c r="BD3469" i="93"/>
  <c r="BF3469" i="93" s="1"/>
  <c r="BD3470" i="93"/>
  <c r="BF3470" i="93" s="1"/>
  <c r="BD3471" i="93"/>
  <c r="BF3471" i="93" s="1"/>
  <c r="BD3472" i="93"/>
  <c r="BF3472" i="93" s="1"/>
  <c r="BD3473" i="93"/>
  <c r="BF3473" i="93" s="1"/>
  <c r="BD3474" i="93"/>
  <c r="BF3474" i="93" s="1"/>
  <c r="BD3475" i="93"/>
  <c r="BF3475" i="93" s="1"/>
  <c r="BD3476" i="93"/>
  <c r="BF3476" i="93" s="1"/>
  <c r="BD3478" i="93"/>
  <c r="BF3478" i="93" s="1"/>
  <c r="BD3479" i="93"/>
  <c r="BF3479" i="93" s="1"/>
  <c r="BD3480" i="93"/>
  <c r="BF3480" i="93" s="1"/>
  <c r="BD3481" i="93"/>
  <c r="BF3481" i="93" s="1"/>
  <c r="BD3482" i="93"/>
  <c r="BF3482" i="93" s="1"/>
  <c r="BD3483" i="93"/>
  <c r="BF3483" i="93" s="1"/>
  <c r="BD3484" i="93"/>
  <c r="BF3484" i="93" s="1"/>
  <c r="BD3485" i="93"/>
  <c r="BF3485" i="93" s="1"/>
  <c r="BD3486" i="93"/>
  <c r="BF3486" i="93" s="1"/>
  <c r="BD3553" i="93"/>
  <c r="BF3553" i="93" s="1"/>
  <c r="BD3556" i="93"/>
  <c r="BF3556" i="93" s="1"/>
  <c r="BD3557" i="93"/>
  <c r="BF3557" i="93" s="1"/>
  <c r="BD3558" i="93"/>
  <c r="BF3558" i="93" s="1"/>
  <c r="BD3559" i="93"/>
  <c r="BF3559" i="93" s="1"/>
  <c r="BD3560" i="93"/>
  <c r="BF3560" i="93" s="1"/>
  <c r="BD3561" i="93"/>
  <c r="BF3561" i="93" s="1"/>
  <c r="BD3562" i="93"/>
  <c r="BF3562" i="93" s="1"/>
  <c r="BD3563" i="93"/>
  <c r="BF3563" i="93" s="1"/>
  <c r="BD3564" i="93"/>
  <c r="BF3564" i="93" s="1"/>
  <c r="BD3565" i="93"/>
  <c r="BF3565" i="93" s="1"/>
  <c r="BD3566" i="93"/>
  <c r="BF3566" i="93" s="1"/>
  <c r="BD3567" i="93"/>
  <c r="BF3567" i="93" s="1"/>
  <c r="BD3572" i="93"/>
  <c r="BF3572" i="93" s="1"/>
  <c r="BD3604" i="93"/>
  <c r="BF3604" i="93" s="1"/>
  <c r="BD3605" i="93"/>
  <c r="BF3605" i="93" s="1"/>
  <c r="BD3607" i="93"/>
  <c r="BF3607" i="93" s="1"/>
  <c r="BD3608" i="93"/>
  <c r="BF3608" i="93" s="1"/>
  <c r="BD3609" i="93"/>
  <c r="BF3609" i="93" s="1"/>
  <c r="BD3611" i="93"/>
  <c r="BF3611" i="93" s="1"/>
  <c r="BD3612" i="93"/>
  <c r="BF3612" i="93" s="1"/>
  <c r="BD3613" i="93"/>
  <c r="BF3613" i="93" s="1"/>
  <c r="BD3614" i="93"/>
  <c r="BF3614" i="93" s="1"/>
  <c r="BD3616" i="93"/>
  <c r="BF3616" i="93" s="1"/>
  <c r="BD3617" i="93"/>
  <c r="BF3617" i="93" s="1"/>
  <c r="BD3618" i="93"/>
  <c r="BF3618" i="93" s="1"/>
  <c r="BD3620" i="93"/>
  <c r="BF3620" i="93" s="1"/>
  <c r="BD3625" i="93"/>
  <c r="BF3625" i="93" s="1"/>
  <c r="BD3626" i="93"/>
  <c r="BF3626" i="93" s="1"/>
  <c r="BD3627" i="93"/>
  <c r="BF3627" i="93" s="1"/>
  <c r="BD3628" i="93"/>
  <c r="BF3628" i="93" s="1"/>
  <c r="BD3630" i="93"/>
  <c r="BF3630" i="93" s="1"/>
  <c r="BD3631" i="93"/>
  <c r="BF3631" i="93" s="1"/>
  <c r="BD3634" i="93"/>
  <c r="BF3634" i="93" s="1"/>
  <c r="BD3635" i="93"/>
  <c r="BF3635" i="93" s="1"/>
  <c r="BD3636" i="93"/>
  <c r="BF3636" i="93" s="1"/>
  <c r="BD3637" i="93"/>
  <c r="BF3637" i="93" s="1"/>
  <c r="BD3644" i="93"/>
  <c r="BF3644" i="93" s="1"/>
  <c r="BD3646" i="93"/>
  <c r="BF3646" i="93" s="1"/>
  <c r="BD3647" i="93"/>
  <c r="BF3647" i="93" s="1"/>
  <c r="BD3648" i="93"/>
  <c r="BF3648" i="93" s="1"/>
  <c r="BD3650" i="93"/>
  <c r="BF3650" i="93" s="1"/>
  <c r="BD3712" i="93"/>
  <c r="BF3712" i="93" s="1"/>
  <c r="BD3713" i="93"/>
  <c r="BF3713" i="93" s="1"/>
  <c r="BD3714" i="93"/>
  <c r="BF3714" i="93" s="1"/>
  <c r="BD3716" i="93"/>
  <c r="BF3716" i="93" s="1"/>
  <c r="BD3717" i="93"/>
  <c r="BF3717" i="93" s="1"/>
  <c r="BD3718" i="93"/>
  <c r="BF3718" i="93" s="1"/>
  <c r="BD3719" i="93"/>
  <c r="BF3719" i="93" s="1"/>
  <c r="BD3721" i="93"/>
  <c r="BF3721" i="93" s="1"/>
  <c r="BD3722" i="93"/>
  <c r="BF3722" i="93" s="1"/>
  <c r="BD3723" i="93"/>
  <c r="BF3723" i="93" s="1"/>
  <c r="BD3725" i="93"/>
  <c r="BF3725" i="93" s="1"/>
  <c r="BD3726" i="93"/>
  <c r="BF3726" i="93" s="1"/>
  <c r="BD3728" i="93"/>
  <c r="BF3728" i="93" s="1"/>
  <c r="BD3730" i="93"/>
  <c r="BF3730" i="93" s="1"/>
  <c r="BD3731" i="93"/>
  <c r="BF3731" i="93" s="1"/>
  <c r="BD3732" i="93"/>
  <c r="BF3732" i="93" s="1"/>
  <c r="BD3733" i="93"/>
  <c r="BF3733" i="93" s="1"/>
  <c r="BD3735" i="93"/>
  <c r="BF3735" i="93" s="1"/>
  <c r="BD3737" i="93"/>
  <c r="BF3737" i="93" s="1"/>
  <c r="BD3738" i="93"/>
  <c r="BF3738" i="93" s="1"/>
  <c r="BD3739" i="93"/>
  <c r="BF3739" i="93" s="1"/>
  <c r="BD3740" i="93"/>
  <c r="BF3740" i="93" s="1"/>
  <c r="BD3741" i="93"/>
  <c r="BF3741" i="93" s="1"/>
  <c r="BD3743" i="93"/>
  <c r="BF3743" i="93" s="1"/>
  <c r="BD3744" i="93"/>
  <c r="BF3744" i="93" s="1"/>
  <c r="BD3747" i="93"/>
  <c r="BF3747" i="93" s="1"/>
  <c r="BD3748" i="93"/>
  <c r="BF3748" i="93" s="1"/>
  <c r="BD3752" i="93"/>
  <c r="BF3752" i="93" s="1"/>
  <c r="BD3753" i="93"/>
  <c r="BF3753" i="93" s="1"/>
  <c r="BD3755" i="93"/>
  <c r="BF3755" i="93" s="1"/>
  <c r="BD3760" i="93"/>
  <c r="BD3772" i="93"/>
  <c r="BF3772" i="93" s="1"/>
  <c r="BD3781" i="93"/>
  <c r="BF3781" i="93" s="1"/>
  <c r="BD3782" i="93"/>
  <c r="BF3782" i="93" s="1"/>
  <c r="BD3783" i="93"/>
  <c r="BF3783" i="93" s="1"/>
  <c r="BD3784" i="93"/>
  <c r="BF3784" i="93" s="1"/>
  <c r="BD3788" i="93"/>
  <c r="BF3788" i="93" s="1"/>
  <c r="BD3822" i="93"/>
  <c r="BF3822" i="93" s="1"/>
  <c r="BD3823" i="93"/>
  <c r="BF3823" i="93" s="1"/>
  <c r="BD3789" i="93"/>
  <c r="BF3789" i="93" s="1"/>
  <c r="BD3813" i="93"/>
  <c r="BF3813" i="93" s="1"/>
  <c r="BD3806" i="93"/>
  <c r="BF3806" i="93" s="1"/>
  <c r="BD3807" i="93"/>
  <c r="BF3807" i="93" s="1"/>
  <c r="BD3826" i="93"/>
  <c r="BF3826" i="93" s="1"/>
  <c r="BD3830" i="93"/>
  <c r="BF3830" i="93" s="1"/>
  <c r="BD3831" i="93"/>
  <c r="BF3831" i="93" s="1"/>
  <c r="BD3832" i="93"/>
  <c r="BF3832" i="93" s="1"/>
  <c r="BD3860" i="93"/>
  <c r="BF3860" i="93" s="1"/>
  <c r="BD3862" i="93"/>
  <c r="BF3862" i="93" s="1"/>
  <c r="BD3863" i="93"/>
  <c r="BF3863" i="93" s="1"/>
  <c r="BD3864" i="93"/>
  <c r="BF3864" i="93" s="1"/>
  <c r="BD3865" i="93"/>
  <c r="BF3865" i="93" s="1"/>
  <c r="BD3866" i="93"/>
  <c r="BF3866" i="93" s="1"/>
  <c r="BD3867" i="93"/>
  <c r="BF3867" i="93" s="1"/>
  <c r="BE3904" i="93"/>
  <c r="BD3907" i="93"/>
  <c r="BF3907" i="93" s="1"/>
  <c r="BE3914" i="93"/>
  <c r="BD3916" i="93"/>
  <c r="BF3916" i="93" s="1"/>
  <c r="BD3945" i="93"/>
  <c r="BF3945" i="93" s="1"/>
  <c r="BD3946" i="93"/>
  <c r="BF3946" i="93" s="1"/>
  <c r="BD3949" i="93"/>
  <c r="BF3949" i="93" s="1"/>
  <c r="BD3950" i="93"/>
  <c r="BF3950" i="93" s="1"/>
  <c r="BD3971" i="93"/>
  <c r="BF3971" i="93" s="1"/>
  <c r="BD3974" i="93"/>
  <c r="BF3974" i="93" s="1"/>
  <c r="BD3975" i="93"/>
  <c r="BF3975" i="93" s="1"/>
  <c r="BD3976" i="93"/>
  <c r="BF3976" i="93" s="1"/>
  <c r="BD3977" i="93"/>
  <c r="BF3977" i="93" s="1"/>
  <c r="BD3978" i="93"/>
  <c r="BF3978" i="93" s="1"/>
  <c r="BD3979" i="93"/>
  <c r="BF3979" i="93" s="1"/>
  <c r="BD3980" i="93"/>
  <c r="BF3980" i="93" s="1"/>
  <c r="BD3981" i="93"/>
  <c r="BF3981" i="93" s="1"/>
  <c r="BD3982" i="93"/>
  <c r="BF3982" i="93" s="1"/>
  <c r="BD3983" i="93"/>
  <c r="BF3983" i="93" s="1"/>
  <c r="BD3986" i="93"/>
  <c r="BF3986" i="93" s="1"/>
  <c r="BE3987" i="93"/>
  <c r="BD3988" i="93"/>
  <c r="BF3988" i="93" s="1"/>
  <c r="BD3989" i="93"/>
  <c r="BF3989" i="93" s="1"/>
  <c r="BD3990" i="93"/>
  <c r="BF3990" i="93" s="1"/>
  <c r="BD3992" i="93"/>
  <c r="BF3992" i="93" s="1"/>
  <c r="BD3993" i="93"/>
  <c r="BF3993" i="93" s="1"/>
  <c r="BD3994" i="93"/>
  <c r="BF3994" i="93" s="1"/>
  <c r="BD3995" i="93"/>
  <c r="BF3995" i="93" s="1"/>
  <c r="BD3991" i="93"/>
  <c r="BF3991" i="93" s="1"/>
  <c r="BD3996" i="93"/>
  <c r="BF3996" i="93" s="1"/>
  <c r="BD3997" i="93"/>
  <c r="BF3997" i="93" s="1"/>
  <c r="BD3998" i="93"/>
  <c r="BF3998" i="93" s="1"/>
  <c r="BD3999" i="93"/>
  <c r="BF3999" i="93" s="1"/>
  <c r="BD4119" i="93"/>
  <c r="BF4119" i="93" s="1"/>
  <c r="BD4168" i="93"/>
  <c r="BF4168" i="93" s="1"/>
  <c r="BD4169" i="93"/>
  <c r="BF4169" i="93" s="1"/>
  <c r="BD4171" i="93"/>
  <c r="BF4171" i="93" s="1"/>
  <c r="BD4172" i="93"/>
  <c r="BF4172" i="93" s="1"/>
  <c r="BD4183" i="93"/>
  <c r="BF4183" i="93" s="1"/>
  <c r="BD4173" i="93"/>
  <c r="BF4173" i="93" s="1"/>
  <c r="BD4193" i="93"/>
  <c r="BF4193" i="93" s="1"/>
  <c r="BD4223" i="93"/>
  <c r="BF4223" i="93" s="1"/>
  <c r="BD4224" i="93"/>
  <c r="BF4224" i="93" s="1"/>
  <c r="BD4253" i="93"/>
  <c r="BF4253" i="93" s="1"/>
  <c r="BD4263" i="93"/>
  <c r="BF4263" i="93" s="1"/>
  <c r="BD4264" i="93"/>
  <c r="BF4264" i="93" s="1"/>
  <c r="BD4265" i="93"/>
  <c r="BF4265" i="93" s="1"/>
  <c r="BD4267" i="93"/>
  <c r="BF4267" i="93" s="1"/>
  <c r="BD4269" i="93"/>
  <c r="BF4269" i="93" s="1"/>
  <c r="BE4270" i="93"/>
  <c r="AB4270" i="93"/>
  <c r="BD4270" i="93" s="1"/>
  <c r="BD4271" i="93"/>
  <c r="BF4271" i="93" s="1"/>
  <c r="BE4272" i="93"/>
  <c r="BD4273" i="93"/>
  <c r="BF4273" i="93" s="1"/>
  <c r="BD4274" i="93"/>
  <c r="BF4274" i="93" s="1"/>
  <c r="BD4275" i="93"/>
  <c r="BF4275" i="93" s="1"/>
  <c r="BD4276" i="93"/>
  <c r="BF4276" i="93" s="1"/>
  <c r="BD4279" i="93"/>
  <c r="BF4279" i="93" s="1"/>
  <c r="BD4281" i="93"/>
  <c r="BF4281" i="93" s="1"/>
  <c r="BD4282" i="93"/>
  <c r="BF4282" i="93" s="1"/>
  <c r="BD4283" i="93"/>
  <c r="BF4283" i="93" s="1"/>
  <c r="BD4284" i="93"/>
  <c r="BF4284" i="93" s="1"/>
  <c r="BD4287" i="93"/>
  <c r="BF4287" i="93" s="1"/>
  <c r="BE4288" i="93"/>
  <c r="BD4289" i="93"/>
  <c r="BF4289" i="93" s="1"/>
  <c r="BD4290" i="93"/>
  <c r="BF4290" i="93" s="1"/>
  <c r="BD4291" i="93"/>
  <c r="BF4291" i="93" s="1"/>
  <c r="BD4293" i="93"/>
  <c r="BF4293" i="93" s="1"/>
  <c r="BD4298" i="93"/>
  <c r="BF4298" i="93" s="1"/>
  <c r="BD4294" i="93"/>
  <c r="BF4294" i="93" s="1"/>
  <c r="BD4295" i="93"/>
  <c r="BF4295" i="93" s="1"/>
  <c r="BD4297" i="93"/>
  <c r="BF4297" i="93" s="1"/>
  <c r="BD4299" i="93"/>
  <c r="BF4299" i="93" s="1"/>
  <c r="BD4300" i="93"/>
  <c r="BF4300" i="93" s="1"/>
  <c r="BD4301" i="93"/>
  <c r="BF4301" i="93" s="1"/>
  <c r="BD4302" i="93"/>
  <c r="BF4302" i="93" s="1"/>
  <c r="BE4303" i="93"/>
  <c r="BD4306" i="93"/>
  <c r="BF4306" i="93" s="1"/>
  <c r="BD4307" i="93"/>
  <c r="BF4307" i="93" s="1"/>
  <c r="BD4308" i="93"/>
  <c r="BF4308" i="93" s="1"/>
  <c r="BD4309" i="93"/>
  <c r="BF4309" i="93" s="1"/>
  <c r="BD4310" i="93"/>
  <c r="BF4310" i="93" s="1"/>
  <c r="BD4337" i="93"/>
  <c r="BF4337" i="93" s="1"/>
  <c r="BD4338" i="93"/>
  <c r="BF4338" i="93" s="1"/>
  <c r="BD4339" i="93"/>
  <c r="BF4339" i="93" s="1"/>
  <c r="BD4340" i="93"/>
  <c r="BF4340" i="93" s="1"/>
  <c r="BD4341" i="93"/>
  <c r="BF4341" i="93" s="1"/>
  <c r="BD4343" i="93"/>
  <c r="BF4343" i="93" s="1"/>
  <c r="BD4344" i="93"/>
  <c r="BF4344" i="93" s="1"/>
  <c r="BD4345" i="93"/>
  <c r="BF4345" i="93" s="1"/>
  <c r="BD4346" i="93"/>
  <c r="BF4346" i="93" s="1"/>
  <c r="BD4347" i="93"/>
  <c r="BF4347" i="93" s="1"/>
  <c r="BE4348" i="93"/>
  <c r="BD4349" i="93"/>
  <c r="BF4349" i="93" s="1"/>
  <c r="BD4350" i="93"/>
  <c r="BF4350" i="93" s="1"/>
  <c r="BD4351" i="93"/>
  <c r="BF4351" i="93" s="1"/>
  <c r="BE4352" i="93"/>
  <c r="AB4352" i="93"/>
  <c r="BD4352" i="93" s="1"/>
  <c r="BD4353" i="93"/>
  <c r="BF4353" i="93" s="1"/>
  <c r="BE4354" i="93"/>
  <c r="AB4354" i="93"/>
  <c r="BD4354" i="93" s="1"/>
  <c r="BD4355" i="93"/>
  <c r="BF4355" i="93" s="1"/>
  <c r="AB80" i="93"/>
  <c r="BD80" i="93" s="1"/>
  <c r="BD81" i="93"/>
  <c r="BF81" i="93" s="1"/>
  <c r="AB253" i="93"/>
  <c r="BD253" i="93" s="1"/>
  <c r="BD254" i="93"/>
  <c r="BF254" i="93" s="1"/>
  <c r="AB255" i="93"/>
  <c r="BD255" i="93" s="1"/>
  <c r="BD256" i="93"/>
  <c r="BF256" i="93" s="1"/>
  <c r="AB1088" i="93"/>
  <c r="BD1088" i="93" s="1"/>
  <c r="BD1089" i="93"/>
  <c r="BF1089" i="93" s="1"/>
  <c r="BD3079" i="93"/>
  <c r="BF3079" i="93" s="1"/>
  <c r="BD3081" i="93"/>
  <c r="BF3081" i="93" s="1"/>
  <c r="BD3083" i="93"/>
  <c r="BF3083" i="93" s="1"/>
  <c r="BD3085" i="93"/>
  <c r="BF3085" i="93" s="1"/>
  <c r="BD3086" i="93"/>
  <c r="BF3086" i="93" s="1"/>
  <c r="BD3087" i="93"/>
  <c r="BF3087" i="93" s="1"/>
  <c r="BD3088" i="93"/>
  <c r="BF3088" i="93" s="1"/>
  <c r="BD3089" i="93"/>
  <c r="BF3089" i="93" s="1"/>
  <c r="BD3090" i="93"/>
  <c r="BF3090" i="93" s="1"/>
  <c r="BD3091" i="93"/>
  <c r="BF3091" i="93" s="1"/>
  <c r="BD3092" i="93"/>
  <c r="BF3092" i="93" s="1"/>
  <c r="BD3094" i="93"/>
  <c r="BF3094" i="93" s="1"/>
  <c r="BD3095" i="93"/>
  <c r="BF3095" i="93" s="1"/>
  <c r="BD3096" i="93"/>
  <c r="BF3096" i="93" s="1"/>
  <c r="BD3097" i="93"/>
  <c r="BF3097" i="93" s="1"/>
  <c r="BD3098" i="93"/>
  <c r="BF3098" i="93" s="1"/>
  <c r="BD3099" i="93"/>
  <c r="BF3099" i="93" s="1"/>
  <c r="BD3101" i="93"/>
  <c r="BF3101" i="93" s="1"/>
  <c r="BD3103" i="93"/>
  <c r="BF3103" i="93" s="1"/>
  <c r="BD3104" i="93"/>
  <c r="BF3104" i="93" s="1"/>
  <c r="BD3105" i="93"/>
  <c r="BF3105" i="93" s="1"/>
  <c r="BD3106" i="93"/>
  <c r="BF3106" i="93" s="1"/>
  <c r="BD3107" i="93"/>
  <c r="BF3107" i="93" s="1"/>
  <c r="BD3394" i="93"/>
  <c r="BF3394" i="93" s="1"/>
  <c r="BD3395" i="93"/>
  <c r="BF3395" i="93" s="1"/>
  <c r="BD3396" i="93"/>
  <c r="BF3396" i="93" s="1"/>
  <c r="BD3397" i="93"/>
  <c r="BF3397" i="93" s="1"/>
  <c r="BD3398" i="93"/>
  <c r="BF3398" i="93" s="1"/>
  <c r="BD3399" i="93"/>
  <c r="BF3399" i="93" s="1"/>
  <c r="BD3400" i="93"/>
  <c r="BF3400" i="93" s="1"/>
  <c r="BD3401" i="93"/>
  <c r="BF3401" i="93" s="1"/>
  <c r="BD3403" i="93"/>
  <c r="BF3403" i="93" s="1"/>
  <c r="AB4123" i="93"/>
  <c r="BD4123" i="93" s="1"/>
  <c r="BD4124" i="93"/>
  <c r="BF4124" i="93" s="1"/>
  <c r="BD4235" i="93"/>
  <c r="BF4235" i="93" s="1"/>
  <c r="BD4236" i="93"/>
  <c r="BF4236" i="93" s="1"/>
  <c r="BD4240" i="93"/>
  <c r="BF4240" i="93" s="1"/>
  <c r="BD4238" i="93"/>
  <c r="BF4238" i="93" s="1"/>
  <c r="BD4239" i="93"/>
  <c r="BF4239" i="93" s="1"/>
  <c r="BD4243" i="93"/>
  <c r="BF4243" i="93" s="1"/>
  <c r="Z4358" i="93"/>
  <c r="AJ3917" i="93"/>
  <c r="AB4132" i="93"/>
  <c r="AB52" i="93"/>
  <c r="L3917" i="93"/>
  <c r="AK3574" i="93"/>
  <c r="AK4357" i="93" s="1"/>
  <c r="D92" i="98" s="1"/>
  <c r="D93" i="98" s="1"/>
  <c r="AZ4358" i="93"/>
  <c r="AB4348" i="93"/>
  <c r="D3917" i="93"/>
  <c r="T3917" i="93"/>
  <c r="N3574" i="93"/>
  <c r="N4357" i="93" s="1"/>
  <c r="R3574" i="93"/>
  <c r="R4357" i="93" s="1"/>
  <c r="V3574" i="93"/>
  <c r="V4357" i="93" s="1"/>
  <c r="AE3574" i="93"/>
  <c r="AE4357" i="93" s="1"/>
  <c r="AG3574" i="93"/>
  <c r="AG4357" i="93" s="1"/>
  <c r="AI3574" i="93"/>
  <c r="AI4357" i="93" s="1"/>
  <c r="AM3574" i="93"/>
  <c r="AM4357" i="93" s="1"/>
  <c r="D132" i="100" s="1"/>
  <c r="AO3574" i="93"/>
  <c r="AO4357" i="93" s="1"/>
  <c r="D103" i="102" s="1"/>
  <c r="AQ3574" i="93"/>
  <c r="AQ4357" i="93" s="1"/>
  <c r="AS3574" i="93"/>
  <c r="AS4357" i="93" s="1"/>
  <c r="D102" i="106" s="1"/>
  <c r="D103" i="106" s="1"/>
  <c r="AU3574" i="93"/>
  <c r="AU4357" i="93" s="1"/>
  <c r="AW3574" i="93"/>
  <c r="AW4357" i="93" s="1"/>
  <c r="BA3574" i="93"/>
  <c r="H3917" i="93"/>
  <c r="P3917" i="93"/>
  <c r="X3917" i="93"/>
  <c r="AT3917" i="93"/>
  <c r="AB4024" i="93"/>
  <c r="BB4125" i="93"/>
  <c r="AB4125" i="93"/>
  <c r="AM1005" i="93"/>
  <c r="AM4356" i="93" s="1"/>
  <c r="AB3391" i="93"/>
  <c r="Q3574" i="93"/>
  <c r="Q4357" i="93" s="1"/>
  <c r="J1005" i="93"/>
  <c r="J4356" i="93" s="1"/>
  <c r="AB2921" i="93"/>
  <c r="AB3109" i="93"/>
  <c r="AC4358" i="93"/>
  <c r="AB4066" i="93"/>
  <c r="AB4095" i="93"/>
  <c r="AB4098" i="93"/>
  <c r="AB4250" i="93"/>
  <c r="BB4348" i="93"/>
  <c r="BD4367" i="93"/>
  <c r="BF4367" i="93" s="1"/>
  <c r="BD4369" i="93"/>
  <c r="BF4369" i="93" s="1"/>
  <c r="BD4371" i="93"/>
  <c r="BF4371" i="93" s="1"/>
  <c r="BD4373" i="93"/>
  <c r="BF4373" i="93" s="1"/>
  <c r="AB2627" i="93"/>
  <c r="AB3987" i="93"/>
  <c r="AB4004" i="93"/>
  <c r="AB4044" i="93"/>
  <c r="AB2293" i="93"/>
  <c r="AB2779" i="93"/>
  <c r="BB4272" i="93"/>
  <c r="BB4024" i="93"/>
  <c r="BB3615" i="93"/>
  <c r="BB4004" i="93"/>
  <c r="AD1005" i="93"/>
  <c r="AD4356" i="93" s="1"/>
  <c r="AF1005" i="93"/>
  <c r="AF4356" i="93" s="1"/>
  <c r="AH1005" i="93"/>
  <c r="AJ1005" i="93"/>
  <c r="AJ4356" i="93" s="1"/>
  <c r="AL1005" i="93"/>
  <c r="AN1005" i="93"/>
  <c r="AN4356" i="93" s="1"/>
  <c r="AP1005" i="93"/>
  <c r="AR1005" i="93"/>
  <c r="AR4356" i="93" s="1"/>
  <c r="AT1005" i="93"/>
  <c r="AV1005" i="93"/>
  <c r="AV4356" i="93" s="1"/>
  <c r="AX1005" i="93"/>
  <c r="AX4356" i="93" s="1"/>
  <c r="V1005" i="93"/>
  <c r="V4356" i="93" s="1"/>
  <c r="AU1005" i="93"/>
  <c r="AU4356" i="93" s="1"/>
  <c r="AU4376" i="93" s="1"/>
  <c r="BB3761" i="93"/>
  <c r="BB3872" i="93"/>
  <c r="BB52" i="93"/>
  <c r="BB3827" i="93"/>
  <c r="F3917" i="93"/>
  <c r="J3917" i="93"/>
  <c r="N3917" i="93"/>
  <c r="R3917" i="93"/>
  <c r="V3917" i="93"/>
  <c r="BB4159" i="93"/>
  <c r="AB4220" i="93"/>
  <c r="BB4303" i="93"/>
  <c r="AB55" i="93"/>
  <c r="AB198" i="93"/>
  <c r="AB1620" i="93"/>
  <c r="F3574" i="93"/>
  <c r="F4357" i="93" s="1"/>
  <c r="J3574" i="93"/>
  <c r="J4357" i="93" s="1"/>
  <c r="AA3574" i="93"/>
  <c r="M3574" i="93"/>
  <c r="M4357" i="93" s="1"/>
  <c r="C132" i="100" s="1"/>
  <c r="U3574" i="93"/>
  <c r="U4357" i="93" s="1"/>
  <c r="O3574" i="93"/>
  <c r="O4357" i="93" s="1"/>
  <c r="C103" i="102" s="1"/>
  <c r="S3574" i="93"/>
  <c r="S4357" i="93" s="1"/>
  <c r="C102" i="106" s="1"/>
  <c r="C103" i="106" s="1"/>
  <c r="W3574" i="93"/>
  <c r="F1005" i="93"/>
  <c r="F4356" i="93" s="1"/>
  <c r="R1005" i="93"/>
  <c r="R4356" i="93" s="1"/>
  <c r="AP3917" i="93"/>
  <c r="AX3917" i="93"/>
  <c r="AN4358" i="93"/>
  <c r="AP4358" i="93"/>
  <c r="D37" i="105" s="1"/>
  <c r="D38" i="105" s="1"/>
  <c r="AR4358" i="93"/>
  <c r="AT4358" i="93"/>
  <c r="AV4358" i="93"/>
  <c r="BB3987" i="93"/>
  <c r="AE4358" i="93"/>
  <c r="AG4358" i="93"/>
  <c r="AI4358" i="93"/>
  <c r="AK4358" i="93"/>
  <c r="AF3917" i="93"/>
  <c r="AN3917" i="93"/>
  <c r="AR3917" i="93"/>
  <c r="AV3917" i="93"/>
  <c r="AH3917" i="93"/>
  <c r="AM3917" i="93"/>
  <c r="AO3917" i="93"/>
  <c r="AQ3917" i="93"/>
  <c r="AS3917" i="93"/>
  <c r="AU3917" i="93"/>
  <c r="AW3917" i="93"/>
  <c r="BA3917" i="93"/>
  <c r="AX4358" i="93"/>
  <c r="AY4358" i="93"/>
  <c r="D1005" i="93"/>
  <c r="H1005" i="93"/>
  <c r="N1005" i="93"/>
  <c r="N4356" i="93" s="1"/>
  <c r="T1005" i="93"/>
  <c r="AI1005" i="93"/>
  <c r="AI4356" i="93" s="1"/>
  <c r="AQ1005" i="93"/>
  <c r="AQ4356" i="93" s="1"/>
  <c r="AQ4376" i="93" s="1"/>
  <c r="BB55" i="93"/>
  <c r="BC3917" i="93"/>
  <c r="BC4358" i="93"/>
  <c r="BC1005" i="93"/>
  <c r="BC4356" i="93" s="1"/>
  <c r="BC4376" i="93" s="1"/>
  <c r="AL2153" i="93"/>
  <c r="BB2313" i="93"/>
  <c r="BD2313" i="93" s="1"/>
  <c r="BF2313" i="93" s="1"/>
  <c r="AT2293" i="93"/>
  <c r="BB2384" i="93"/>
  <c r="BB2381" i="93" s="1"/>
  <c r="BA2381" i="93"/>
  <c r="AB146" i="93"/>
  <c r="X82" i="93"/>
  <c r="AB147" i="93"/>
  <c r="BD147" i="93" s="1"/>
  <c r="BF147" i="93" s="1"/>
  <c r="AB149" i="93"/>
  <c r="BD149" i="93" s="1"/>
  <c r="BF149" i="93" s="1"/>
  <c r="X257" i="93"/>
  <c r="BB288" i="93"/>
  <c r="BD288" i="93" s="1"/>
  <c r="BF288" i="93" s="1"/>
  <c r="AB846" i="93"/>
  <c r="AB855" i="93"/>
  <c r="AL855" i="93"/>
  <c r="BB1068" i="93"/>
  <c r="BB1081" i="93"/>
  <c r="AB1081" i="93"/>
  <c r="BB1083" i="93"/>
  <c r="AB1083" i="93"/>
  <c r="W4357" i="93"/>
  <c r="AD1409" i="93"/>
  <c r="AH1409" i="93"/>
  <c r="AT1409" i="93"/>
  <c r="BB1472" i="93"/>
  <c r="BD1472" i="93" s="1"/>
  <c r="BF1472" i="93" s="1"/>
  <c r="BB1473" i="93"/>
  <c r="BD1473" i="93" s="1"/>
  <c r="BF1473" i="93" s="1"/>
  <c r="BB1483" i="93"/>
  <c r="BD1483" i="93" s="1"/>
  <c r="BF1483" i="93" s="1"/>
  <c r="BB1484" i="93"/>
  <c r="BD1484" i="93" s="1"/>
  <c r="BF1484" i="93" s="1"/>
  <c r="BB1485" i="93"/>
  <c r="BD1485" i="93" s="1"/>
  <c r="BF1485" i="93" s="1"/>
  <c r="P2009" i="93"/>
  <c r="BB2031" i="93"/>
  <c r="AL2009" i="93"/>
  <c r="L2009" i="93"/>
  <c r="T2009" i="93"/>
  <c r="BB2138" i="93"/>
  <c r="AD2009" i="93"/>
  <c r="AB2621" i="93"/>
  <c r="D2614" i="93"/>
  <c r="BB1715" i="93"/>
  <c r="BB1786" i="93"/>
  <c r="BD1786" i="93" s="1"/>
  <c r="BF1786" i="93" s="1"/>
  <c r="AB1791" i="93"/>
  <c r="BB1791" i="93"/>
  <c r="BB1796" i="93"/>
  <c r="D1910" i="93"/>
  <c r="L1910" i="93"/>
  <c r="T1910" i="93"/>
  <c r="H1910" i="93"/>
  <c r="P1910" i="93"/>
  <c r="BB1917" i="93"/>
  <c r="BB1910" i="93" s="1"/>
  <c r="AB2073" i="93"/>
  <c r="BD2073" i="93" s="1"/>
  <c r="BF2073" i="93" s="1"/>
  <c r="BB2338" i="93"/>
  <c r="AB2339" i="93"/>
  <c r="BD2339" i="93" s="1"/>
  <c r="BF2339" i="93" s="1"/>
  <c r="AB2344" i="93"/>
  <c r="BD2344" i="93" s="1"/>
  <c r="BF2344" i="93" s="1"/>
  <c r="AB2349" i="93"/>
  <c r="BD2349" i="93" s="1"/>
  <c r="BF2349" i="93" s="1"/>
  <c r="L3178" i="93"/>
  <c r="E3574" i="93"/>
  <c r="E4357" i="93" s="1"/>
  <c r="G3574" i="93"/>
  <c r="G4357" i="93" s="1"/>
  <c r="C50" i="42" s="1"/>
  <c r="I3574" i="93"/>
  <c r="I4357" i="93" s="1"/>
  <c r="K3574" i="93"/>
  <c r="K4357" i="93" s="1"/>
  <c r="C92" i="98" s="1"/>
  <c r="C93" i="98" s="1"/>
  <c r="BB3575" i="93"/>
  <c r="AB3749" i="93"/>
  <c r="P3761" i="93"/>
  <c r="P3574" i="93" s="1"/>
  <c r="X3761" i="93"/>
  <c r="X3574" i="93" s="1"/>
  <c r="AB3780" i="93"/>
  <c r="BD3780" i="93" s="1"/>
  <c r="BF3780" i="93" s="1"/>
  <c r="L3761" i="93"/>
  <c r="T3761" i="93"/>
  <c r="T3574" i="93" s="1"/>
  <c r="AB3791" i="93"/>
  <c r="BD3791" i="93" s="1"/>
  <c r="BF3791" i="93" s="1"/>
  <c r="AB3804" i="93"/>
  <c r="BD3804" i="93" s="1"/>
  <c r="BF3804" i="93" s="1"/>
  <c r="AB3809" i="93"/>
  <c r="BD3809" i="93" s="1"/>
  <c r="BF3809" i="93" s="1"/>
  <c r="H3761" i="93"/>
  <c r="H3574" i="93" s="1"/>
  <c r="L3827" i="93"/>
  <c r="BB3852" i="93"/>
  <c r="H3872" i="93"/>
  <c r="AB3906" i="93"/>
  <c r="BD3906" i="93" s="1"/>
  <c r="BF3906" i="93" s="1"/>
  <c r="AC3917" i="93"/>
  <c r="D4358" i="93"/>
  <c r="F4358" i="93"/>
  <c r="H4358" i="93"/>
  <c r="C39" i="97" s="1"/>
  <c r="J4358" i="93"/>
  <c r="L4358" i="93"/>
  <c r="C38" i="101" s="1"/>
  <c r="C40" i="101" s="1"/>
  <c r="N4358" i="93"/>
  <c r="P4358" i="93"/>
  <c r="C37" i="105" s="1"/>
  <c r="C38" i="105" s="1"/>
  <c r="R4358" i="93"/>
  <c r="T4358" i="93"/>
  <c r="V4358" i="93"/>
  <c r="X4358" i="93"/>
  <c r="AA4358" i="93"/>
  <c r="AF4358" i="93"/>
  <c r="AH4358" i="93"/>
  <c r="D39" i="97" s="1"/>
  <c r="AJ4358" i="93"/>
  <c r="AM4358" i="93"/>
  <c r="AO4358" i="93"/>
  <c r="AQ4358" i="93"/>
  <c r="AS4358" i="93"/>
  <c r="AU4358" i="93"/>
  <c r="AW4358" i="93"/>
  <c r="BA4358" i="93"/>
  <c r="AB3918" i="93"/>
  <c r="E3917" i="93"/>
  <c r="G3917" i="93"/>
  <c r="I3917" i="93"/>
  <c r="K3917" i="93"/>
  <c r="M3917" i="93"/>
  <c r="O3917" i="93"/>
  <c r="Q3917" i="93"/>
  <c r="S3917" i="93"/>
  <c r="U3917" i="93"/>
  <c r="W3917" i="93"/>
  <c r="BB4044" i="93"/>
  <c r="BB4098" i="93"/>
  <c r="BB4114" i="93"/>
  <c r="BB1248" i="93"/>
  <c r="AP1258" i="93"/>
  <c r="AB1269" i="93"/>
  <c r="BD1269" i="93" s="1"/>
  <c r="BF1269" i="93" s="1"/>
  <c r="AB1409" i="93"/>
  <c r="AL1409" i="93"/>
  <c r="BB1434" i="93"/>
  <c r="BD1434" i="93" s="1"/>
  <c r="BB1693" i="93"/>
  <c r="BD1693" i="93" s="1"/>
  <c r="BF1693" i="93" s="1"/>
  <c r="AL1620" i="93"/>
  <c r="AB1702" i="93"/>
  <c r="AA1698" i="93"/>
  <c r="BB400" i="93"/>
  <c r="BD400" i="93" s="1"/>
  <c r="BF400" i="93" s="1"/>
  <c r="AL569" i="93"/>
  <c r="BB846" i="93"/>
  <c r="BB1461" i="93"/>
  <c r="BD1461" i="93" s="1"/>
  <c r="BF1461" i="93" s="1"/>
  <c r="BB1481" i="93"/>
  <c r="BD1481" i="93" s="1"/>
  <c r="BF1481" i="93" s="1"/>
  <c r="BB1486" i="93"/>
  <c r="BD1486" i="93" s="1"/>
  <c r="BF1486" i="93" s="1"/>
  <c r="BB1501" i="93"/>
  <c r="BD1501" i="93" s="1"/>
  <c r="BF1501" i="93" s="1"/>
  <c r="AB1512" i="93"/>
  <c r="AL1698" i="93"/>
  <c r="H1698" i="93"/>
  <c r="P1698" i="93"/>
  <c r="AD1910" i="93"/>
  <c r="AL1910" i="93"/>
  <c r="AB1973" i="93"/>
  <c r="BD1973" i="93" s="1"/>
  <c r="BF1973" i="93" s="1"/>
  <c r="D2009" i="93"/>
  <c r="H2009" i="93"/>
  <c r="AB2013" i="93"/>
  <c r="BD2013" i="93" s="1"/>
  <c r="BF2013" i="93" s="1"/>
  <c r="AB2042" i="93"/>
  <c r="BD2042" i="93" s="1"/>
  <c r="BF2042" i="93" s="1"/>
  <c r="AB2152" i="93"/>
  <c r="BD2152" i="93" s="1"/>
  <c r="BF2152" i="93" s="1"/>
  <c r="AB2094" i="93"/>
  <c r="BD2094" i="93" s="1"/>
  <c r="BF2094" i="93" s="1"/>
  <c r="AB2095" i="93"/>
  <c r="BD2095" i="93" s="1"/>
  <c r="BF2095" i="93" s="1"/>
  <c r="AB2100" i="93"/>
  <c r="BD2100" i="93" s="1"/>
  <c r="BF2100" i="93" s="1"/>
  <c r="AB2132" i="93"/>
  <c r="BD2132" i="93" s="1"/>
  <c r="BF2132" i="93" s="1"/>
  <c r="AB2137" i="93"/>
  <c r="BD2137" i="93" s="1"/>
  <c r="BF2137" i="93" s="1"/>
  <c r="AT2153" i="93"/>
  <c r="AB2342" i="93"/>
  <c r="BD2342" i="93" s="1"/>
  <c r="BF2342" i="93" s="1"/>
  <c r="AB2347" i="93"/>
  <c r="BD2347" i="93" s="1"/>
  <c r="BF2347" i="93" s="1"/>
  <c r="AB2348" i="93"/>
  <c r="BD2348" i="93" s="1"/>
  <c r="BF2348" i="93" s="1"/>
  <c r="AB2380" i="93"/>
  <c r="BD2380" i="93" s="1"/>
  <c r="BF2380" i="93" s="1"/>
  <c r="AB2443" i="93"/>
  <c r="BD2443" i="93" s="1"/>
  <c r="BF2443" i="93" s="1"/>
  <c r="BB2888" i="93"/>
  <c r="BD2888" i="93" s="1"/>
  <c r="BF2888" i="93" s="1"/>
  <c r="AL3109" i="93"/>
  <c r="BD3167" i="93"/>
  <c r="BF3167" i="93" s="1"/>
  <c r="AL3159" i="93"/>
  <c r="AB4312" i="93"/>
  <c r="BD4312" i="93" s="1"/>
  <c r="BF4312" i="93" s="1"/>
  <c r="AB4329" i="93"/>
  <c r="BD4329" i="93" s="1"/>
  <c r="BF4329" i="93" s="1"/>
  <c r="AB4336" i="93"/>
  <c r="BD4336" i="93" s="1"/>
  <c r="BF4336" i="93" s="1"/>
  <c r="AB4374" i="93"/>
  <c r="BD4364" i="93"/>
  <c r="BF4364" i="93" s="1"/>
  <c r="BD4368" i="93"/>
  <c r="BF4368" i="93" s="1"/>
  <c r="BD4370" i="93"/>
  <c r="BF4370" i="93" s="1"/>
  <c r="BD4372" i="93"/>
  <c r="BF4372" i="93" s="1"/>
  <c r="Y4303" i="93"/>
  <c r="Y4358" i="93" s="1"/>
  <c r="Y3761" i="93"/>
  <c r="Y3574" i="93" s="1"/>
  <c r="Y3178" i="93"/>
  <c r="Y2009" i="93"/>
  <c r="Y82" i="93"/>
  <c r="Z1005" i="93"/>
  <c r="Z4356" i="93" s="1"/>
  <c r="AY1698" i="93"/>
  <c r="AY1258" i="93"/>
  <c r="AY1005" i="93"/>
  <c r="AY4356" i="93" s="1"/>
  <c r="AY4376" i="93" s="1"/>
  <c r="AZ3917" i="93"/>
  <c r="AB3225" i="93"/>
  <c r="BD3225" i="93" s="1"/>
  <c r="BF3225" i="93" s="1"/>
  <c r="BB3507" i="93"/>
  <c r="AD3574" i="93"/>
  <c r="AF3574" i="93"/>
  <c r="AF4357" i="93" s="1"/>
  <c r="AH3574" i="93"/>
  <c r="AJ3574" i="93"/>
  <c r="AJ4357" i="93" s="1"/>
  <c r="AL3574" i="93"/>
  <c r="AN3574" i="93"/>
  <c r="AN4357" i="93" s="1"/>
  <c r="AP3574" i="93"/>
  <c r="AR3574" i="93"/>
  <c r="AR4357" i="93" s="1"/>
  <c r="AT3574" i="93"/>
  <c r="AV3574" i="93"/>
  <c r="AV4357" i="93" s="1"/>
  <c r="AX3574" i="93"/>
  <c r="BB3749" i="93"/>
  <c r="D3761" i="93"/>
  <c r="D3574" i="93" s="1"/>
  <c r="AB3771" i="93"/>
  <c r="BD3771" i="93" s="1"/>
  <c r="BF3771" i="93" s="1"/>
  <c r="AB3774" i="93"/>
  <c r="BD3774" i="93" s="1"/>
  <c r="BF3774" i="93" s="1"/>
  <c r="BD3886" i="93"/>
  <c r="BF3886" i="93" s="1"/>
  <c r="BD3887" i="93"/>
  <c r="BF3887" i="93" s="1"/>
  <c r="D3904" i="93"/>
  <c r="BB3908" i="93"/>
  <c r="AB3915" i="93"/>
  <c r="BB3914" i="93"/>
  <c r="AA3917" i="93"/>
  <c r="AE3917" i="93"/>
  <c r="AG3917" i="93"/>
  <c r="AI3917" i="93"/>
  <c r="AK3917" i="93"/>
  <c r="E4358" i="93"/>
  <c r="G4358" i="93"/>
  <c r="I4358" i="93"/>
  <c r="K4358" i="93"/>
  <c r="M4358" i="93"/>
  <c r="O4358" i="93"/>
  <c r="Q4358" i="93"/>
  <c r="S4358" i="93"/>
  <c r="U4358" i="93"/>
  <c r="W4358" i="93"/>
  <c r="AL3918" i="93"/>
  <c r="AB3943" i="93"/>
  <c r="AL3943" i="93"/>
  <c r="AB3969" i="93"/>
  <c r="AL3969" i="93"/>
  <c r="AL4220" i="93"/>
  <c r="BB4244" i="93"/>
  <c r="BD4244" i="93" s="1"/>
  <c r="BF4244" i="93" s="1"/>
  <c r="BB4250" i="93"/>
  <c r="AB4272" i="93"/>
  <c r="Y1698" i="93"/>
  <c r="Z3917" i="93"/>
  <c r="AY3574" i="93"/>
  <c r="AY1409" i="93"/>
  <c r="AY1091" i="93"/>
  <c r="AZ3574" i="93"/>
  <c r="AZ4357" i="93" s="1"/>
  <c r="AZ1005" i="93"/>
  <c r="AZ4356" i="93" s="1"/>
  <c r="AY3917" i="93"/>
  <c r="BB33" i="93"/>
  <c r="BB47" i="93"/>
  <c r="BB75" i="93"/>
  <c r="BB78" i="93"/>
  <c r="BB672" i="93"/>
  <c r="BB741" i="93"/>
  <c r="BB989" i="93"/>
  <c r="BB999" i="93"/>
  <c r="BB1002" i="93"/>
  <c r="BB1006" i="93"/>
  <c r="BB3488" i="93"/>
  <c r="BB3651" i="93"/>
  <c r="BB3699" i="93"/>
  <c r="BB4095" i="93"/>
  <c r="BB22" i="93"/>
  <c r="BB198" i="93"/>
  <c r="AB3699" i="93"/>
  <c r="Z3574" i="93"/>
  <c r="Z4357" i="93" s="1"/>
  <c r="AB4288" i="93"/>
  <c r="AB3908" i="93"/>
  <c r="Y1005" i="93"/>
  <c r="AB569" i="93"/>
  <c r="AB2006" i="93"/>
  <c r="AB10" i="93"/>
  <c r="AB47" i="93"/>
  <c r="AB78" i="93"/>
  <c r="AB117" i="93"/>
  <c r="BD117" i="93" s="1"/>
  <c r="BF117" i="93" s="1"/>
  <c r="AB129" i="93"/>
  <c r="BB129" i="93"/>
  <c r="BB146" i="93"/>
  <c r="AB148" i="93"/>
  <c r="BD148" i="93" s="1"/>
  <c r="BF148" i="93" s="1"/>
  <c r="AB2153" i="93"/>
  <c r="T82" i="93"/>
  <c r="AB989" i="93"/>
  <c r="AB999" i="93"/>
  <c r="AB1002" i="93"/>
  <c r="AB1006" i="93"/>
  <c r="BB1023" i="93"/>
  <c r="AB1023" i="93"/>
  <c r="X1028" i="93"/>
  <c r="X1005" i="93" s="1"/>
  <c r="BB1028" i="93"/>
  <c r="AB1040" i="93"/>
  <c r="BB1040" i="93"/>
  <c r="P1043" i="93"/>
  <c r="P1005" i="93" s="1"/>
  <c r="P4356" i="93" s="1"/>
  <c r="AB1086" i="93"/>
  <c r="BD1086" i="93" s="1"/>
  <c r="AT1091" i="93"/>
  <c r="BB1139" i="93"/>
  <c r="AB1406" i="93"/>
  <c r="BD1406" i="93" s="1"/>
  <c r="BB1413" i="93"/>
  <c r="BD1413" i="93" s="1"/>
  <c r="BB1444" i="93"/>
  <c r="BD1444" i="93" s="1"/>
  <c r="BB1446" i="93"/>
  <c r="BD1446" i="93" s="1"/>
  <c r="BB1455" i="93"/>
  <c r="BD1455" i="93" s="1"/>
  <c r="BF1455" i="93" s="1"/>
  <c r="BB1482" i="93"/>
  <c r="BD1482" i="93" s="1"/>
  <c r="BF1482" i="93" s="1"/>
  <c r="BB1512" i="93"/>
  <c r="BB1641" i="93"/>
  <c r="BD1641" i="93" s="1"/>
  <c r="BF1641" i="93" s="1"/>
  <c r="AH1698" i="93"/>
  <c r="AP1698" i="93"/>
  <c r="BB1752" i="93"/>
  <c r="BD1752" i="93" s="1"/>
  <c r="BF1752" i="93" s="1"/>
  <c r="BB2006" i="93"/>
  <c r="AB2415" i="93"/>
  <c r="BD2415" i="93" s="1"/>
  <c r="BF2415" i="93" s="1"/>
  <c r="AB2437" i="93"/>
  <c r="BD2437" i="93" s="1"/>
  <c r="BF2437" i="93" s="1"/>
  <c r="BB2621" i="93"/>
  <c r="BB2614" i="93" s="1"/>
  <c r="AD2614" i="93"/>
  <c r="AB3159" i="93"/>
  <c r="BB1018" i="93"/>
  <c r="L1091" i="93"/>
  <c r="T1091" i="93"/>
  <c r="BB1175" i="93"/>
  <c r="BB1435" i="93"/>
  <c r="BD1435" i="93" s="1"/>
  <c r="AX1409" i="93"/>
  <c r="D1698" i="93"/>
  <c r="L1698" i="93"/>
  <c r="T1698" i="93"/>
  <c r="AX1698" i="93"/>
  <c r="AB1804" i="93"/>
  <c r="BB1804" i="93"/>
  <c r="BB1808" i="93"/>
  <c r="AB2031" i="93"/>
  <c r="AB2036" i="93"/>
  <c r="BD2036" i="93" s="1"/>
  <c r="BF2036" i="93" s="1"/>
  <c r="AB2062" i="93"/>
  <c r="BD2062" i="93" s="1"/>
  <c r="BF2062" i="93" s="1"/>
  <c r="AB2138" i="93"/>
  <c r="AB2351" i="93"/>
  <c r="BD2351" i="93" s="1"/>
  <c r="BF2351" i="93" s="1"/>
  <c r="P2614" i="93"/>
  <c r="BB2921" i="93"/>
  <c r="AB3265" i="93"/>
  <c r="BD3265" i="93" s="1"/>
  <c r="BF3265" i="93" s="1"/>
  <c r="H3488" i="93"/>
  <c r="AB2622" i="93"/>
  <c r="BD2622" i="93" s="1"/>
  <c r="BF2622" i="93" s="1"/>
  <c r="BB2627" i="93"/>
  <c r="BB3109" i="93"/>
  <c r="AB3222" i="93"/>
  <c r="BD3222" i="93" s="1"/>
  <c r="BF3222" i="93" s="1"/>
  <c r="BB3178" i="93"/>
  <c r="AB3362" i="93"/>
  <c r="BD3362" i="93" s="1"/>
  <c r="BF3362" i="93" s="1"/>
  <c r="BB3391" i="93"/>
  <c r="AB3651" i="93"/>
  <c r="AB3621" i="93"/>
  <c r="BD3621" i="93" s="1"/>
  <c r="BF3621" i="93" s="1"/>
  <c r="AB3820" i="93"/>
  <c r="BD3820" i="93" s="1"/>
  <c r="BF3820" i="93" s="1"/>
  <c r="BB3969" i="93"/>
  <c r="BB4066" i="93"/>
  <c r="AB4159" i="93"/>
  <c r="AB4161" i="93"/>
  <c r="BB4167" i="93"/>
  <c r="BD4167" i="93" s="1"/>
  <c r="BF4167" i="93" s="1"/>
  <c r="AL4161" i="93"/>
  <c r="BB3918" i="93"/>
  <c r="AB4114" i="93"/>
  <c r="BB4132" i="93"/>
  <c r="AB4186" i="93"/>
  <c r="BB4192" i="93"/>
  <c r="BD4192" i="93" s="1"/>
  <c r="BF4192" i="93" s="1"/>
  <c r="AL4186" i="93"/>
  <c r="BB4194" i="93"/>
  <c r="BB4186" i="93" s="1"/>
  <c r="AD4186" i="93"/>
  <c r="AD3917" i="93" s="1"/>
  <c r="BD4366" i="93"/>
  <c r="BF4366" i="93" s="1"/>
  <c r="BB4175" i="93"/>
  <c r="BD4175" i="93" s="1"/>
  <c r="BF4175" i="93" s="1"/>
  <c r="AB4323" i="93"/>
  <c r="BD4323" i="93" s="1"/>
  <c r="BF4323" i="93" s="1"/>
  <c r="AB4327" i="93"/>
  <c r="BD4327" i="93" s="1"/>
  <c r="BF4327" i="93" s="1"/>
  <c r="BD4363" i="93"/>
  <c r="BF4363" i="93" s="1"/>
  <c r="BD4365" i="93"/>
  <c r="BF4365" i="93" s="1"/>
  <c r="E1005" i="93"/>
  <c r="E4356" i="93" s="1"/>
  <c r="G1005" i="93"/>
  <c r="G4356" i="93" s="1"/>
  <c r="I1005" i="93"/>
  <c r="I4356" i="93" s="1"/>
  <c r="K1005" i="93"/>
  <c r="K4356" i="93" s="1"/>
  <c r="M1005" i="93"/>
  <c r="M4356" i="93" s="1"/>
  <c r="O1005" i="93"/>
  <c r="O4356" i="93" s="1"/>
  <c r="Q1005" i="93"/>
  <c r="Q4356" i="93" s="1"/>
  <c r="S1005" i="93"/>
  <c r="S4356" i="93" s="1"/>
  <c r="U1005" i="93"/>
  <c r="U4356" i="93" s="1"/>
  <c r="W1005" i="93"/>
  <c r="W4356" i="93" s="1"/>
  <c r="AA1005" i="93"/>
  <c r="AA4356" i="93" s="1"/>
  <c r="AE1005" i="93"/>
  <c r="AE4356" i="93" s="1"/>
  <c r="AG1005" i="93"/>
  <c r="AG4356" i="93" s="1"/>
  <c r="AK1005" i="93"/>
  <c r="AK4356" i="93" s="1"/>
  <c r="AO1005" i="93"/>
  <c r="AO4356" i="93" s="1"/>
  <c r="AS1005" i="93"/>
  <c r="AS4356" i="93" s="1"/>
  <c r="AW1005" i="93"/>
  <c r="AW4356" i="93" s="1"/>
  <c r="BA1005" i="93"/>
  <c r="BA4356" i="93" s="1"/>
  <c r="BB855" i="93"/>
  <c r="BB569" i="93"/>
  <c r="AB22" i="93"/>
  <c r="AB33" i="93"/>
  <c r="AH33" i="93"/>
  <c r="AB75" i="93"/>
  <c r="D82" i="93"/>
  <c r="H82" i="93"/>
  <c r="L82" i="93"/>
  <c r="AL82" i="93"/>
  <c r="AB257" i="93"/>
  <c r="AL257" i="93"/>
  <c r="AP257" i="93"/>
  <c r="AT257" i="93"/>
  <c r="AB672" i="93"/>
  <c r="AL672" i="93"/>
  <c r="AB741" i="93"/>
  <c r="AL741" i="93"/>
  <c r="AC1005" i="93"/>
  <c r="AB1018" i="93"/>
  <c r="AB1028" i="93"/>
  <c r="BB1043" i="93"/>
  <c r="AB1063" i="93"/>
  <c r="BD1063" i="93" s="1"/>
  <c r="AB1068" i="93"/>
  <c r="BB1095" i="93"/>
  <c r="AL1091" i="93"/>
  <c r="AH1091" i="93"/>
  <c r="BB1103" i="93"/>
  <c r="BB1114" i="93"/>
  <c r="BB1120" i="93"/>
  <c r="BB1130" i="93"/>
  <c r="AD1091" i="93"/>
  <c r="BB1133" i="93"/>
  <c r="BB1168" i="93"/>
  <c r="BB1304" i="93"/>
  <c r="BD1304" i="93" s="1"/>
  <c r="BF1304" i="93" s="1"/>
  <c r="BB1422" i="93"/>
  <c r="BD1422" i="93" s="1"/>
  <c r="BF1422" i="93" s="1"/>
  <c r="BB1433" i="93"/>
  <c r="BD1433" i="93" s="1"/>
  <c r="BF1433" i="93" s="1"/>
  <c r="BB1511" i="93"/>
  <c r="BD1511" i="93" s="1"/>
  <c r="AL1512" i="93"/>
  <c r="AB1715" i="93"/>
  <c r="X1698" i="93"/>
  <c r="AB1720" i="93"/>
  <c r="BB1720" i="93"/>
  <c r="AD1698" i="93"/>
  <c r="AT1698" i="93"/>
  <c r="AB1729" i="93"/>
  <c r="BB1729" i="93"/>
  <c r="AB1796" i="93"/>
  <c r="AB1808" i="93"/>
  <c r="AL1808" i="93"/>
  <c r="AB1045" i="93"/>
  <c r="BD1045" i="93" s="1"/>
  <c r="BF1045" i="93" s="1"/>
  <c r="L1043" i="93"/>
  <c r="L1005" i="93" s="1"/>
  <c r="BB1702" i="93"/>
  <c r="AB3575" i="93"/>
  <c r="AB3488" i="93"/>
  <c r="AB3507" i="93"/>
  <c r="BC3575" i="93"/>
  <c r="BC3574" i="93" s="1"/>
  <c r="BC4357" i="93" s="1"/>
  <c r="AB3827" i="93"/>
  <c r="AB3852" i="93"/>
  <c r="BB3943" i="93"/>
  <c r="AC3760" i="93"/>
  <c r="BE3760" i="93" s="1"/>
  <c r="BB4288" i="93"/>
  <c r="BD4362" i="93"/>
  <c r="BF4362" i="93" s="1"/>
  <c r="BB4374" i="93"/>
  <c r="BE4374" i="93"/>
  <c r="C65" i="103" l="1"/>
  <c r="C66" i="103" s="1"/>
  <c r="C104" i="102"/>
  <c r="C106" i="102"/>
  <c r="BE4358" i="93"/>
  <c r="BF253" i="93"/>
  <c r="BF80" i="93"/>
  <c r="BF1869" i="93"/>
  <c r="F50" i="94"/>
  <c r="BF1548" i="93"/>
  <c r="F48" i="94"/>
  <c r="BF2816" i="93"/>
  <c r="F47" i="94"/>
  <c r="BF2815" i="93"/>
  <c r="F46" i="94"/>
  <c r="BF1740" i="93"/>
  <c r="F45" i="94"/>
  <c r="BF2669" i="93"/>
  <c r="F44" i="94"/>
  <c r="BF1449" i="93"/>
  <c r="F43" i="94"/>
  <c r="BF2244" i="93"/>
  <c r="F40" i="94"/>
  <c r="BF2245" i="93"/>
  <c r="F41" i="94"/>
  <c r="BF2243" i="93"/>
  <c r="F39" i="94"/>
  <c r="BF2242" i="93"/>
  <c r="F38" i="94"/>
  <c r="BF2240" i="93"/>
  <c r="F36" i="94"/>
  <c r="BF2239" i="93"/>
  <c r="F35" i="94"/>
  <c r="BF250" i="93"/>
  <c r="F34" i="94"/>
  <c r="BF2400" i="93"/>
  <c r="F33" i="94"/>
  <c r="BF1525" i="93"/>
  <c r="F32" i="94"/>
  <c r="BF1444" i="93"/>
  <c r="F29" i="94"/>
  <c r="BF1443" i="93"/>
  <c r="F28" i="94"/>
  <c r="BF1445" i="93"/>
  <c r="F30" i="94"/>
  <c r="BF1446" i="93"/>
  <c r="F31" i="94"/>
  <c r="BF1717" i="93"/>
  <c r="BF1150" i="93"/>
  <c r="F21" i="94"/>
  <c r="BF1147" i="93"/>
  <c r="F18" i="94"/>
  <c r="BF819" i="93"/>
  <c r="F10" i="94"/>
  <c r="BF1434" i="93"/>
  <c r="F26" i="94"/>
  <c r="BF1165" i="93"/>
  <c r="F24" i="94"/>
  <c r="F23" i="94"/>
  <c r="BF1149" i="93"/>
  <c r="F20" i="94"/>
  <c r="BF733" i="93"/>
  <c r="F8" i="94"/>
  <c r="BF719" i="93"/>
  <c r="F7" i="94"/>
  <c r="BF688" i="93"/>
  <c r="F5" i="94"/>
  <c r="BF1153" i="93"/>
  <c r="F22" i="94"/>
  <c r="BF1148" i="93"/>
  <c r="F19" i="94"/>
  <c r="BF689" i="93"/>
  <c r="F6" i="94"/>
  <c r="F4" i="94"/>
  <c r="BF1435" i="93"/>
  <c r="F27" i="94"/>
  <c r="C21" i="5"/>
  <c r="BF1088" i="93"/>
  <c r="BF1086" i="93"/>
  <c r="BF4352" i="93"/>
  <c r="BF4270" i="93"/>
  <c r="BF853" i="93"/>
  <c r="BF4123" i="93"/>
  <c r="BF255" i="93"/>
  <c r="BF4354" i="93"/>
  <c r="BF3760" i="93"/>
  <c r="BG3185" i="93"/>
  <c r="BF3185" i="93"/>
  <c r="BG3115" i="93"/>
  <c r="BF3115" i="93"/>
  <c r="BG2024" i="93"/>
  <c r="BF2024" i="93"/>
  <c r="BG2022" i="93"/>
  <c r="BF2022" i="93"/>
  <c r="BG2023" i="93"/>
  <c r="BF2023" i="93"/>
  <c r="BG1822" i="93"/>
  <c r="BF1822" i="93"/>
  <c r="BG1511" i="93"/>
  <c r="BF1511" i="93"/>
  <c r="BG1413" i="93"/>
  <c r="BF1413" i="93"/>
  <c r="BG1406" i="93"/>
  <c r="BF1406" i="93"/>
  <c r="BG1296" i="93"/>
  <c r="BF1296" i="93"/>
  <c r="BG1403" i="93"/>
  <c r="BF1403" i="93"/>
  <c r="BG1397" i="93"/>
  <c r="BF1397" i="93"/>
  <c r="BG1390" i="93"/>
  <c r="BF1390" i="93"/>
  <c r="BG1384" i="93"/>
  <c r="BF1384" i="93"/>
  <c r="BG1368" i="93"/>
  <c r="BF1368" i="93"/>
  <c r="BG1342" i="93"/>
  <c r="BF1342" i="93"/>
  <c r="BG1334" i="93"/>
  <c r="BF1334" i="93"/>
  <c r="BG1325" i="93"/>
  <c r="BF1325" i="93"/>
  <c r="BG1408" i="93"/>
  <c r="BF1408" i="93"/>
  <c r="BG1404" i="93"/>
  <c r="BG1402" i="93"/>
  <c r="BG1396" i="93"/>
  <c r="BF1396" i="93"/>
  <c r="BG1385" i="93"/>
  <c r="BF1385" i="93"/>
  <c r="BG1372" i="93"/>
  <c r="BF1372" i="93"/>
  <c r="BG1358" i="93"/>
  <c r="BF1358" i="93"/>
  <c r="BG1343" i="93"/>
  <c r="BF1343" i="93"/>
  <c r="BG1339" i="93"/>
  <c r="BF1339" i="93"/>
  <c r="BG1407" i="93"/>
  <c r="BF1407" i="93"/>
  <c r="BG1171" i="93"/>
  <c r="BF1171" i="93"/>
  <c r="BG1159" i="93"/>
  <c r="BF1159" i="93"/>
  <c r="BG1136" i="93"/>
  <c r="BF1136" i="93"/>
  <c r="BG1143" i="93"/>
  <c r="BF1143" i="93"/>
  <c r="BG1142" i="93"/>
  <c r="BF1142" i="93"/>
  <c r="BG1172" i="93"/>
  <c r="BF1172" i="93"/>
  <c r="BG1137" i="93"/>
  <c r="BF1137" i="93"/>
  <c r="BG1140" i="93"/>
  <c r="BF1140" i="93"/>
  <c r="BG1144" i="93"/>
  <c r="BF1144" i="93"/>
  <c r="BG1141" i="93"/>
  <c r="BF1141" i="93"/>
  <c r="BG1062" i="93"/>
  <c r="BF1062" i="93"/>
  <c r="BG1063" i="93"/>
  <c r="BF1063" i="93"/>
  <c r="BG1052" i="93"/>
  <c r="BF1052" i="93"/>
  <c r="BG1057" i="93"/>
  <c r="BF1057" i="93"/>
  <c r="BG1016" i="93"/>
  <c r="BF1016" i="93"/>
  <c r="BG997" i="93"/>
  <c r="BF997" i="93"/>
  <c r="BG993" i="93"/>
  <c r="BF993" i="93"/>
  <c r="BG998" i="93"/>
  <c r="BF998" i="93"/>
  <c r="BG994" i="93"/>
  <c r="BF994" i="93"/>
  <c r="BG897" i="93"/>
  <c r="BF897" i="93"/>
  <c r="BG948" i="93"/>
  <c r="BF948" i="93"/>
  <c r="BG918" i="93"/>
  <c r="BF918" i="93"/>
  <c r="BG914" i="93"/>
  <c r="BF914" i="93"/>
  <c r="BG907" i="93"/>
  <c r="BF907" i="93"/>
  <c r="BG905" i="93"/>
  <c r="BF905" i="93"/>
  <c r="BG901" i="93"/>
  <c r="BF901" i="93"/>
  <c r="BG898" i="93"/>
  <c r="BF898" i="93"/>
  <c r="BG896" i="93"/>
  <c r="BF896" i="93"/>
  <c r="BG894" i="93"/>
  <c r="BF894" i="93"/>
  <c r="BG892" i="93"/>
  <c r="BF892" i="93"/>
  <c r="BG890" i="93"/>
  <c r="BF890" i="93"/>
  <c r="BG876" i="93"/>
  <c r="BF876" i="93"/>
  <c r="BG873" i="93"/>
  <c r="BF873" i="93"/>
  <c r="BG870" i="93"/>
  <c r="BF870" i="93"/>
  <c r="BG868" i="93"/>
  <c r="BF868" i="93"/>
  <c r="BG866" i="93"/>
  <c r="BF866" i="93"/>
  <c r="BG864" i="93"/>
  <c r="BF864" i="93"/>
  <c r="BG861" i="93"/>
  <c r="BF861" i="93"/>
  <c r="BG859" i="93"/>
  <c r="BF859" i="93"/>
  <c r="BG968" i="93"/>
  <c r="BF968" i="93"/>
  <c r="BG947" i="93"/>
  <c r="BF947" i="93"/>
  <c r="BG919" i="93"/>
  <c r="BF919" i="93"/>
  <c r="BG915" i="93"/>
  <c r="BF915" i="93"/>
  <c r="BG908" i="93"/>
  <c r="BF908" i="93"/>
  <c r="BG906" i="93"/>
  <c r="BF906" i="93"/>
  <c r="BG902" i="93"/>
  <c r="BF902" i="93"/>
  <c r="BG900" i="93"/>
  <c r="BG895" i="93"/>
  <c r="BF895" i="93"/>
  <c r="BG893" i="93"/>
  <c r="BF893" i="93"/>
  <c r="BG891" i="93"/>
  <c r="BF891" i="93"/>
  <c r="BG875" i="93"/>
  <c r="BF875" i="93"/>
  <c r="BG872" i="93"/>
  <c r="BF872" i="93"/>
  <c r="BG869" i="93"/>
  <c r="BF869" i="93"/>
  <c r="BG867" i="93"/>
  <c r="BF867" i="93"/>
  <c r="BG865" i="93"/>
  <c r="BF865" i="93"/>
  <c r="BG860" i="93"/>
  <c r="BF860" i="93"/>
  <c r="BG858" i="93"/>
  <c r="BF858" i="93"/>
  <c r="BG848" i="93"/>
  <c r="BF848" i="93"/>
  <c r="BG803" i="93"/>
  <c r="BF803" i="93"/>
  <c r="BG838" i="93"/>
  <c r="BF838" i="93"/>
  <c r="BG815" i="93"/>
  <c r="BF815" i="93"/>
  <c r="BG714" i="93"/>
  <c r="BF714" i="93"/>
  <c r="BG706" i="93"/>
  <c r="BF706" i="93"/>
  <c r="BG738" i="93"/>
  <c r="BF738" i="93"/>
  <c r="BG663" i="93"/>
  <c r="BF663" i="93"/>
  <c r="BG584" i="93"/>
  <c r="BF584" i="93"/>
  <c r="BG577" i="93"/>
  <c r="BF577" i="93"/>
  <c r="BG617" i="93"/>
  <c r="BF617" i="93"/>
  <c r="BG615" i="93"/>
  <c r="BF615" i="93"/>
  <c r="BG593" i="93"/>
  <c r="BF593" i="93"/>
  <c r="BG664" i="93"/>
  <c r="BF664" i="93"/>
  <c r="BG579" i="93"/>
  <c r="BF579" i="93"/>
  <c r="BG616" i="93"/>
  <c r="BF616" i="93"/>
  <c r="BG612" i="93"/>
  <c r="BF612" i="93"/>
  <c r="BG467" i="93"/>
  <c r="BF467" i="93"/>
  <c r="BG442" i="93"/>
  <c r="BF442" i="93"/>
  <c r="BG440" i="93"/>
  <c r="BF440" i="93"/>
  <c r="BG433" i="93"/>
  <c r="BF433" i="93"/>
  <c r="BG430" i="93"/>
  <c r="BF430" i="93"/>
  <c r="BG428" i="93"/>
  <c r="BF428" i="93"/>
  <c r="BG426" i="93"/>
  <c r="BF426" i="93"/>
  <c r="BG424" i="93"/>
  <c r="BF424" i="93"/>
  <c r="BG420" i="93"/>
  <c r="BF420" i="93"/>
  <c r="BG418" i="93"/>
  <c r="BF418" i="93"/>
  <c r="BG414" i="93"/>
  <c r="BF414" i="93"/>
  <c r="BG411" i="93"/>
  <c r="BF411" i="93"/>
  <c r="BG555" i="93"/>
  <c r="BF555" i="93"/>
  <c r="BG552" i="93"/>
  <c r="BF552" i="93"/>
  <c r="BG307" i="93"/>
  <c r="BF307" i="93"/>
  <c r="BG462" i="93"/>
  <c r="BF462" i="93"/>
  <c r="BG441" i="93"/>
  <c r="BF441" i="93"/>
  <c r="BG438" i="93"/>
  <c r="BF438" i="93"/>
  <c r="BG431" i="93"/>
  <c r="BF431" i="93"/>
  <c r="BG429" i="93"/>
  <c r="BF429" i="93"/>
  <c r="BG427" i="93"/>
  <c r="BF427" i="93"/>
  <c r="BG425" i="93"/>
  <c r="BF425" i="93"/>
  <c r="BG421" i="93"/>
  <c r="BF421" i="93"/>
  <c r="BG419" i="93"/>
  <c r="BF419" i="93"/>
  <c r="BG417" i="93"/>
  <c r="BF417" i="93"/>
  <c r="BG412" i="93"/>
  <c r="BF412" i="93"/>
  <c r="BG410" i="93"/>
  <c r="BF410" i="93"/>
  <c r="BG562" i="93"/>
  <c r="BF562" i="93"/>
  <c r="BG554" i="93"/>
  <c r="BF554" i="93"/>
  <c r="BG518" i="93"/>
  <c r="BF518" i="93"/>
  <c r="BG481" i="93"/>
  <c r="BF481" i="93"/>
  <c r="BG407" i="93"/>
  <c r="BF407" i="93"/>
  <c r="BG305" i="93"/>
  <c r="BF305" i="93"/>
  <c r="BG142" i="93"/>
  <c r="BF142" i="93"/>
  <c r="BG71" i="93"/>
  <c r="BF71" i="93"/>
  <c r="BG67" i="93"/>
  <c r="BF67" i="93"/>
  <c r="BG69" i="93"/>
  <c r="BF69" i="93"/>
  <c r="BG64" i="93"/>
  <c r="BF64" i="93"/>
  <c r="BD3699" i="93"/>
  <c r="BF3699" i="93" s="1"/>
  <c r="BG2825" i="93"/>
  <c r="BG850" i="93"/>
  <c r="BG3771" i="93"/>
  <c r="BG3621" i="93"/>
  <c r="BG3760" i="93"/>
  <c r="BG4352" i="93"/>
  <c r="BG853" i="93"/>
  <c r="BG4323" i="93"/>
  <c r="BG4192" i="93"/>
  <c r="BG2622" i="93"/>
  <c r="BG3265" i="93"/>
  <c r="BG2036" i="93"/>
  <c r="BG1435" i="93"/>
  <c r="BG1422" i="93"/>
  <c r="BG4327" i="93"/>
  <c r="BG4175" i="93"/>
  <c r="BG3820" i="93"/>
  <c r="BG3362" i="93"/>
  <c r="BG3222" i="93"/>
  <c r="BG2351" i="93"/>
  <c r="BG2062" i="93"/>
  <c r="BG2415" i="93"/>
  <c r="BG1752" i="93"/>
  <c r="BG1455" i="93"/>
  <c r="BG1444" i="93"/>
  <c r="BG4244" i="93"/>
  <c r="BG3887" i="93"/>
  <c r="BG3885" i="93"/>
  <c r="BG4329" i="93"/>
  <c r="BG2443" i="93"/>
  <c r="BG2348" i="93"/>
  <c r="BG2342" i="93"/>
  <c r="BG2137" i="93"/>
  <c r="BG2100" i="93"/>
  <c r="BG2094" i="93"/>
  <c r="BG2042" i="93"/>
  <c r="BG2013" i="93"/>
  <c r="BG1501" i="93"/>
  <c r="BG1481" i="93"/>
  <c r="BG1434" i="93"/>
  <c r="BG3809" i="93"/>
  <c r="BG3791" i="93"/>
  <c r="BG2344" i="93"/>
  <c r="BG1485" i="93"/>
  <c r="BG1483" i="93"/>
  <c r="BG1472" i="93"/>
  <c r="BG288" i="93"/>
  <c r="BG149" i="93"/>
  <c r="BG4239" i="93"/>
  <c r="BG4240" i="93"/>
  <c r="BG4235" i="93"/>
  <c r="BG4124" i="93"/>
  <c r="BG3403" i="93"/>
  <c r="BG3400" i="93"/>
  <c r="BG3398" i="93"/>
  <c r="BG3396" i="93"/>
  <c r="BG3394" i="93"/>
  <c r="BG3107" i="93"/>
  <c r="BG3105" i="93"/>
  <c r="BG3104" i="93"/>
  <c r="BG3101" i="93"/>
  <c r="BG3098" i="93"/>
  <c r="BG3096" i="93"/>
  <c r="BG3094" i="93"/>
  <c r="BG3091" i="93"/>
  <c r="BG3089" i="93"/>
  <c r="BG3087" i="93"/>
  <c r="BG3085" i="93"/>
  <c r="BG3081" i="93"/>
  <c r="BG1089" i="93"/>
  <c r="BG256" i="93"/>
  <c r="BG254" i="93"/>
  <c r="BG81" i="93"/>
  <c r="BG4355" i="93"/>
  <c r="BG4354" i="93"/>
  <c r="BG4351" i="93"/>
  <c r="BG4349" i="93"/>
  <c r="BG4346" i="93"/>
  <c r="BG4340" i="93"/>
  <c r="BG4339" i="93"/>
  <c r="BG4337" i="93"/>
  <c r="BG4310" i="93"/>
  <c r="BG4308" i="93"/>
  <c r="BG4306" i="93"/>
  <c r="BG4302" i="93"/>
  <c r="BG4300" i="93"/>
  <c r="BG4295" i="93"/>
  <c r="BG4298" i="93"/>
  <c r="BG4293" i="93"/>
  <c r="BG4291" i="93"/>
  <c r="BG4283" i="93"/>
  <c r="BG4282" i="93"/>
  <c r="BG4281" i="93"/>
  <c r="BG4279" i="93"/>
  <c r="BG4275" i="93"/>
  <c r="BG4273" i="93"/>
  <c r="BG4271" i="93"/>
  <c r="BG4270" i="93"/>
  <c r="BG4265" i="93"/>
  <c r="BG4263" i="93"/>
  <c r="BG4257" i="93"/>
  <c r="BG4223" i="93"/>
  <c r="BG4173" i="93"/>
  <c r="BG4171" i="93"/>
  <c r="BG4168" i="93"/>
  <c r="BG3999" i="93"/>
  <c r="BG3997" i="93"/>
  <c r="BG3994" i="93"/>
  <c r="BG3993" i="93"/>
  <c r="BG3990" i="93"/>
  <c r="BG3988" i="93"/>
  <c r="BG3986" i="93"/>
  <c r="BG3982" i="93"/>
  <c r="BG3981" i="93"/>
  <c r="BG3979" i="93"/>
  <c r="BG3978" i="93"/>
  <c r="BG3976" i="93"/>
  <c r="BG3974" i="93"/>
  <c r="BG3949" i="93"/>
  <c r="BG3945" i="93"/>
  <c r="BG3866" i="93"/>
  <c r="BG3864" i="93"/>
  <c r="BG3862" i="93"/>
  <c r="BG3832" i="93"/>
  <c r="BG3830" i="93"/>
  <c r="BG3807" i="93"/>
  <c r="BG3813" i="93"/>
  <c r="BG3823" i="93"/>
  <c r="BG3788" i="93"/>
  <c r="BG3783" i="93"/>
  <c r="BG3781" i="93"/>
  <c r="BG3753" i="93"/>
  <c r="BG3748" i="93"/>
  <c r="BG3744" i="93"/>
  <c r="BG3741" i="93"/>
  <c r="BG3739" i="93"/>
  <c r="BG3737" i="93"/>
  <c r="BG3732" i="93"/>
  <c r="BG3730" i="93"/>
  <c r="BG3726" i="93"/>
  <c r="BG3723" i="93"/>
  <c r="BG3721" i="93"/>
  <c r="BG3718" i="93"/>
  <c r="BG3716" i="93"/>
  <c r="BG3713" i="93"/>
  <c r="BG3650" i="93"/>
  <c r="BG3647" i="93"/>
  <c r="BG3644" i="93"/>
  <c r="BG3636" i="93"/>
  <c r="BG3634" i="93"/>
  <c r="BG3630" i="93"/>
  <c r="BG3627" i="93"/>
  <c r="BG3625" i="93"/>
  <c r="BG3618" i="93"/>
  <c r="BG3616" i="93"/>
  <c r="BG3613" i="93"/>
  <c r="BG3611" i="93"/>
  <c r="BG3608" i="93"/>
  <c r="BG3605" i="93"/>
  <c r="BG3572" i="93"/>
  <c r="BG3566" i="93"/>
  <c r="BG3564" i="93"/>
  <c r="BG3562" i="93"/>
  <c r="BG3560" i="93"/>
  <c r="BG3558" i="93"/>
  <c r="BG3556" i="93"/>
  <c r="BG3486" i="93"/>
  <c r="BG3484" i="93"/>
  <c r="BG3482" i="93"/>
  <c r="BG3480" i="93"/>
  <c r="BG3478" i="93"/>
  <c r="BG3475" i="93"/>
  <c r="BG3472" i="93"/>
  <c r="BG3470" i="93"/>
  <c r="BG3468" i="93"/>
  <c r="BG3465" i="93"/>
  <c r="BG3462" i="93"/>
  <c r="BG3460" i="93"/>
  <c r="BG3457" i="93"/>
  <c r="BG3455" i="93"/>
  <c r="BG3453" i="93"/>
  <c r="BG3451" i="93"/>
  <c r="BG3449" i="93"/>
  <c r="BG3443" i="93"/>
  <c r="BG3441" i="93"/>
  <c r="BG3439" i="93"/>
  <c r="BG3436" i="93"/>
  <c r="BG3434" i="93"/>
  <c r="BG3269" i="93"/>
  <c r="BG3263" i="93"/>
  <c r="BG3371" i="93"/>
  <c r="BG3262" i="93"/>
  <c r="BG3260" i="93"/>
  <c r="BG3258" i="93"/>
  <c r="BG3256" i="93"/>
  <c r="BG3254" i="93"/>
  <c r="BG3252" i="93"/>
  <c r="BG3250" i="93"/>
  <c r="BG3248" i="93"/>
  <c r="BG3246" i="93"/>
  <c r="BG3219" i="93"/>
  <c r="BG3217" i="93"/>
  <c r="BG3215" i="93"/>
  <c r="BG3206" i="93"/>
  <c r="BG3202" i="93"/>
  <c r="BG3199" i="93"/>
  <c r="BG3197" i="93"/>
  <c r="BG3195" i="93"/>
  <c r="BG3193" i="93"/>
  <c r="BG3191" i="93"/>
  <c r="BG3189" i="93"/>
  <c r="BG3188" i="93"/>
  <c r="BG3183" i="93"/>
  <c r="BG3181" i="93"/>
  <c r="BG3179" i="93"/>
  <c r="BG3176" i="93"/>
  <c r="BG3157" i="93"/>
  <c r="BG3155" i="93"/>
  <c r="BG3153" i="93"/>
  <c r="BG3149" i="93"/>
  <c r="BG3147" i="93"/>
  <c r="BG3140" i="93"/>
  <c r="BG3030" i="93"/>
  <c r="BG3028" i="93"/>
  <c r="BG3026" i="93"/>
  <c r="BG3024" i="93"/>
  <c r="BG3022" i="93"/>
  <c r="BG3020" i="93"/>
  <c r="BG3018" i="93"/>
  <c r="BG3015" i="93"/>
  <c r="BG3011" i="93"/>
  <c r="BG3009" i="93"/>
  <c r="BG2928" i="93"/>
  <c r="BG2926" i="93"/>
  <c r="BG2920" i="93"/>
  <c r="BG2916" i="93"/>
  <c r="BG2914" i="93"/>
  <c r="BG2912" i="93"/>
  <c r="BG2910" i="93"/>
  <c r="BG2907" i="93"/>
  <c r="BG2903" i="93"/>
  <c r="BG2900" i="93"/>
  <c r="BG2897" i="93"/>
  <c r="BG2895" i="93"/>
  <c r="BG2892" i="93"/>
  <c r="BG2889" i="93"/>
  <c r="BG2716" i="93"/>
  <c r="BG2711" i="93"/>
  <c r="BG2709" i="93"/>
  <c r="BG2706" i="93"/>
  <c r="BG2704" i="93"/>
  <c r="BG2702" i="93"/>
  <c r="BG2700" i="93"/>
  <c r="BG2698" i="93"/>
  <c r="BG2696" i="93"/>
  <c r="BG2694" i="93"/>
  <c r="BG2692" i="93"/>
  <c r="BG2684" i="93"/>
  <c r="BG2680" i="93"/>
  <c r="BG2677" i="93"/>
  <c r="BG2675" i="93"/>
  <c r="BG2673" i="93"/>
  <c r="BG2671" i="93"/>
  <c r="BG2669" i="93"/>
  <c r="BG2665" i="93"/>
  <c r="BG2663" i="93"/>
  <c r="BG2657" i="93"/>
  <c r="BG2653" i="93"/>
  <c r="BG2651" i="93"/>
  <c r="BG2649" i="93"/>
  <c r="BG2647" i="93"/>
  <c r="BG2645" i="93"/>
  <c r="BG2643" i="93"/>
  <c r="BG2641" i="93"/>
  <c r="BG2624" i="93"/>
  <c r="BG2615" i="93"/>
  <c r="BG2532" i="93"/>
  <c r="BG2530" i="93"/>
  <c r="BG2526" i="93"/>
  <c r="BG2524" i="93"/>
  <c r="BG2522" i="93"/>
  <c r="BG2520" i="93"/>
  <c r="BG2513" i="93"/>
  <c r="BG2511" i="93"/>
  <c r="BG2507" i="93"/>
  <c r="BG2505" i="93"/>
  <c r="BG2503" i="93"/>
  <c r="BG2501" i="93"/>
  <c r="BG2498" i="93"/>
  <c r="BG2496" i="93"/>
  <c r="BG2493" i="93"/>
  <c r="BG2491" i="93"/>
  <c r="BG2489" i="93"/>
  <c r="BG2486" i="93"/>
  <c r="BG2488" i="93"/>
  <c r="BG2612" i="93"/>
  <c r="BG2471" i="93"/>
  <c r="BG2465" i="93"/>
  <c r="BG2457" i="93"/>
  <c r="BG2454" i="93"/>
  <c r="BG2439" i="93"/>
  <c r="BG2435" i="93"/>
  <c r="BG2430" i="93"/>
  <c r="BG2427" i="93"/>
  <c r="BG2424" i="93"/>
  <c r="BG2422" i="93"/>
  <c r="BG2420" i="93"/>
  <c r="BG2416" i="93"/>
  <c r="BG2413" i="93"/>
  <c r="BG2410" i="93"/>
  <c r="BG2407" i="93"/>
  <c r="BG2405" i="93"/>
  <c r="BG2403" i="93"/>
  <c r="BG2401" i="93"/>
  <c r="BG2399" i="93"/>
  <c r="BG2396" i="93"/>
  <c r="BG2394" i="93"/>
  <c r="BG2391" i="93"/>
  <c r="BG2388" i="93"/>
  <c r="BG2386" i="93"/>
  <c r="BG2376" i="93"/>
  <c r="BG2368" i="93"/>
  <c r="BG2359" i="93"/>
  <c r="BG2332" i="93"/>
  <c r="BG2329" i="93"/>
  <c r="BG2327" i="93"/>
  <c r="BG2325" i="93"/>
  <c r="BG2321" i="93"/>
  <c r="BG2319" i="93"/>
  <c r="BG2316" i="93"/>
  <c r="BG2314" i="93"/>
  <c r="BG2288" i="93"/>
  <c r="BG2284" i="93"/>
  <c r="BG2282" i="93"/>
  <c r="BG2280" i="93"/>
  <c r="BG2278" i="93"/>
  <c r="BG2275" i="93"/>
  <c r="BG2165" i="93"/>
  <c r="BG2161" i="93"/>
  <c r="BG2145" i="93"/>
  <c r="BG2142" i="93"/>
  <c r="BG2140" i="93"/>
  <c r="BG2130" i="93"/>
  <c r="BG2127" i="93"/>
  <c r="BG2125" i="93"/>
  <c r="BG2120" i="93"/>
  <c r="BG2118" i="93"/>
  <c r="BG2116" i="93"/>
  <c r="BG2114" i="93"/>
  <c r="BG2112" i="93"/>
  <c r="BG2110" i="93"/>
  <c r="BG2108" i="93"/>
  <c r="BG2106" i="93"/>
  <c r="BG2104" i="93"/>
  <c r="BG2102" i="93"/>
  <c r="BG2072" i="93"/>
  <c r="BG2069" i="93"/>
  <c r="BG2067" i="93"/>
  <c r="BG2060" i="93"/>
  <c r="BG2058" i="93"/>
  <c r="BG2052" i="93"/>
  <c r="BG2050" i="93"/>
  <c r="BG2048" i="93"/>
  <c r="BG2033" i="93"/>
  <c r="BG2030" i="93"/>
  <c r="BG2027" i="93"/>
  <c r="BG2020" i="93"/>
  <c r="BG1972" i="93"/>
  <c r="BG1967" i="93"/>
  <c r="BG1964" i="93"/>
  <c r="BG1962" i="93"/>
  <c r="BG1957" i="93"/>
  <c r="BG1948" i="93"/>
  <c r="BG1945" i="93"/>
  <c r="BG1941" i="93"/>
  <c r="BG1938" i="93"/>
  <c r="BG2003" i="93"/>
  <c r="BG1932" i="93"/>
  <c r="BG1930" i="93"/>
  <c r="BG1925" i="93"/>
  <c r="BG1923" i="93"/>
  <c r="BG1921" i="93"/>
  <c r="BG1919" i="93"/>
  <c r="BG1914" i="93"/>
  <c r="BG1912" i="93"/>
  <c r="BG1803" i="93"/>
  <c r="BG1800" i="93"/>
  <c r="BG1798" i="93"/>
  <c r="BG1795" i="93"/>
  <c r="BG1793" i="93"/>
  <c r="BG1790" i="93"/>
  <c r="BG1788" i="93"/>
  <c r="BG1751" i="93"/>
  <c r="BG1745" i="93"/>
  <c r="BG1727" i="93"/>
  <c r="BG1724" i="93"/>
  <c r="BG1722" i="93"/>
  <c r="BG1717" i="93"/>
  <c r="BG1714" i="93"/>
  <c r="BG1711" i="93"/>
  <c r="BG1708" i="93"/>
  <c r="BG1691" i="93"/>
  <c r="BG1689" i="93"/>
  <c r="BG1687" i="93"/>
  <c r="BG1685" i="93"/>
  <c r="BG1683" i="93"/>
  <c r="BG1681" i="93"/>
  <c r="BG1678" i="93"/>
  <c r="BG1676" i="93"/>
  <c r="BG1672" i="93"/>
  <c r="BG1668" i="93"/>
  <c r="BG1666" i="93"/>
  <c r="BG1663" i="93"/>
  <c r="BG1632" i="93"/>
  <c r="BG1629" i="93"/>
  <c r="BG1626" i="93"/>
  <c r="BG1622" i="93"/>
  <c r="BG1617" i="93"/>
  <c r="BG1615" i="93"/>
  <c r="BG1611" i="93"/>
  <c r="BG1609" i="93"/>
  <c r="BG1607" i="93"/>
  <c r="BG1605" i="93"/>
  <c r="BG1561" i="93"/>
  <c r="BG1558" i="93"/>
  <c r="BG1555" i="93"/>
  <c r="BG1553" i="93"/>
  <c r="BG1551" i="93"/>
  <c r="BG1550" i="93"/>
  <c r="BG1545" i="93"/>
  <c r="BG1540" i="93"/>
  <c r="BG1538" i="93"/>
  <c r="BG1536" i="93"/>
  <c r="BG1534" i="93"/>
  <c r="BG1531" i="93"/>
  <c r="BG1528" i="93"/>
  <c r="BG1526" i="93"/>
  <c r="BG1524" i="93"/>
  <c r="BG1522" i="93"/>
  <c r="BG1518" i="93"/>
  <c r="BG1514" i="93"/>
  <c r="BG1496" i="93"/>
  <c r="BG1492" i="93"/>
  <c r="BG1490" i="93"/>
  <c r="BG1487" i="93"/>
  <c r="BG1474" i="93"/>
  <c r="BG1466" i="93"/>
  <c r="BG1462" i="93"/>
  <c r="BG1440" i="93"/>
  <c r="BG1421" i="93"/>
  <c r="BG1419" i="93"/>
  <c r="BG1417" i="93"/>
  <c r="BG1305" i="93"/>
  <c r="BG1293" i="93"/>
  <c r="BG1290" i="93"/>
  <c r="BG1288" i="93"/>
  <c r="BG1286" i="93"/>
  <c r="BG1284" i="93"/>
  <c r="BG1279" i="93"/>
  <c r="BG1277" i="93"/>
  <c r="BG1273" i="93"/>
  <c r="BG1263" i="93"/>
  <c r="BG1259" i="93"/>
  <c r="BG1217" i="93"/>
  <c r="BG1212" i="93"/>
  <c r="BG1209" i="93"/>
  <c r="BG1206" i="93"/>
  <c r="BG1203" i="93"/>
  <c r="BG1198" i="93"/>
  <c r="BG1194" i="93"/>
  <c r="BG1174" i="93"/>
  <c r="BG1163" i="93"/>
  <c r="BG1255" i="93"/>
  <c r="BG1149" i="93"/>
  <c r="BG1124" i="93"/>
  <c r="BG1121" i="93"/>
  <c r="BG1112" i="93"/>
  <c r="BG1107" i="93"/>
  <c r="BG1105" i="93"/>
  <c r="BG1097" i="93"/>
  <c r="BG1065" i="93"/>
  <c r="BG1053" i="93"/>
  <c r="BG1049" i="93"/>
  <c r="BG1021" i="93"/>
  <c r="BG1019" i="93"/>
  <c r="BG1017" i="93"/>
  <c r="BG1013" i="93"/>
  <c r="BG1010" i="93"/>
  <c r="BG1007" i="93"/>
  <c r="BG1004" i="93"/>
  <c r="BG1001" i="93"/>
  <c r="BG982" i="93"/>
  <c r="BG939" i="93"/>
  <c r="BG847" i="93"/>
  <c r="BG845" i="93"/>
  <c r="BG841" i="93"/>
  <c r="BG831" i="93"/>
  <c r="BG827" i="93"/>
  <c r="BG825" i="93"/>
  <c r="BG822" i="93"/>
  <c r="BG820" i="93"/>
  <c r="BG757" i="93"/>
  <c r="BG755" i="93"/>
  <c r="BG752" i="93"/>
  <c r="BG744" i="93"/>
  <c r="BG735" i="93"/>
  <c r="BG733" i="93"/>
  <c r="BG730" i="93"/>
  <c r="BG724" i="93"/>
  <c r="BG722" i="93"/>
  <c r="BG719" i="93"/>
  <c r="BG709" i="93"/>
  <c r="BG707" i="93"/>
  <c r="BG699" i="93"/>
  <c r="BG697" i="93"/>
  <c r="BG692" i="93"/>
  <c r="BG688" i="93"/>
  <c r="BG684" i="93"/>
  <c r="BG669" i="93"/>
  <c r="BG666" i="93"/>
  <c r="BG660" i="93"/>
  <c r="BG658" i="93"/>
  <c r="BG653" i="93"/>
  <c r="BG650" i="93"/>
  <c r="BG647" i="93"/>
  <c r="BG645" i="93"/>
  <c r="BG641" i="93"/>
  <c r="BG639" i="93"/>
  <c r="BG637" i="93"/>
  <c r="BG634" i="93"/>
  <c r="BG632" i="93"/>
  <c r="BG630" i="93"/>
  <c r="BG627" i="93"/>
  <c r="BG624" i="93"/>
  <c r="BG621" i="93"/>
  <c r="BG588" i="93"/>
  <c r="BG585" i="93"/>
  <c r="BG576" i="93"/>
  <c r="BG570" i="93"/>
  <c r="BG496" i="93"/>
  <c r="BG495" i="93"/>
  <c r="BG490" i="93"/>
  <c r="BG458" i="93"/>
  <c r="BG453" i="93"/>
  <c r="BG448" i="93"/>
  <c r="BG434" i="93"/>
  <c r="BG398" i="93"/>
  <c r="BG397" i="93"/>
  <c r="BG396" i="93"/>
  <c r="BG394" i="93"/>
  <c r="BG392" i="93"/>
  <c r="BG390" i="93"/>
  <c r="BG388" i="93"/>
  <c r="BG381" i="93"/>
  <c r="BG378" i="93"/>
  <c r="BG375" i="93"/>
  <c r="BG373" i="93"/>
  <c r="BG369" i="93"/>
  <c r="BG366" i="93"/>
  <c r="BG363" i="93"/>
  <c r="BG289" i="93"/>
  <c r="BG286" i="93"/>
  <c r="BG284" i="93"/>
  <c r="BG279" i="93"/>
  <c r="BG277" i="93"/>
  <c r="BG273" i="93"/>
  <c r="BG271" i="93"/>
  <c r="BG265" i="93"/>
  <c r="BG262" i="93"/>
  <c r="BG260" i="93"/>
  <c r="BG258" i="93"/>
  <c r="BG226" i="93"/>
  <c r="BG162" i="93"/>
  <c r="BG159" i="93"/>
  <c r="BG157" i="93"/>
  <c r="BG155" i="93"/>
  <c r="BG152" i="93"/>
  <c r="BG150" i="93"/>
  <c r="BG107" i="93"/>
  <c r="BG103" i="93"/>
  <c r="BG101" i="93"/>
  <c r="BG97" i="93"/>
  <c r="BG95" i="93"/>
  <c r="BG93" i="93"/>
  <c r="BG91" i="93"/>
  <c r="BG88" i="93"/>
  <c r="BG86" i="93"/>
  <c r="BG84" i="93"/>
  <c r="BG30" i="93"/>
  <c r="BG27" i="93"/>
  <c r="BG3430" i="93"/>
  <c r="BG3487" i="93"/>
  <c r="BG3426" i="93"/>
  <c r="BG3420" i="93"/>
  <c r="BG3418" i="93"/>
  <c r="BG3416" i="93"/>
  <c r="BG3413" i="93"/>
  <c r="BG3411" i="93"/>
  <c r="BG3409" i="93"/>
  <c r="BG3407" i="93"/>
  <c r="BG3137" i="93"/>
  <c r="BG3158" i="93"/>
  <c r="BG3127" i="93"/>
  <c r="BG3123" i="93"/>
  <c r="BG4335" i="93"/>
  <c r="BG4333" i="93"/>
  <c r="BG4332" i="93"/>
  <c r="BG4322" i="93"/>
  <c r="BG4320" i="93"/>
  <c r="BG4247" i="93"/>
  <c r="BG4233" i="93"/>
  <c r="BG4231" i="93"/>
  <c r="BG4213" i="93"/>
  <c r="BG4210" i="93"/>
  <c r="BG4205" i="93"/>
  <c r="BG4202" i="93"/>
  <c r="BG4207" i="93"/>
  <c r="BG4200" i="93"/>
  <c r="BG4198" i="93"/>
  <c r="BG4196" i="93"/>
  <c r="BG4195" i="93"/>
  <c r="BG2134" i="93"/>
  <c r="BG3122" i="93"/>
  <c r="BG3120" i="93"/>
  <c r="BG3117" i="93"/>
  <c r="BG3112" i="93"/>
  <c r="BG4190" i="93"/>
  <c r="BG4189" i="93"/>
  <c r="BG4182" i="93"/>
  <c r="BG4181" i="93"/>
  <c r="BG4176" i="93"/>
  <c r="BG4170" i="93"/>
  <c r="BG4160" i="93"/>
  <c r="BG4156" i="93"/>
  <c r="BG4154" i="93"/>
  <c r="BG4148" i="93"/>
  <c r="BG4144" i="93"/>
  <c r="BG4142" i="93"/>
  <c r="BG4139" i="93"/>
  <c r="BG4137" i="93"/>
  <c r="BG4135" i="93"/>
  <c r="BG4128" i="93"/>
  <c r="BG4115" i="93"/>
  <c r="BG4109" i="93"/>
  <c r="BG4107" i="93"/>
  <c r="BG4104" i="93"/>
  <c r="BG4110" i="93"/>
  <c r="BG4103" i="93"/>
  <c r="BG4099" i="93"/>
  <c r="BG4097" i="93"/>
  <c r="BG4094" i="93"/>
  <c r="BG4090" i="93"/>
  <c r="BG4084" i="93"/>
  <c r="BG4082" i="93"/>
  <c r="BG4087" i="93"/>
  <c r="BG4080" i="93"/>
  <c r="BG4078" i="93"/>
  <c r="BG4076" i="93"/>
  <c r="BG4075" i="93"/>
  <c r="BG4074" i="93"/>
  <c r="BG4070" i="93"/>
  <c r="BG4069" i="93"/>
  <c r="BG4065" i="93"/>
  <c r="BG4062" i="93"/>
  <c r="BG4060" i="93"/>
  <c r="BG4058" i="93"/>
  <c r="BG4055" i="93"/>
  <c r="BG4057" i="93"/>
  <c r="BG4054" i="93"/>
  <c r="BG4063" i="93"/>
  <c r="BG4051" i="93"/>
  <c r="BG4049" i="93"/>
  <c r="BG4047" i="93"/>
  <c r="BG4045" i="93"/>
  <c r="BG4042" i="93"/>
  <c r="BG4040" i="93"/>
  <c r="BG4038" i="93"/>
  <c r="BG4036" i="93"/>
  <c r="BG4037" i="93"/>
  <c r="BG4034" i="93"/>
  <c r="BG4032" i="93"/>
  <c r="BG4028" i="93"/>
  <c r="BG4018" i="93"/>
  <c r="BG4016" i="93"/>
  <c r="BG4012" i="93"/>
  <c r="BG4009" i="93"/>
  <c r="BG4002" i="93"/>
  <c r="BG3966" i="93"/>
  <c r="BG3964" i="93"/>
  <c r="BG3956" i="93"/>
  <c r="BG3942" i="93"/>
  <c r="BG3936" i="93"/>
  <c r="BG3933" i="93"/>
  <c r="BG3932" i="93"/>
  <c r="BG3935" i="93"/>
  <c r="BG3931" i="93"/>
  <c r="BG3927" i="93"/>
  <c r="BG3924" i="93"/>
  <c r="BG3912" i="93"/>
  <c r="BG3909" i="93"/>
  <c r="BG3878" i="93"/>
  <c r="BG3876" i="93"/>
  <c r="BG3869" i="93"/>
  <c r="BG3851" i="93"/>
  <c r="BG3848" i="93"/>
  <c r="BG3844" i="93"/>
  <c r="BG3842" i="93"/>
  <c r="BG3839" i="93"/>
  <c r="BG3837" i="93"/>
  <c r="BG3819" i="93"/>
  <c r="BG3817" i="93"/>
  <c r="BG3812" i="93"/>
  <c r="BG3802" i="93"/>
  <c r="BG3798" i="93"/>
  <c r="BG3796" i="93"/>
  <c r="BG3794" i="93"/>
  <c r="BG3792" i="93"/>
  <c r="BG3778" i="93"/>
  <c r="BG3776" i="93"/>
  <c r="BG3767" i="93"/>
  <c r="BG3762" i="93"/>
  <c r="BG3707" i="93"/>
  <c r="BG3705" i="93"/>
  <c r="BG3701" i="93"/>
  <c r="BG3698" i="93"/>
  <c r="BG3695" i="93"/>
  <c r="BG3690" i="93"/>
  <c r="BG3687" i="93"/>
  <c r="BG3683" i="93"/>
  <c r="BG3676" i="93"/>
  <c r="BG3674" i="93"/>
  <c r="BG3672" i="93"/>
  <c r="BG3666" i="93"/>
  <c r="BG3662" i="93"/>
  <c r="BG3660" i="93"/>
  <c r="BG3658" i="93"/>
  <c r="BG3654" i="93"/>
  <c r="BG3652" i="93"/>
  <c r="BG3600" i="93"/>
  <c r="BG3595" i="93"/>
  <c r="BG3587" i="93"/>
  <c r="BG3585" i="93"/>
  <c r="BG3583" i="93"/>
  <c r="BG3578" i="93"/>
  <c r="BG3576" i="93"/>
  <c r="BG3546" i="93"/>
  <c r="BG3540" i="93"/>
  <c r="BG3538" i="93"/>
  <c r="BG3536" i="93"/>
  <c r="BG3530" i="93"/>
  <c r="BG3528" i="93"/>
  <c r="BG3526" i="93"/>
  <c r="BG3523" i="93"/>
  <c r="BG3519" i="93"/>
  <c r="BG3518" i="93"/>
  <c r="BG3516" i="93"/>
  <c r="BG3512" i="93"/>
  <c r="BG3510" i="93"/>
  <c r="BG3496" i="93"/>
  <c r="BG3491" i="93"/>
  <c r="BG3360" i="93"/>
  <c r="BG3355" i="93"/>
  <c r="BG3353" i="93"/>
  <c r="BG3351" i="93"/>
  <c r="BG3349" i="93"/>
  <c r="BG3344" i="93"/>
  <c r="BG3342" i="93"/>
  <c r="BG3340" i="93"/>
  <c r="BG3338" i="93"/>
  <c r="BG3336" i="93"/>
  <c r="BG3334" i="93"/>
  <c r="BG3327" i="93"/>
  <c r="BG3324" i="93"/>
  <c r="BG3322" i="93"/>
  <c r="BG3317" i="93"/>
  <c r="BG3315" i="93"/>
  <c r="BG3313" i="93"/>
  <c r="BG3311" i="93"/>
  <c r="BG3309" i="93"/>
  <c r="BG3306" i="93"/>
  <c r="BG3304" i="93"/>
  <c r="BG3302" i="93"/>
  <c r="BG3300" i="93"/>
  <c r="BG3298" i="93"/>
  <c r="BG3294" i="93"/>
  <c r="BG3292" i="93"/>
  <c r="BG3289" i="93"/>
  <c r="BG3287" i="93"/>
  <c r="BG3285" i="93"/>
  <c r="BG3283" i="93"/>
  <c r="BG3281" i="93"/>
  <c r="BG3279" i="93"/>
  <c r="BG3276" i="93"/>
  <c r="BG3241" i="93"/>
  <c r="BG3238" i="93"/>
  <c r="BG3236" i="93"/>
  <c r="BG3232" i="93"/>
  <c r="BG3229" i="93"/>
  <c r="BG3171" i="93"/>
  <c r="BG3168" i="93"/>
  <c r="BG3161" i="93"/>
  <c r="BG3077" i="93"/>
  <c r="BG3074" i="93"/>
  <c r="BG3072" i="93"/>
  <c r="BG3070" i="93"/>
  <c r="BG3066" i="93"/>
  <c r="BG3064" i="93"/>
  <c r="BG3062" i="93"/>
  <c r="BG3060" i="93"/>
  <c r="BG3057" i="93"/>
  <c r="BG3055" i="93"/>
  <c r="BG3052" i="93"/>
  <c r="BG3049" i="93"/>
  <c r="BG3047" i="93"/>
  <c r="BG3045" i="93"/>
  <c r="BG3042" i="93"/>
  <c r="BG3040" i="93"/>
  <c r="BG3038" i="93"/>
  <c r="BG3036" i="93"/>
  <c r="BG3034" i="93"/>
  <c r="BG2997" i="93"/>
  <c r="BG2992" i="93"/>
  <c r="BG2986" i="93"/>
  <c r="BG2982" i="93"/>
  <c r="BG2979" i="93"/>
  <c r="BG2976" i="93"/>
  <c r="BG2962" i="93"/>
  <c r="BG2956" i="93"/>
  <c r="BG2954" i="93"/>
  <c r="BG2949" i="93"/>
  <c r="BG2946" i="93"/>
  <c r="BG2944" i="93"/>
  <c r="BG2942" i="93"/>
  <c r="BG2940" i="93"/>
  <c r="BG2938" i="93"/>
  <c r="BG2936" i="93"/>
  <c r="BG2935" i="93"/>
  <c r="BG2933" i="93"/>
  <c r="BG2931" i="93"/>
  <c r="BG2877" i="93"/>
  <c r="BG2875" i="93"/>
  <c r="BG2872" i="93"/>
  <c r="BG2870" i="93"/>
  <c r="BG2868" i="93"/>
  <c r="BG2866" i="93"/>
  <c r="BG2864" i="93"/>
  <c r="BG2860" i="93"/>
  <c r="BG2855" i="93"/>
  <c r="BG2850" i="93"/>
  <c r="BG2847" i="93"/>
  <c r="BG2845" i="93"/>
  <c r="BG2843" i="93"/>
  <c r="BG2841" i="93"/>
  <c r="BG2837" i="93"/>
  <c r="BG2835" i="93"/>
  <c r="BG2832" i="93"/>
  <c r="BG2827" i="93"/>
  <c r="BG2919" i="93"/>
  <c r="BG2822" i="93"/>
  <c r="BG2816" i="93"/>
  <c r="BG2814" i="93"/>
  <c r="BG2811" i="93"/>
  <c r="BG2809" i="93"/>
  <c r="BG2802" i="93"/>
  <c r="BG2799" i="93"/>
  <c r="BG2796" i="93"/>
  <c r="BG2794" i="93"/>
  <c r="BG2790" i="93"/>
  <c r="BG2787" i="93"/>
  <c r="BG2785" i="93"/>
  <c r="BG2783" i="93"/>
  <c r="BG2781" i="93"/>
  <c r="BG2771" i="93"/>
  <c r="BG2769" i="93"/>
  <c r="BG2766" i="93"/>
  <c r="BG2763" i="93"/>
  <c r="BG2761" i="93"/>
  <c r="BG2758" i="93"/>
  <c r="BG2756" i="93"/>
  <c r="BG2754" i="93"/>
  <c r="BG2752" i="93"/>
  <c r="BG2750" i="93"/>
  <c r="BG2748" i="93"/>
  <c r="BG2744" i="93"/>
  <c r="BG2740" i="93"/>
  <c r="BG2737" i="93"/>
  <c r="BG2734" i="93"/>
  <c r="BG2732" i="93"/>
  <c r="BG2730" i="93"/>
  <c r="BG2726" i="93"/>
  <c r="BG2722" i="93"/>
  <c r="BG2636" i="93"/>
  <c r="BG2633" i="93"/>
  <c r="BG2632" i="93"/>
  <c r="BG2629" i="93"/>
  <c r="BG2620" i="93"/>
  <c r="BG2618" i="93"/>
  <c r="BG2617" i="93"/>
  <c r="BG2608" i="93"/>
  <c r="BG2604" i="93"/>
  <c r="BG2601" i="93"/>
  <c r="BG2599" i="93"/>
  <c r="BG2596" i="93"/>
  <c r="BG2594" i="93"/>
  <c r="BG2592" i="93"/>
  <c r="BG2590" i="93"/>
  <c r="BG2588" i="93"/>
  <c r="BG2585" i="93"/>
  <c r="BG2583" i="93"/>
  <c r="BG2578" i="93"/>
  <c r="BG2573" i="93"/>
  <c r="BG2565" i="93"/>
  <c r="BG2563" i="93"/>
  <c r="BG2561" i="93"/>
  <c r="BG2559" i="93"/>
  <c r="BG2557" i="93"/>
  <c r="BG2555" i="93"/>
  <c r="BG2553" i="93"/>
  <c r="BG2551" i="93"/>
  <c r="BG2549" i="93"/>
  <c r="BG2547" i="93"/>
  <c r="BG2544" i="93"/>
  <c r="BG2542" i="93"/>
  <c r="BG2540" i="93"/>
  <c r="BG2538" i="93"/>
  <c r="BG2534" i="93"/>
  <c r="BG2442" i="93"/>
  <c r="BG2383" i="93"/>
  <c r="BG2311" i="93"/>
  <c r="BG2308" i="93"/>
  <c r="BG2305" i="93"/>
  <c r="BG2303" i="93"/>
  <c r="BG2296" i="93"/>
  <c r="BG2271" i="93"/>
  <c r="BG2269" i="93"/>
  <c r="BG2265" i="93"/>
  <c r="BG2263" i="93"/>
  <c r="BG2261" i="93"/>
  <c r="BG2258" i="93"/>
  <c r="BG2256" i="93"/>
  <c r="BG2254" i="93"/>
  <c r="BG2252" i="93"/>
  <c r="BG2250" i="93"/>
  <c r="BG2244" i="93"/>
  <c r="BG2242" i="93"/>
  <c r="BG2239" i="93"/>
  <c r="BG2237" i="93"/>
  <c r="BG2235" i="93"/>
  <c r="BG2231" i="93"/>
  <c r="BG2229" i="93"/>
  <c r="BG2226" i="93"/>
  <c r="BG2224" i="93"/>
  <c r="BG2222" i="93"/>
  <c r="BG2220" i="93"/>
  <c r="BG2218" i="93"/>
  <c r="BG2214" i="93"/>
  <c r="BG2212" i="93"/>
  <c r="BG2210" i="93"/>
  <c r="BG2207" i="93"/>
  <c r="BG2205" i="93"/>
  <c r="BG2203" i="93"/>
  <c r="BG2193" i="93"/>
  <c r="BG2191" i="93"/>
  <c r="BG2186" i="93"/>
  <c r="BG2184" i="93"/>
  <c r="BG2181" i="93"/>
  <c r="BG2177" i="93"/>
  <c r="BG2099" i="93"/>
  <c r="BG2097" i="93"/>
  <c r="BG2093" i="93"/>
  <c r="BG2091" i="93"/>
  <c r="BG2087" i="93"/>
  <c r="BG2085" i="93"/>
  <c r="BG2082" i="93"/>
  <c r="BG2080" i="93"/>
  <c r="BG2078" i="93"/>
  <c r="BG2075" i="93"/>
  <c r="BG2061" i="93"/>
  <c r="BG2041" i="93"/>
  <c r="BG2039" i="93"/>
  <c r="BG2019" i="93"/>
  <c r="BG2010" i="93"/>
  <c r="BG2008" i="93"/>
  <c r="BG2001" i="93"/>
  <c r="BG1998" i="93"/>
  <c r="BG1993" i="93"/>
  <c r="BG1985" i="93"/>
  <c r="BG1981" i="93"/>
  <c r="BG1979" i="93"/>
  <c r="BG1975" i="93"/>
  <c r="BG1907" i="93"/>
  <c r="BG1904" i="93"/>
  <c r="BG1902" i="93"/>
  <c r="BG1899" i="93"/>
  <c r="BG1897" i="93"/>
  <c r="BG1895" i="93"/>
  <c r="BG1889" i="93"/>
  <c r="BG1887" i="93"/>
  <c r="BG1885" i="93"/>
  <c r="BG1883" i="93"/>
  <c r="BG1881" i="93"/>
  <c r="BG1879" i="93"/>
  <c r="BG1877" i="93"/>
  <c r="BG1874" i="93"/>
  <c r="BG1871" i="93"/>
  <c r="BG1869" i="93"/>
  <c r="BG1865" i="93"/>
  <c r="BG1861" i="93"/>
  <c r="BG1858" i="93"/>
  <c r="BG1856" i="93"/>
  <c r="BG1854" i="93"/>
  <c r="BG1851" i="93"/>
  <c r="BG1848" i="93"/>
  <c r="BG1844" i="93"/>
  <c r="BG1836" i="93"/>
  <c r="BG1834" i="93"/>
  <c r="BG1832" i="93"/>
  <c r="BG1828" i="93"/>
  <c r="BG1826" i="93"/>
  <c r="BG1824" i="93"/>
  <c r="BG1818" i="93"/>
  <c r="BG1817" i="93"/>
  <c r="BG1785" i="93"/>
  <c r="BG1783" i="93"/>
  <c r="BG1778" i="93"/>
  <c r="BG1775" i="93"/>
  <c r="BG1773" i="93"/>
  <c r="BG1771" i="93"/>
  <c r="BG1769" i="93"/>
  <c r="BG1766" i="93"/>
  <c r="BG1762" i="93"/>
  <c r="BG1756" i="93"/>
  <c r="BG1753" i="93"/>
  <c r="BG1742" i="93"/>
  <c r="BG1738" i="93"/>
  <c r="BG1699" i="93"/>
  <c r="BG1694" i="93"/>
  <c r="BG1659" i="93"/>
  <c r="BG1654" i="93"/>
  <c r="BG1651" i="93"/>
  <c r="BG1649" i="93"/>
  <c r="BG1647" i="93"/>
  <c r="BG1696" i="93"/>
  <c r="BG1646" i="93"/>
  <c r="BG1638" i="93"/>
  <c r="BG1600" i="93"/>
  <c r="BG1597" i="93"/>
  <c r="BG1594" i="93"/>
  <c r="BG1592" i="93"/>
  <c r="BG1590" i="93"/>
  <c r="BG1588" i="93"/>
  <c r="BG1585" i="93"/>
  <c r="BG1581" i="93"/>
  <c r="BG1579" i="93"/>
  <c r="BG1577" i="93"/>
  <c r="BG1573" i="93"/>
  <c r="BG1570" i="93"/>
  <c r="BG1567" i="93"/>
  <c r="BG1507" i="93"/>
  <c r="BG1504" i="93"/>
  <c r="BG1460" i="93"/>
  <c r="BG1456" i="93"/>
  <c r="BG1449" i="93"/>
  <c r="BG1447" i="93"/>
  <c r="BG1431" i="93"/>
  <c r="BG1429" i="93"/>
  <c r="BG1425" i="93"/>
  <c r="BG1423" i="93"/>
  <c r="BG1411" i="93"/>
  <c r="BG1380" i="93"/>
  <c r="BG1377" i="93"/>
  <c r="BG1375" i="93"/>
  <c r="BG1360" i="93"/>
  <c r="BG1353" i="93"/>
  <c r="BG1348" i="93"/>
  <c r="BG1346" i="93"/>
  <c r="BG1344" i="93"/>
  <c r="BG1330" i="93"/>
  <c r="BG1321" i="93"/>
  <c r="BG1317" i="93"/>
  <c r="BG1315" i="93"/>
  <c r="BG1312" i="93"/>
  <c r="BG1257" i="93"/>
  <c r="BG1247" i="93"/>
  <c r="BG1245" i="93"/>
  <c r="BG1243" i="93"/>
  <c r="BG1241" i="93"/>
  <c r="BG1235" i="93"/>
  <c r="BG1232" i="93"/>
  <c r="BG1229" i="93"/>
  <c r="BG1227" i="93"/>
  <c r="BG1225" i="93"/>
  <c r="BG1231" i="93"/>
  <c r="BG1187" i="93"/>
  <c r="BG1184" i="93"/>
  <c r="BG1183" i="93"/>
  <c r="BG1180" i="93"/>
  <c r="BG1178" i="93"/>
  <c r="BG1176" i="93"/>
  <c r="BG1154" i="93"/>
  <c r="BG1152" i="93"/>
  <c r="BG1150" i="93"/>
  <c r="BG1147" i="93"/>
  <c r="BG1131" i="93"/>
  <c r="BG1117" i="93"/>
  <c r="BG1102" i="93"/>
  <c r="BG1094" i="93"/>
  <c r="BG1090" i="93"/>
  <c r="BG1087" i="93"/>
  <c r="BG1085" i="93"/>
  <c r="BG1078" i="93"/>
  <c r="BG1074" i="93"/>
  <c r="BG1072" i="93"/>
  <c r="BG1070" i="93"/>
  <c r="BG1039" i="93"/>
  <c r="BG1037" i="93"/>
  <c r="BG1033" i="93"/>
  <c r="BG1024" i="93"/>
  <c r="BG974" i="93"/>
  <c r="BG962" i="93"/>
  <c r="BG957" i="93"/>
  <c r="BG943" i="93"/>
  <c r="BG936" i="93"/>
  <c r="BG932" i="93"/>
  <c r="BG929" i="93"/>
  <c r="BG926" i="93"/>
  <c r="BG924" i="93"/>
  <c r="BG921" i="93"/>
  <c r="BG887" i="93"/>
  <c r="BG885" i="93"/>
  <c r="BG883" i="93"/>
  <c r="BG881" i="93"/>
  <c r="BG879" i="93"/>
  <c r="BG819" i="93"/>
  <c r="BG817" i="93"/>
  <c r="BG814" i="93"/>
  <c r="BG808" i="93"/>
  <c r="BG805" i="93"/>
  <c r="BG797" i="93"/>
  <c r="BG793" i="93"/>
  <c r="BG790" i="93"/>
  <c r="BG786" i="93"/>
  <c r="BG784" i="93"/>
  <c r="BG781" i="93"/>
  <c r="BG779" i="93"/>
  <c r="BG774" i="93"/>
  <c r="BG769" i="93"/>
  <c r="BG673" i="93"/>
  <c r="BG607" i="93"/>
  <c r="BG603" i="93"/>
  <c r="BG601" i="93"/>
  <c r="BG599" i="93"/>
  <c r="BG597" i="93"/>
  <c r="BG300" i="93"/>
  <c r="BG549" i="93"/>
  <c r="BG547" i="93"/>
  <c r="BG544" i="93"/>
  <c r="BG541" i="93"/>
  <c r="BG540" i="93"/>
  <c r="BG539" i="93"/>
  <c r="BG534" i="93"/>
  <c r="BG532" i="93"/>
  <c r="BG531" i="93"/>
  <c r="BG529" i="93"/>
  <c r="BG526" i="93"/>
  <c r="BG523" i="93"/>
  <c r="BG519" i="93"/>
  <c r="BG510" i="93"/>
  <c r="BG503" i="93"/>
  <c r="BG483" i="93"/>
  <c r="BG482" i="93"/>
  <c r="BG479" i="93"/>
  <c r="BG475" i="93"/>
  <c r="BG402" i="93"/>
  <c r="BG359" i="93"/>
  <c r="BG357" i="93"/>
  <c r="BG355" i="93"/>
  <c r="BG354" i="93"/>
  <c r="BG351" i="93"/>
  <c r="BG345" i="93"/>
  <c r="BG343" i="93"/>
  <c r="BG341" i="93"/>
  <c r="BG336" i="93"/>
  <c r="BG332" i="93"/>
  <c r="BG331" i="93"/>
  <c r="BG329" i="93"/>
  <c r="BG326" i="93"/>
  <c r="BG323" i="93"/>
  <c r="BG321" i="93"/>
  <c r="BG319" i="93"/>
  <c r="BG316" i="93"/>
  <c r="BG314" i="93"/>
  <c r="BG312" i="93"/>
  <c r="BG310" i="93"/>
  <c r="BG304" i="93"/>
  <c r="BG297" i="93"/>
  <c r="BG294" i="93"/>
  <c r="BG255" i="93"/>
  <c r="BG252" i="93"/>
  <c r="BG250" i="93"/>
  <c r="BG246" i="93"/>
  <c r="BG242" i="93"/>
  <c r="BG212" i="93"/>
  <c r="BG210" i="93"/>
  <c r="BG204" i="93"/>
  <c r="BG202" i="93"/>
  <c r="BG200" i="93"/>
  <c r="BG196" i="93"/>
  <c r="BG192" i="93"/>
  <c r="BG190" i="93"/>
  <c r="BG186" i="93"/>
  <c r="BG183" i="93"/>
  <c r="BG179" i="93"/>
  <c r="BG177" i="93"/>
  <c r="BG175" i="93"/>
  <c r="BG173" i="93"/>
  <c r="BG171" i="93"/>
  <c r="BG169" i="93"/>
  <c r="BG166" i="93"/>
  <c r="BG139" i="93"/>
  <c r="BG134" i="93"/>
  <c r="BG132" i="93"/>
  <c r="BG130" i="93"/>
  <c r="BG125" i="93"/>
  <c r="BG123" i="93"/>
  <c r="BG121" i="93"/>
  <c r="BG118" i="93"/>
  <c r="BG115" i="93"/>
  <c r="BG113" i="93"/>
  <c r="BG79" i="93"/>
  <c r="BG77" i="93"/>
  <c r="BG60" i="93"/>
  <c r="BG53" i="93"/>
  <c r="BG51" i="93"/>
  <c r="BG42" i="93"/>
  <c r="BG39" i="93"/>
  <c r="BG4252" i="93"/>
  <c r="BG4251" i="93"/>
  <c r="BG2004" i="93"/>
  <c r="BG2686" i="93"/>
  <c r="BG2999" i="93"/>
  <c r="BG1374" i="93"/>
  <c r="BG384" i="93"/>
  <c r="BG1707" i="93"/>
  <c r="BG1100" i="93"/>
  <c r="BG4371" i="93"/>
  <c r="BG4367" i="93"/>
  <c r="BG4363" i="93"/>
  <c r="BG567" i="93"/>
  <c r="BG4370" i="93"/>
  <c r="BG4366" i="93"/>
  <c r="BG4362" i="93"/>
  <c r="BG3593" i="93"/>
  <c r="BG3591" i="93"/>
  <c r="BG3589" i="93"/>
  <c r="BG1045" i="93"/>
  <c r="BG1433" i="93"/>
  <c r="BG1304" i="93"/>
  <c r="BG4167" i="93"/>
  <c r="BG2437" i="93"/>
  <c r="BG1641" i="93"/>
  <c r="BG1482" i="93"/>
  <c r="BG1446" i="93"/>
  <c r="BG148" i="93"/>
  <c r="BG117" i="93"/>
  <c r="BG3886" i="93"/>
  <c r="BG3774" i="93"/>
  <c r="BG3225" i="93"/>
  <c r="BG4336" i="93"/>
  <c r="BG4312" i="93"/>
  <c r="BG3167" i="93"/>
  <c r="BG2888" i="93"/>
  <c r="BG2380" i="93"/>
  <c r="BG2347" i="93"/>
  <c r="BG2132" i="93"/>
  <c r="BG2095" i="93"/>
  <c r="BG2152" i="93"/>
  <c r="BG1973" i="93"/>
  <c r="BG1486" i="93"/>
  <c r="BG1461" i="93"/>
  <c r="BG400" i="93"/>
  <c r="BG1693" i="93"/>
  <c r="BG1269" i="93"/>
  <c r="BG3906" i="93"/>
  <c r="BG3804" i="93"/>
  <c r="BG3780" i="93"/>
  <c r="BG2349" i="93"/>
  <c r="BG2339" i="93"/>
  <c r="BG2073" i="93"/>
  <c r="BG1786" i="93"/>
  <c r="BG1484" i="93"/>
  <c r="BG1473" i="93"/>
  <c r="BG147" i="93"/>
  <c r="BG2313" i="93"/>
  <c r="BG4243" i="93"/>
  <c r="BG4238" i="93"/>
  <c r="BG4236" i="93"/>
  <c r="BG3401" i="93"/>
  <c r="BG3399" i="93"/>
  <c r="BG3397" i="93"/>
  <c r="BG3395" i="93"/>
  <c r="BG3106" i="93"/>
  <c r="BG3103" i="93"/>
  <c r="BG3099" i="93"/>
  <c r="BG3097" i="93"/>
  <c r="BG3095" i="93"/>
  <c r="BG3092" i="93"/>
  <c r="BG3090" i="93"/>
  <c r="BG3088" i="93"/>
  <c r="BG3086" i="93"/>
  <c r="BG3083" i="93"/>
  <c r="BG3079" i="93"/>
  <c r="BG4353" i="93"/>
  <c r="BG4350" i="93"/>
  <c r="BG4347" i="93"/>
  <c r="BG4345" i="93"/>
  <c r="BG4344" i="93"/>
  <c r="BG4343" i="93"/>
  <c r="BG4341" i="93"/>
  <c r="BG4338" i="93"/>
  <c r="BG4309" i="93"/>
  <c r="BG4307" i="93"/>
  <c r="BG4301" i="93"/>
  <c r="BG4299" i="93"/>
  <c r="BG4297" i="93"/>
  <c r="BG4294" i="93"/>
  <c r="BG4290" i="93"/>
  <c r="BG4289" i="93"/>
  <c r="BG4287" i="93"/>
  <c r="BG4284" i="93"/>
  <c r="BG4276" i="93"/>
  <c r="BG4274" i="93"/>
  <c r="BG4269" i="93"/>
  <c r="BG4267" i="93"/>
  <c r="BG4264" i="93"/>
  <c r="BG4261" i="93"/>
  <c r="BG4253" i="93"/>
  <c r="BG4224" i="93"/>
  <c r="BG4193" i="93"/>
  <c r="BG4183" i="93"/>
  <c r="BG4172" i="93"/>
  <c r="BG4169" i="93"/>
  <c r="BG4119" i="93"/>
  <c r="BG3998" i="93"/>
  <c r="BG3996" i="93"/>
  <c r="BG3991" i="93"/>
  <c r="BG3995" i="93"/>
  <c r="BG3992" i="93"/>
  <c r="BG3989" i="93"/>
  <c r="BG3983" i="93"/>
  <c r="BG3980" i="93"/>
  <c r="BG3977" i="93"/>
  <c r="BG3975" i="93"/>
  <c r="BG3971" i="93"/>
  <c r="BG3950" i="93"/>
  <c r="BG3946" i="93"/>
  <c r="BG3916" i="93"/>
  <c r="BG3907" i="93"/>
  <c r="BG3867" i="93"/>
  <c r="BG3865" i="93"/>
  <c r="BG3863" i="93"/>
  <c r="BG3860" i="93"/>
  <c r="BG3831" i="93"/>
  <c r="BG3826" i="93"/>
  <c r="BG3806" i="93"/>
  <c r="BG3789" i="93"/>
  <c r="BG3822" i="93"/>
  <c r="BG3784" i="93"/>
  <c r="BG3782" i="93"/>
  <c r="BG3772" i="93"/>
  <c r="BG3755" i="93"/>
  <c r="BG3752" i="93"/>
  <c r="BG3747" i="93"/>
  <c r="BG3743" i="93"/>
  <c r="BG3740" i="93"/>
  <c r="BG3738" i="93"/>
  <c r="BG3735" i="93"/>
  <c r="BG3733" i="93"/>
  <c r="BG3731" i="93"/>
  <c r="BG3728" i="93"/>
  <c r="BG3725" i="93"/>
  <c r="BG3722" i="93"/>
  <c r="BG3719" i="93"/>
  <c r="BG3717" i="93"/>
  <c r="BG3714" i="93"/>
  <c r="BG3712" i="93"/>
  <c r="BG3648" i="93"/>
  <c r="BG3646" i="93"/>
  <c r="BG3637" i="93"/>
  <c r="BG3635" i="93"/>
  <c r="BG3631" i="93"/>
  <c r="BG3628" i="93"/>
  <c r="BG3626" i="93"/>
  <c r="BG3620" i="93"/>
  <c r="BG3617" i="93"/>
  <c r="BG3614" i="93"/>
  <c r="BG3612" i="93"/>
  <c r="BG3609" i="93"/>
  <c r="BG3607" i="93"/>
  <c r="BG3604" i="93"/>
  <c r="BG3567" i="93"/>
  <c r="BG3565" i="93"/>
  <c r="BG3563" i="93"/>
  <c r="BG3561" i="93"/>
  <c r="BG3559" i="93"/>
  <c r="BG3557" i="93"/>
  <c r="BG3553" i="93"/>
  <c r="BG3485" i="93"/>
  <c r="BG3483" i="93"/>
  <c r="BG3481" i="93"/>
  <c r="BG3479" i="93"/>
  <c r="BG3476" i="93"/>
  <c r="BG3474" i="93"/>
  <c r="BG3473" i="93"/>
  <c r="BG3471" i="93"/>
  <c r="BG3469" i="93"/>
  <c r="BG3466" i="93"/>
  <c r="BG3464" i="93"/>
  <c r="BG3461" i="93"/>
  <c r="BG3458" i="93"/>
  <c r="BG3456" i="93"/>
  <c r="BG3452" i="93"/>
  <c r="BG3450" i="93"/>
  <c r="BG3445" i="93"/>
  <c r="BG3442" i="93"/>
  <c r="BG3440" i="93"/>
  <c r="BG3438" i="93"/>
  <c r="BG3435" i="93"/>
  <c r="BG3433" i="93"/>
  <c r="BG3345" i="93"/>
  <c r="BG3380" i="93"/>
  <c r="BG3370" i="93"/>
  <c r="BG3261" i="93"/>
  <c r="BG3259" i="93"/>
  <c r="BG3257" i="93"/>
  <c r="BG3255" i="93"/>
  <c r="BG3253" i="93"/>
  <c r="BG3251" i="93"/>
  <c r="BG3249" i="93"/>
  <c r="BG3247" i="93"/>
  <c r="BG3221" i="93"/>
  <c r="BG3218" i="93"/>
  <c r="BG3216" i="93"/>
  <c r="BG3210" i="93"/>
  <c r="BG3204" i="93"/>
  <c r="BG3201" i="93"/>
  <c r="BG3198" i="93"/>
  <c r="BG3196" i="93"/>
  <c r="BG3194" i="93"/>
  <c r="BG3192" i="93"/>
  <c r="BG3190" i="93"/>
  <c r="BG3187" i="93"/>
  <c r="BG3184" i="93"/>
  <c r="BG3182" i="93"/>
  <c r="BG3180" i="93"/>
  <c r="BG3177" i="93"/>
  <c r="BG3156" i="93"/>
  <c r="BG3154" i="93"/>
  <c r="BG3152" i="93"/>
  <c r="BG3148" i="93"/>
  <c r="BG3143" i="93"/>
  <c r="BG3031" i="93"/>
  <c r="BG3029" i="93"/>
  <c r="BG3027" i="93"/>
  <c r="BG3025" i="93"/>
  <c r="BG3023" i="93"/>
  <c r="BG3021" i="93"/>
  <c r="BG3019" i="93"/>
  <c r="BG3017" i="93"/>
  <c r="BG3014" i="93"/>
  <c r="BG3010" i="93"/>
  <c r="BG3008" i="93"/>
  <c r="BG2927" i="93"/>
  <c r="BG2918" i="93"/>
  <c r="BG2915" i="93"/>
  <c r="BG2913" i="93"/>
  <c r="BG2911" i="93"/>
  <c r="BG2909" i="93"/>
  <c r="BG2906" i="93"/>
  <c r="BG2902" i="93"/>
  <c r="BG2899" i="93"/>
  <c r="BG2896" i="93"/>
  <c r="BG2894" i="93"/>
  <c r="BG2890" i="93"/>
  <c r="BG2718" i="93"/>
  <c r="BG2712" i="93"/>
  <c r="BG2710" i="93"/>
  <c r="BG2708" i="93"/>
  <c r="BG2705" i="93"/>
  <c r="BG2703" i="93"/>
  <c r="BG2701" i="93"/>
  <c r="BG2699" i="93"/>
  <c r="BG2697" i="93"/>
  <c r="BG2695" i="93"/>
  <c r="BG2693" i="93"/>
  <c r="BG2691" i="93"/>
  <c r="BG2682" i="93"/>
  <c r="BG2679" i="93"/>
  <c r="BG2676" i="93"/>
  <c r="BG2674" i="93"/>
  <c r="BG2672" i="93"/>
  <c r="BG2670" i="93"/>
  <c r="BG2668" i="93"/>
  <c r="BG2664" i="93"/>
  <c r="BG2658" i="93"/>
  <c r="BG2656" i="93"/>
  <c r="BG2652" i="93"/>
  <c r="BG2650" i="93"/>
  <c r="BG2648" i="93"/>
  <c r="BG2646" i="93"/>
  <c r="BG2644" i="93"/>
  <c r="BG2642" i="93"/>
  <c r="BG2640" i="93"/>
  <c r="BG2625" i="93"/>
  <c r="BG2623" i="93"/>
  <c r="BG2531" i="93"/>
  <c r="BG2527" i="93"/>
  <c r="BG2525" i="93"/>
  <c r="BG2523" i="93"/>
  <c r="BG2521" i="93"/>
  <c r="BG2514" i="93"/>
  <c r="BG2512" i="93"/>
  <c r="BG2510" i="93"/>
  <c r="BG2506" i="93"/>
  <c r="BG2504" i="93"/>
  <c r="BG2502" i="93"/>
  <c r="BG2499" i="93"/>
  <c r="BG2497" i="93"/>
  <c r="BG2494" i="93"/>
  <c r="BG2492" i="93"/>
  <c r="BG2490" i="93"/>
  <c r="BG2487" i="93"/>
  <c r="BG2480" i="93"/>
  <c r="BG2477" i="93"/>
  <c r="BG2472" i="93"/>
  <c r="BG2466" i="93"/>
  <c r="BG2461" i="93"/>
  <c r="BG2455" i="93"/>
  <c r="BG2440" i="93"/>
  <c r="BG2436" i="93"/>
  <c r="BG2431" i="93"/>
  <c r="BG2429" i="93"/>
  <c r="BG2425" i="93"/>
  <c r="BG2423" i="93"/>
  <c r="BG2421" i="93"/>
  <c r="BG2418" i="93"/>
  <c r="BG2414" i="93"/>
  <c r="BG2412" i="93"/>
  <c r="BG2409" i="93"/>
  <c r="BG2406" i="93"/>
  <c r="BG2404" i="93"/>
  <c r="BG2402" i="93"/>
  <c r="BG2400" i="93"/>
  <c r="BG2397" i="93"/>
  <c r="BG2395" i="93"/>
  <c r="BG2392" i="93"/>
  <c r="BG2389" i="93"/>
  <c r="BG2387" i="93"/>
  <c r="BG2385" i="93"/>
  <c r="BG2369" i="93"/>
  <c r="BG2360" i="93"/>
  <c r="BG2350" i="93"/>
  <c r="BG2334" i="93"/>
  <c r="BG2330" i="93"/>
  <c r="BG2328" i="93"/>
  <c r="BG2326" i="93"/>
  <c r="BG2322" i="93"/>
  <c r="BG2320" i="93"/>
  <c r="BG2318" i="93"/>
  <c r="BG2315" i="93"/>
  <c r="BG2290" i="93"/>
  <c r="BG2286" i="93"/>
  <c r="BG2283" i="93"/>
  <c r="BG2281" i="93"/>
  <c r="BG2279" i="93"/>
  <c r="BG2277" i="93"/>
  <c r="BG2196" i="93"/>
  <c r="BG2162" i="93"/>
  <c r="BG2144" i="93"/>
  <c r="BG2141" i="93"/>
  <c r="BG2139" i="93"/>
  <c r="BG2129" i="93"/>
  <c r="BG2126" i="93"/>
  <c r="BG2123" i="93"/>
  <c r="BG2119" i="93"/>
  <c r="BG2117" i="93"/>
  <c r="BG2115" i="93"/>
  <c r="BG2113" i="93"/>
  <c r="BG2111" i="93"/>
  <c r="BG2109" i="93"/>
  <c r="BG2107" i="93"/>
  <c r="BG2105" i="93"/>
  <c r="BG2103" i="93"/>
  <c r="BG2101" i="93"/>
  <c r="BG2071" i="93"/>
  <c r="BG2068" i="93"/>
  <c r="BG2065" i="93"/>
  <c r="BG2059" i="93"/>
  <c r="BG2053" i="93"/>
  <c r="BG2051" i="93"/>
  <c r="BG2049" i="93"/>
  <c r="BG2034" i="93"/>
  <c r="BG2032" i="93"/>
  <c r="BG2028" i="93"/>
  <c r="BG2026" i="93"/>
  <c r="BG2021" i="93"/>
  <c r="BG2014" i="93"/>
  <c r="BG1969" i="93"/>
  <c r="BG1966" i="93"/>
  <c r="BG1963" i="93"/>
  <c r="BG1958" i="93"/>
  <c r="BG1956" i="93"/>
  <c r="BG1950" i="93"/>
  <c r="BG1946" i="93"/>
  <c r="BG1943" i="93"/>
  <c r="BG1939" i="93"/>
  <c r="BG1937" i="93"/>
  <c r="BG2002" i="93"/>
  <c r="BG1931" i="93"/>
  <c r="BG1926" i="93"/>
  <c r="BG1924" i="93"/>
  <c r="BG1922" i="93"/>
  <c r="BG1920" i="93"/>
  <c r="BG1918" i="93"/>
  <c r="BG1911" i="93"/>
  <c r="BG1806" i="93"/>
  <c r="BG1801" i="93"/>
  <c r="BG1799" i="93"/>
  <c r="BG1797" i="93"/>
  <c r="BG1794" i="93"/>
  <c r="BG1792" i="93"/>
  <c r="BG1789" i="93"/>
  <c r="BG1787" i="93"/>
  <c r="BG1747" i="93"/>
  <c r="BG1728" i="93"/>
  <c r="BG1726" i="93"/>
  <c r="BG1723" i="93"/>
  <c r="BG1719" i="93"/>
  <c r="BG1716" i="93"/>
  <c r="BG1713" i="93"/>
  <c r="BG1710" i="93"/>
  <c r="BG1692" i="93"/>
  <c r="BG1690" i="93"/>
  <c r="BG1688" i="93"/>
  <c r="BG1686" i="93"/>
  <c r="BG1684" i="93"/>
  <c r="BG1682" i="93"/>
  <c r="BG1680" i="93"/>
  <c r="BG1677" i="93"/>
  <c r="BG1675" i="93"/>
  <c r="BG1671" i="93"/>
  <c r="BG1667" i="93"/>
  <c r="BG1665" i="93"/>
  <c r="BG1634" i="93"/>
  <c r="BG1631" i="93"/>
  <c r="BG1628" i="93"/>
  <c r="BG1625" i="93"/>
  <c r="BG1621" i="93"/>
  <c r="BG1616" i="93"/>
  <c r="BG1613" i="93"/>
  <c r="BG1610" i="93"/>
  <c r="BG1608" i="93"/>
  <c r="BG1606" i="93"/>
  <c r="BG1562" i="93"/>
  <c r="BG1559" i="93"/>
  <c r="BG1557" i="93"/>
  <c r="BG1554" i="93"/>
  <c r="BG1552" i="93"/>
  <c r="BG1619" i="93"/>
  <c r="BG1548" i="93"/>
  <c r="BG1544" i="93"/>
  <c r="BG1539" i="93"/>
  <c r="BG1537" i="93"/>
  <c r="BG1535" i="93"/>
  <c r="BG1532" i="93"/>
  <c r="BG1529" i="93"/>
  <c r="BG1527" i="93"/>
  <c r="BG1525" i="93"/>
  <c r="BG1523" i="93"/>
  <c r="BG1521" i="93"/>
  <c r="BG1515" i="93"/>
  <c r="BG1500" i="93"/>
  <c r="BG1495" i="93"/>
  <c r="BG1491" i="93"/>
  <c r="BG1488" i="93"/>
  <c r="BG1475" i="93"/>
  <c r="BG1467" i="93"/>
  <c r="BG1465" i="93"/>
  <c r="BG1443" i="93"/>
  <c r="BG1438" i="93"/>
  <c r="BG1420" i="93"/>
  <c r="BG1418" i="93"/>
  <c r="BG1416" i="93"/>
  <c r="BG1303" i="93"/>
  <c r="BG1295" i="93"/>
  <c r="BG1292" i="93"/>
  <c r="BG1289" i="93"/>
  <c r="BG1287" i="93"/>
  <c r="BG1285" i="93"/>
  <c r="BG1282" i="93"/>
  <c r="BG1278" i="93"/>
  <c r="BG1274" i="93"/>
  <c r="BG1272" i="93"/>
  <c r="BG1261" i="93"/>
  <c r="BG1221" i="93"/>
  <c r="BG1215" i="93"/>
  <c r="BG1210" i="93"/>
  <c r="BG1208" i="93"/>
  <c r="BG1205" i="93"/>
  <c r="BG1199" i="93"/>
  <c r="BG1197" i="93"/>
  <c r="BG1193" i="93"/>
  <c r="BG1165" i="93"/>
  <c r="BG1138" i="93"/>
  <c r="BG1122" i="93"/>
  <c r="BG1113" i="93"/>
  <c r="BG1111" i="93"/>
  <c r="BG1106" i="93"/>
  <c r="BG1104" i="93"/>
  <c r="BG1055" i="93"/>
  <c r="BG1041" i="93"/>
  <c r="BG1022" i="93"/>
  <c r="BG1020" i="93"/>
  <c r="BG1011" i="93"/>
  <c r="BG1009" i="93"/>
  <c r="BG1000" i="93"/>
  <c r="BG987" i="93"/>
  <c r="BG979" i="93"/>
  <c r="BG854" i="93"/>
  <c r="BG842" i="93"/>
  <c r="BG840" i="93"/>
  <c r="BG832" i="93"/>
  <c r="BG828" i="93"/>
  <c r="BG826" i="93"/>
  <c r="BG824" i="93"/>
  <c r="BG821" i="93"/>
  <c r="BG760" i="93"/>
  <c r="BG756" i="93"/>
  <c r="BG745" i="93"/>
  <c r="BG742" i="93"/>
  <c r="BG736" i="93"/>
  <c r="BG734" i="93"/>
  <c r="BG731" i="93"/>
  <c r="BG729" i="93"/>
  <c r="BG723" i="93"/>
  <c r="BG720" i="93"/>
  <c r="BG708" i="93"/>
  <c r="BG698" i="93"/>
  <c r="BG696" i="93"/>
  <c r="BG691" i="93"/>
  <c r="BG685" i="93"/>
  <c r="BG683" i="93"/>
  <c r="BG667" i="93"/>
  <c r="BG665" i="93"/>
  <c r="BG659" i="93"/>
  <c r="BG656" i="93"/>
  <c r="BG654" i="93"/>
  <c r="BG652" i="93"/>
  <c r="BG649" i="93"/>
  <c r="BG646" i="93"/>
  <c r="BG642" i="93"/>
  <c r="BG640" i="93"/>
  <c r="BG638" i="93"/>
  <c r="BG636" i="93"/>
  <c r="BG633" i="93"/>
  <c r="BG631" i="93"/>
  <c r="BG629" i="93"/>
  <c r="BG626" i="93"/>
  <c r="BG622" i="93"/>
  <c r="BG620" i="93"/>
  <c r="BG586" i="93"/>
  <c r="BG572" i="93"/>
  <c r="BG499" i="93"/>
  <c r="BG497" i="93"/>
  <c r="BG494" i="93"/>
  <c r="BG493" i="93"/>
  <c r="BG469" i="93"/>
  <c r="BG457" i="93"/>
  <c r="BG454" i="93"/>
  <c r="BG451" i="93"/>
  <c r="BG450" i="93"/>
  <c r="BG449" i="93"/>
  <c r="BG447" i="93"/>
  <c r="BG445" i="93"/>
  <c r="BG435" i="93"/>
  <c r="BG395" i="93"/>
  <c r="BG393" i="93"/>
  <c r="BG391" i="93"/>
  <c r="BG389" i="93"/>
  <c r="BG387" i="93"/>
  <c r="BG386" i="93"/>
  <c r="BG385" i="93"/>
  <c r="BG380" i="93"/>
  <c r="BG376" i="93"/>
  <c r="BG374" i="93"/>
  <c r="BG368" i="93"/>
  <c r="BG367" i="93"/>
  <c r="BG365" i="93"/>
  <c r="BG364" i="93"/>
  <c r="BG287" i="93"/>
  <c r="BG283" i="93"/>
  <c r="BG278" i="93"/>
  <c r="BG272" i="93"/>
  <c r="BG270" i="93"/>
  <c r="BG266" i="93"/>
  <c r="BG264" i="93"/>
  <c r="BG259" i="93"/>
  <c r="BG225" i="93"/>
  <c r="BG160" i="93"/>
  <c r="BG158" i="93"/>
  <c r="BG156" i="93"/>
  <c r="BG153" i="93"/>
  <c r="BG151" i="93"/>
  <c r="BG109" i="93"/>
  <c r="BG104" i="93"/>
  <c r="BG102" i="93"/>
  <c r="BG98" i="93"/>
  <c r="BG96" i="93"/>
  <c r="BG94" i="93"/>
  <c r="BG92" i="93"/>
  <c r="BG89" i="93"/>
  <c r="BG87" i="93"/>
  <c r="BG85" i="93"/>
  <c r="BG83" i="93"/>
  <c r="BG29" i="93"/>
  <c r="BG4234" i="93"/>
  <c r="BG3429" i="93"/>
  <c r="BG3428" i="93"/>
  <c r="BG3427" i="93"/>
  <c r="BG3423" i="93"/>
  <c r="BG3419" i="93"/>
  <c r="BG3417" i="93"/>
  <c r="BG3414" i="93"/>
  <c r="BG3412" i="93"/>
  <c r="BG3410" i="93"/>
  <c r="BG3408" i="93"/>
  <c r="BG3406" i="93"/>
  <c r="BG3135" i="93"/>
  <c r="BG3128" i="93"/>
  <c r="BG3126" i="93"/>
  <c r="BG2820" i="93"/>
  <c r="BG4334" i="93"/>
  <c r="BG4330" i="93"/>
  <c r="BG4321" i="93"/>
  <c r="BG4319" i="93"/>
  <c r="BG4318" i="93"/>
  <c r="BG4315" i="93"/>
  <c r="BG4232" i="93"/>
  <c r="BG4228" i="93"/>
  <c r="BG4212" i="93"/>
  <c r="BG4206" i="93"/>
  <c r="BG4204" i="93"/>
  <c r="BG4201" i="93"/>
  <c r="BG4216" i="93"/>
  <c r="BG4197" i="93"/>
  <c r="BG2135" i="93"/>
  <c r="BG2133" i="93"/>
  <c r="BG3121" i="93"/>
  <c r="BG3118" i="93"/>
  <c r="BG3116" i="93"/>
  <c r="BG3114" i="93"/>
  <c r="BG3111" i="93"/>
  <c r="BG4191" i="93"/>
  <c r="BG4188" i="93"/>
  <c r="BG4185" i="93"/>
  <c r="BG4180" i="93"/>
  <c r="BG4164" i="93"/>
  <c r="BG4163" i="93"/>
  <c r="BG4155" i="93"/>
  <c r="BG4153" i="93"/>
  <c r="BG4149" i="93"/>
  <c r="BG4151" i="93"/>
  <c r="BG4146" i="93"/>
  <c r="BG4157" i="93"/>
  <c r="BG4143" i="93"/>
  <c r="BG4140" i="93"/>
  <c r="BG4138" i="93"/>
  <c r="BG4136" i="93"/>
  <c r="BG4133" i="93"/>
  <c r="BG4123" i="93"/>
  <c r="BG4111" i="93"/>
  <c r="BG4108" i="93"/>
  <c r="BG4105" i="93"/>
  <c r="BG4112" i="93"/>
  <c r="BG4102" i="93"/>
  <c r="BG4101" i="93"/>
  <c r="BG4096" i="93"/>
  <c r="BG4092" i="93"/>
  <c r="BG4091" i="93"/>
  <c r="BG4089" i="93"/>
  <c r="BG4085" i="93"/>
  <c r="BG4081" i="93"/>
  <c r="BG4077" i="93"/>
  <c r="BG4073" i="93"/>
  <c r="BG4072" i="93"/>
  <c r="BG4067" i="93"/>
  <c r="BG4064" i="93"/>
  <c r="BG4061" i="93"/>
  <c r="BG4059" i="93"/>
  <c r="BG4056" i="93"/>
  <c r="BG4052" i="93"/>
  <c r="BG4050" i="93"/>
  <c r="BG4048" i="93"/>
  <c r="BG4046" i="93"/>
  <c r="BG4041" i="93"/>
  <c r="BG4039" i="93"/>
  <c r="BG4035" i="93"/>
  <c r="BG4033" i="93"/>
  <c r="BG4031" i="93"/>
  <c r="BG4029" i="93"/>
  <c r="BG4026" i="93"/>
  <c r="BG4023" i="93"/>
  <c r="BG4017" i="93"/>
  <c r="BG4014" i="93"/>
  <c r="BG4011" i="93"/>
  <c r="BG4008" i="93"/>
  <c r="BG4005" i="93"/>
  <c r="BG3967" i="93"/>
  <c r="BG3965" i="93"/>
  <c r="BG3959" i="93"/>
  <c r="BG3952" i="93"/>
  <c r="BG3961" i="93"/>
  <c r="BG3958" i="93"/>
  <c r="BG3954" i="93"/>
  <c r="BG3937" i="93"/>
  <c r="BG3928" i="93"/>
  <c r="BG3925" i="93"/>
  <c r="BG3923" i="93"/>
  <c r="BG3919" i="93"/>
  <c r="BG3910" i="93"/>
  <c r="BG3879" i="93"/>
  <c r="BG3877" i="93"/>
  <c r="BG3874" i="93"/>
  <c r="BG3858" i="93"/>
  <c r="BG3849" i="93"/>
  <c r="BG3847" i="93"/>
  <c r="BG3843" i="93"/>
  <c r="BG3841" i="93"/>
  <c r="BG3838" i="93"/>
  <c r="BG3836" i="93"/>
  <c r="BG3818" i="93"/>
  <c r="BG3815" i="93"/>
  <c r="BG3810" i="93"/>
  <c r="BG3801" i="93"/>
  <c r="BG3797" i="93"/>
  <c r="BG3795" i="93"/>
  <c r="BG3793" i="93"/>
  <c r="BG3779" i="93"/>
  <c r="BG3777" i="93"/>
  <c r="BG3775" i="93"/>
  <c r="BG3769" i="93"/>
  <c r="BG3766" i="93"/>
  <c r="BG3708" i="93"/>
  <c r="BG3706" i="93"/>
  <c r="BG3704" i="93"/>
  <c r="BG3700" i="93"/>
  <c r="BG3696" i="93"/>
  <c r="BG3691" i="93"/>
  <c r="BG3688" i="93"/>
  <c r="BG3684" i="93"/>
  <c r="BG3675" i="93"/>
  <c r="BG3673" i="93"/>
  <c r="BG3668" i="93"/>
  <c r="BG3665" i="93"/>
  <c r="BG3661" i="93"/>
  <c r="BG3659" i="93"/>
  <c r="BG3657" i="93"/>
  <c r="BG3653" i="93"/>
  <c r="BG3601" i="93"/>
  <c r="BG3599" i="93"/>
  <c r="BG3586" i="93"/>
  <c r="BG3584" i="93"/>
  <c r="BG3581" i="93"/>
  <c r="BG3577" i="93"/>
  <c r="BG3547" i="93"/>
  <c r="BG3541" i="93"/>
  <c r="BG3539" i="93"/>
  <c r="BG3537" i="93"/>
  <c r="BG3573" i="93"/>
  <c r="BG3529" i="93"/>
  <c r="BG3527" i="93"/>
  <c r="BG3524" i="93"/>
  <c r="BG3521" i="93"/>
  <c r="BG3517" i="93"/>
  <c r="BG3511" i="93"/>
  <c r="BG3508" i="93"/>
  <c r="BG3497" i="93"/>
  <c r="BG3492" i="93"/>
  <c r="BG3361" i="93"/>
  <c r="BG3357" i="93"/>
  <c r="BG3354" i="93"/>
  <c r="BG3352" i="93"/>
  <c r="BG3350" i="93"/>
  <c r="BG3348" i="93"/>
  <c r="BG3343" i="93"/>
  <c r="BG3341" i="93"/>
  <c r="BG3339" i="93"/>
  <c r="BG3337" i="93"/>
  <c r="BG3335" i="93"/>
  <c r="BG3331" i="93"/>
  <c r="BG3325" i="93"/>
  <c r="BG3323" i="93"/>
  <c r="BG3390" i="93"/>
  <c r="BG3316" i="93"/>
  <c r="BG3314" i="93"/>
  <c r="BG3312" i="93"/>
  <c r="BG3310" i="93"/>
  <c r="BG3307" i="93"/>
  <c r="BG3305" i="93"/>
  <c r="BG3303" i="93"/>
  <c r="BG3301" i="93"/>
  <c r="BG3295" i="93"/>
  <c r="BG3293" i="93"/>
  <c r="BG3291" i="93"/>
  <c r="BG3288" i="93"/>
  <c r="BG3286" i="93"/>
  <c r="BG3284" i="93"/>
  <c r="BG3282" i="93"/>
  <c r="BG3280" i="93"/>
  <c r="BG3277" i="93"/>
  <c r="BG3243" i="93"/>
  <c r="BG3239" i="93"/>
  <c r="BG3237" i="93"/>
  <c r="BG3235" i="93"/>
  <c r="BG3231" i="93"/>
  <c r="BG3227" i="93"/>
  <c r="BG3169" i="93"/>
  <c r="BG3164" i="93"/>
  <c r="BG3160" i="93"/>
  <c r="BG3075" i="93"/>
  <c r="BG3073" i="93"/>
  <c r="BG3071" i="93"/>
  <c r="BG3068" i="93"/>
  <c r="BG3065" i="93"/>
  <c r="BG3063" i="93"/>
  <c r="BG3061" i="93"/>
  <c r="BG3059" i="93"/>
  <c r="BG3056" i="93"/>
  <c r="BG3054" i="93"/>
  <c r="BG3050" i="93"/>
  <c r="BG3048" i="93"/>
  <c r="BG3046" i="93"/>
  <c r="BG3044" i="93"/>
  <c r="BG3041" i="93"/>
  <c r="BG3039" i="93"/>
  <c r="BG3037" i="93"/>
  <c r="BG3035" i="93"/>
  <c r="BG3000" i="93"/>
  <c r="BG2993" i="93"/>
  <c r="BG2991" i="93"/>
  <c r="BG2985" i="93"/>
  <c r="BG2980" i="93"/>
  <c r="BG2977" i="93"/>
  <c r="BG2974" i="93"/>
  <c r="BG2957" i="93"/>
  <c r="BG2955" i="93"/>
  <c r="BG2951" i="93"/>
  <c r="BG2947" i="93"/>
  <c r="BG2945" i="93"/>
  <c r="BG2943" i="93"/>
  <c r="BG2941" i="93"/>
  <c r="BG2939" i="93"/>
  <c r="BG2937" i="93"/>
  <c r="BG2934" i="93"/>
  <c r="BG2932" i="93"/>
  <c r="BG2879" i="93"/>
  <c r="BG2876" i="93"/>
  <c r="BG2874" i="93"/>
  <c r="BG2871" i="93"/>
  <c r="BG2869" i="93"/>
  <c r="BG2867" i="93"/>
  <c r="BG2865" i="93"/>
  <c r="BG2862" i="93"/>
  <c r="BG2859" i="93"/>
  <c r="BG2854" i="93"/>
  <c r="BG2849" i="93"/>
  <c r="BG2846" i="93"/>
  <c r="BG2844" i="93"/>
  <c r="BG2842" i="93"/>
  <c r="BG2839" i="93"/>
  <c r="BG2836" i="93"/>
  <c r="BG2833" i="93"/>
  <c r="BG2830" i="93"/>
  <c r="BG2826" i="93"/>
  <c r="BG2817" i="93"/>
  <c r="BG2815" i="93"/>
  <c r="BG2812" i="93"/>
  <c r="BG2810" i="93"/>
  <c r="BG2804" i="93"/>
  <c r="BG2801" i="93"/>
  <c r="BG2797" i="93"/>
  <c r="BG2795" i="93"/>
  <c r="BG2791" i="93"/>
  <c r="BG2788" i="93"/>
  <c r="BG2786" i="93"/>
  <c r="BG2784" i="93"/>
  <c r="BG2782" i="93"/>
  <c r="BG2780" i="93"/>
  <c r="BG2776" i="93"/>
  <c r="BG2770" i="93"/>
  <c r="BG2767" i="93"/>
  <c r="BG2764" i="93"/>
  <c r="BG2762" i="93"/>
  <c r="BG2759" i="93"/>
  <c r="BG2757" i="93"/>
  <c r="BG2755" i="93"/>
  <c r="BG2753" i="93"/>
  <c r="BG2751" i="93"/>
  <c r="BG2749" i="93"/>
  <c r="BG2746" i="93"/>
  <c r="BG2743" i="93"/>
  <c r="BG2739" i="93"/>
  <c r="BG2735" i="93"/>
  <c r="BG2733" i="93"/>
  <c r="BG2731" i="93"/>
  <c r="BG2729" i="93"/>
  <c r="BG2724" i="93"/>
  <c r="BG2637" i="93"/>
  <c r="BG2635" i="93"/>
  <c r="BG2631" i="93"/>
  <c r="BG2628" i="93"/>
  <c r="BG2619" i="93"/>
  <c r="BG2626" i="93"/>
  <c r="BG2616" i="93"/>
  <c r="BG2605" i="93"/>
  <c r="BG2602" i="93"/>
  <c r="BG2600" i="93"/>
  <c r="BG2597" i="93"/>
  <c r="BG2595" i="93"/>
  <c r="BG2593" i="93"/>
  <c r="BG2591" i="93"/>
  <c r="BG2589" i="93"/>
  <c r="BG2587" i="93"/>
  <c r="BG2584" i="93"/>
  <c r="BG2580" i="93"/>
  <c r="BG2574" i="93"/>
  <c r="BG2572" i="93"/>
  <c r="BG2568" i="93"/>
  <c r="BG2564" i="93"/>
  <c r="BG2562" i="93"/>
  <c r="BG2560" i="93"/>
  <c r="BG2558" i="93"/>
  <c r="BG2556" i="93"/>
  <c r="BG2554" i="93"/>
  <c r="BG2552" i="93"/>
  <c r="BG2550" i="93"/>
  <c r="BG2548" i="93"/>
  <c r="BG2546" i="93"/>
  <c r="BG2543" i="93"/>
  <c r="BG2541" i="93"/>
  <c r="BG2539" i="93"/>
  <c r="BG2535" i="93"/>
  <c r="BG2446" i="93"/>
  <c r="BG2444" i="93"/>
  <c r="BG2379" i="93"/>
  <c r="BG2309" i="93"/>
  <c r="BG2306" i="93"/>
  <c r="BG2304" i="93"/>
  <c r="BG2300" i="93"/>
  <c r="BG2297" i="93"/>
  <c r="BG2272" i="93"/>
  <c r="BG2270" i="93"/>
  <c r="BG2266" i="93"/>
  <c r="BG2264" i="93"/>
  <c r="BG2262" i="93"/>
  <c r="BG2259" i="93"/>
  <c r="BG2257" i="93"/>
  <c r="BG2255" i="93"/>
  <c r="BG2253" i="93"/>
  <c r="BG2251" i="93"/>
  <c r="BG2245" i="93"/>
  <c r="BG2243" i="93"/>
  <c r="BG2240" i="93"/>
  <c r="BG2238" i="93"/>
  <c r="BG2236" i="93"/>
  <c r="BG2234" i="93"/>
  <c r="BG2230" i="93"/>
  <c r="BG2228" i="93"/>
  <c r="BG2225" i="93"/>
  <c r="BG2223" i="93"/>
  <c r="BG2221" i="93"/>
  <c r="BG2219" i="93"/>
  <c r="BG2215" i="93"/>
  <c r="BG2213" i="93"/>
  <c r="BG2211" i="93"/>
  <c r="BG2209" i="93"/>
  <c r="BG2206" i="93"/>
  <c r="BG2204" i="93"/>
  <c r="BG2201" i="93"/>
  <c r="BG2192" i="93"/>
  <c r="BG2187" i="93"/>
  <c r="BG2185" i="93"/>
  <c r="BG2183" i="93"/>
  <c r="BG2179" i="93"/>
  <c r="BG2176" i="93"/>
  <c r="BG2098" i="93"/>
  <c r="BG2096" i="93"/>
  <c r="BG2092" i="93"/>
  <c r="BG2089" i="93"/>
  <c r="BG2086" i="93"/>
  <c r="BG2083" i="93"/>
  <c r="BG2081" i="93"/>
  <c r="BG2079" i="93"/>
  <c r="BG2076" i="93"/>
  <c r="BG2074" i="93"/>
  <c r="BG2055" i="93"/>
  <c r="BG2040" i="93"/>
  <c r="BG2037" i="93"/>
  <c r="BG2018" i="93"/>
  <c r="BG2007" i="93"/>
  <c r="BG2005" i="93"/>
  <c r="BG1999" i="93"/>
  <c r="BG1994" i="93"/>
  <c r="BG1987" i="93"/>
  <c r="BG1982" i="93"/>
  <c r="BG1980" i="93"/>
  <c r="BG1974" i="93"/>
  <c r="BG1906" i="93"/>
  <c r="BG1903" i="93"/>
  <c r="BG1901" i="93"/>
  <c r="BG1898" i="93"/>
  <c r="BG1896" i="93"/>
  <c r="BG1890" i="93"/>
  <c r="BG1888" i="93"/>
  <c r="BG1886" i="93"/>
  <c r="BG1884" i="93"/>
  <c r="BG1882" i="93"/>
  <c r="BG1880" i="93"/>
  <c r="BG1878" i="93"/>
  <c r="BG1875" i="93"/>
  <c r="BG1872" i="93"/>
  <c r="BG1870" i="93"/>
  <c r="BG1867" i="93"/>
  <c r="BG1862" i="93"/>
  <c r="BG1859" i="93"/>
  <c r="BG1857" i="93"/>
  <c r="BG1855" i="93"/>
  <c r="BG1853" i="93"/>
  <c r="BG1849" i="93"/>
  <c r="BG1846" i="93"/>
  <c r="BG1841" i="93"/>
  <c r="BG1835" i="93"/>
  <c r="BG1833" i="93"/>
  <c r="BG1830" i="93"/>
  <c r="BG1827" i="93"/>
  <c r="BG1825" i="93"/>
  <c r="BG1823" i="93"/>
  <c r="BG1821" i="93"/>
  <c r="BG1815" i="93"/>
  <c r="BG1784" i="93"/>
  <c r="BG1781" i="93"/>
  <c r="BG1777" i="93"/>
  <c r="BG1774" i="93"/>
  <c r="BG1772" i="93"/>
  <c r="BG1770" i="93"/>
  <c r="BG1768" i="93"/>
  <c r="BG1765" i="93"/>
  <c r="BG1758" i="93"/>
  <c r="BG1755" i="93"/>
  <c r="BG1807" i="93"/>
  <c r="BG1740" i="93"/>
  <c r="BG1701" i="93"/>
  <c r="BG1660" i="93"/>
  <c r="BG1657" i="93"/>
  <c r="BG1653" i="93"/>
  <c r="BG1650" i="93"/>
  <c r="BG1648" i="93"/>
  <c r="BG1697" i="93"/>
  <c r="BG1695" i="93"/>
  <c r="BG1640" i="93"/>
  <c r="BG1637" i="93"/>
  <c r="BG1598" i="93"/>
  <c r="BG1595" i="93"/>
  <c r="BG1593" i="93"/>
  <c r="BG1591" i="93"/>
  <c r="BG1589" i="93"/>
  <c r="BG1586" i="93"/>
  <c r="BG1584" i="93"/>
  <c r="BG1580" i="93"/>
  <c r="BG1578" i="93"/>
  <c r="BG1574" i="93"/>
  <c r="BG1572" i="93"/>
  <c r="BG1569" i="93"/>
  <c r="BG1568" i="93"/>
  <c r="BG1564" i="93"/>
  <c r="BG1509" i="93"/>
  <c r="BG1505" i="93"/>
  <c r="BG1503" i="93"/>
  <c r="BG1458" i="93"/>
  <c r="BG1452" i="93"/>
  <c r="BG1448" i="93"/>
  <c r="BG1445" i="93"/>
  <c r="BG1430" i="93"/>
  <c r="BG1426" i="93"/>
  <c r="BG1424" i="93"/>
  <c r="BG1410" i="93"/>
  <c r="BG1381" i="93"/>
  <c r="BG1379" i="93"/>
  <c r="BG1376" i="93"/>
  <c r="BG1366" i="93"/>
  <c r="BG1352" i="93"/>
  <c r="BG1347" i="93"/>
  <c r="BG1345" i="93"/>
  <c r="BG1332" i="93"/>
  <c r="BG1329" i="93"/>
  <c r="BG1322" i="93"/>
  <c r="BG1318" i="93"/>
  <c r="BG1316" i="93"/>
  <c r="BG1313" i="93"/>
  <c r="BG1256" i="93"/>
  <c r="BG1246" i="93"/>
  <c r="BG1244" i="93"/>
  <c r="BG1242" i="93"/>
  <c r="BG1236" i="93"/>
  <c r="BG1233" i="93"/>
  <c r="BG1230" i="93"/>
  <c r="BG1228" i="93"/>
  <c r="BG1226" i="93"/>
  <c r="BG1224" i="93"/>
  <c r="BG1188" i="93"/>
  <c r="BG1185" i="93"/>
  <c r="BG1182" i="93"/>
  <c r="BG1179" i="93"/>
  <c r="BG1177" i="93"/>
  <c r="BG1153" i="93"/>
  <c r="BG1151" i="93"/>
  <c r="BG1148" i="93"/>
  <c r="BG1118" i="93"/>
  <c r="BG1116" i="93"/>
  <c r="BG1101" i="93"/>
  <c r="BG1092" i="93"/>
  <c r="BG1088" i="93"/>
  <c r="BG1086" i="93"/>
  <c r="BG1084" i="93"/>
  <c r="BG1082" i="93"/>
  <c r="BG1079" i="93"/>
  <c r="BG1075" i="93"/>
  <c r="BG1073" i="93"/>
  <c r="BG1071" i="93"/>
  <c r="BG1069" i="93"/>
  <c r="BG1038" i="93"/>
  <c r="BG1034" i="93"/>
  <c r="BG1032" i="93"/>
  <c r="BG1025" i="93"/>
  <c r="BG976" i="93"/>
  <c r="BG950" i="93"/>
  <c r="BG944" i="93"/>
  <c r="BG949" i="93"/>
  <c r="BG933" i="93"/>
  <c r="BG931" i="93"/>
  <c r="BG930" i="93"/>
  <c r="BG928" i="93"/>
  <c r="BG925" i="93"/>
  <c r="BG922" i="93"/>
  <c r="BG888" i="93"/>
  <c r="BG886" i="93"/>
  <c r="BG884" i="93"/>
  <c r="BG882" i="93"/>
  <c r="BG880" i="93"/>
  <c r="BG878" i="93"/>
  <c r="BG818" i="93"/>
  <c r="BG810" i="93"/>
  <c r="BG806" i="93"/>
  <c r="BG804" i="93"/>
  <c r="BG799" i="93"/>
  <c r="BG795" i="93"/>
  <c r="BG791" i="93"/>
  <c r="BG789" i="93"/>
  <c r="BG785" i="93"/>
  <c r="BG783" i="93"/>
  <c r="BG780" i="93"/>
  <c r="BG778" i="93"/>
  <c r="BG773" i="93"/>
  <c r="BG689" i="93"/>
  <c r="BG619" i="93"/>
  <c r="BG605" i="93"/>
  <c r="BG602" i="93"/>
  <c r="BG600" i="93"/>
  <c r="BG598" i="93"/>
  <c r="BG596" i="93"/>
  <c r="BG568" i="93"/>
  <c r="BG566" i="93"/>
  <c r="BG564" i="93"/>
  <c r="BG550" i="93"/>
  <c r="BG543" i="93"/>
  <c r="BG542" i="93"/>
  <c r="BG538" i="93"/>
  <c r="BG530" i="93"/>
  <c r="BG528" i="93"/>
  <c r="BG527" i="93"/>
  <c r="BG524" i="93"/>
  <c r="BG522" i="93"/>
  <c r="BG509" i="93"/>
  <c r="BG504" i="93"/>
  <c r="BG502" i="93"/>
  <c r="BG476" i="93"/>
  <c r="BG472" i="93"/>
  <c r="BG471" i="93"/>
  <c r="BG405" i="93"/>
  <c r="BG360" i="93"/>
  <c r="BG356" i="93"/>
  <c r="BG352" i="93"/>
  <c r="BG350" i="93"/>
  <c r="BG348" i="93"/>
  <c r="BG338" i="93"/>
  <c r="BG334" i="93"/>
  <c r="BG333" i="93"/>
  <c r="BG328" i="93"/>
  <c r="BG327" i="93"/>
  <c r="BG325" i="93"/>
  <c r="BG322" i="93"/>
  <c r="BG320" i="93"/>
  <c r="BG318" i="93"/>
  <c r="BG315" i="93"/>
  <c r="BG313" i="93"/>
  <c r="BG311" i="93"/>
  <c r="BG308" i="93"/>
  <c r="BG298" i="93"/>
  <c r="BG296" i="93"/>
  <c r="BG293" i="93"/>
  <c r="BG292" i="93"/>
  <c r="BG253" i="93"/>
  <c r="BG251" i="93"/>
  <c r="BG247" i="93"/>
  <c r="BG245" i="93"/>
  <c r="BG224" i="93"/>
  <c r="BG211" i="93"/>
  <c r="BG208" i="93"/>
  <c r="BG203" i="93"/>
  <c r="BG201" i="93"/>
  <c r="BG199" i="93"/>
  <c r="BG197" i="93"/>
  <c r="BG194" i="93"/>
  <c r="BG191" i="93"/>
  <c r="BG189" i="93"/>
  <c r="BG184" i="93"/>
  <c r="BG182" i="93"/>
  <c r="BG178" i="93"/>
  <c r="BG176" i="93"/>
  <c r="BG174" i="93"/>
  <c r="BG172" i="93"/>
  <c r="BG170" i="93"/>
  <c r="BG168" i="93"/>
  <c r="BG164" i="93"/>
  <c r="BG140" i="93"/>
  <c r="BG137" i="93"/>
  <c r="BG133" i="93"/>
  <c r="BG131" i="93"/>
  <c r="BG128" i="93"/>
  <c r="BG124" i="93"/>
  <c r="BG122" i="93"/>
  <c r="BG120" i="93"/>
  <c r="BG116" i="93"/>
  <c r="BG114" i="93"/>
  <c r="BG80" i="93"/>
  <c r="BG76" i="93"/>
  <c r="BG59" i="93"/>
  <c r="BG54" i="93"/>
  <c r="BG48" i="93"/>
  <c r="BG41" i="93"/>
  <c r="BG36" i="93"/>
  <c r="BG4248" i="93"/>
  <c r="BG4245" i="93"/>
  <c r="BG1519" i="93"/>
  <c r="BG2778" i="93"/>
  <c r="BG3134" i="93"/>
  <c r="BG4373" i="93"/>
  <c r="BG4369" i="93"/>
  <c r="BG4365" i="93"/>
  <c r="BG4372" i="93"/>
  <c r="BG4368" i="93"/>
  <c r="BG4364" i="93"/>
  <c r="AB3761" i="93"/>
  <c r="BD3761" i="93" s="1"/>
  <c r="BF3761" i="93" s="1"/>
  <c r="BG3594" i="93"/>
  <c r="BG3592" i="93"/>
  <c r="BG3590" i="93"/>
  <c r="BG3588" i="93"/>
  <c r="BD4159" i="93"/>
  <c r="BF4159" i="93" s="1"/>
  <c r="BD4272" i="93"/>
  <c r="BF4272" i="93" s="1"/>
  <c r="BD1133" i="93"/>
  <c r="BD1130" i="93"/>
  <c r="BF1130" i="93" s="1"/>
  <c r="BD1114" i="93"/>
  <c r="BF1114" i="93" s="1"/>
  <c r="BD1095" i="93"/>
  <c r="BF1095" i="93" s="1"/>
  <c r="BD1175" i="93"/>
  <c r="BF1175" i="93" s="1"/>
  <c r="BB1091" i="93"/>
  <c r="BD1168" i="93"/>
  <c r="BF1168" i="93" s="1"/>
  <c r="BD1120" i="93"/>
  <c r="BF1120" i="93" s="1"/>
  <c r="BD1103" i="93"/>
  <c r="BF1103" i="93" s="1"/>
  <c r="BD1139" i="93"/>
  <c r="BD1248" i="93"/>
  <c r="BF1248" i="93" s="1"/>
  <c r="AB3904" i="93"/>
  <c r="BD3904" i="93" s="1"/>
  <c r="BF3904" i="93" s="1"/>
  <c r="E8" i="121"/>
  <c r="I8" i="121" s="1"/>
  <c r="E9" i="121"/>
  <c r="I9" i="121" s="1"/>
  <c r="E13" i="121"/>
  <c r="I13" i="121" s="1"/>
  <c r="E10" i="121"/>
  <c r="I10" i="121" s="1"/>
  <c r="E12" i="121"/>
  <c r="I12" i="121" s="1"/>
  <c r="E11" i="121"/>
  <c r="I11" i="121" s="1"/>
  <c r="BD3827" i="93"/>
  <c r="BF3827" i="93" s="1"/>
  <c r="BE1005" i="93"/>
  <c r="L3574" i="93"/>
  <c r="L4357" i="93" s="1"/>
  <c r="BD3852" i="93"/>
  <c r="BF3852" i="93" s="1"/>
  <c r="BD3651" i="93"/>
  <c r="BF3651" i="93" s="1"/>
  <c r="BD3507" i="93"/>
  <c r="BF3507" i="93" s="1"/>
  <c r="BD4114" i="93"/>
  <c r="BF4114" i="93" s="1"/>
  <c r="BD2031" i="93"/>
  <c r="BF2031" i="93" s="1"/>
  <c r="BD1808" i="93"/>
  <c r="BF1808" i="93" s="1"/>
  <c r="BD1796" i="93"/>
  <c r="BF1796" i="93" s="1"/>
  <c r="BD1715" i="93"/>
  <c r="BF1715" i="93" s="1"/>
  <c r="BD1068" i="93"/>
  <c r="BF1068" i="93" s="1"/>
  <c r="AT4356" i="93"/>
  <c r="BD75" i="93"/>
  <c r="BF75" i="93" s="1"/>
  <c r="BD33" i="93"/>
  <c r="BF33" i="93" s="1"/>
  <c r="BB4220" i="93"/>
  <c r="BD4220" i="93" s="1"/>
  <c r="BF4220" i="93" s="1"/>
  <c r="BD78" i="93"/>
  <c r="BF78" i="93" s="1"/>
  <c r="BD999" i="93"/>
  <c r="BF999" i="93" s="1"/>
  <c r="BE3917" i="93"/>
  <c r="BD741" i="93"/>
  <c r="BD1002" i="93"/>
  <c r="BF1002" i="93" s="1"/>
  <c r="BD3575" i="93"/>
  <c r="BD1018" i="93"/>
  <c r="BF1018" i="93" s="1"/>
  <c r="BD3488" i="93"/>
  <c r="BF3488" i="93" s="1"/>
  <c r="BD1028" i="93"/>
  <c r="BF1028" i="93" s="1"/>
  <c r="BD22" i="93"/>
  <c r="BF22" i="93" s="1"/>
  <c r="BD2138" i="93"/>
  <c r="BF2138" i="93" s="1"/>
  <c r="BD989" i="93"/>
  <c r="BF989" i="93" s="1"/>
  <c r="BD3908" i="93"/>
  <c r="BF3908" i="93" s="1"/>
  <c r="BD1040" i="93"/>
  <c r="BF1040" i="93" s="1"/>
  <c r="BD129" i="93"/>
  <c r="BF129" i="93" s="1"/>
  <c r="BD1006" i="93"/>
  <c r="BF1006" i="93" s="1"/>
  <c r="BD47" i="93"/>
  <c r="BF47" i="93" s="1"/>
  <c r="BD1804" i="93"/>
  <c r="BF1804" i="93" s="1"/>
  <c r="BD1729" i="93"/>
  <c r="BF1729" i="93" s="1"/>
  <c r="BD1720" i="93"/>
  <c r="BF1720" i="93" s="1"/>
  <c r="BD4186" i="93"/>
  <c r="BF4186" i="93" s="1"/>
  <c r="BD1023" i="93"/>
  <c r="BF1023" i="93" s="1"/>
  <c r="BD2006" i="93"/>
  <c r="BF2006" i="93" s="1"/>
  <c r="BD4288" i="93"/>
  <c r="BF4288" i="93" s="1"/>
  <c r="BD672" i="93"/>
  <c r="BD3749" i="93"/>
  <c r="BD1791" i="93"/>
  <c r="BF1791" i="93" s="1"/>
  <c r="BD2621" i="93"/>
  <c r="BF2621" i="93" s="1"/>
  <c r="BD1083" i="93"/>
  <c r="BF1083" i="93" s="1"/>
  <c r="BD1081" i="93"/>
  <c r="BF1081" i="93" s="1"/>
  <c r="BD855" i="93"/>
  <c r="BD198" i="93"/>
  <c r="BD4044" i="93"/>
  <c r="BF4044" i="93" s="1"/>
  <c r="BD3987" i="93"/>
  <c r="BF3987" i="93" s="1"/>
  <c r="BD4098" i="93"/>
  <c r="BF4098" i="93" s="1"/>
  <c r="BD4066" i="93"/>
  <c r="BF4066" i="93" s="1"/>
  <c r="BD3109" i="93"/>
  <c r="BF3109" i="93" s="1"/>
  <c r="BD3391" i="93"/>
  <c r="BF3391" i="93" s="1"/>
  <c r="BD4125" i="93"/>
  <c r="BF4125" i="93" s="1"/>
  <c r="BD4024" i="93"/>
  <c r="BF4024" i="93" s="1"/>
  <c r="BD4348" i="93"/>
  <c r="BF4348" i="93" s="1"/>
  <c r="BD52" i="93"/>
  <c r="BF52" i="93" s="1"/>
  <c r="BD2384" i="93"/>
  <c r="BF2384" i="93" s="1"/>
  <c r="BD4194" i="93"/>
  <c r="BF4194" i="93" s="1"/>
  <c r="BD569" i="93"/>
  <c r="BD3969" i="93"/>
  <c r="BF3969" i="93" s="1"/>
  <c r="BD3943" i="93"/>
  <c r="BF3943" i="93" s="1"/>
  <c r="AB3914" i="93"/>
  <c r="BD3914" i="93" s="1"/>
  <c r="BF3914" i="93" s="1"/>
  <c r="BD3915" i="93"/>
  <c r="BF3915" i="93" s="1"/>
  <c r="BD1512" i="93"/>
  <c r="BF1512" i="93" s="1"/>
  <c r="BD1702" i="93"/>
  <c r="BF1702" i="93" s="1"/>
  <c r="BD3918" i="93"/>
  <c r="BF3918" i="93" s="1"/>
  <c r="BD846" i="93"/>
  <c r="BF846" i="93" s="1"/>
  <c r="BD146" i="93"/>
  <c r="BF146" i="93" s="1"/>
  <c r="BD55" i="93"/>
  <c r="BF55" i="93" s="1"/>
  <c r="BD4004" i="93"/>
  <c r="BF4004" i="93" s="1"/>
  <c r="BD2627" i="93"/>
  <c r="BF2627" i="93" s="1"/>
  <c r="BD4250" i="93"/>
  <c r="BF4250" i="93" s="1"/>
  <c r="BD4095" i="93"/>
  <c r="BF4095" i="93" s="1"/>
  <c r="BD2921" i="93"/>
  <c r="BF2921" i="93" s="1"/>
  <c r="BD4132" i="93"/>
  <c r="BF4132" i="93" s="1"/>
  <c r="BD1917" i="93"/>
  <c r="BF1917" i="93" s="1"/>
  <c r="BE3575" i="93"/>
  <c r="BA4357" i="93"/>
  <c r="Y4356" i="93"/>
  <c r="Y4376" i="93" s="1"/>
  <c r="AM4376" i="93"/>
  <c r="AP4356" i="93"/>
  <c r="D65" i="103" s="1"/>
  <c r="AH4356" i="93"/>
  <c r="AH4357" i="93"/>
  <c r="D114" i="96" s="1"/>
  <c r="D115" i="96" s="1"/>
  <c r="AP4357" i="93"/>
  <c r="AD4357" i="93"/>
  <c r="Y4357" i="93"/>
  <c r="Y4359" i="93" s="1"/>
  <c r="AT4357" i="93"/>
  <c r="BB3159" i="93"/>
  <c r="BD3159" i="93" s="1"/>
  <c r="BF3159" i="93" s="1"/>
  <c r="AB3615" i="93"/>
  <c r="BD3615" i="93" s="1"/>
  <c r="BF3615" i="93" s="1"/>
  <c r="AB2338" i="93"/>
  <c r="BD2338" i="93" s="1"/>
  <c r="BF2338" i="93" s="1"/>
  <c r="X4356" i="93"/>
  <c r="Y3917" i="93"/>
  <c r="AB4303" i="93"/>
  <c r="AB2614" i="93"/>
  <c r="BD2614" i="93" s="1"/>
  <c r="BF2614" i="93" s="1"/>
  <c r="H4357" i="93"/>
  <c r="BB2009" i="93"/>
  <c r="BB2779" i="93"/>
  <c r="BB3574" i="93"/>
  <c r="D26" i="1"/>
  <c r="AU4377" i="93"/>
  <c r="AU4378" i="93" s="1"/>
  <c r="AU4379" i="93" s="1"/>
  <c r="AM4377" i="93"/>
  <c r="C41" i="97"/>
  <c r="AO4359" i="93"/>
  <c r="W4377" i="93"/>
  <c r="Q4359" i="93"/>
  <c r="BB257" i="93"/>
  <c r="BD257" i="93" s="1"/>
  <c r="AX4357" i="93"/>
  <c r="AB3872" i="93"/>
  <c r="BD3872" i="93" s="1"/>
  <c r="BF3872" i="93" s="1"/>
  <c r="AY4357" i="93"/>
  <c r="AY4360" i="93" s="1"/>
  <c r="AY4375" i="93" s="1"/>
  <c r="AB3178" i="93"/>
  <c r="BD3178" i="93" s="1"/>
  <c r="BF3178" i="93" s="1"/>
  <c r="AM4359" i="93"/>
  <c r="AU4359" i="93"/>
  <c r="AA4357" i="93"/>
  <c r="AB82" i="93"/>
  <c r="BB2153" i="93"/>
  <c r="BB1005" i="93"/>
  <c r="BB2293" i="93"/>
  <c r="AB1258" i="93"/>
  <c r="AG4359" i="93"/>
  <c r="AB2009" i="93"/>
  <c r="AG4377" i="93"/>
  <c r="T4356" i="93"/>
  <c r="BB1698" i="93"/>
  <c r="H4356" i="93"/>
  <c r="AM4360" i="93"/>
  <c r="AM4375" i="93" s="1"/>
  <c r="P4357" i="93"/>
  <c r="X4357" i="93"/>
  <c r="U4377" i="93"/>
  <c r="I4359" i="93"/>
  <c r="E4359" i="93"/>
  <c r="W4359" i="93"/>
  <c r="AE4359" i="93"/>
  <c r="AU4360" i="93"/>
  <c r="AU4375" i="93" s="1"/>
  <c r="BB82" i="93"/>
  <c r="Q4377" i="93"/>
  <c r="S4359" i="93"/>
  <c r="S4377" i="93"/>
  <c r="D4357" i="93"/>
  <c r="I4377" i="93"/>
  <c r="AO4377" i="93"/>
  <c r="AE4377" i="93"/>
  <c r="AB2381" i="93"/>
  <c r="U4359" i="93"/>
  <c r="E4377" i="93"/>
  <c r="D4356" i="93"/>
  <c r="D4376" i="93" s="1"/>
  <c r="AQ4360" i="93"/>
  <c r="AQ4375" i="93" s="1"/>
  <c r="AI4360" i="93"/>
  <c r="AI4375" i="93" s="1"/>
  <c r="AI4376" i="93"/>
  <c r="AC4356" i="93"/>
  <c r="AC4376" i="93" s="1"/>
  <c r="K4359" i="93"/>
  <c r="K4377" i="93"/>
  <c r="G4359" i="93"/>
  <c r="G4377" i="93"/>
  <c r="AB1910" i="93"/>
  <c r="BD1910" i="93" s="1"/>
  <c r="BF1910" i="93" s="1"/>
  <c r="AL4358" i="93"/>
  <c r="D38" i="101" s="1"/>
  <c r="D40" i="101" s="1"/>
  <c r="BB4161" i="93"/>
  <c r="T4357" i="93"/>
  <c r="BB1620" i="93"/>
  <c r="BD1620" i="93" s="1"/>
  <c r="BF1620" i="93" s="1"/>
  <c r="BB1409" i="93"/>
  <c r="BD1409" i="93" s="1"/>
  <c r="BF1409" i="93" s="1"/>
  <c r="AL3917" i="93"/>
  <c r="AD4358" i="93"/>
  <c r="D21" i="5" s="1"/>
  <c r="AL4356" i="93"/>
  <c r="D61" i="99" s="1"/>
  <c r="D62" i="99" s="1"/>
  <c r="L4356" i="93"/>
  <c r="C61" i="99" s="1"/>
  <c r="C62" i="99" s="1"/>
  <c r="BC4377" i="93"/>
  <c r="BC4378" i="93" s="1"/>
  <c r="BC4379" i="93" s="1"/>
  <c r="BC4359" i="93"/>
  <c r="BC4360" i="93"/>
  <c r="BC4375" i="93" s="1"/>
  <c r="BD4374" i="93"/>
  <c r="BF4374" i="93" s="1"/>
  <c r="AC3749" i="93"/>
  <c r="BE3749" i="93" s="1"/>
  <c r="AZ4377" i="93"/>
  <c r="AZ4359" i="93"/>
  <c r="AR4377" i="93"/>
  <c r="AR4359" i="93"/>
  <c r="AJ4377" i="93"/>
  <c r="AJ4359" i="93"/>
  <c r="Z4377" i="93"/>
  <c r="Z4359" i="93"/>
  <c r="V4377" i="93"/>
  <c r="V4359" i="93"/>
  <c r="J4377" i="93"/>
  <c r="J4359" i="93"/>
  <c r="F4377" i="93"/>
  <c r="F4359" i="93"/>
  <c r="AS4376" i="93"/>
  <c r="AS4360" i="93"/>
  <c r="AS4375" i="93" s="1"/>
  <c r="U4376" i="93"/>
  <c r="U4360" i="93"/>
  <c r="U4375" i="93" s="1"/>
  <c r="M4376" i="93"/>
  <c r="M4360" i="93"/>
  <c r="M4375" i="93" s="1"/>
  <c r="E4376" i="93"/>
  <c r="E4360" i="93"/>
  <c r="E4375" i="93" s="1"/>
  <c r="AS4377" i="93"/>
  <c r="AS4359" i="93"/>
  <c r="AK4377" i="93"/>
  <c r="AK4359" i="93"/>
  <c r="M4377" i="93"/>
  <c r="M4359" i="93"/>
  <c r="AX4376" i="93"/>
  <c r="AD4376" i="93"/>
  <c r="P4376" i="93"/>
  <c r="AB1698" i="93"/>
  <c r="AB1091" i="93"/>
  <c r="AO4376" i="93"/>
  <c r="AO4360" i="93"/>
  <c r="AO4375" i="93" s="1"/>
  <c r="AE4376" i="93"/>
  <c r="AE4360" i="93"/>
  <c r="AE4375" i="93" s="1"/>
  <c r="W4376" i="93"/>
  <c r="W4360" i="93"/>
  <c r="W4375" i="93" s="1"/>
  <c r="O4376" i="93"/>
  <c r="O4360" i="93"/>
  <c r="O4375" i="93" s="1"/>
  <c r="G4376" i="93"/>
  <c r="G4360" i="93"/>
  <c r="G4375" i="93" s="1"/>
  <c r="BD10" i="93"/>
  <c r="AV4377" i="93"/>
  <c r="AV4359" i="93"/>
  <c r="AN4377" i="93"/>
  <c r="AN4359" i="93"/>
  <c r="AF4377" i="93"/>
  <c r="AF4359" i="93"/>
  <c r="R4377" i="93"/>
  <c r="R4359" i="93"/>
  <c r="N4377" i="93"/>
  <c r="N4359" i="93"/>
  <c r="AW4377" i="93"/>
  <c r="AW4359" i="93"/>
  <c r="AB1043" i="93"/>
  <c r="BD1043" i="93" s="1"/>
  <c r="BF1043" i="93" s="1"/>
  <c r="AW4376" i="93"/>
  <c r="AW4360" i="93"/>
  <c r="AW4375" i="93" s="1"/>
  <c r="AK4376" i="93"/>
  <c r="AK4360" i="93"/>
  <c r="AK4375" i="93" s="1"/>
  <c r="Q4376" i="93"/>
  <c r="Q4360" i="93"/>
  <c r="Q4375" i="93" s="1"/>
  <c r="I4376" i="93"/>
  <c r="I4360" i="93"/>
  <c r="I4375" i="93" s="1"/>
  <c r="AL4357" i="93"/>
  <c r="AQ4377" i="93"/>
  <c r="AQ4378" i="93" s="1"/>
  <c r="AQ4379" i="93" s="1"/>
  <c r="AQ4359" i="93"/>
  <c r="AI4377" i="93"/>
  <c r="AI4359" i="93"/>
  <c r="O4377" i="93"/>
  <c r="O4359" i="93"/>
  <c r="AZ4376" i="93"/>
  <c r="AZ4360" i="93"/>
  <c r="AZ4375" i="93" s="1"/>
  <c r="AV4376" i="93"/>
  <c r="AV4360" i="93"/>
  <c r="AV4375" i="93" s="1"/>
  <c r="AR4376" i="93"/>
  <c r="AR4360" i="93"/>
  <c r="AR4375" i="93" s="1"/>
  <c r="AN4376" i="93"/>
  <c r="AN4360" i="93"/>
  <c r="AN4375" i="93" s="1"/>
  <c r="AJ4376" i="93"/>
  <c r="AJ4360" i="93"/>
  <c r="AJ4375" i="93" s="1"/>
  <c r="AF4376" i="93"/>
  <c r="AF4360" i="93"/>
  <c r="AF4375" i="93" s="1"/>
  <c r="Z4376" i="93"/>
  <c r="Z4360" i="93"/>
  <c r="Z4375" i="93" s="1"/>
  <c r="V4376" i="93"/>
  <c r="V4360" i="93"/>
  <c r="V4375" i="93" s="1"/>
  <c r="R4376" i="93"/>
  <c r="R4360" i="93"/>
  <c r="R4375" i="93" s="1"/>
  <c r="N4376" i="93"/>
  <c r="N4360" i="93"/>
  <c r="N4375" i="93" s="1"/>
  <c r="J4376" i="93"/>
  <c r="J4360" i="93"/>
  <c r="J4375" i="93" s="1"/>
  <c r="F4376" i="93"/>
  <c r="F4360" i="93"/>
  <c r="F4375" i="93" s="1"/>
  <c r="BA4376" i="93"/>
  <c r="AG4376" i="93"/>
  <c r="AG4360" i="93"/>
  <c r="AG4375" i="93" s="1"/>
  <c r="AA4376" i="93"/>
  <c r="S4376" i="93"/>
  <c r="S4360" i="93"/>
  <c r="S4375" i="93" s="1"/>
  <c r="K4376" i="93"/>
  <c r="K4360" i="93"/>
  <c r="K4375" i="93" s="1"/>
  <c r="BB1258" i="93"/>
  <c r="BF10" i="93" l="1"/>
  <c r="BJ256" i="93"/>
  <c r="BF855" i="93"/>
  <c r="BJ855" i="93"/>
  <c r="BF741" i="93"/>
  <c r="BJ741" i="93"/>
  <c r="BF672" i="93"/>
  <c r="BJ672" i="93"/>
  <c r="BF569" i="93"/>
  <c r="BJ569" i="93"/>
  <c r="BF257" i="93"/>
  <c r="BJ257" i="93"/>
  <c r="BK257" i="93" s="1"/>
  <c r="BF198" i="93"/>
  <c r="BJ198" i="93"/>
  <c r="D131" i="100"/>
  <c r="D133" i="100" s="1"/>
  <c r="C131" i="100"/>
  <c r="C133" i="100" s="1"/>
  <c r="D50" i="42"/>
  <c r="E50" i="42" s="1"/>
  <c r="E51" i="42" s="1"/>
  <c r="C114" i="96"/>
  <c r="C115" i="96" s="1"/>
  <c r="BG3749" i="93"/>
  <c r="BF1139" i="93"/>
  <c r="F12" i="94"/>
  <c r="E21" i="5"/>
  <c r="E22" i="5" s="1"/>
  <c r="BG3699" i="93"/>
  <c r="BF3575" i="93"/>
  <c r="BF3749" i="93"/>
  <c r="BG1133" i="93"/>
  <c r="BF1133" i="93"/>
  <c r="BG1409" i="93"/>
  <c r="BG3575" i="93"/>
  <c r="BG1043" i="93"/>
  <c r="BG3761" i="93"/>
  <c r="BG3159" i="93"/>
  <c r="BG1917" i="93"/>
  <c r="BG146" i="93"/>
  <c r="BG3918" i="93"/>
  <c r="BG3969" i="93"/>
  <c r="BG4194" i="93"/>
  <c r="BG2621" i="93"/>
  <c r="BG1023" i="93"/>
  <c r="BG1720" i="93"/>
  <c r="BG1804" i="93"/>
  <c r="BG1040" i="93"/>
  <c r="BG4220" i="93"/>
  <c r="BG1068" i="93"/>
  <c r="BG1796" i="93"/>
  <c r="BG2031" i="93"/>
  <c r="BG1248" i="93"/>
  <c r="BG1103" i="93"/>
  <c r="BG1168" i="93"/>
  <c r="BG1175" i="93"/>
  <c r="BG1114" i="93"/>
  <c r="BG1512" i="93"/>
  <c r="BG22" i="93"/>
  <c r="BG855" i="93"/>
  <c r="BG4250" i="93"/>
  <c r="BG78" i="93"/>
  <c r="BG3488" i="93"/>
  <c r="BG4044" i="93"/>
  <c r="BG4159" i="93"/>
  <c r="BG846" i="93"/>
  <c r="BG1002" i="93"/>
  <c r="BG1018" i="93"/>
  <c r="BG2921" i="93"/>
  <c r="BG4272" i="93"/>
  <c r="BG4348" i="93"/>
  <c r="BG2614" i="93"/>
  <c r="BG33" i="93"/>
  <c r="BG47" i="93"/>
  <c r="BG75" i="93"/>
  <c r="BG1083" i="93"/>
  <c r="BG3507" i="93"/>
  <c r="BG3852" i="93"/>
  <c r="BG4004" i="93"/>
  <c r="BG4066" i="93"/>
  <c r="BG4114" i="93"/>
  <c r="BG999" i="93"/>
  <c r="BG1910" i="93"/>
  <c r="BG3904" i="93"/>
  <c r="BG3615" i="93"/>
  <c r="BG2627" i="93"/>
  <c r="BG1702" i="93"/>
  <c r="BG3915" i="93"/>
  <c r="BG3943" i="93"/>
  <c r="BG2384" i="93"/>
  <c r="BG3109" i="93"/>
  <c r="BG1791" i="93"/>
  <c r="BG1729" i="93"/>
  <c r="BG129" i="93"/>
  <c r="BG2138" i="93"/>
  <c r="BG1028" i="93"/>
  <c r="BG1715" i="93"/>
  <c r="BG1808" i="93"/>
  <c r="BG3651" i="93"/>
  <c r="BG3827" i="93"/>
  <c r="BG1139" i="93"/>
  <c r="BG1120" i="93"/>
  <c r="BG1095" i="93"/>
  <c r="BG1130" i="93"/>
  <c r="BG741" i="93"/>
  <c r="BG672" i="93"/>
  <c r="BG52" i="93"/>
  <c r="BG3908" i="93"/>
  <c r="BG4098" i="93"/>
  <c r="BG4132" i="93"/>
  <c r="BG257" i="93"/>
  <c r="BG989" i="93"/>
  <c r="BG1006" i="93"/>
  <c r="BG3987" i="93"/>
  <c r="BG569" i="93"/>
  <c r="BG10" i="93"/>
  <c r="BG3178" i="93"/>
  <c r="BG55" i="93"/>
  <c r="BG198" i="93"/>
  <c r="BG1081" i="93"/>
  <c r="BG2006" i="93"/>
  <c r="BG3391" i="93"/>
  <c r="BG3872" i="93"/>
  <c r="BG4024" i="93"/>
  <c r="BG4095" i="93"/>
  <c r="BG4125" i="93"/>
  <c r="BG4186" i="93"/>
  <c r="BG1620" i="93"/>
  <c r="BG2338" i="93"/>
  <c r="BG3914" i="93"/>
  <c r="BG4288" i="93"/>
  <c r="BG4374" i="93"/>
  <c r="BD2779" i="93"/>
  <c r="BF2779" i="93" s="1"/>
  <c r="BD2381" i="93"/>
  <c r="BF2381" i="93" s="1"/>
  <c r="BD2293" i="93"/>
  <c r="BF2293" i="93" s="1"/>
  <c r="BD2153" i="93"/>
  <c r="BF2153" i="93" s="1"/>
  <c r="G9" i="121"/>
  <c r="G8" i="121"/>
  <c r="E14" i="121"/>
  <c r="I14" i="121" s="1"/>
  <c r="BE4356" i="93"/>
  <c r="AA4359" i="93"/>
  <c r="BA4359" i="93"/>
  <c r="BA4377" i="93"/>
  <c r="BA4378" i="93" s="1"/>
  <c r="BA4379" i="93" s="1"/>
  <c r="X4377" i="93"/>
  <c r="AX4359" i="93"/>
  <c r="X4376" i="93"/>
  <c r="AT4377" i="93"/>
  <c r="AH4376" i="93"/>
  <c r="D47" i="95" s="1"/>
  <c r="D48" i="95" s="1"/>
  <c r="AT4376" i="93"/>
  <c r="T4376" i="93"/>
  <c r="BB4358" i="93"/>
  <c r="BA4360" i="93"/>
  <c r="BA4375" i="93" s="1"/>
  <c r="P4377" i="93"/>
  <c r="P4378" i="93" s="1"/>
  <c r="P4379" i="93" s="1"/>
  <c r="C130" i="104"/>
  <c r="C131" i="104" s="1"/>
  <c r="AP4377" i="93"/>
  <c r="D130" i="104"/>
  <c r="D131" i="104" s="1"/>
  <c r="BD2009" i="93"/>
  <c r="BF2009" i="93" s="1"/>
  <c r="AP4376" i="93"/>
  <c r="D66" i="103"/>
  <c r="AM4378" i="93"/>
  <c r="AM4379" i="93" s="1"/>
  <c r="BD1698" i="93"/>
  <c r="BF1698" i="93" s="1"/>
  <c r="BD1091" i="93"/>
  <c r="BF1091" i="93" s="1"/>
  <c r="BD1258" i="93"/>
  <c r="BF1258" i="93" s="1"/>
  <c r="BD82" i="93"/>
  <c r="AB3917" i="93"/>
  <c r="BD4303" i="93"/>
  <c r="BF4303" i="93" s="1"/>
  <c r="BD4161" i="93"/>
  <c r="BF4161" i="93" s="1"/>
  <c r="AP4360" i="93"/>
  <c r="AP4375" i="93" s="1"/>
  <c r="AP4359" i="93"/>
  <c r="AT4359" i="93"/>
  <c r="AT4360" i="93"/>
  <c r="AT4375" i="93" s="1"/>
  <c r="Y4377" i="93"/>
  <c r="Y4378" i="93" s="1"/>
  <c r="Y4379" i="93" s="1"/>
  <c r="Y4360" i="93"/>
  <c r="Y4375" i="93" s="1"/>
  <c r="AY4377" i="93"/>
  <c r="AY4378" i="93" s="1"/>
  <c r="AY4379" i="93" s="1"/>
  <c r="AX4377" i="93"/>
  <c r="AX4378" i="93" s="1"/>
  <c r="AX4379" i="93" s="1"/>
  <c r="BB3917" i="93"/>
  <c r="AB4358" i="93"/>
  <c r="AB3574" i="93"/>
  <c r="BD3574" i="93" s="1"/>
  <c r="T4360" i="93"/>
  <c r="T4375" i="93" s="1"/>
  <c r="AL4376" i="93"/>
  <c r="H4359" i="93"/>
  <c r="AH4360" i="93"/>
  <c r="AH4375" i="93" s="1"/>
  <c r="H4360" i="93"/>
  <c r="H4375" i="93" s="1"/>
  <c r="H4377" i="93"/>
  <c r="BB4356" i="93"/>
  <c r="BB4376" i="93" s="1"/>
  <c r="AH4359" i="93"/>
  <c r="W4378" i="93"/>
  <c r="W4379" i="93" s="1"/>
  <c r="H4376" i="93"/>
  <c r="C47" i="95" s="1"/>
  <c r="C48" i="95" s="1"/>
  <c r="D41" i="97"/>
  <c r="D67" i="66"/>
  <c r="C26" i="1"/>
  <c r="E26" i="1" s="1"/>
  <c r="E27" i="1" s="1"/>
  <c r="AX4360" i="93"/>
  <c r="AX4375" i="93" s="1"/>
  <c r="AY4359" i="93"/>
  <c r="AH4377" i="93"/>
  <c r="AG4378" i="93"/>
  <c r="AG4379" i="93" s="1"/>
  <c r="X4360" i="93"/>
  <c r="X4375" i="93" s="1"/>
  <c r="AA4377" i="93"/>
  <c r="AA4378" i="93" s="1"/>
  <c r="AA4379" i="93" s="1"/>
  <c r="D4377" i="93"/>
  <c r="D4378" i="93" s="1"/>
  <c r="D4379" i="93" s="1"/>
  <c r="C67" i="66"/>
  <c r="E4378" i="93"/>
  <c r="E4379" i="93" s="1"/>
  <c r="U4378" i="93"/>
  <c r="U4379" i="93" s="1"/>
  <c r="P4359" i="93"/>
  <c r="AA4360" i="93"/>
  <c r="AA4375" i="93" s="1"/>
  <c r="I4378" i="93"/>
  <c r="I4379" i="93" s="1"/>
  <c r="AO4378" i="93"/>
  <c r="AO4379" i="93" s="1"/>
  <c r="P4360" i="93"/>
  <c r="P4375" i="93" s="1"/>
  <c r="AF4378" i="93"/>
  <c r="AF4379" i="93" s="1"/>
  <c r="AN4378" i="93"/>
  <c r="AN4379" i="93" s="1"/>
  <c r="AV4378" i="93"/>
  <c r="AV4379" i="93" s="1"/>
  <c r="AE4378" i="93"/>
  <c r="AE4379" i="93" s="1"/>
  <c r="F4378" i="93"/>
  <c r="F4379" i="93" s="1"/>
  <c r="J4378" i="93"/>
  <c r="J4379" i="93" s="1"/>
  <c r="N4378" i="93"/>
  <c r="N4379" i="93" s="1"/>
  <c r="R4378" i="93"/>
  <c r="R4379" i="93" s="1"/>
  <c r="V4378" i="93"/>
  <c r="V4379" i="93" s="1"/>
  <c r="Z4378" i="93"/>
  <c r="Z4379" i="93" s="1"/>
  <c r="AJ4378" i="93"/>
  <c r="AJ4379" i="93" s="1"/>
  <c r="AR4378" i="93"/>
  <c r="AR4379" i="93" s="1"/>
  <c r="AZ4378" i="93"/>
  <c r="AZ4379" i="93" s="1"/>
  <c r="X4359" i="93"/>
  <c r="L4360" i="93"/>
  <c r="L4375" i="93" s="1"/>
  <c r="Q4378" i="93"/>
  <c r="Q4379" i="93" s="1"/>
  <c r="D4359" i="93"/>
  <c r="D4360" i="93"/>
  <c r="D4375" i="93" s="1"/>
  <c r="S4378" i="93"/>
  <c r="S4379" i="93" s="1"/>
  <c r="K4378" i="93"/>
  <c r="K4379" i="93" s="1"/>
  <c r="G4378" i="93"/>
  <c r="G4379" i="93" s="1"/>
  <c r="AD4360" i="93"/>
  <c r="AD4375" i="93" s="1"/>
  <c r="AK4378" i="93"/>
  <c r="AK4379" i="93" s="1"/>
  <c r="AW4378" i="93"/>
  <c r="AW4379" i="93" s="1"/>
  <c r="L4376" i="93"/>
  <c r="AL4360" i="93"/>
  <c r="AL4375" i="93" s="1"/>
  <c r="AI4378" i="93"/>
  <c r="AI4379" i="93" s="1"/>
  <c r="L4377" i="93"/>
  <c r="L4359" i="93"/>
  <c r="T4359" i="93"/>
  <c r="T4377" i="93"/>
  <c r="BB4357" i="93"/>
  <c r="AS4378" i="93"/>
  <c r="AS4379" i="93" s="1"/>
  <c r="AC3574" i="93"/>
  <c r="BE3574" i="93" s="1"/>
  <c r="AL4377" i="93"/>
  <c r="AL4359" i="93"/>
  <c r="O4378" i="93"/>
  <c r="O4379" i="93" s="1"/>
  <c r="AB1005" i="93"/>
  <c r="BD1005" i="93" s="1"/>
  <c r="BF1005" i="93" s="1"/>
  <c r="AD4377" i="93"/>
  <c r="AD4378" i="93" s="1"/>
  <c r="AD4379" i="93" s="1"/>
  <c r="AD4359" i="93"/>
  <c r="M4378" i="93"/>
  <c r="M4379" i="93" s="1"/>
  <c r="BF82" i="93" l="1"/>
  <c r="BJ82" i="93"/>
  <c r="E67" i="66"/>
  <c r="AB4356" i="93"/>
  <c r="BF3574" i="93"/>
  <c r="X4378" i="93"/>
  <c r="X4379" i="93" s="1"/>
  <c r="BG3574" i="93"/>
  <c r="BG4161" i="93"/>
  <c r="BG1258" i="93"/>
  <c r="BG1698" i="93"/>
  <c r="BG2009" i="93"/>
  <c r="BG2153" i="93"/>
  <c r="BG2381" i="93"/>
  <c r="BG4303" i="93"/>
  <c r="BG82" i="93"/>
  <c r="BG1091" i="93"/>
  <c r="BG2293" i="93"/>
  <c r="BG2779" i="93"/>
  <c r="BG1005" i="93"/>
  <c r="BE4376" i="93"/>
  <c r="T4378" i="93"/>
  <c r="T4379" i="93" s="1"/>
  <c r="AT4378" i="93"/>
  <c r="AT4379" i="93" s="1"/>
  <c r="AL4378" i="93"/>
  <c r="AL4379" i="93" s="1"/>
  <c r="AH4378" i="93"/>
  <c r="AH4379" i="93" s="1"/>
  <c r="AP4378" i="93"/>
  <c r="AP4379" i="93" s="1"/>
  <c r="AB4357" i="93"/>
  <c r="AB4377" i="93" s="1"/>
  <c r="BD4358" i="93"/>
  <c r="BF4358" i="93" s="1"/>
  <c r="BD3917" i="93"/>
  <c r="BF3917" i="93" s="1"/>
  <c r="H4378" i="93"/>
  <c r="H4379" i="93" s="1"/>
  <c r="L4378" i="93"/>
  <c r="L4379" i="93" s="1"/>
  <c r="AC4357" i="93"/>
  <c r="BB4377" i="93"/>
  <c r="BB4378" i="93" s="1"/>
  <c r="BB4379" i="93" s="1"/>
  <c r="BB4359" i="93"/>
  <c r="BB4360" i="93"/>
  <c r="BB4375" i="93" s="1"/>
  <c r="BD4357" i="93"/>
  <c r="BG3917" i="93" l="1"/>
  <c r="BG4358" i="93"/>
  <c r="AB4359" i="93"/>
  <c r="BD4377" i="93"/>
  <c r="BD4359" i="93"/>
  <c r="AB4376" i="93"/>
  <c r="AB4378" i="93" s="1"/>
  <c r="AB4379" i="93" s="1"/>
  <c r="AB4360" i="93"/>
  <c r="AB4375" i="93" s="1"/>
  <c r="BE4357" i="93"/>
  <c r="BF4357" i="93" s="1"/>
  <c r="BD4356" i="93"/>
  <c r="BJ4356" i="93" s="1"/>
  <c r="AC4377" i="93"/>
  <c r="AC4378" i="93" s="1"/>
  <c r="AC4379" i="93" s="1"/>
  <c r="AC4359" i="93"/>
  <c r="AC4360" i="93"/>
  <c r="AC4375" i="93" s="1"/>
  <c r="BG4356" i="93" l="1"/>
  <c r="BF4356" i="93"/>
  <c r="BG4357" i="93"/>
  <c r="BD4376" i="93"/>
  <c r="BF4376" i="93" s="1"/>
  <c r="BD4360" i="93"/>
  <c r="BE4377" i="93"/>
  <c r="BF4377" i="93" s="1"/>
  <c r="BE4359" i="93"/>
  <c r="BF4359" i="93" s="1"/>
  <c r="BE4360" i="93"/>
  <c r="BF4360" i="93" l="1"/>
  <c r="BG4376" i="93"/>
  <c r="BG4360" i="93"/>
  <c r="BG4359" i="93"/>
  <c r="BG4377" i="93"/>
  <c r="BE4375" i="93"/>
  <c r="BD4375" i="93"/>
  <c r="BE4378" i="93"/>
  <c r="BD4378" i="93"/>
  <c r="BF4378" i="93" l="1"/>
  <c r="BF4375" i="93"/>
  <c r="BG4378" i="93"/>
  <c r="BG4375" i="93"/>
  <c r="BD4379" i="93"/>
  <c r="BE4379" i="93"/>
  <c r="BF4379" i="93" l="1"/>
  <c r="BH4375" i="93"/>
  <c r="BH4373" i="93" s="1"/>
  <c r="BG4379" i="93"/>
  <c r="D59" i="66"/>
  <c r="C59" i="66"/>
  <c r="E58" i="66" l="1"/>
  <c r="D64" i="66" l="1"/>
  <c r="C64" i="66"/>
  <c r="E64" i="66" s="1"/>
  <c r="E63" i="66"/>
  <c r="E62" i="66"/>
  <c r="E61" i="66"/>
  <c r="E60" i="66"/>
  <c r="D65" i="66"/>
  <c r="D68" i="66" s="1"/>
  <c r="C68" i="66"/>
  <c r="E49" i="66"/>
  <c r="E48" i="66"/>
  <c r="E47" i="66"/>
  <c r="E46" i="66"/>
  <c r="E45" i="66"/>
  <c r="G44" i="66"/>
  <c r="F44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7" i="66"/>
  <c r="E16" i="66"/>
  <c r="E15" i="66"/>
  <c r="E14" i="66"/>
  <c r="E13" i="66"/>
  <c r="E12" i="66"/>
  <c r="E11" i="66"/>
  <c r="E10" i="66"/>
  <c r="E9" i="66"/>
  <c r="E8" i="66"/>
  <c r="E7" i="66"/>
  <c r="E6" i="66"/>
  <c r="E5" i="66"/>
  <c r="E4" i="66"/>
  <c r="E68" i="66" l="1"/>
  <c r="E65" i="66"/>
  <c r="E59" i="66"/>
  <c r="D42" i="42" l="1"/>
  <c r="D47" i="42" l="1"/>
  <c r="C47" i="42"/>
  <c r="E46" i="42"/>
  <c r="E45" i="42"/>
  <c r="E44" i="42"/>
  <c r="E43" i="42"/>
  <c r="D48" i="42"/>
  <c r="D51" i="42" s="1"/>
  <c r="C42" i="42"/>
  <c r="C48" i="42" s="1"/>
  <c r="C51" i="42" s="1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4" i="42"/>
  <c r="E47" i="42" l="1"/>
  <c r="E48" i="42"/>
  <c r="E42" i="42"/>
  <c r="D24" i="1" l="1"/>
  <c r="C24" i="1"/>
  <c r="D21" i="1"/>
  <c r="D25" i="1" s="1"/>
  <c r="D27" i="1" s="1"/>
  <c r="C21" i="1"/>
  <c r="C25" i="1" s="1"/>
  <c r="C27" i="1" s="1"/>
  <c r="D19" i="5"/>
  <c r="C19" i="5"/>
  <c r="D17" i="5"/>
  <c r="D20" i="5" s="1"/>
  <c r="C17" i="5"/>
  <c r="C20" i="5" s="1"/>
  <c r="E5" i="5"/>
  <c r="E6" i="5"/>
  <c r="E7" i="5"/>
  <c r="E8" i="5"/>
  <c r="E10" i="5"/>
  <c r="E11" i="5"/>
  <c r="E12" i="5"/>
  <c r="E13" i="5"/>
  <c r="E14" i="5"/>
  <c r="E15" i="5"/>
  <c r="E18" i="5"/>
  <c r="E4" i="5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2" i="1"/>
  <c r="E23" i="1"/>
  <c r="E5" i="1"/>
  <c r="E19" i="5" l="1"/>
  <c r="E20" i="5"/>
  <c r="E17" i="5"/>
  <c r="E24" i="1"/>
  <c r="E21" i="1"/>
  <c r="E25" i="1"/>
  <c r="BH4363" i="93" l="1"/>
  <c r="BH4364" i="93" s="1"/>
</calcChain>
</file>

<file path=xl/comments1.xml><?xml version="1.0" encoding="utf-8"?>
<comments xmlns="http://schemas.openxmlformats.org/spreadsheetml/2006/main">
  <authors>
    <author>Author</author>
  </authors>
  <commentList>
    <comment ref="C1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C81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B114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14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114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1165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  <comment ref="AD143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OVO SAM DODALA JER IMA U FAKTURI KOD DEKIJA</t>
        </r>
      </text>
    </comment>
    <comment ref="BC314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OSTAVILI SMO KAO I PRETHODNE GODINE PLAN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1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12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</commentList>
</comments>
</file>

<file path=xl/sharedStrings.xml><?xml version="1.0" encoding="utf-8"?>
<sst xmlns="http://schemas.openxmlformats.org/spreadsheetml/2006/main" count="10314" uniqueCount="4226">
  <si>
    <t>ОРГАНИЗАЦИОНА ЈЕДИНИЦА</t>
  </si>
  <si>
    <t>ЗДАВСТВЕНЕ УСЛУГЕ - РФЗО</t>
  </si>
  <si>
    <t>Р.бр.</t>
  </si>
  <si>
    <t>ШИФРА УСЛУГЕ</t>
  </si>
  <si>
    <t>НАЗИВ УСЛУГЕ</t>
  </si>
  <si>
    <t>Број услуга</t>
  </si>
  <si>
    <t>OPERACIJE KARDIOLOGIJA</t>
  </si>
  <si>
    <t>30478-07</t>
  </si>
  <si>
    <t>41881-00</t>
  </si>
  <si>
    <t>OTVORENA TRAHEOSTOMIJA, PRIVREMENA</t>
  </si>
  <si>
    <t>90130-00</t>
  </si>
  <si>
    <t>EKSTRIPACIJA ENDONAZALNE LEZIJE</t>
  </si>
  <si>
    <t>OPERACIJE ALERGOPULMOLOGIJA</t>
  </si>
  <si>
    <t>OPERACIJE GASTROENTEROLOGIJA</t>
  </si>
  <si>
    <t>30445-00</t>
  </si>
  <si>
    <t xml:space="preserve">LAPARASKOPSKA HOLECISTEKTOMIJA </t>
  </si>
  <si>
    <t>ENDOSKOPSKA SKLEROZACIJA LEZIJE ŽELUDCA ILI DUODEN</t>
  </si>
  <si>
    <t>52420-00</t>
  </si>
  <si>
    <t>OPERACIJE HEMATOLOGIJA</t>
  </si>
  <si>
    <t>31423-00</t>
  </si>
  <si>
    <t>EKSCIZIJA (BIOPSIJA) LIMFNOG ČVORA VRATA</t>
  </si>
  <si>
    <t>37011-00</t>
  </si>
  <si>
    <t>CISTOSTOMIJA SA PLASIRANJEM SUPRAPUBIČNOG KATETERA</t>
  </si>
  <si>
    <t>OPERACIJE ENDOKRINA</t>
  </si>
  <si>
    <t>37219-00</t>
  </si>
  <si>
    <t>TRANSREKTALNA BIOPSIJA PROSTATE IGLOM (TRUS VOĐENA</t>
  </si>
  <si>
    <t>OPERACIJE NEFROLOGIJA</t>
  </si>
  <si>
    <t>34509-01</t>
  </si>
  <si>
    <t>36561-00</t>
  </si>
  <si>
    <t>ZATVORENA BIOPSIJA BUBREGA</t>
  </si>
  <si>
    <t>OPERACIJE GERIJATRIJA</t>
  </si>
  <si>
    <t>OPERACIJE NEUROLOGIJA</t>
  </si>
  <si>
    <t>30223-00</t>
  </si>
  <si>
    <t>INCIZIJA I DRENAŽA HEMATOMA KOŽE I POTKOŽNOG TKIVA</t>
  </si>
  <si>
    <t>41881-01</t>
  </si>
  <si>
    <t>OPERACIJE TBC</t>
  </si>
  <si>
    <t>OPERACIJE GINEKOLOGIJA</t>
  </si>
  <si>
    <t>16511-00</t>
  </si>
  <si>
    <t>PRIMENA SERKLAŽA NA GRLIĆ MATERICE</t>
  </si>
  <si>
    <t>16520-02</t>
  </si>
  <si>
    <t>ELEKTIVNI CARSKI REZ SA REZOM NA DONJEM SEGMENTU MATERICE</t>
  </si>
  <si>
    <t>16520-03</t>
  </si>
  <si>
    <t>30373-00</t>
  </si>
  <si>
    <t>EKSPLORATIVNA LAPARATOMIJA</t>
  </si>
  <si>
    <t>30378-00</t>
  </si>
  <si>
    <t>ODVAJANJE ABDOMINALNIH PRIRASLICA</t>
  </si>
  <si>
    <t>30390-00</t>
  </si>
  <si>
    <t>LAPAROSKOPIJA</t>
  </si>
  <si>
    <t>30393-00</t>
  </si>
  <si>
    <t>LAPARASKOPSKO ODVAJANJE ABOMINALNIH PRIRASLICA</t>
  </si>
  <si>
    <t>30571-00</t>
  </si>
  <si>
    <t>APENDEKTOMIJA</t>
  </si>
  <si>
    <t>32003-00</t>
  </si>
  <si>
    <t>PARCIJALNA RESEKCIJA DEBELOG CREVA SA ANASTOMOZOM</t>
  </si>
  <si>
    <t>35513-00</t>
  </si>
  <si>
    <t>LEČENJE CISTE BARTOLINIJEVE ŽLEZDE</t>
  </si>
  <si>
    <t>35539-03</t>
  </si>
  <si>
    <t>BIOPSIJA VAGINE</t>
  </si>
  <si>
    <t>35568-00</t>
  </si>
  <si>
    <t>SARKOSPINOZNA KOLOPEKSIJA</t>
  </si>
  <si>
    <t>REPARACIJA ZADNJEG  DELA VAGINE, VAGINALNI PRISTUP</t>
  </si>
  <si>
    <t>35571-00</t>
  </si>
  <si>
    <t>35572-00</t>
  </si>
  <si>
    <t>KOLPOTOMIJA</t>
  </si>
  <si>
    <t>35573-00</t>
  </si>
  <si>
    <t>REPARACIJA PREDNJEG DELA VAGINE, VAGINALNI PRISTUP</t>
  </si>
  <si>
    <t>35608-02</t>
  </si>
  <si>
    <t>BIOPSIJA GRLIĆA MATERICE</t>
  </si>
  <si>
    <t>35611-00</t>
  </si>
  <si>
    <t>POLIPEKTOMIJA GRLIĆA MATERICE</t>
  </si>
  <si>
    <t>35618-00</t>
  </si>
  <si>
    <t>KONCIZIJA GRLIĆA MATERICE</t>
  </si>
  <si>
    <t>35618-03</t>
  </si>
  <si>
    <t>OSTALE PROCEDURE NA GRLIĆU MATERICE</t>
  </si>
  <si>
    <t>35638-04</t>
  </si>
  <si>
    <t>LAPARASKOPSKA OVARIJALNA CISTEKTOMIJA, JEDNOSTRANA</t>
  </si>
  <si>
    <t>35640-00</t>
  </si>
  <si>
    <t>DILATACIJA CERVIKALNOG KANALA I KIRETAŽA MATERICE</t>
  </si>
  <si>
    <t>35640-01</t>
  </si>
  <si>
    <t>KIRETAŽA MATERICE BEZ DILATACJE CERVIKALNOG KANAL</t>
  </si>
  <si>
    <t>35640-03</t>
  </si>
  <si>
    <t xml:space="preserve">SUCIONA KIRETAŽA MATERICE </t>
  </si>
  <si>
    <t>35649-03</t>
  </si>
  <si>
    <t>MIOMEKTOMIJA LAPARATOMIJA</t>
  </si>
  <si>
    <t>35653-01</t>
  </si>
  <si>
    <t>TOTALNA KLASIČNA ABDOMINALNA HISTEREKTOMIJA</t>
  </si>
  <si>
    <t>35653-04</t>
  </si>
  <si>
    <t>KLASIČNA HISTEREKTOMIJA SA ADNEKSEKTOMIJOM</t>
  </si>
  <si>
    <t>35657-00</t>
  </si>
  <si>
    <t>VAGINALNA HISTEREKTOMIJA</t>
  </si>
  <si>
    <t>35664-00</t>
  </si>
  <si>
    <t>RADIKALNA HISTREKTOMIJA SA LIMFONODEKTOMIJOM NODU</t>
  </si>
  <si>
    <t>35667-00</t>
  </si>
  <si>
    <t>RADIKALNA ABDOMINALNA HISTEREKTOMIJA</t>
  </si>
  <si>
    <t>35677-04</t>
  </si>
  <si>
    <t>SALPIGOTOMIJA SA UKLANJANJEM TRUDNOCE U JAJOVODU LAPARATOMIJA</t>
  </si>
  <si>
    <t>35713-04</t>
  </si>
  <si>
    <t>OVERIJALNA CISTESKOMIJA, JEDNOSTRANA</t>
  </si>
  <si>
    <t>35713-05</t>
  </si>
  <si>
    <t>KLINASTA RESEKCIJA JAJNIKA (LAPARATOMIJA)</t>
  </si>
  <si>
    <t>35713-07</t>
  </si>
  <si>
    <t xml:space="preserve">OVARIEKTOMIJA, JEDNOSTRANA </t>
  </si>
  <si>
    <t>35713-09</t>
  </si>
  <si>
    <t>SALPINGEKTOMIJA, JEDNOSTAVNA</t>
  </si>
  <si>
    <t>35713-11</t>
  </si>
  <si>
    <t>35717-00</t>
  </si>
  <si>
    <t>OVARIJALNA CISTEKTOMIJA OBOSTRANA</t>
  </si>
  <si>
    <t>37004-03</t>
  </si>
  <si>
    <t>37607-00</t>
  </si>
  <si>
    <t>RADIKALNA EKSCIZIJA RETROPERITONEALNIH LIMF.ČVOR</t>
  </si>
  <si>
    <t>59712-00</t>
  </si>
  <si>
    <t>90440-00</t>
  </si>
  <si>
    <t>EKCIZIJA LEZIJA VULVE</t>
  </si>
  <si>
    <t>90446-00</t>
  </si>
  <si>
    <t>OSTALE INCIIJE NA VULVI I PERINEUMU (KOD VULVARNI</t>
  </si>
  <si>
    <t>90449-00</t>
  </si>
  <si>
    <t>OSTALE REPARACIJE VAGINE</t>
  </si>
  <si>
    <t>90467-00</t>
  </si>
  <si>
    <t>90483-00</t>
  </si>
  <si>
    <t>96189-00</t>
  </si>
  <si>
    <t>OMENTEKTOMIJA</t>
  </si>
  <si>
    <t>OPERACIJE AKUŠERSTVO</t>
  </si>
  <si>
    <t>16520-00</t>
  </si>
  <si>
    <t>ELEKTIVNI KLASIČNI CARSKI REZ</t>
  </si>
  <si>
    <t>16520-01</t>
  </si>
  <si>
    <t>HITNA KLASIČNI CARSKI REZ</t>
  </si>
  <si>
    <t>HITNI CARSKI REZ SA REZOM NA DONJEM SEGMENTU MATERICE</t>
  </si>
  <si>
    <t>35518-00</t>
  </si>
  <si>
    <t>PUNKCIJA CISTE JAJNIKA</t>
  </si>
  <si>
    <t>34640-01</t>
  </si>
  <si>
    <t>SUKCIONA KIRETAŽA MATERICE</t>
  </si>
  <si>
    <t>90468-00</t>
  </si>
  <si>
    <t>90469-00</t>
  </si>
  <si>
    <t>DOVRŠAVANJE POROĐAJA VAKUM EKSTRAKCIJOM</t>
  </si>
  <si>
    <t>90470-01</t>
  </si>
  <si>
    <t>KARLIČNI POROĐAJ UZ RUČNU POMOĆ</t>
  </si>
  <si>
    <t>90482-00</t>
  </si>
  <si>
    <t>MANUELNA EKSTRAKCIJA POSTELJICE</t>
  </si>
  <si>
    <t>90571-00</t>
  </si>
  <si>
    <t>RAZDVAJANJE ADHEZIJA MEKOG TKIVA, NEKLASIFIKOVANO</t>
  </si>
  <si>
    <t>OPERACIJE NEONATOLOGIJA</t>
  </si>
  <si>
    <t>MIOMEKTOMIJA LAPAROTOMIJOM</t>
  </si>
  <si>
    <t>OPERACIJE PEDIJATRIJA</t>
  </si>
  <si>
    <t>OPERACIJE HIRURGIJA</t>
  </si>
  <si>
    <t>30023-00</t>
  </si>
  <si>
    <t>EKSCIZIJSKI DEBRIDMAN MEKOG TKIVA</t>
  </si>
  <si>
    <t>30023-01</t>
  </si>
  <si>
    <t>EKCIIJSKI DEBRIDMAN MEKOG TKIVA KOJI ZAHVATA KOS</t>
  </si>
  <si>
    <t>30075-16</t>
  </si>
  <si>
    <t>BIOPSIJA PANKREASA</t>
  </si>
  <si>
    <t>30296-01</t>
  </si>
  <si>
    <t>TOTALNA TIROIDEKTOMIJA</t>
  </si>
  <si>
    <t>30375-00</t>
  </si>
  <si>
    <t>CEKOSKOMA</t>
  </si>
  <si>
    <t>30375-03</t>
  </si>
  <si>
    <t>ENTEROTOMIJA TANGOG CREVA</t>
  </si>
  <si>
    <t>30375-04</t>
  </si>
  <si>
    <t>DRUGA KOLOSTOMA</t>
  </si>
  <si>
    <t>30375-06</t>
  </si>
  <si>
    <t xml:space="preserve">GASTROTOMIJA </t>
  </si>
  <si>
    <t>30375-07</t>
  </si>
  <si>
    <t>30375-09</t>
  </si>
  <si>
    <t>EKSCIZIJA MEKELOVOG DIVERTIKULUMA</t>
  </si>
  <si>
    <t>30375-10</t>
  </si>
  <si>
    <t>ŠAV PERFORIRANOG ULKUSA</t>
  </si>
  <si>
    <t>30375-13</t>
  </si>
  <si>
    <t>PILOROPLASTIKA</t>
  </si>
  <si>
    <t>30375-24</t>
  </si>
  <si>
    <t xml:space="preserve">ŠAV TANKOG CREVA </t>
  </si>
  <si>
    <t>30392-00</t>
  </si>
  <si>
    <t>REDUKCIJA INTRAABROMINALNIH LEGIJA</t>
  </si>
  <si>
    <t>30402-00</t>
  </si>
  <si>
    <t>DRENAŽA RETROPERITONELANOG APSCESA</t>
  </si>
  <si>
    <t>30403-00</t>
  </si>
  <si>
    <t>REPARACIJA INCIZIONE KILE BEZ MREŽICE</t>
  </si>
  <si>
    <t>30403-01</t>
  </si>
  <si>
    <t xml:space="preserve">REPARACIJA OSTALIH KILA TRBUŠNOG ZIDA </t>
  </si>
  <si>
    <t>30405-01</t>
  </si>
  <si>
    <t>REPARACIJA INCIZIONE KILE, MREŽICOM</t>
  </si>
  <si>
    <t>30411-00</t>
  </si>
  <si>
    <t>INTRAOPERATIVNA BIOPSIJA JETRE</t>
  </si>
  <si>
    <t>30414-00</t>
  </si>
  <si>
    <t>EKSCIZIJA PROMENE IZ JETRE</t>
  </si>
  <si>
    <t>30415-00</t>
  </si>
  <si>
    <t>SEGMENTNA RESEKCIJA JETRE</t>
  </si>
  <si>
    <t>30439-00</t>
  </si>
  <si>
    <t>INTRAOPERATIVNA HOLANGIOGRAFIJA</t>
  </si>
  <si>
    <t>30443-00</t>
  </si>
  <si>
    <t xml:space="preserve">HOLECISTEKTOMIJA </t>
  </si>
  <si>
    <t>30454-00</t>
  </si>
  <si>
    <t>HOLEDOHOTOMIJA</t>
  </si>
  <si>
    <t>30454-01</t>
  </si>
  <si>
    <t>HOLECISTEKTOMIJA SA HOLEDOHOTOMIJOM</t>
  </si>
  <si>
    <t>30455-00</t>
  </si>
  <si>
    <t>HOLECISTEKTOMIJA SA HOLEDOHOTOMIJOM  I BILIJARNO-IN</t>
  </si>
  <si>
    <t>30460-03</t>
  </si>
  <si>
    <t>30460-08</t>
  </si>
  <si>
    <t>BILODIGESTIVNI BAJ PAS POMOĆU ROUKS-EN-Y VIJUGE</t>
  </si>
  <si>
    <t>30512-00</t>
  </si>
  <si>
    <t>GASTRIČNI BAJ PAS</t>
  </si>
  <si>
    <t>30515-00</t>
  </si>
  <si>
    <t>GASTRO-ENTEROSTOMIJA</t>
  </si>
  <si>
    <t>30515-01</t>
  </si>
  <si>
    <t>ENTEROKOLOANASTOMOZA</t>
  </si>
  <si>
    <t>30515-02</t>
  </si>
  <si>
    <t xml:space="preserve">ENTOENTEROANASTOMOZA </t>
  </si>
  <si>
    <t>30521-00</t>
  </si>
  <si>
    <t>TOTALNA GASTREKTOMIJA</t>
  </si>
  <si>
    <t>30523-00</t>
  </si>
  <si>
    <t>SUPTOTALNA GASTREKTOMIJA</t>
  </si>
  <si>
    <t>30562-01</t>
  </si>
  <si>
    <t>ZATVARANJE ILEOSTOME SA USPOSTAVLJENIM KONTINUITETOM CREVA BEZ RESEKCIJE</t>
  </si>
  <si>
    <t>30562-02</t>
  </si>
  <si>
    <t>ZATVARANJE PETLJE KOLOSTOME</t>
  </si>
  <si>
    <t>30565-00</t>
  </si>
  <si>
    <t>RESEKCIJA TANKOG CREVA SA FORMIRANJEM STOME</t>
  </si>
  <si>
    <t>30566-00</t>
  </si>
  <si>
    <t>RESEKCIJA TANKOG CREVA SA ANASTOMOZOM</t>
  </si>
  <si>
    <t>30597-00</t>
  </si>
  <si>
    <t>SPLENEKTOMIJA</t>
  </si>
  <si>
    <t>30614-00</t>
  </si>
  <si>
    <t>REPARACIJA FEMORALNE HERNIJE, JEDNOSTRANO</t>
  </si>
  <si>
    <t>30614-02</t>
  </si>
  <si>
    <t>REPARACIJA INGVINALNE HERNIJE, JEDNOSTRANA</t>
  </si>
  <si>
    <t>30614-03</t>
  </si>
  <si>
    <t>REPARACIJA INGVINALNE HERNIJE, OBOSTRANO</t>
  </si>
  <si>
    <t>30615-00</t>
  </si>
  <si>
    <t>REPARACIJA INKARCERARNE, STRANGULISANE I OPSTRUKTIVNE HERNIJE</t>
  </si>
  <si>
    <t>30617-00</t>
  </si>
  <si>
    <t>REPARACIJA UMBILIKALNE HERNIJE</t>
  </si>
  <si>
    <t>30617-01</t>
  </si>
  <si>
    <t>REPARACIJA EPIGASTRIČNE HERNIJE</t>
  </si>
  <si>
    <t>30617-02</t>
  </si>
  <si>
    <t>REPARACIJA HERNIJE BELE LINIJE</t>
  </si>
  <si>
    <t>30631-00</t>
  </si>
  <si>
    <t>OPERACIJA HIDROCELE I / ILI FUNIKULOCELE</t>
  </si>
  <si>
    <t>30635-00</t>
  </si>
  <si>
    <t>30641-00</t>
  </si>
  <si>
    <t>ORHIDEKTOMIJA, JEDNOSTRANA</t>
  </si>
  <si>
    <t>30676-01</t>
  </si>
  <si>
    <t>EKSIZIJA PILOMIDALNOG SINUSA ILI CISTE</t>
  </si>
  <si>
    <t>31205-00</t>
  </si>
  <si>
    <t>EKSCIZIJA LEZIJE (A) NA KOŽI I POTKOŽNOM TKIVU OSTALIH OBLASTI</t>
  </si>
  <si>
    <t>31235-00</t>
  </si>
  <si>
    <t>31235-03</t>
  </si>
  <si>
    <t>EKCIZIJA LEZIJE(A)NA KOŽI I POTKOŽNOM TKIVU</t>
  </si>
  <si>
    <t>31350-00</t>
  </si>
  <si>
    <t>EKSCIZIJA LEZIJE MEKOG TKIVA, NEKLASIFIKOVANA NA DRUGOM MESTU</t>
  </si>
  <si>
    <t>31462-00</t>
  </si>
  <si>
    <t>UGRADNJA SONDE ZA HRANJENJEJENUNOSTOMIJA</t>
  </si>
  <si>
    <t>31500-00</t>
  </si>
  <si>
    <t>EKCIZIJA LEZIJA NA DOJKAMA</t>
  </si>
  <si>
    <t>31518-00</t>
  </si>
  <si>
    <t>JEDNOSTAVNA MASTEKTOMIJA JEDNOSTRANA</t>
  </si>
  <si>
    <t>32000-00</t>
  </si>
  <si>
    <t>PARCIJALNA RESEKCIJA DEBELOG CREVA SA FORMIRANJEM STOME</t>
  </si>
  <si>
    <t>32000-01</t>
  </si>
  <si>
    <t>DESNA HEMIKOLEKTOMIJA SA FORMIRANJEM STOME</t>
  </si>
  <si>
    <t>32003-01</t>
  </si>
  <si>
    <t>DESNA HEMIKOLEKTOMIJA SA ANASTOMOZOM</t>
  </si>
  <si>
    <t>32006-00</t>
  </si>
  <si>
    <t>LEVA HEMIKOLEKTOMIJA SA ANASTEMOZOM</t>
  </si>
  <si>
    <t>32024-00</t>
  </si>
  <si>
    <t>VISOKA RESTORATIVNA PREDNJA RESEKCIJA REKTUMA</t>
  </si>
  <si>
    <t>32025-00</t>
  </si>
  <si>
    <t>NISKA RESTORATIVNA PREDNJA RESEKCIJA REKTUMA</t>
  </si>
  <si>
    <t>32026-00</t>
  </si>
  <si>
    <t>VRLO NISKA RESTORATIVNA PREDNJA RESEKCIJA REKTUMA</t>
  </si>
  <si>
    <t>32030-00</t>
  </si>
  <si>
    <t>RESEKCIJA REKTUMA I / ILI SIGME UZ FORMIRANJE TERMIN</t>
  </si>
  <si>
    <t>32033-00</t>
  </si>
  <si>
    <t>USPOSTAVLJANJE KONTINUITETA CREVA NAKON HARTMANOVE</t>
  </si>
  <si>
    <t>32039-00</t>
  </si>
  <si>
    <t>ABDOMINOPERINEALNA RESEKCIJA REKTUMA</t>
  </si>
  <si>
    <t>32138-00</t>
  </si>
  <si>
    <t>HEMOROIDEKTOMIJA</t>
  </si>
  <si>
    <t>32142-01</t>
  </si>
  <si>
    <t>EKSCIZIJA ANALNOG POLIPA</t>
  </si>
  <si>
    <t>32159-00</t>
  </si>
  <si>
    <t>EKSCIZIJA ANALNE FISTULE-FISTULEKTOMIJA</t>
  </si>
  <si>
    <t>32174-02</t>
  </si>
  <si>
    <t>DRENAŽA ISHIOREKTALNOG APSCESA</t>
  </si>
  <si>
    <t>32504-01</t>
  </si>
  <si>
    <t>PREKID VIŠESTRUKIH PRITOKA VARIKOZNIH VENA</t>
  </si>
  <si>
    <t>32508-00</t>
  </si>
  <si>
    <t>PREKID SAFENO-FEMORALNOG SPOJA VARIOKOZNIH VENA</t>
  </si>
  <si>
    <t>32708-00</t>
  </si>
  <si>
    <t>AORTNO-FEMORALNI BAJPAS SINTETIČKIM MTERJALOM</t>
  </si>
  <si>
    <t>32751-00</t>
  </si>
  <si>
    <t>FEMORALNO-POPILEALNI BAJPAS SINTETIČKIM MATER</t>
  </si>
  <si>
    <t>33115-00</t>
  </si>
  <si>
    <t>ZAMENA INFRARENALNE ANEURIZME ABDOMINALNE AORTEPO</t>
  </si>
  <si>
    <t>33500-00</t>
  </si>
  <si>
    <t>KAROTIDNA ENDARTEREKTOMIJA</t>
  </si>
  <si>
    <t>33806-12</t>
  </si>
  <si>
    <t>EMBOLEKTOMIJA ILI TROMBEKTOMIJA GRAFTA BAJPASA ART</t>
  </si>
  <si>
    <t>34103-03</t>
  </si>
  <si>
    <t>EKSPLORACIJA FEMORALNE ARTERIJE</t>
  </si>
  <si>
    <t>34175-00</t>
  </si>
  <si>
    <t>EKSCIJIZA GRAFTA BAJPASA NA UDOVIMA</t>
  </si>
  <si>
    <t>ARTERIOVENSKA ANASTOMOZA GORNJIH UDOVA</t>
  </si>
  <si>
    <t>34518-00</t>
  </si>
  <si>
    <t>KOREKCIJA STENOZE ARTERIOVENSKE FISTULE</t>
  </si>
  <si>
    <t>35677-05</t>
  </si>
  <si>
    <t>SALPINGEKTOMIJA SA UKLANJANJEM TRUDNOĆE U JAJOVODU</t>
  </si>
  <si>
    <t>OVARIJALNA CISTEKTOMIJA, JEDNOSTRANA</t>
  </si>
  <si>
    <t>35713-06</t>
  </si>
  <si>
    <t>PARCIJALNA OVARIEKTOMIJA (LAPARATOMIJA)</t>
  </si>
  <si>
    <t>35723-01</t>
  </si>
  <si>
    <t>UZIMANJE UZORKA LIMFNOG ČVORA KARLICE ILI ABDOMENA</t>
  </si>
  <si>
    <t>36516-01</t>
  </si>
  <si>
    <t>NEFREKTOMIJA JEDNOSTRANA - OTVORENA HIRURGIJA (PRIMARNI RAD)</t>
  </si>
  <si>
    <t>37000-01</t>
  </si>
  <si>
    <t>PARCIJALNA EKSCIZIJA MOKRAĆNE BEŠIKE (PARCIJALNA CESTEKTOMIJA) OTVORENA HIRURGIJA</t>
  </si>
  <si>
    <t>37008-01</t>
  </si>
  <si>
    <t>CISTOTOMIJA SA PLASIRANJEM SUPRAUBIČNOG KATETERA-OTVORENA HIRURGIJA</t>
  </si>
  <si>
    <t xml:space="preserve">OTVORENA TRAHEOSTOMIJA, PRIVREMENA </t>
  </si>
  <si>
    <t>43930-00</t>
  </si>
  <si>
    <t>PILOROMIOTOMIJA</t>
  </si>
  <si>
    <t>44338-00</t>
  </si>
  <si>
    <t>AMPUTACIJA PRSTA NA NOZI</t>
  </si>
  <si>
    <t>44358-00</t>
  </si>
  <si>
    <t>AMPUTACIJA PRSTA NA NOZI SA METATARZALNOM KOSTI</t>
  </si>
  <si>
    <t>44364-01</t>
  </si>
  <si>
    <t>TRANSMETATARZALNA AMPUTACIJA</t>
  </si>
  <si>
    <t>44367-00</t>
  </si>
  <si>
    <t>AMPUTACIJA IZNAD LINIJE KOLENA</t>
  </si>
  <si>
    <t>44367-02</t>
  </si>
  <si>
    <t>AMPUTACIJA ISPOD KOLENA</t>
  </si>
  <si>
    <t>44376-00</t>
  </si>
  <si>
    <t>AMPUTACIJA AMPUTACIJSKOG PATRLJKA</t>
  </si>
  <si>
    <t>46465-00</t>
  </si>
  <si>
    <t>AMPUTACIJA PRSTA</t>
  </si>
  <si>
    <t>47906-00</t>
  </si>
  <si>
    <t>OBRADA NOKTA NA PRSTU STOPALA</t>
  </si>
  <si>
    <t>47906-01</t>
  </si>
  <si>
    <t>UKLANJANJE NOKTA SA PRSTA STOPALA</t>
  </si>
  <si>
    <t>47915-00</t>
  </si>
  <si>
    <t>KLINASTA RESEKCIJA URASLOG NOKTA NA PRSTU STOPALA</t>
  </si>
  <si>
    <t>90071-00</t>
  </si>
  <si>
    <t>REVIZIJA OPERATIVNE RANE NA PREDNJEM SEGMENTU RG NEKLASIF</t>
  </si>
  <si>
    <t>90304-00</t>
  </si>
  <si>
    <t>OSTALE REPARACIJE NA ŽELUDCU</t>
  </si>
  <si>
    <t>90338-00</t>
  </si>
  <si>
    <t>INCIZIJA REKTUMA ILI ANUSA</t>
  </si>
  <si>
    <t>ŠAV KOD LACERACIJE ŽELUDCA</t>
  </si>
  <si>
    <t>OPERACIJE  INTENZIVNA NEGA</t>
  </si>
  <si>
    <t>39712-00</t>
  </si>
  <si>
    <t>UKLANJANJE LEZIJE CEREBRALNIH MENINGA</t>
  </si>
  <si>
    <t>41671-00</t>
  </si>
  <si>
    <t>SUBMUKOZNA RESEKCIJA NOSNE PREGRADE</t>
  </si>
  <si>
    <t>47522-00</t>
  </si>
  <si>
    <t>48636-00</t>
  </si>
  <si>
    <t>PERKUTANA LUMBALNA DISKEKTOMIJA</t>
  </si>
  <si>
    <t>92506-10</t>
  </si>
  <si>
    <t>NEUROAKSIJALNA BLOKADA TOKOM TRUDOVA, ASA 10</t>
  </si>
  <si>
    <t>92506-19</t>
  </si>
  <si>
    <t>OPERACIJE UROLOGIJA</t>
  </si>
  <si>
    <t>30075-10</t>
  </si>
  <si>
    <t>BIOPSIJA MOKRAĆNE BEŠIKE</t>
  </si>
  <si>
    <t>LAPARASKOPIJA</t>
  </si>
  <si>
    <t>30641-01</t>
  </si>
  <si>
    <t>ORHIDEKTOMIJA, OBOSTRANA</t>
  </si>
  <si>
    <t>30644-03</t>
  </si>
  <si>
    <t>LIGATURA (PODVEZIVANJE) SPERMATIČNE VRPCE</t>
  </si>
  <si>
    <t>30653-00</t>
  </si>
  <si>
    <t>CIRKUMCIZIJA (OBREZIVANJE) MUŠKARCA</t>
  </si>
  <si>
    <t>31230-05</t>
  </si>
  <si>
    <t>EKSCIZIJA LEZIJE(A)NA KOŽI I POTKOŽNOM TKIVU GENI</t>
  </si>
  <si>
    <t>36516-00</t>
  </si>
  <si>
    <t>NEFREKTOMIJA JEDNOSTRANA RG LAPAROSKPSKA(PRIM</t>
  </si>
  <si>
    <t>36528-01</t>
  </si>
  <si>
    <t>RADIKALNA NEFREKTOMIJA ZBOG TUMORA BUBREŽNOG PAREN</t>
  </si>
  <si>
    <t>36531-01</t>
  </si>
  <si>
    <t>NEFROURETEREKTOMIJA (NEFREKTOMIJA SA TOTALNOM URETEREKTOMIJOM) OTVORENA HIRURGIJA</t>
  </si>
  <si>
    <t>36537-00</t>
  </si>
  <si>
    <t>EKSPLORACIJA PERIRENALNOG PROSTORA SA DRENAŽOM</t>
  </si>
  <si>
    <t>36803-02</t>
  </si>
  <si>
    <t>ENDOSKOPSKA MANIPULACIJA KALKULUSA U URETERU (UR</t>
  </si>
  <si>
    <t>36815-00</t>
  </si>
  <si>
    <t>ENDOSKOPSKO UNIŠTAVAJE KONDILOMA PENISA</t>
  </si>
  <si>
    <t>36833-00</t>
  </si>
  <si>
    <t>ENDOSKOPSKO UKLANJANJE STRANOG TELA IZ MOKRAĆNE BE</t>
  </si>
  <si>
    <t>36833-01</t>
  </si>
  <si>
    <t>VAĐENJE JJ KATETERA - URETERORENOSKOPSKI ILI CISTO</t>
  </si>
  <si>
    <t>36836-00</t>
  </si>
  <si>
    <t>ENDOSKOPSKA BIOPSIJA MOKRAĆNE BEŠIKE</t>
  </si>
  <si>
    <t>36840-02</t>
  </si>
  <si>
    <r>
      <t xml:space="preserve">ENDOSKOPSKA RESEKCIJA POJEDINAČNE LEZIJE MOKRAĆNE BEŠIKE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2CM ILI TKIVA MOKRAĆNE BEŠIKE</t>
    </r>
  </si>
  <si>
    <t>36845-04</t>
  </si>
  <si>
    <t xml:space="preserve">ENDOSKOPSKA RESEKCIJA POJEDINAČNE LEZIJE MOKRAĆNE </t>
  </si>
  <si>
    <t>36845-05</t>
  </si>
  <si>
    <t>ENDOSKOPSKA RESEKCIJA MULTIPLIH LEZIJA MOKRAĆNE BE</t>
  </si>
  <si>
    <t>36845-07</t>
  </si>
  <si>
    <t>ENDOSKOPSKA ELEKTROKAUTERIZACIJA MULTIPLIH PROMENA</t>
  </si>
  <si>
    <t>36863-00</t>
  </si>
  <si>
    <t>LITOLAPACIJA MOKRAĆNE BEŠIKE</t>
  </si>
  <si>
    <t>37008-00</t>
  </si>
  <si>
    <t>37008-03</t>
  </si>
  <si>
    <t>CISTOLITOTOMIJA - OTVORENA HIRURGIJA</t>
  </si>
  <si>
    <t>37014-00</t>
  </si>
  <si>
    <t>TOTALNA EKSCIZIJA MOKRAĆNE BEŠIKE - OTVORENA HIRURGIJA</t>
  </si>
  <si>
    <t>37200-03</t>
  </si>
  <si>
    <t>SUBRAPUBIČNA PROSTATEKTOMIJA</t>
  </si>
  <si>
    <t>37203-00</t>
  </si>
  <si>
    <t>TRANSURETRALNA RESEKCIJA PROSTATE (TURP)</t>
  </si>
  <si>
    <t>37209-00</t>
  </si>
  <si>
    <t>RADIKALNA PROSTATEKTOMIJA</t>
  </si>
  <si>
    <t>37210-00</t>
  </si>
  <si>
    <t>RADIKALNA PROSTATEKTOMIJA SA REKONSTRUKCIJOM VRATA</t>
  </si>
  <si>
    <t>TRANSREKTELNA BIOPSIJA PROSTATE IGLOM (TRUS VOĐE</t>
  </si>
  <si>
    <t>37435-00</t>
  </si>
  <si>
    <t>PLASTIKA FRENULUMA (FRENULOTOMIJA)</t>
  </si>
  <si>
    <t>37601-02</t>
  </si>
  <si>
    <t>EKSCIZIJA CISTE EPIDIDIMISA, JEDNOSTRANA</t>
  </si>
  <si>
    <t>OPERACIJE NEUROHIRURGIJA</t>
  </si>
  <si>
    <t>EKCIZIJA LEZIJE (A)NA KOŽI I POTKOŽNOM TKIVU OSTALIH OBLASTI NA GLAVI</t>
  </si>
  <si>
    <t>33116-00</t>
  </si>
  <si>
    <t>ENDOVASKULARNA REPARACIJA ANEURIZME</t>
  </si>
  <si>
    <t>34528-02</t>
  </si>
  <si>
    <t>INSERCIJA VASKULARNOG PRISTUPNOG UREĐAJA</t>
  </si>
  <si>
    <t>35412-00</t>
  </si>
  <si>
    <t xml:space="preserve">ENDOVASKULARNA  OKLUZIJA CEREBRALNE ANEURIZME ILI ARTERIOVENSKE UROĐENE MALFORMACIJE </t>
  </si>
  <si>
    <t>39015-00</t>
  </si>
  <si>
    <t>SPOLJAŠNJA DRENAŽA LIKVORA</t>
  </si>
  <si>
    <t>39331-01</t>
  </si>
  <si>
    <t>DEKOMPRESIJA NERVA MEDIJANUSA KOD SINDROMA KARPALNOG KANALA</t>
  </si>
  <si>
    <t>39603-00</t>
  </si>
  <si>
    <t>UKLANJANJE INTRAKRANIJALGNOG HEMATOMA PUTEM OSTEOPLASTIČNE KRANIOTOMIJE</t>
  </si>
  <si>
    <t>39603-01</t>
  </si>
  <si>
    <t>UKLANJANJE INTRAKRANIJALNOG HEMATOMA KRANIJEKTOMIJOM</t>
  </si>
  <si>
    <t>39709-00</t>
  </si>
  <si>
    <t>UKLANJANJE LEZIJE CEREBROMA</t>
  </si>
  <si>
    <t>39709-02</t>
  </si>
  <si>
    <t>UKLANJANJE LEZIJE CEREBELUMA</t>
  </si>
  <si>
    <t>39721-00</t>
  </si>
  <si>
    <t>POSTOPERATIVNO PONOVNO OTVARANJE MESTA UČINJENE KR</t>
  </si>
  <si>
    <t>40003-02</t>
  </si>
  <si>
    <t>INSEKCIJA VENTRIKULO-ATRIJALNOG ŠANTRA</t>
  </si>
  <si>
    <t>40300-00</t>
  </si>
  <si>
    <t>DISKEKTOMIJA, JEDAN NIVO</t>
  </si>
  <si>
    <t>40309-00</t>
  </si>
  <si>
    <t>UKLANJANJE EKSTRADURALNIH SPINALNIH LEZIJA</t>
  </si>
  <si>
    <t>40312-00</t>
  </si>
  <si>
    <t xml:space="preserve">UKLANJANJE SPINALNIH INTRADURALNIH LEZIJA </t>
  </si>
  <si>
    <t>40330-00</t>
  </si>
  <si>
    <t>SPINALNA RIZOLIZA</t>
  </si>
  <si>
    <t>90024-00</t>
  </si>
  <si>
    <t>DEKOMPRESIJA KIČMENOG KANALA U LUMBALNOM DELU, JEDAN NIVO</t>
  </si>
  <si>
    <t>90024-01</t>
  </si>
  <si>
    <t>DEKOMPRESIJA KIČMENOG KANALA U LUMBALNOM DELU, DVA</t>
  </si>
  <si>
    <t>OPERACIJE TRAUMATOLOGIJA</t>
  </si>
  <si>
    <t>30111-00</t>
  </si>
  <si>
    <t>EKSCIZIJA VELIKE BURZE</t>
  </si>
  <si>
    <t>46369-00</t>
  </si>
  <si>
    <t>PALMARNA FASCIEKTOMIJA ZBOG DIPITRENOVE KONTRAKURUT</t>
  </si>
  <si>
    <t>47384-02</t>
  </si>
  <si>
    <t>OTVORENA REPOZICIJA PRELOMA TELA RADIJUSA SA UNUTR</t>
  </si>
  <si>
    <t>47384-03</t>
  </si>
  <si>
    <t>OTVORENA REPOZICIJA PRELOMA TELA ULNE SA UNUTRAŠNJOM FIKSACIJOM</t>
  </si>
  <si>
    <t>47399-01</t>
  </si>
  <si>
    <t xml:space="preserve">OTVORENA REPOZICIJA PRELOMA OLEKRANONA SA  UNUTRAŠNJOM FIKSACIJOM </t>
  </si>
  <si>
    <t>47429-00</t>
  </si>
  <si>
    <t>OTVORENA REPOZICIJA PRELOMA PROKSIMALNOG DELA HUME</t>
  </si>
  <si>
    <t>47429-01</t>
  </si>
  <si>
    <t>OTVORENA REPOZICIJA PRELOMA PROKSIMALNOG DELA</t>
  </si>
  <si>
    <t>47516-01</t>
  </si>
  <si>
    <t>47519-00</t>
  </si>
  <si>
    <t>FIKSACIJA PRELOMA TROHANTERNOG ILI SUBKAPITANOG DELA FEMURA</t>
  </si>
  <si>
    <t>HEMIJARTROPLASTIKA KUKA UNIPOLARNOM ENDOPROTEZOM</t>
  </si>
  <si>
    <t>47528-01</t>
  </si>
  <si>
    <t>OTVORENA REPOZICIJA PRELOMA FEMURA SA UNUTRAŠNJOM FIKSACIJOM</t>
  </si>
  <si>
    <t>47585-00</t>
  </si>
  <si>
    <t>OTVORENA REPOZICIJA I UNUTRAŠNJA FIKSACIJA PRELOMA PATELE</t>
  </si>
  <si>
    <t>47600-01</t>
  </si>
  <si>
    <t>OTVORENA REPOZICIJA PRELOMA SKOČNOG ZGLOBA SA UNUTRAŠNJOM FIKSACIJOM SINDESMOZE, FIBULE ILI MALEOLUSA</t>
  </si>
  <si>
    <t>47603-01</t>
  </si>
  <si>
    <t>OTVORENA REPOZICIJA PRELOMA SKOČNOG ZGLOBA SA UNUT</t>
  </si>
  <si>
    <t xml:space="preserve">ODSTRANJENJE KLINA, ZAVRTNJA ILI ŽICE IZ KOSTI </t>
  </si>
  <si>
    <t>47927-01</t>
  </si>
  <si>
    <t>47930-00</t>
  </si>
  <si>
    <t>ODSTRANJENJE PLOČE ILI INTRAMEDULARNOG KLINA</t>
  </si>
  <si>
    <t>47930-01</t>
  </si>
  <si>
    <t>ODSTRANJENJE PLOČE ILI INTRAMEDULARNOG KLINA IZ KO</t>
  </si>
  <si>
    <t>49315-00</t>
  </si>
  <si>
    <t>HEMIJARTROPLASTIKA ZGLOBA KUKA  BIPOLARNOM ENDOPROTEZOM</t>
  </si>
  <si>
    <t>49318-00</t>
  </si>
  <si>
    <t>POTPUNA ARTROPLASITKA ZGLOBA KUKA, JEDNOSTRANA</t>
  </si>
  <si>
    <t>49500-02</t>
  </si>
  <si>
    <t>ODSTRANJENJE SLOBODNIH ZGLOBNIH TELA IZ KOLENA</t>
  </si>
  <si>
    <t>49557-00</t>
  </si>
  <si>
    <t>ARTROSKOPIJA KOLENA</t>
  </si>
  <si>
    <t>49718-00</t>
  </si>
  <si>
    <t>OSTALE REPOZICIJE TETIVE U PODRUČJU SKOČNOG ZGLOBA</t>
  </si>
  <si>
    <t>49718-01</t>
  </si>
  <si>
    <t>REPARACIJA AHILOVE TETIVE</t>
  </si>
  <si>
    <t>49833-00</t>
  </si>
  <si>
    <t>ISPRAVLJANJE HALUX VALGUS-A OSTEOTOMIJOM PRVE METATARZALNE KOSTI, JEDNOSTRANO</t>
  </si>
  <si>
    <t>49836-00</t>
  </si>
  <si>
    <t>ISPRAVLJANJE HALUX VALVUS-A OSTEOTOMIJOM PRVE METATARZALNE KOSTI, OBOSTRANO</t>
  </si>
  <si>
    <t>50300-00</t>
  </si>
  <si>
    <t>TRANSARTIKULARNA FIKSACIJA</t>
  </si>
  <si>
    <t>52102-00</t>
  </si>
  <si>
    <t>ODSTRANJENJE PRIBADAČE, ZAVRTNJA ILI ŽICE IZ MAKSI</t>
  </si>
  <si>
    <t>OPERACIJE BARO MEDICINA</t>
  </si>
  <si>
    <t>OPERACIJE RADIOLOŠKA SLUŽBA</t>
  </si>
  <si>
    <t>OPERACIJE ORL SA MFH</t>
  </si>
  <si>
    <t>30075-22</t>
  </si>
  <si>
    <t>30075-23</t>
  </si>
  <si>
    <t>BIOPSIJA USNE ŠUPLJINE</t>
  </si>
  <si>
    <t>30253-00</t>
  </si>
  <si>
    <t xml:space="preserve">PARCIJALNA EKSCIZIJA PAROTIDNE ZLEZDE </t>
  </si>
  <si>
    <t>30256-00</t>
  </si>
  <si>
    <t>ESCIZIJA SUBMANDIBULARNE ŽLEZDE</t>
  </si>
  <si>
    <t>30259-00</t>
  </si>
  <si>
    <t>ESCIZIJA SUBLINGVALNE ŽLEZDE</t>
  </si>
  <si>
    <t>30272-00</t>
  </si>
  <si>
    <t>PARCIJALNA EKSCIZIJA JEZIKA</t>
  </si>
  <si>
    <t>30275-00</t>
  </si>
  <si>
    <t>RADIKALNA EKSCIZIJA INTRAORALNE LEZIJE</t>
  </si>
  <si>
    <t>30278-00</t>
  </si>
  <si>
    <t>LINGVALNA FRENOTOMIJA</t>
  </si>
  <si>
    <t>30283-00</t>
  </si>
  <si>
    <t>EKCIZIJA CISTE U USTIMA</t>
  </si>
  <si>
    <t>30306-01</t>
  </si>
  <si>
    <t>TOTALNA TIROIDNA LOBEKTOMIJA, JEDNOSTRANA</t>
  </si>
  <si>
    <t>30313-00</t>
  </si>
  <si>
    <t>OPERACIJA CISTE I FISTULA VRATA, MEDIJALNIH</t>
  </si>
  <si>
    <t>30314-00</t>
  </si>
  <si>
    <t>OPERACIJA CISTE I FISTULA VRATA, LATERALNIH</t>
  </si>
  <si>
    <t>GASTROSTOMIJA</t>
  </si>
  <si>
    <t>31230-01</t>
  </si>
  <si>
    <t>EKSCIZIJA LEZIJE(A)NA KOŽI I POTKOŽNOM TKIVU NOSA</t>
  </si>
  <si>
    <t>31230-02</t>
  </si>
  <si>
    <t>EKSCIZIJA LEZIJE(A)NA KOŽI I POTKOŽNOM TKIVU UVA</t>
  </si>
  <si>
    <t>31230-03</t>
  </si>
  <si>
    <t>EKSCIZIJA LEZIJE(A)NA KOŽI I POTKOŽNOM TKIVU USNE</t>
  </si>
  <si>
    <t>EKSCIZIJA LEZIJE NA KOŽI I POTKOŽNOM TKIVU OSTALIH OBLASTI NA GLAVI</t>
  </si>
  <si>
    <t>31235-01</t>
  </si>
  <si>
    <t>EKSCIZIJA LEZIJE NA KOŽI I POTKOŽNOM TKIVU VRATA</t>
  </si>
  <si>
    <t>41632-00</t>
  </si>
  <si>
    <t>MIRINGOTOMIJA SA INSERCIJOM TUBE, JEDNOSTRANA</t>
  </si>
  <si>
    <t>41632-01</t>
  </si>
  <si>
    <t>MIRINGOTOMIJA SA INSEKSIJOM TUBE, OBOSTRANA</t>
  </si>
  <si>
    <t>41668-00</t>
  </si>
  <si>
    <t>ENDONAZALNA OPERACIJA NAZALNIH POLIPA</t>
  </si>
  <si>
    <t>41671-02</t>
  </si>
  <si>
    <t>FUNKCIONALNA SEPTOPLASTIKA</t>
  </si>
  <si>
    <t>41710-00</t>
  </si>
  <si>
    <t>RADIKALNA OPERACIJA MAKSILARNOG SINUSA, JEDNOSTRANO</t>
  </si>
  <si>
    <t>41716-02</t>
  </si>
  <si>
    <t>ENDONAZALNA OPERACIJA MAKSILARNOG SINUSA RG DONJA</t>
  </si>
  <si>
    <t>41764-01</t>
  </si>
  <si>
    <t>41786-00</t>
  </si>
  <si>
    <t>UVULOPALATOFARINGOPLASTIKA</t>
  </si>
  <si>
    <t>41787-00</t>
  </si>
  <si>
    <t>UVULEKTOMIJA SA PARCIJALNOM PALATEKTOMIJOM</t>
  </si>
  <si>
    <t>41789-00</t>
  </si>
  <si>
    <t>TONZILEKTOMIJA BEZ ADENOIDEKTOMIJE</t>
  </si>
  <si>
    <t>41789-01</t>
  </si>
  <si>
    <t xml:space="preserve">TONZILEKTOMIJA SA ADENOIDEKTOMIJOM </t>
  </si>
  <si>
    <t>41797-00</t>
  </si>
  <si>
    <t>41801-00</t>
  </si>
  <si>
    <t>ADENOIDEPTOMIJA BEZ TONZILEKTOMIJE</t>
  </si>
  <si>
    <t>41807-00</t>
  </si>
  <si>
    <t>INCIZIJA I DRENAŽA PERITONZILARNOG APSCESA</t>
  </si>
  <si>
    <t>41810-01</t>
  </si>
  <si>
    <t>UVULEKTOMIJA</t>
  </si>
  <si>
    <t>41834-00</t>
  </si>
  <si>
    <t>TOTALNA LARINGEGTOMIJA</t>
  </si>
  <si>
    <t>41840-00</t>
  </si>
  <si>
    <t>SUPRAGLOTIČKA LARINETOMIJA</t>
  </si>
  <si>
    <t>41852-00</t>
  </si>
  <si>
    <t xml:space="preserve">LARINGOSKOPIJA SA UKLANJANJEM LEZIJA </t>
  </si>
  <si>
    <t>41864-00</t>
  </si>
  <si>
    <t>MIKROLARINGOSKOPIJA SA UKLANJANJEM LEZIJE</t>
  </si>
  <si>
    <t>41876-01</t>
  </si>
  <si>
    <t>LARINGOFISURA SA HORDEKTOMIJOM</t>
  </si>
  <si>
    <t>OTVORENA TRAHEOSSTOMIJA, STALNA</t>
  </si>
  <si>
    <t>42650-00</t>
  </si>
  <si>
    <t>DEBRIDMAN (ABRAZIJA) EPITELA ROŽNJAČE</t>
  </si>
  <si>
    <t>45206-00</t>
  </si>
  <si>
    <t>JEDNOSTAVAN I MALI LOKALNI REŽANJ KOŽE OČNOG KAPKA</t>
  </si>
  <si>
    <t>45206-01</t>
  </si>
  <si>
    <t>JEDNOSTAVAN I MALI LOKALNI REŽANJ KOŽE NOSA</t>
  </si>
  <si>
    <t>45206-03</t>
  </si>
  <si>
    <t>45206-04</t>
  </si>
  <si>
    <t>JEDNOSTAVAN I MALI LOKALNI RŽANJ KOŽE VRATA</t>
  </si>
  <si>
    <t>45206-09</t>
  </si>
  <si>
    <t>JEDNOSTAVAN I MALI LOKALNI REŽENJ KOŽE OSTALIH OBLASTI LICA</t>
  </si>
  <si>
    <t>45659-00</t>
  </si>
  <si>
    <t>KOREKCIJA KLEMPAVOG UVA</t>
  </si>
  <si>
    <t>45665-00</t>
  </si>
  <si>
    <t>KLINASTA EKSCIZIJA USNE PUNE DEBLJINE</t>
  </si>
  <si>
    <t>45665-02</t>
  </si>
  <si>
    <t>80389-00</t>
  </si>
  <si>
    <t>FUNKCIONALNA ENDOSKOPSKA HIRURGIJA SINUSA (FES)</t>
  </si>
  <si>
    <t>90141-01</t>
  </si>
  <si>
    <t>EKCIZIJA OSTALIH LEZIJA U USTIMA</t>
  </si>
  <si>
    <t>97322-00</t>
  </si>
  <si>
    <t>HIRURŠKO UKLANJANJE JEDNOG ZUBA KOJIM NE ZAHTEVA UKLANJANJE KOSTI ILI RAZDVAJANJE ZUBA</t>
  </si>
  <si>
    <t>OPERACIJE ONKOLOGIJA</t>
  </si>
  <si>
    <t>OPERACIJE SL.ZA FIZ.MED.I REHABILITACIJU</t>
  </si>
  <si>
    <t>OPERACIJE DERMATOVENEROLOGIJA</t>
  </si>
  <si>
    <t>OPERACIJE OFTALMOLOGIJA</t>
  </si>
  <si>
    <t xml:space="preserve">42644-00 </t>
  </si>
  <si>
    <t>UKLANJA NJE DUBINSKOG STRANOG TELA IZ ROŽNJAČE</t>
  </si>
  <si>
    <t>OPERACIJE OSTEODENZITOMETRIJA</t>
  </si>
  <si>
    <t>OPERACIJE TRANSFUZIJA</t>
  </si>
  <si>
    <t>УКУПНО</t>
  </si>
  <si>
    <t>СТАЦИОНАР</t>
  </si>
  <si>
    <t>АМБУЛАНТА</t>
  </si>
  <si>
    <t>BROJ USLUGA</t>
  </si>
  <si>
    <t>30075-01</t>
  </si>
  <si>
    <t>BIOPSIJA MEKOG TKIVA</t>
  </si>
  <si>
    <t>30223-01</t>
  </si>
  <si>
    <t>INCIZIJA I DRENAŽA APSCESA KOŽE I POTKOŽNOG TKIVA</t>
  </si>
  <si>
    <t>30406-00</t>
  </si>
  <si>
    <t>ABDOMINALNA PARACENTEZA</t>
  </si>
  <si>
    <t>30075-00</t>
  </si>
  <si>
    <t>BIOPSIJA LIMFNOG ČVORA</t>
  </si>
  <si>
    <t>13109-00</t>
  </si>
  <si>
    <t>30075-37</t>
  </si>
  <si>
    <t>BIOPSIJA PERITONEUMA</t>
  </si>
  <si>
    <t>30394-00</t>
  </si>
  <si>
    <t>DRENAŽA INTRA-ABDOMINALNOG APSCESA, HEMATOMA ILI C</t>
  </si>
  <si>
    <t>30396-00</t>
  </si>
  <si>
    <t>DEBRIDMAN I LAVAŽA PERITONEALNE ŠUPLJINE</t>
  </si>
  <si>
    <t>32005-01</t>
  </si>
  <si>
    <t>PROŠIRENA DESNA HEMIKOLEKTOMIJA SA ANASTOMOZOM</t>
  </si>
  <si>
    <t>35570-00</t>
  </si>
  <si>
    <t>35647-00</t>
  </si>
  <si>
    <t>EKSCIZIJA PROMENJENIH ZONA GRLIĆA OMČICOM (LLETZ)</t>
  </si>
  <si>
    <t>SALPINOGOOVARIEKTOMIJA, JEDNOSTRANO</t>
  </si>
  <si>
    <t>35717-04</t>
  </si>
  <si>
    <t>SALPINGOVARIEKTOMIJA, OBOSTRANA</t>
  </si>
  <si>
    <t>90472-00</t>
  </si>
  <si>
    <t>EPIZIOTOMIJA</t>
  </si>
  <si>
    <t>30029-00</t>
  </si>
  <si>
    <t>REPARACIJA RANE NA KOŽI I POTKOŽNOM TKIVU OSTALIH</t>
  </si>
  <si>
    <t>30061-00</t>
  </si>
  <si>
    <t>30071-00</t>
  </si>
  <si>
    <t>BIOPSIJA KOŽE I POTKOŽNOG TKIVA</t>
  </si>
  <si>
    <t>30075-15</t>
  </si>
  <si>
    <t>BIOPSIJA ŽUČNE KESE ILI ŽUČNIH PUTEVA</t>
  </si>
  <si>
    <t>30375-18</t>
  </si>
  <si>
    <t>REPOZICIJA VOLVULSA TANKOG CREVA</t>
  </si>
  <si>
    <t>30394-01</t>
  </si>
  <si>
    <t>LAPARASKOPSKA DRENAŽA INTRA-ABDOMINALNOG APSESA</t>
  </si>
  <si>
    <t>30403-03</t>
  </si>
  <si>
    <t xml:space="preserve">PONOVNO ZATVARNJE POSTOPERATIVNE DISRUPCIJE TRBUŠNE </t>
  </si>
  <si>
    <t>30505-00</t>
  </si>
  <si>
    <t>KONTROLA KRVAREĆEG PEPTIČKOG ULKUSA</t>
  </si>
  <si>
    <t>30562-00</t>
  </si>
  <si>
    <t>ZATVARANJE BIOPLARNE ILIOSTOME</t>
  </si>
  <si>
    <t>30572-00</t>
  </si>
  <si>
    <t>LAPARASKOPSKA APENDEKTOMIJA</t>
  </si>
  <si>
    <t>31551-00</t>
  </si>
  <si>
    <t>INCIZIJA I DRENAŽA DOJKE</t>
  </si>
  <si>
    <t>32004-00</t>
  </si>
  <si>
    <t>SUBTOTALNA KOLEKTOMIJA SA FORMIRANJEM STOME</t>
  </si>
  <si>
    <t>32006-01</t>
  </si>
  <si>
    <t>LEVA HEMIKOLEKTOMIJA SA FORMIRANJEM STOME</t>
  </si>
  <si>
    <t>34512-01</t>
  </si>
  <si>
    <t>KONSTRUKCIJA ARTERIOVENSKE FISTULE SA PROTEZOM</t>
  </si>
  <si>
    <t>34515-00</t>
  </si>
  <si>
    <t>TROMBEKTOMIJA ARTERIOVENSKE FISTULE</t>
  </si>
  <si>
    <t>SALPINGOOVARIEKTOMIJA JEDNOSTRANA</t>
  </si>
  <si>
    <t>38806-00</t>
  </si>
  <si>
    <t>PLASIRANJE DRENA KROZ MEĐUREBARNI PROSTOR</t>
  </si>
  <si>
    <t>OSTALE PROCEDURE U VEZI SA DIJAFRAGMOM</t>
  </si>
  <si>
    <t>90342-02</t>
  </si>
  <si>
    <t>90665-00</t>
  </si>
  <si>
    <t>OBRADA KOŽE I POTKOŽNOG TKIVA SA EKSCIZIJOM</t>
  </si>
  <si>
    <t>30385-00</t>
  </si>
  <si>
    <t>35599-00</t>
  </si>
  <si>
    <t>SLING PROCEDURE KOD STRES INKONTINENCIJE KOD ŽENA</t>
  </si>
  <si>
    <t>36585-01</t>
  </si>
  <si>
    <t>FORMIRANJE KUTANE URETEROSTOMIJE (JEDNOSTRANO) RG</t>
  </si>
  <si>
    <t>36656-00</t>
  </si>
  <si>
    <t>RETROGRADNA URETERORENOSKOPIJA SA FRAGMENTACIJOM K</t>
  </si>
  <si>
    <t>URETEROSKOPIJA</t>
  </si>
  <si>
    <t>36840-03</t>
  </si>
  <si>
    <t>ENDOSKOPSKA ELEKTROKAUTERIZACIJA JEDNE PROMENE MOK</t>
  </si>
  <si>
    <t>39009-00</t>
  </si>
  <si>
    <t>EVAKUACIJA SUBDURALNOG HEMATOMA</t>
  </si>
  <si>
    <t xml:space="preserve">OTVORENA TRAHEOSTOMIJA </t>
  </si>
  <si>
    <t>46363-00</t>
  </si>
  <si>
    <t>OPUŠTANJE TETIVNE OVOJNICE ŠAKE</t>
  </si>
  <si>
    <t>47566-01</t>
  </si>
  <si>
    <t>90531-00</t>
  </si>
  <si>
    <t>TRAKCIJA, NEKLASIFIKOVANA NA DRUGOM MESTU</t>
  </si>
  <si>
    <t>90568-02</t>
  </si>
  <si>
    <t>INCIZIJA MEKOG TKIVA, NEKLASIFIKOVANA NA DRUGOM MESTU</t>
  </si>
  <si>
    <t>Ekscizijski debridman mekog tkiva</t>
  </si>
  <si>
    <t>30075-19</t>
  </si>
  <si>
    <t>BIOPSIJA JEZIKA</t>
  </si>
  <si>
    <t>30075-24</t>
  </si>
  <si>
    <t>BIOPSIJA MEKOG NEPCA</t>
  </si>
  <si>
    <t>30266-02</t>
  </si>
  <si>
    <t>UKLANJANJE KALKULUSA IZ PLJUVAČNIH ŽLEZDA ILI KANA</t>
  </si>
  <si>
    <t>41716-03</t>
  </si>
  <si>
    <t>ENDONAZALNA OPERACIJA POLIPA MAKSILARNOG SINUSA</t>
  </si>
  <si>
    <t>41737-04</t>
  </si>
  <si>
    <t>ETMOIDOTOMIJA</t>
  </si>
  <si>
    <t>41737-06</t>
  </si>
  <si>
    <t>ENDONAZALNA OPERACIJA POLIPA ETMOIDALNOG SINUSA</t>
  </si>
  <si>
    <t>41743-00</t>
  </si>
  <si>
    <t>TREPANACIJA FRONTALNOG SINUSA</t>
  </si>
  <si>
    <t>41837-00</t>
  </si>
  <si>
    <t>HEMILARINGEKTOMIJA</t>
  </si>
  <si>
    <t>45605-01</t>
  </si>
  <si>
    <t>PARCIJALNA RESEKCIJA MAKSILE</t>
  </si>
  <si>
    <t>45638-00</t>
  </si>
  <si>
    <t>TOTALNA RINOPLASTIKA</t>
  </si>
  <si>
    <t>OPERACIJE HITNA INTERNA PRIJEMNA - URGENTNA STANJA</t>
  </si>
  <si>
    <t>OPERACIJE  HITNA HIRURŠKA PRIJEMNA - URGENTNA STANJA</t>
  </si>
  <si>
    <t>URGENTNA STANJA - HIRURGIJA</t>
  </si>
  <si>
    <t>30032-00</t>
  </si>
  <si>
    <t>REPARACIJA RANE NA KOŽI I POTKOŽNOM TKIVU LICA ILI</t>
  </si>
  <si>
    <t>30223-03</t>
  </si>
  <si>
    <t>INCIZIJA I DRENAŽA APSCESA MEKOG TKIVA</t>
  </si>
  <si>
    <t>URGENTNA STANJA - UROLOGIJA</t>
  </si>
  <si>
    <t>URGENTNA STANJA - NEUROHIRURGIJA</t>
  </si>
  <si>
    <t>URGENTNA STANJA - TRAUMATOLOGIJA</t>
  </si>
  <si>
    <t>URGENTNA STANJA - BARO MEDICINA</t>
  </si>
  <si>
    <t>URGENTNA STANJA - ORL</t>
  </si>
  <si>
    <t>EKSCIJZIJA LEZIJE(A)NA KOŽI I POTKOŽNOM TKIVU OSTA</t>
  </si>
  <si>
    <t>URGENTNA STANJA - MFH</t>
  </si>
  <si>
    <t>HIRURŠKO UKLANJANJE JEDNOG ZUBA KOJE NE ZAHTEVA U</t>
  </si>
  <si>
    <t>OSTALE USLUGE KARDIOLOGIJA</t>
  </si>
  <si>
    <t>009219</t>
  </si>
  <si>
    <t>310040</t>
  </si>
  <si>
    <t>KONTINUIRANA REGISTRACIJA EKG</t>
  </si>
  <si>
    <t>11500-00</t>
  </si>
  <si>
    <t>11512-00</t>
  </si>
  <si>
    <t>11600-02</t>
  </si>
  <si>
    <t>PRAĆENJE CENTRALNOG VENSKOG PRITISKA</t>
  </si>
  <si>
    <t>11600-03</t>
  </si>
  <si>
    <t>PRAĆENJE SISTEMSKOG ARTERIJSKOG PRITISKA</t>
  </si>
  <si>
    <t>11700-00</t>
  </si>
  <si>
    <t>OSTALE ELEKTROKARDIOGRAFIJE (EKG)</t>
  </si>
  <si>
    <t>11709-00</t>
  </si>
  <si>
    <t>HOLTER AMBULANTNO KONTINUIRANO EKG SNIMANJE</t>
  </si>
  <si>
    <t>11712-00</t>
  </si>
  <si>
    <t>KARDIOVASKULARNI STRES TEST - TEST OPTEREĆENJA</t>
  </si>
  <si>
    <t>11713-00</t>
  </si>
  <si>
    <t>SNIMANJE PROSEČNOG SIGNALA EKG-a</t>
  </si>
  <si>
    <t>13400-00</t>
  </si>
  <si>
    <t>KARDIOVERZIJA</t>
  </si>
  <si>
    <t>13706-02</t>
  </si>
  <si>
    <t>TRANSFUZIJA ERITROCITA</t>
  </si>
  <si>
    <t>13815-00</t>
  </si>
  <si>
    <t>CENTRALNA VENSKA KATETERIZACIJA</t>
  </si>
  <si>
    <t>13815-01</t>
  </si>
  <si>
    <t>PETKUTANA CENTRALNA VENSKA KATETERIZACIJA</t>
  </si>
  <si>
    <t>13839-00</t>
  </si>
  <si>
    <t>VAĐENJE KRVI U DIJAGNOSTIČKE SVRHE</t>
  </si>
  <si>
    <t>13842-00</t>
  </si>
  <si>
    <t>INTRAARTERIJSKA KANILACIJA ZA GASNU ANALIZU KRVI</t>
  </si>
  <si>
    <t>13882-00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</si>
  <si>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</si>
  <si>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13882-01</t>
  </si>
  <si>
    <t>13882-02</t>
  </si>
  <si>
    <t>13942-02</t>
  </si>
  <si>
    <t>ODRŽAVANJE UREĐAJA ZA DAVANJE LEKA</t>
  </si>
  <si>
    <t>18262-01</t>
  </si>
  <si>
    <t>DAVANJE ANESTETIČKOG SRDSTVA OKO ILIOINGVINALNOG</t>
  </si>
  <si>
    <t>22007-00</t>
  </si>
  <si>
    <t>ENDOTRAHEALNA INTUBACIJA, JEDNOLUMENSKI TUBUS</t>
  </si>
  <si>
    <t>22007-01</t>
  </si>
  <si>
    <t>POSTUPAK ODRŽAVANJA ENDOTRAHEALNE INTUBACIJE (KONTROLA PRAVILNE POZICIJE) JEDNOLUMUNSKI TUBUS</t>
  </si>
  <si>
    <t>30055-00</t>
  </si>
  <si>
    <t>PREVIJANJE RANE</t>
  </si>
  <si>
    <t>30473-00</t>
  </si>
  <si>
    <t>30473-01</t>
  </si>
  <si>
    <t>PANENDOSKOPIJA DO DUODENUMA SA BIOPSIJOM</t>
  </si>
  <si>
    <t>32090-00</t>
  </si>
  <si>
    <t>32090-01</t>
  </si>
  <si>
    <t>FIBEROPTIČKA KOLONOSKOPIJA DO CEKUMA SA BIOPSIJOM</t>
  </si>
  <si>
    <t>32171-00</t>
  </si>
  <si>
    <t>34530-05</t>
  </si>
  <si>
    <t>UKLANJANJE VASKULARNOG PRISTUPNOG UREĐAJA</t>
  </si>
  <si>
    <t>36800-00</t>
  </si>
  <si>
    <t>KATETERIZACIJA MOKRAĆNE BEŠIKE</t>
  </si>
  <si>
    <t>38200-00</t>
  </si>
  <si>
    <t>KATETERIZACIJA DESNE STRANE SRCA</t>
  </si>
  <si>
    <t>38215-00</t>
  </si>
  <si>
    <t>KORONARNA ANGIOGRAFIJA(KORONAROGRAFIJA)</t>
  </si>
  <si>
    <t>38256-00</t>
  </si>
  <si>
    <t>IMPLANTACIJA PRIVREMENE ENDOVENSKE ELEKTRODE U PRE</t>
  </si>
  <si>
    <t>38256-01</t>
  </si>
  <si>
    <t>IMPLANTACIJA PRIVREMENE ENDOMENSKE ELEKTRODE U KOMORU</t>
  </si>
  <si>
    <t>38300-00</t>
  </si>
  <si>
    <t>PERKUTANA TRANSLUMINALNA ANGIOPLASTIKA BALONOM JEDNE KORONARNE ARTERIJE</t>
  </si>
  <si>
    <t>38303-00</t>
  </si>
  <si>
    <t>PERKUTANA TRANSLUMINALNA ANGIOPLASTIKA BALONOM DVE ILI VIŠE KORONARNIH ARTERIJA</t>
  </si>
  <si>
    <t>38306-00</t>
  </si>
  <si>
    <t>PERKUTANA INSERCIJA JEDNOG TRANASLUMINALNOG STENTA U POJEDINAČNU KORONARNU ARTERIJU</t>
  </si>
  <si>
    <t>38306-01</t>
  </si>
  <si>
    <t>PERKUTANA INSERCIJA DVA ILI VIŠE TRANASLUMINALNA  STENTA U POJEDINAČNU KORONARNU ARTERIJU</t>
  </si>
  <si>
    <t>38306-02</t>
  </si>
  <si>
    <t>PERKUTANA INSERCIJA DVA ILI VIŠE TRANASLUMINALNA  STENTA U VIŠESTRUKE  KORONARNE  ARTERIJE</t>
  </si>
  <si>
    <t>38350-00</t>
  </si>
  <si>
    <t>38359-00</t>
  </si>
  <si>
    <t>PERIKARDIOCENTEZA</t>
  </si>
  <si>
    <t>38362-00</t>
  </si>
  <si>
    <t>PERKUTANA INSERCIJA INTRA-AORTNE BALON PUMPE</t>
  </si>
  <si>
    <t>38748-01</t>
  </si>
  <si>
    <t>PERKUTANA TRANASLUMINALNA ABLACIJA SEPTALNOG DELA MIOKARDA</t>
  </si>
  <si>
    <t>38800-00</t>
  </si>
  <si>
    <t>DIJAGNOSTIČKA TORAKOCENTEZA</t>
  </si>
  <si>
    <t>38803-00</t>
  </si>
  <si>
    <t>TERAPIJSKA TORAKOCENTEZA</t>
  </si>
  <si>
    <t>50115-00</t>
  </si>
  <si>
    <t>MANIPULACIJA/MOBILIZACIJA ZGLOBOVA, NEKLASIFIKOVANA NA DRUGOM MESTU</t>
  </si>
  <si>
    <t>80667-00</t>
  </si>
  <si>
    <t>ODREĐIVANJE FRAKCIONE REZERVE PROTOKA POMOĆU ŽICE ZA INTRAKORONARNO MERENJE PRITISKA UZ FARMAKOLOŠKU HIPEREMIJU</t>
  </si>
  <si>
    <t>BRONHODILATATORNI TEST</t>
  </si>
  <si>
    <t>90220-00</t>
  </si>
  <si>
    <t>KATETERIZACIJA/KANILACIJA OSTALILH VENA</t>
  </si>
  <si>
    <t>92036-00</t>
  </si>
  <si>
    <t>PLASIRANJE NAZOGASTIČNE SONDE</t>
  </si>
  <si>
    <t>92043-00</t>
  </si>
  <si>
    <t>PRIMENA LEKA ZA RESPIRATORNI SISTEM POMOĆU NEBULIZATORA</t>
  </si>
  <si>
    <t>92044-00</t>
  </si>
  <si>
    <t>OSTALE TERAPIJE  OBOGAĆIVANJE KISEONIKA/OM</t>
  </si>
  <si>
    <t>92052-00</t>
  </si>
  <si>
    <t>KARDIOPULMUNALNA REANIMACIJA</t>
  </si>
  <si>
    <t>92053-00</t>
  </si>
  <si>
    <t>ZATVORENA MASAŽA SRCA</t>
  </si>
  <si>
    <t>92055-00</t>
  </si>
  <si>
    <t xml:space="preserve">OSTALE KONVERZIJE SRČANOG RITMA </t>
  </si>
  <si>
    <t>92056-00</t>
  </si>
  <si>
    <t>POSMATRANJE EFEKTIVNOG RADA SRCA ILI KRVNOG PROTOK</t>
  </si>
  <si>
    <t>92058-01</t>
  </si>
  <si>
    <t>ODRŽAVANJE KATETERA,PLASIRANOG RADI ADMINISTRA</t>
  </si>
  <si>
    <t>92062-00</t>
  </si>
  <si>
    <t>TRANSFUZIJA KRVNIH KOMPONENETI I DERIVATA</t>
  </si>
  <si>
    <t>92063-00</t>
  </si>
  <si>
    <t>TRANSFUZIJA PLAZMA EKSPANDERA</t>
  </si>
  <si>
    <t>92100-00</t>
  </si>
  <si>
    <t>ISPIRANJE URETEROSTOME ILI URETERALNOG KATETERA</t>
  </si>
  <si>
    <t>92209-00</t>
  </si>
  <si>
    <t>POSTUPAK ODRŽAVANJA NEINVAZIVNE VENTILATORNE PODRŠKE &lt;  24 SATA</t>
  </si>
  <si>
    <t>92500-00</t>
  </si>
  <si>
    <t>RUTINSKA PREOPERATIVNA ANESTEIOLOŠKA PROCENA</t>
  </si>
  <si>
    <t>92515-10</t>
  </si>
  <si>
    <t>SEDACIJA ASA 10</t>
  </si>
  <si>
    <t>96037-00</t>
  </si>
  <si>
    <t>OSTALE PROCENE, KONSULTACIJE ILI EVALUACIJE</t>
  </si>
  <si>
    <t>96066-00</t>
  </si>
  <si>
    <t>PREVENTIVNOA SAVETOVANJE ILI PODUČAVANJE</t>
  </si>
  <si>
    <t>96139-00</t>
  </si>
  <si>
    <t>96197-09</t>
  </si>
  <si>
    <t>INTRAMUSKULARNO DAVANJE FARMAKOLOŠKOG SREDSTVA DR</t>
  </si>
  <si>
    <t>96199-02</t>
  </si>
  <si>
    <t>INTRAVENSKO DAVANJE FARMAKOLOŠKOG SRDSTVA ANTI-</t>
  </si>
  <si>
    <t>96199-08</t>
  </si>
  <si>
    <t>INTRAVENSKO DAVANJE FARMAKOLOŠKOG SREDSTVA, ELEKTROLIT</t>
  </si>
  <si>
    <t>96199-09</t>
  </si>
  <si>
    <t>INTRAVENSKO DAVANJE FARMAKOLOŠKOG SREDSTVA, DRUGO</t>
  </si>
  <si>
    <t>96200-01</t>
  </si>
  <si>
    <t>SUBKUTANO DAVANJE FARMAKOLOŠKOG SREDSTVA DRUGO I</t>
  </si>
  <si>
    <t>96200-06</t>
  </si>
  <si>
    <t>96200-09</t>
  </si>
  <si>
    <t>96209-00</t>
  </si>
  <si>
    <t>PUNJENJE UREĐAJA ZA DAVANJE LEKA, ANTINEOPLASTIČNO SREDSTVO</t>
  </si>
  <si>
    <t>96209-09</t>
  </si>
  <si>
    <t>VU0014</t>
  </si>
  <si>
    <t>SELEKTIVNA KORONAROGRAFIJA</t>
  </si>
  <si>
    <t>VU0015</t>
  </si>
  <si>
    <t xml:space="preserve">PERKUTANA ANGIOPLA.KORONARNIH-ARTERIJA BALON </t>
  </si>
  <si>
    <t>OSTALE USLUGE ALERGOPULMOLOGIJA</t>
  </si>
  <si>
    <t>11000-00</t>
  </si>
  <si>
    <t>ELEKTROENCEFALOGRAFIJA (EEG)</t>
  </si>
  <si>
    <t>11503-10</t>
  </si>
  <si>
    <t>MERENJE RAZMENE GASOVA</t>
  </si>
  <si>
    <t>11503-17</t>
  </si>
  <si>
    <t>INHALACIONI PROVOKATIVNI TEST</t>
  </si>
  <si>
    <t>KONTINUIRANO MERENJE ODNOSA IZMEĐU PROTOKA I VOLUM</t>
  </si>
  <si>
    <t>11900-00</t>
  </si>
  <si>
    <t>MERENJE PROTOKA URINA</t>
  </si>
  <si>
    <t>12000-00</t>
  </si>
  <si>
    <t>12203-00</t>
  </si>
  <si>
    <t>POLISOMNOGRAFIJA</t>
  </si>
  <si>
    <t>12306-00</t>
  </si>
  <si>
    <t>13750-02</t>
  </si>
  <si>
    <t>TERAPIJSKA ERITROFEREZA</t>
  </si>
  <si>
    <t>PERKUTANA CENTRALNA VENSKA KATETERIZACIJA</t>
  </si>
  <si>
    <t>VADJENJE KRVI U DIJAGNOSTIČKE SVRHE</t>
  </si>
  <si>
    <t>POSTUPAK ODRŽAVANJA KONTINUIRANE VENTILATORNE PODR</t>
  </si>
  <si>
    <t>30084-00</t>
  </si>
  <si>
    <t>PERKUTANA BIOPSIJA KOŠTANE SRŽI, IGLOM (metoda Jamashidi)</t>
  </si>
  <si>
    <t>30087-00</t>
  </si>
  <si>
    <t>ASPIRACIONA PUNKCIJA KOŠTANE SRŽI</t>
  </si>
  <si>
    <t>FIBEROPTIČKA KOLONOSKOPIJA DO CEKUMA</t>
  </si>
  <si>
    <t>35506-02</t>
  </si>
  <si>
    <t>41892-00</t>
  </si>
  <si>
    <t>BRONHOSKOPIJA SA BIOPSIJOM (RIGIDNA)</t>
  </si>
  <si>
    <t>41898-00</t>
  </si>
  <si>
    <t>FIBEROPTIČKA BRONHOSKOPIJA</t>
  </si>
  <si>
    <t>41898-01</t>
  </si>
  <si>
    <t>FIBEROPTIČKA BRONHOSKOPIJA SA BIOPSIJOM</t>
  </si>
  <si>
    <t>APLIKACIJA LEKA U NOS</t>
  </si>
  <si>
    <t>90022-00</t>
  </si>
  <si>
    <t>DAVANJE ANESTEZIOLOŠKOG SREDSTVA OKO DRUGIH PERI</t>
  </si>
  <si>
    <t>OSTALE TERAPIJE OBOGAĆIVANJA KISEONIKA/OM</t>
  </si>
  <si>
    <t>TRANSFUZIJA KRVNIH KOMPONENTI I DERIVATA</t>
  </si>
  <si>
    <t>92076-00</t>
  </si>
  <si>
    <t>UKLANJANJE IMPAKTIRANOG FECESA</t>
  </si>
  <si>
    <t>92101-00</t>
  </si>
  <si>
    <t>92209-01</t>
  </si>
  <si>
    <t>92209-02</t>
  </si>
  <si>
    <t>POSTUPAK ODRŽAVANJA NEINVAZIVNE VENTILATORNE PODRŠ</t>
  </si>
  <si>
    <t>92513-10</t>
  </si>
  <si>
    <t>INFILTRACIJA LOKALNOG ANESTETIKA, ACA 10</t>
  </si>
  <si>
    <t>PREVENTIVNO SAVETOVANJE ILI</t>
  </si>
  <si>
    <t>96116-00</t>
  </si>
  <si>
    <t>TERAPIJA OČNIH MIŠIĆA VEŽBANJEM</t>
  </si>
  <si>
    <t>INTRAMUSKULARNO DAVANJE FARMAKOLOŠKOG SREDS</t>
  </si>
  <si>
    <t>INTRAVENSKO DAVANJE FARMAKOLOŠKOG</t>
  </si>
  <si>
    <t>96203-00</t>
  </si>
  <si>
    <t>ORALNO DAVANJE FARMAKOLOŠKOG SREDSTVA, ANTINEOPLAS</t>
  </si>
  <si>
    <t>PUNJENJE UREŠAJA ZA DAVANJE LEKA DRUGO I NEKLASI</t>
  </si>
  <si>
    <t>OSTALE USLUGE GASTROENTEROLOGIJA</t>
  </si>
  <si>
    <t>130207</t>
  </si>
  <si>
    <t>UZIMANJE MATERIJALA SA KOŽE I VIDLJIVIH SLUZOKOŽA ZA MIKROLOŠKI, BAKTERIOLOŠKI I CITOLOŠKI PREGLED</t>
  </si>
  <si>
    <t>310005</t>
  </si>
  <si>
    <t>KONTINUIRANA REGISTRACIJA PULSA</t>
  </si>
  <si>
    <t>13706-03</t>
  </si>
  <si>
    <t>TRANSFUZIJA TROMBOCITA</t>
  </si>
  <si>
    <t>13750-00</t>
  </si>
  <si>
    <t>TERAPIJSKA PLAZMAFEREZA</t>
  </si>
  <si>
    <r>
      <t xml:space="preserve">POSTUPAK ODRŽAVANJA KONTINUIRANE VENTILATORNE PODRŠKE,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</si>
  <si>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30409-00</t>
  </si>
  <si>
    <t>PERKUTANA (ZATVORENA)BIOPSIJA JETRE</t>
  </si>
  <si>
    <t xml:space="preserve">PANENDOSKOPIJA DO DUODENUMA </t>
  </si>
  <si>
    <t>30484-00</t>
  </si>
  <si>
    <t>ENDOSKOPSKA RETROGRADNA HOLANGIOPANKREATOGRAFIJA (ERPC)</t>
  </si>
  <si>
    <t>30485-01</t>
  </si>
  <si>
    <t>32084-00</t>
  </si>
  <si>
    <t>32093-00</t>
  </si>
  <si>
    <t>FIBEROPTIČKA KKOLONOSKOPIJA DO CEKUMA SA POLIPEKTOM</t>
  </si>
  <si>
    <t>90297-02</t>
  </si>
  <si>
    <t>90686-01</t>
  </si>
  <si>
    <t>OBRADA KOŽE I POTKOŽNOG TKIVA BEZ EKSCIZIJE</t>
  </si>
  <si>
    <t>ODRŽAVANJE KATETERA, PLASIRANOG RADI ADMINISTRACIJE LEKA</t>
  </si>
  <si>
    <t>RUTINSKA PREOPERATIVNA ANESTEZIOLOŠKA PROCENA</t>
  </si>
  <si>
    <t>92514-10</t>
  </si>
  <si>
    <t>92514-39</t>
  </si>
  <si>
    <t>OPŠTA ANESTEZIJA ASA 39</t>
  </si>
  <si>
    <t>92514-40</t>
  </si>
  <si>
    <t>OPŠTA ANESTEZIJA ASA 40</t>
  </si>
  <si>
    <t>92514-49</t>
  </si>
  <si>
    <t>OPŠTA ANESTEZIJA ASA 49</t>
  </si>
  <si>
    <t>SEDACIJA, ASA 10</t>
  </si>
  <si>
    <t>92515-19</t>
  </si>
  <si>
    <t>SEDACIJA, ASA 19</t>
  </si>
  <si>
    <t>92515-20</t>
  </si>
  <si>
    <t>SEDACIJA, ASA 20</t>
  </si>
  <si>
    <t>92515-29</t>
  </si>
  <si>
    <t>SEDACIJA, ASA 29</t>
  </si>
  <si>
    <t>92515-39</t>
  </si>
  <si>
    <t>SEDACIJA, ASA 39</t>
  </si>
  <si>
    <t>92515-40</t>
  </si>
  <si>
    <t>SEDACIJA ASA 40</t>
  </si>
  <si>
    <t>92515-49</t>
  </si>
  <si>
    <t>SEDACIJA ASA 49</t>
  </si>
  <si>
    <t>92518-01</t>
  </si>
  <si>
    <t>96191-00</t>
  </si>
  <si>
    <t>96197-01</t>
  </si>
  <si>
    <t>INTRAMUSKULARNO DAVANJE FARMAKOLOŠKOG</t>
  </si>
  <si>
    <t>INTRAMUSKULARNO DAVANJE FARMAKOLOŠKOG SREDSTVA</t>
  </si>
  <si>
    <t>96199-00</t>
  </si>
  <si>
    <t>INTRAVENSKO DAVANJE FARMAKOLOŠKOG SREDSTVA, DRUGO I NEKLASIFIKOVANO SREDSTVO</t>
  </si>
  <si>
    <t>SUBKUTANO DAVANJE FARMAKOLOŠKOG</t>
  </si>
  <si>
    <t>96205-09</t>
  </si>
  <si>
    <t>NEKI DRUGI NAČIN DAVANJA FARMAKOLOŠKOG SREDSTVA, DRUGO I NEKLASIFIKOVANO FARMAKOLOŠKO SREDSTVO</t>
  </si>
  <si>
    <t>PUNJENJE UREDJAJA ZA DAVANJE LEKA,DRUGO I NEKLASIF</t>
  </si>
  <si>
    <t>OSTALE USLUGE HEMATOLOGIJA</t>
  </si>
  <si>
    <t>TRANSFUZIJA ERITROCIJA</t>
  </si>
  <si>
    <t>13706-05</t>
  </si>
  <si>
    <t>TRANSFUZIJA GAMA GLOBULINA</t>
  </si>
  <si>
    <t>13757-00</t>
  </si>
  <si>
    <t>TERAPIJSKA VENESEKCIJA</t>
  </si>
  <si>
    <t>POSTUPAK ODRŽAVANJA KONTINUIRANE VENTILATORNE POD</t>
  </si>
  <si>
    <t>30329-00</t>
  </si>
  <si>
    <t>EKSCIZIJA LIMFNOG ČVORA PREPONE</t>
  </si>
  <si>
    <t>30332-00</t>
  </si>
  <si>
    <t>EKSCIZIJA LIMFNOG ČVORA AKSILE</t>
  </si>
  <si>
    <t>ANOREKTALNI PREGLED</t>
  </si>
  <si>
    <t>KATETERIZACIJA MOKRAĆNE BEŠIKE RG- KROZ URETRU</t>
  </si>
  <si>
    <t>36800-01</t>
  </si>
  <si>
    <t>ZAMENA STALNOG URINARNOG KATETERA/KROZ URETRU</t>
  </si>
  <si>
    <t>39000-00</t>
  </si>
  <si>
    <t>LUMBALNA PUNKCIJA</t>
  </si>
  <si>
    <t>41650-01</t>
  </si>
  <si>
    <t>INSPEKCIJA BUBNE OPNE, OBOSTRANO</t>
  </si>
  <si>
    <t>41653-00</t>
  </si>
  <si>
    <t>PREDNJA RINOSKOPIJA I/ILI ZADNJA RINOSKOPIJA</t>
  </si>
  <si>
    <t>41849-00</t>
  </si>
  <si>
    <t>MANIPULACIJA//MOBILIZACIJA</t>
  </si>
  <si>
    <t xml:space="preserve">DAVANJE ANESTETIČKOG SREDSTVA OKO DRUGIH PERIFERNIH  </t>
  </si>
  <si>
    <t>92001-00</t>
  </si>
  <si>
    <t>OPŠTI FIZIKALNI PREGLED</t>
  </si>
  <si>
    <t>92030-00</t>
  </si>
  <si>
    <t>RETAMPONADA NOSA</t>
  </si>
  <si>
    <t>92031-00</t>
  </si>
  <si>
    <t>DETAMPONADA NOSA</t>
  </si>
  <si>
    <t>92037-00</t>
  </si>
  <si>
    <t>ISPIRANJE NAZOGASTIČNE SONDE</t>
  </si>
  <si>
    <t>92049-00</t>
  </si>
  <si>
    <t>92061-00</t>
  </si>
  <si>
    <t>TRANSFUZIJA FAKTORA KOAGULACIJER</t>
  </si>
  <si>
    <t>INFILTRACIJA LOKALNOG ANESTETIKA, ASA 10</t>
  </si>
  <si>
    <t>92514-29</t>
  </si>
  <si>
    <t>OPŠTA ANESTEZIJA ASA 29</t>
  </si>
  <si>
    <t>96171-00</t>
  </si>
  <si>
    <t>PRATNJA ILI TRANSPORT KLIJENATA</t>
  </si>
  <si>
    <t>INTRAVENSKO DAVANJE FARMAKOLOŠKOG SREDSTVA, ANTINEOPLASTIČNO SREDSTVO</t>
  </si>
  <si>
    <t>INTRAVENSKO DAVANJE FARMAKOLOŠKOG SREDSTVA,ANTI-INFEKTIVNO SREDSTVO</t>
  </si>
  <si>
    <t>96199-03</t>
  </si>
  <si>
    <t>INTRAVENSKO DAVANJE FARMAKOLOŠKOG SREDSTVA, STEROID</t>
  </si>
  <si>
    <t>96199-04</t>
  </si>
  <si>
    <t xml:space="preserve">INTRAVENSKO DAVANJE FARMAKOLOŠKOG SREDSTVA, ANTIDOT  </t>
  </si>
  <si>
    <t>96200-00</t>
  </si>
  <si>
    <t>96202-02</t>
  </si>
  <si>
    <t>96202-09</t>
  </si>
  <si>
    <t>96203-01</t>
  </si>
  <si>
    <t>96203-02</t>
  </si>
  <si>
    <t>ORALNO DAVANJE FARMAKOLOŠKOG SREDSTVA, ANTI-INFE</t>
  </si>
  <si>
    <t>96203-03</t>
  </si>
  <si>
    <t>ORALNO DAVANJE FARMAKOLOŠKOG SREDSTVA, STEROIDI</t>
  </si>
  <si>
    <t>96203-09</t>
  </si>
  <si>
    <t>96205-00</t>
  </si>
  <si>
    <t xml:space="preserve">NEKI DRUGI NAČIN DAVANJA FARMAKOLOŠKOG SREDSTVA, D </t>
  </si>
  <si>
    <t>PUNJENJE UREĐAJA ZA DAVANJE LEKA, DRUGO I NEKLASIFIKOVANO FARMAKOLOŠKO SREDSTVO</t>
  </si>
  <si>
    <t>OSTALE USLUGE ENDOKRINA</t>
  </si>
  <si>
    <t>11312-00</t>
  </si>
  <si>
    <t>POSTUPAK ODRŽAVANJE ENDOTRAHEALNE</t>
  </si>
  <si>
    <t>KATETERIZACIJA MOKRAĆNE BEŠIKE- KROZ URETRU</t>
  </si>
  <si>
    <t>41647-01</t>
  </si>
  <si>
    <t>MANIPULACIJA/MOBILIZACIJA ZGLOBOVA,NEKLASIFIKOVANA NA DRUGOM MESTU</t>
  </si>
  <si>
    <t>81832-30</t>
  </si>
  <si>
    <t>81832-71</t>
  </si>
  <si>
    <t>81833-42</t>
  </si>
  <si>
    <t>90660-00</t>
  </si>
  <si>
    <t>92016-00</t>
  </si>
  <si>
    <t>95550-11</t>
  </si>
  <si>
    <t>UDRUŽENE ZDRAVSTVENE PROCEDURE, DRUGO</t>
  </si>
  <si>
    <t>96197-02</t>
  </si>
  <si>
    <t>INTRAMUSKULARNO DAVANJE FARMAKOLOŠKOG SREDSTVA, ANTI-INFEKTIVNO SREDSTVO</t>
  </si>
  <si>
    <t>96197-06</t>
  </si>
  <si>
    <t>INTRAMUSKULARNO DAVANJE FARMAKOLOŠKOG SREDSTVA, INSULIN</t>
  </si>
  <si>
    <t>INTRAMUSKULARNO DAVANJE FARMAKOLOŠKOG SREDSTVA, DRUGO I NE NAZNAČENO SREDSTVO</t>
  </si>
  <si>
    <t>96199-01</t>
  </si>
  <si>
    <t>INTRAVENSKO DAVANJE FARMAKOLOŠKOG SREDSTVA, TROMBOLITIČKO SREDSTVO</t>
  </si>
  <si>
    <t>INTRAVENSKO DAVANJE FARMAKOLOŠKOG SREDSTVA, ANTI-INFEKTIVNO SREDSTVA</t>
  </si>
  <si>
    <t>96199-06</t>
  </si>
  <si>
    <t>INTRAVENSKO DAVANJE FARMAKOLOŠKOG SREDSTVA, INSULIN</t>
  </si>
  <si>
    <t>INTRAVENSKO DAVANJE FARMAKOLOŠKOG SREDSTVA DRUGO I NEKLASIFIKOVANO FARMAKOLOŠKO SREDSTVO</t>
  </si>
  <si>
    <t>OSTALE USLUGE NEFROLOGIJA</t>
  </si>
  <si>
    <t>241027</t>
  </si>
  <si>
    <t>11324-00</t>
  </si>
  <si>
    <t>TIMPANOMETRIJA STANDARDNIM PROBNIM TONOM</t>
  </si>
  <si>
    <t>13706-01</t>
  </si>
  <si>
    <t>TRANSFUZIJA PUNE KRVI</t>
  </si>
  <si>
    <t>POSTUPAK ODRŽAVANJA KONTINUIRANE VENTILATORNE</t>
  </si>
  <si>
    <t>14200-00</t>
  </si>
  <si>
    <t>GASTRIČNA LAVAŽA</t>
  </si>
  <si>
    <t xml:space="preserve">POSTUPAK ODRŽAVANJA EDNOTRAHEALNE INTUB.(KONTROLA PRAVILNE POZICIJE DVOLUMENSKI TUBUS </t>
  </si>
  <si>
    <t>90119-00</t>
  </si>
  <si>
    <t>OTOSKOPIJA</t>
  </si>
  <si>
    <t>KATETERIZACIJA/KANILACIJA OSTALIH VENA</t>
  </si>
  <si>
    <t>92500-02</t>
  </si>
  <si>
    <t xml:space="preserve">HITNA PREOPERATIVNA ANESTEZIOLOŠKA PROCENA </t>
  </si>
  <si>
    <t>92511-29</t>
  </si>
  <si>
    <t>92513-29</t>
  </si>
  <si>
    <t>INFILTRACIJA LOKALNOG ANESTETIKA ASA 29</t>
  </si>
  <si>
    <t>92513-30</t>
  </si>
  <si>
    <t>INFILTRACIJA LOKALNOG ANESTETIKA ASA 30</t>
  </si>
  <si>
    <t>92513-39</t>
  </si>
  <si>
    <t>INFILTRACIJA LOKALNOG ANESTETIKA ASA 39</t>
  </si>
  <si>
    <t>92513-40</t>
  </si>
  <si>
    <t>INFILTRACIJA LOKALNOG ANESTETIKA ASA 40</t>
  </si>
  <si>
    <t>INTRAVENSKA POST-PROCEDURALNA INFUZIJA ANALGETIKA</t>
  </si>
  <si>
    <t>96052-00</t>
  </si>
  <si>
    <t>96157-00</t>
  </si>
  <si>
    <t>DRENAŽA RESPIRATORNOG SISTEMA BEZ INCIZIJE</t>
  </si>
  <si>
    <t>INTRAMUSKULARNO DAVANJE FARMAKOLOŠKOG SREDSTVA, DR</t>
  </si>
  <si>
    <t>96206-09</t>
  </si>
  <si>
    <t>NENAZNAČEN NAČIN DAVANJA FARMAKOLOŠKOG SREDSTVA, DRUGO I NEKLASIFIKOVANO FARMAKOLOŠKO SREDSTVO</t>
  </si>
  <si>
    <t>OSTALE USLUGE GERIJATRIJA</t>
  </si>
  <si>
    <t>34530-04</t>
  </si>
  <si>
    <t>UKLANJANJE VENSKOG KATETERA</t>
  </si>
  <si>
    <t xml:space="preserve">KATETERIZACIJA MOKRAĆNE BEŠIKE </t>
  </si>
  <si>
    <t>81832-69</t>
  </si>
  <si>
    <t>PREGLED/PROCENA PREDNJEG SEGMENTA, OSTALO</t>
  </si>
  <si>
    <t>92035-00</t>
  </si>
  <si>
    <t>DRUGE INTUBACIJE RESPIRATORNOG TRAKTA</t>
  </si>
  <si>
    <t>INFILTRACIJA LOKALNOG ANESTETIKA ASA 10</t>
  </si>
  <si>
    <t>INFILTRACIJA LOKALNOG ANESTETIKA, ACA 39</t>
  </si>
  <si>
    <t>96112-00</t>
  </si>
  <si>
    <t>INTRAVENSKO DAVANJE FARAMKOLOŠKO</t>
  </si>
  <si>
    <t>SUBKTANO DAVANJE FARMAKOLOŠKOG</t>
  </si>
  <si>
    <t>OSTALE USLUGE NEUROLOGIJA</t>
  </si>
  <si>
    <t>11324-01</t>
  </si>
  <si>
    <t>TIMPANOMETRIJA VISOKO FREKVENTNIM PROBNIM TONOM</t>
  </si>
  <si>
    <t>81832-72</t>
  </si>
  <si>
    <t>92078-00</t>
  </si>
  <si>
    <t>ZAMENA (NAZO-)GASTRIČNE SONDE ILI CEVI EZOFAGASTOME</t>
  </si>
  <si>
    <t>92118-00</t>
  </si>
  <si>
    <t>92194-00</t>
  </si>
  <si>
    <t>OBDUKCIJA</t>
  </si>
  <si>
    <t>INFILTRACIJA LOKALNOG ANESTETIKA,ASA 10</t>
  </si>
  <si>
    <t>96053-00</t>
  </si>
  <si>
    <t>TEST OPADANJA AKUSTIČNOG REFLEKSA</t>
  </si>
  <si>
    <t>96124-00</t>
  </si>
  <si>
    <t>TERAPIJA ZGLOBA KUKA VEŽBANJEM</t>
  </si>
  <si>
    <t>96197-03</t>
  </si>
  <si>
    <t>INTRAMUSKULARNO DAVANJE FARMAKOLOŠKOG SREDSTVA, STEROIDI</t>
  </si>
  <si>
    <t>INTRAVENSKO DAVANJE FARMAKOLOŠKOG SRED. TROMBO</t>
  </si>
  <si>
    <t>INTRAVENSKO DAVANJE FARMAKOLOŠKOG SREDSTVA, ANTI-INFEKTIVNO SREDSTVO</t>
  </si>
  <si>
    <t>VU0035</t>
  </si>
  <si>
    <t>INTRAVENSKO DAVANJE TROMBOLITIČKOG SREDSTVA</t>
  </si>
  <si>
    <t>OSTALE USLUGE TBC</t>
  </si>
  <si>
    <t>ISPIRANJE OSTALIH TRAJNIH KATETERA MOKRAĆNE BEŠIKE</t>
  </si>
  <si>
    <t>OSTALE USLUGE GINEKOLOGIJA</t>
  </si>
  <si>
    <t>250107</t>
  </si>
  <si>
    <t>POSTUPAK ODRŽAVANJA KONTINUIRANE</t>
  </si>
  <si>
    <t>16512-00</t>
  </si>
  <si>
    <t>SKIDANJE KONCA SERKLAŽA</t>
  </si>
  <si>
    <t>16514-00</t>
  </si>
  <si>
    <t>INTERNI CTG MONITORING PLODA</t>
  </si>
  <si>
    <t>16514-01</t>
  </si>
  <si>
    <t>EKSTERNI CTG  MONITORING FETUSA</t>
  </si>
  <si>
    <t>16564-00</t>
  </si>
  <si>
    <t>POSTPARTALNA EVAKUACIJA SADRŽAJA MATERICE KIRETAŽ</t>
  </si>
  <si>
    <t xml:space="preserve">POSTUPAK ODRŽAVANJA ENDOTRAHEALNE  </t>
  </si>
  <si>
    <t>30026-00</t>
  </si>
  <si>
    <t>REPARACIJA RANE NA KOŽI POTKOŽNOM TKIVU OSTALIH OBLASTI, POVRŠINSKA</t>
  </si>
  <si>
    <t>30195-05</t>
  </si>
  <si>
    <t>35500-00</t>
  </si>
  <si>
    <t>GINEKOLOŠKI PREGLED</t>
  </si>
  <si>
    <t>35503-00</t>
  </si>
  <si>
    <t>UBACIVANJE INTRAUTERINOG UREĐAJA (IUD)</t>
  </si>
  <si>
    <t>35507-00</t>
  </si>
  <si>
    <t>DESTRUKCIJA LEZIJA VAGINE</t>
  </si>
  <si>
    <t>35507-01</t>
  </si>
  <si>
    <t>DESTRUKCIJA BRADAVICA VULVE</t>
  </si>
  <si>
    <t>35520-00</t>
  </si>
  <si>
    <t>35608-00</t>
  </si>
  <si>
    <t>KAUTERIZACIJA PROMENA NA GRLIĆU MATERICE</t>
  </si>
  <si>
    <t>35615-00</t>
  </si>
  <si>
    <t>35640-02</t>
  </si>
  <si>
    <t>35643-03</t>
  </si>
  <si>
    <t>DILATACIJA I EVAKUACIJA SADRŽAJA MATERICE</t>
  </si>
  <si>
    <t>36812-00</t>
  </si>
  <si>
    <t>CISTOSKOPIJA</t>
  </si>
  <si>
    <t>36821-01</t>
  </si>
  <si>
    <t>PLASIRANJE JJ KATETERA - URETERORENOSKOPSKI ILI CI</t>
  </si>
  <si>
    <t>MANIPILACIJA MOBILIZACIJA ZGLOBOVA, NEKLASIFIKOVANA NA DRUGOM MESTU</t>
  </si>
  <si>
    <t>HISTEROSALPINGOGRAFIJA</t>
  </si>
  <si>
    <t>90438-00</t>
  </si>
  <si>
    <t>OSTALE PROCEDURE NA VAGINI</t>
  </si>
  <si>
    <t>90462-00</t>
  </si>
  <si>
    <t>INDUKCIJA POBAČAJA PROSTAGLANDINSKOM VAGINALETOM</t>
  </si>
  <si>
    <t>90466-00</t>
  </si>
  <si>
    <t>AKTIVNO VOĐENJE POROĐAJA PRIMENOM LEKOVA</t>
  </si>
  <si>
    <t>90466-01</t>
  </si>
  <si>
    <t>AKTIVNO VOĐENJE POROĐAJA AKUŠERSKIM INTERVENCIJAMA</t>
  </si>
  <si>
    <t>90479-00</t>
  </si>
  <si>
    <t>SUTURA LACERACIJE VAGINE NAKON POROĐAJA</t>
  </si>
  <si>
    <t>90721-00</t>
  </si>
  <si>
    <t>MANUELNI PREGLED DOJKE</t>
  </si>
  <si>
    <t>92103-00</t>
  </si>
  <si>
    <t>VAGINALNO ISPIRANJE</t>
  </si>
  <si>
    <t>92104-00</t>
  </si>
  <si>
    <t>VAGINALNA ŠTRAJFNA</t>
  </si>
  <si>
    <t>92110-00</t>
  </si>
  <si>
    <t>ZAMENA ŠTRAJFNE ILI DRENA VAGINE ILI VULVE</t>
  </si>
  <si>
    <t>92112-00</t>
  </si>
  <si>
    <t>UKLANJANJE ŠTRAJFNE VAGINE ILI VULVE</t>
  </si>
  <si>
    <t>92114-00</t>
  </si>
  <si>
    <t>92130-00</t>
  </si>
  <si>
    <t>PAPANIKOLAU(PAP)TEST</t>
  </si>
  <si>
    <t>92200-00</t>
  </si>
  <si>
    <t>UKLANJANJE ŠAVOVA, NEKLASIFIKOVANIH NA DRUGOM MESTU</t>
  </si>
  <si>
    <t>92203-00</t>
  </si>
  <si>
    <t>EKSTRAKCIJA MLEKA IZ DOJKE U LAKTACIJI</t>
  </si>
  <si>
    <t>92513-19</t>
  </si>
  <si>
    <t>INFILTRACIJA LOKALNOG ANESTETIKA ASA 19</t>
  </si>
  <si>
    <t>92513-20</t>
  </si>
  <si>
    <t>INFILTRACIJA LOKALNOG ANESTETIKA ASA 20</t>
  </si>
  <si>
    <t>92513-49</t>
  </si>
  <si>
    <t>OPŠTA ANESTEZIJA ASA 10</t>
  </si>
  <si>
    <t>92514-19</t>
  </si>
  <si>
    <t>OPŠTA ANESTEZIJA ASA 19</t>
  </si>
  <si>
    <t>SEDACIJA,ASA 19</t>
  </si>
  <si>
    <t>SEDACIJA,ASA 20</t>
  </si>
  <si>
    <t>SEDACIJA,ASA 29</t>
  </si>
  <si>
    <t>SEDACIJA,ASA 39</t>
  </si>
  <si>
    <t>96197-00</t>
  </si>
  <si>
    <t>INTRAMUSKULARNO DAVANJE FARMAKOLOŠKOG SREDSTVA, AN</t>
  </si>
  <si>
    <t>96197-07</t>
  </si>
  <si>
    <t>96197-08</t>
  </si>
  <si>
    <t>INTRAMUSKULARNO DAVANJE FARMAKOLOŠKOG SREDSTVA,DR</t>
  </si>
  <si>
    <t>INTRAVENSKO DAVANJE FARMAKOLOŠKOG SRED. ANTI-I</t>
  </si>
  <si>
    <t>96199-07</t>
  </si>
  <si>
    <t>INTRAMUSKULARNO DAVANJE FARMAKOLOŠKOG SREDSTVA,DRUGO</t>
  </si>
  <si>
    <t xml:space="preserve">SUBKUTANO DAVANJE FARMAKOLOŠKOG SREDSTVA, TROMBOLI  </t>
  </si>
  <si>
    <t>OSTALE USLUGE AKUŠERSTVO</t>
  </si>
  <si>
    <t>PRACENJE SISTEMSKOG PRITISKA</t>
  </si>
  <si>
    <t>13312-00</t>
  </si>
  <si>
    <t>VAĐENJE KRVI NOVOROĐENČETA U DIJAGNOSTIČKE SVRHE</t>
  </si>
  <si>
    <t>EKSTERNI CTG MONITORING FETUSA</t>
  </si>
  <si>
    <t>POSPATALNA EVAKUACIJA SADRŽAJA MATERICE KIRETAŽOM I DILETACIJOM CERVIKALNOG KANALA</t>
  </si>
  <si>
    <t>16571-00</t>
  </si>
  <si>
    <t>SUTURA RUPTURE GRLIĆA MATERICE NAKON POROĐAJA</t>
  </si>
  <si>
    <t>POSTUPAK ODRŽAVANJA ENDOTRAHEALNE</t>
  </si>
  <si>
    <t>90465-00</t>
  </si>
  <si>
    <t>INDUKCIJA POROĐAJA OKSITOCINOM</t>
  </si>
  <si>
    <t>90465-01</t>
  </si>
  <si>
    <t>INDUKCIJA POROĐAJA PROSTAGLANDINOM</t>
  </si>
  <si>
    <t>90465-03</t>
  </si>
  <si>
    <t>INDUKCIJA POROĐAJA PREKIDANJEM PLODOVIH OVOJAKA</t>
  </si>
  <si>
    <t>90466-02</t>
  </si>
  <si>
    <t>VOĐENJE POROĐAJA MEDIKAMENTIMA I AKUŠERSKIM INTERVENCIJAMA</t>
  </si>
  <si>
    <t>SPONTANI POFOĐAJ KOD TEMENOG POLOŽAJA</t>
  </si>
  <si>
    <t>DOVRŠAVANJE POROĐAJA NISKIM IZLAZNIM )</t>
  </si>
  <si>
    <t>90481-00</t>
  </si>
  <si>
    <t>POVREDA PERINEUMA PRVOG ILI DRUGOG STEPENA</t>
  </si>
  <si>
    <t>POSTPARTALNA MANUELNA REVIZIJA MTERIČNE ŠUPLJINE</t>
  </si>
  <si>
    <t>90484-00</t>
  </si>
  <si>
    <t>EVAKUACIJA HEMATOMA PERINEUMA NAKON POROĐAJA INCIZIJOM</t>
  </si>
  <si>
    <t>92145-00</t>
  </si>
  <si>
    <t>VAKCINACIJA PROTIV TUBERKULOZE</t>
  </si>
  <si>
    <t>92168-00</t>
  </si>
  <si>
    <t>VAKCINACIJA PROTIV HEPATITISA B</t>
  </si>
  <si>
    <t>92204-00</t>
  </si>
  <si>
    <t>NEINVAZIVNI DIJAGNOSTIČKI TESTOVI, MERENJA ILI ISTRAŽIVANJA, NEKVALIFIKOVANA NA DRUGOM MESTU</t>
  </si>
  <si>
    <t>92507-10</t>
  </si>
  <si>
    <t>NEUROAKSIJALAN BLOKADA TOKOM TRUDOVA</t>
  </si>
  <si>
    <t>92508-10</t>
  </si>
  <si>
    <t>NEUROAKSIJALNA BLOKADA ASA 10</t>
  </si>
  <si>
    <t>92508-20</t>
  </si>
  <si>
    <t>NEUROAKSIJALNA BLOKADA ASA 20</t>
  </si>
  <si>
    <t>92508-29</t>
  </si>
  <si>
    <t>NEUROAKSIJALNA BLOKADA ASA 29</t>
  </si>
  <si>
    <t>INFILTRACIJA LOKALNOG ANESTETIKA, ACA 19</t>
  </si>
  <si>
    <t>92514-20</t>
  </si>
  <si>
    <t>OPŠTA ANESTEZIJA ASA 20</t>
  </si>
  <si>
    <t>SECADIJA ASA 10</t>
  </si>
  <si>
    <t>96200-02</t>
  </si>
  <si>
    <t>OSTALE USLUGE NEONATOLOGIJA</t>
  </si>
  <si>
    <t>13300-02</t>
  </si>
  <si>
    <t>UMBILIKALNA VENSKA KATETERIZACIJA/KANILACIJA KOD NOVOROĐENČETA</t>
  </si>
  <si>
    <t xml:space="preserve">PREVIJANJE RANE </t>
  </si>
  <si>
    <t>90677-00</t>
  </si>
  <si>
    <t>OSTALE PROCEDURE FOTOTERAPIJE , NA KOŽI</t>
  </si>
  <si>
    <t>92178-00</t>
  </si>
  <si>
    <t>TERAPIJA TOPLOTOM</t>
  </si>
  <si>
    <t>INTRAMUSKULARNO DAVANJE FARMAKOLOŠKOG SREDSTVA,AN</t>
  </si>
  <si>
    <t>INTRAVENSKO DAVANJE FARMAKOLOŠKOG SREDSTVA, ANTI</t>
  </si>
  <si>
    <t>OSTALE USLUGE PEDIJATRIJA</t>
  </si>
  <si>
    <t>260076</t>
  </si>
  <si>
    <t>UZORKOVANJE I SLANJE MATERIJALA ZA LABORATORIJSKO ISPITIVANJE</t>
  </si>
  <si>
    <t>310049</t>
  </si>
  <si>
    <t>ANTROPOMETRIJA LONGITUDINALNIH MERA</t>
  </si>
  <si>
    <t>11503-12</t>
  </si>
  <si>
    <t>MERENJE TOTALNOG PLUĆNOG VOLUMENA</t>
  </si>
  <si>
    <t>11503-13</t>
  </si>
  <si>
    <t>MERENJE DISAJNOG ILI PLUĆNOG OTPORA</t>
  </si>
  <si>
    <r>
      <t xml:space="preserve">TEST KOŽNE OSETLJIVOSTI SA </t>
    </r>
    <r>
      <rPr>
        <u/>
        <sz val="8"/>
        <rFont val="Times New Roman"/>
        <family val="1"/>
        <charset val="238"/>
      </rPr>
      <t xml:space="preserve">&lt; 20 </t>
    </r>
    <r>
      <rPr>
        <sz val="8"/>
        <rFont val="Times New Roman"/>
        <family val="1"/>
        <charset val="238"/>
      </rPr>
      <t>ALERGENA</t>
    </r>
  </si>
  <si>
    <t>92029-00</t>
  </si>
  <si>
    <t>LAVAŽA NOSNICA</t>
  </si>
  <si>
    <t>PRAG AKUSTIČNOG REFLEKSA</t>
  </si>
  <si>
    <t>INTRAMUSKULARNO DAVANJE FARMAKOLOŠKOG SREDSTVA, TROMBOLITIČKO SREDSTVO</t>
  </si>
  <si>
    <t>OSTALE USLUGE HIRURGIJA</t>
  </si>
  <si>
    <t>PERKUTANA VENSKA CENTRALNA KATETERIZACIJA</t>
  </si>
  <si>
    <t>REPARACIJA RANE NA KOŽI I POTKOŽNOM TKIVU OSTALIH OBLASTI, POVRŠINSKA</t>
  </si>
  <si>
    <t>30064-00</t>
  </si>
  <si>
    <t>UKLANJANJE STRANOG TELA IZ KOŽE I POTKOŽNOG TKIVA  INCIZIJOM</t>
  </si>
  <si>
    <t>30094-00</t>
  </si>
  <si>
    <t>PERKUTANA BIOPSIJA MEKIH TKIVA (IGLOM)</t>
  </si>
  <si>
    <t>30189-01</t>
  </si>
  <si>
    <t>UKLANJANJE OSTALIH BRADAVICA</t>
  </si>
  <si>
    <t>30223-02</t>
  </si>
  <si>
    <t>OSTALE INCIZIJE I DRENAŽE KOŽE</t>
  </si>
  <si>
    <t>30224-01</t>
  </si>
  <si>
    <t>PERKUTANA DRENAŽA INTRA-ABDOMINALNOG APSCESA, HEMATOMA ILI CISTE</t>
  </si>
  <si>
    <t>30375-01</t>
  </si>
  <si>
    <t>OSTALE ENTEROSTOMIJE</t>
  </si>
  <si>
    <t>30375-28</t>
  </si>
  <si>
    <t>PRIVREMENA KOLOSTOMA</t>
  </si>
  <si>
    <t>31533-00</t>
  </si>
  <si>
    <t>BIOPSIJA DOJKE IGLOM</t>
  </si>
  <si>
    <t>32009-00</t>
  </si>
  <si>
    <t>TOTALNA KOLEKTOMIJA SA ILEOSTOMOM</t>
  </si>
  <si>
    <t>32075-00</t>
  </si>
  <si>
    <t>RIGIDNA RETROSIGMOIDOSKOPIJA</t>
  </si>
  <si>
    <t>32099-00</t>
  </si>
  <si>
    <t>TRANSANALNA SUBMUKOZNA EKSCIZIJA REKTALNOG TUMORA</t>
  </si>
  <si>
    <t>32132-00</t>
  </si>
  <si>
    <t>SKLEROTERAPIJA HEMOROIDA</t>
  </si>
  <si>
    <t>32174-01</t>
  </si>
  <si>
    <t>34106-09</t>
  </si>
  <si>
    <t>EKSPLORACIJA OSTALIH VENA</t>
  </si>
  <si>
    <t>KATETERIZACIJA MOKRAĆNE BEŠIKE/KROUZ URETRU</t>
  </si>
  <si>
    <t>37315-00</t>
  </si>
  <si>
    <t>47451-00</t>
  </si>
  <si>
    <t>47597-00</t>
  </si>
  <si>
    <t>ZATVORENA REPOZICIJA PRELOMA SKOČNOG ZGLOBA</t>
  </si>
  <si>
    <t>47948-00</t>
  </si>
  <si>
    <t>ODSTRANJENJE SREDSTVA ZA IMOBILIZACIJU</t>
  </si>
  <si>
    <t>49854-00</t>
  </si>
  <si>
    <t>MANIPULACIJA/MOBILIZACIJA ZGLOBA, NEKLASIFIKOVANA NA DRUGOM MESTU</t>
  </si>
  <si>
    <t>50124-01</t>
  </si>
  <si>
    <t>INJEKCIJA U ZGLOB ILI NEKU DRUGU SINOVIJSKU ŠUPLJINU, NEKLASIFIKOVANA NA DRUGOM MESTU</t>
  </si>
  <si>
    <t>KATETERIZACIJA KANILACIJA OSTALIH VENA</t>
  </si>
  <si>
    <t>90344-00</t>
  </si>
  <si>
    <t>90344-01</t>
  </si>
  <si>
    <t>PRIMENA DRUGOG TERAPEUTSKOG SREDSTVA U ANOREKT</t>
  </si>
  <si>
    <t>90563-00</t>
  </si>
  <si>
    <t>ASPIRACIJA MEKOG TKIVA, NEKLASIFIKOVANA NA DRUGOM</t>
  </si>
  <si>
    <t>PRIMENA SREDSTVA U KOŽI I POTKOŽNOM TKIVU</t>
  </si>
  <si>
    <t>90661-00</t>
  </si>
  <si>
    <t>OSTALE INCIZIJE KOŽE I POTKOŽNOG TKIVA</t>
  </si>
  <si>
    <t>ISPIRANJE NAZOGASTIČN SONDE</t>
  </si>
  <si>
    <t xml:space="preserve">UKLANJANJE CEVČICE NAKON TORAKTOMIJE ILI </t>
  </si>
  <si>
    <t xml:space="preserve">UKLANJANJE KATETERA URETEROSTOME ILI </t>
  </si>
  <si>
    <t>92138-00</t>
  </si>
  <si>
    <t>UKLANJANJE STRANOG TELA SA GLAVE ILI VRATA BEZ INCIZIJE</t>
  </si>
  <si>
    <t xml:space="preserve">UKLANANJE ŠAVOVA, NEKLAISFIKOVANIH NA </t>
  </si>
  <si>
    <t>NEURAKSIJALNA BLOKADA, ASA 20</t>
  </si>
  <si>
    <t>NEURAKCIJALNA BLOKADA, ASA 29</t>
  </si>
  <si>
    <t>92508-39</t>
  </si>
  <si>
    <t>NEURAKCIJALNA BLOKADA, ASA 39</t>
  </si>
  <si>
    <t>92510-10</t>
  </si>
  <si>
    <t>REGIONALNA BLOKADA, NERVA STABLA ASA 10</t>
  </si>
  <si>
    <t>92511-39</t>
  </si>
  <si>
    <t>REGIONALNA BLOKADA, NERVA GORNJEG EKSTREMITETA, AS</t>
  </si>
  <si>
    <t>92512-39</t>
  </si>
  <si>
    <t>REGIONALNA BLOKADA NERVA DONJEG EKSTREMITETA ASA</t>
  </si>
  <si>
    <t>INFILTRACIJA LOKALNOG ANESTETIKA, ASA 19</t>
  </si>
  <si>
    <t>INFILTRACIJA LOKALNOG ANESTETIKA, ASA 39</t>
  </si>
  <si>
    <t>92514-30</t>
  </si>
  <si>
    <t>OPŠTA ANESTEZIJA ASA 30</t>
  </si>
  <si>
    <t>92514-50</t>
  </si>
  <si>
    <t>SEDACIJA ACA 50</t>
  </si>
  <si>
    <t>SEDACIJA ACA 10</t>
  </si>
  <si>
    <t>SEDACIJA ACA 19</t>
  </si>
  <si>
    <t>SEDACIJA ACA 20</t>
  </si>
  <si>
    <t>SEDACIJA ACA 29</t>
  </si>
  <si>
    <t>92515-30</t>
  </si>
  <si>
    <t>SEDACIJA ACA 30</t>
  </si>
  <si>
    <t>SEDACIJA ACA 39</t>
  </si>
  <si>
    <t>OSTALE PROCENE I KONSULTACIJE ILI</t>
  </si>
  <si>
    <t xml:space="preserve">PREVENTIVNO SAVETOVANJE ILI PODUČAVANJE </t>
  </si>
  <si>
    <t>INTRAVENSKO DAVANJE FARMAKOLOSKOG SREDSTVA, DRUGO</t>
  </si>
  <si>
    <t>97011-00</t>
  </si>
  <si>
    <t>SVEOBUHVATNI ORALNI PREGLED</t>
  </si>
  <si>
    <t>OSTALE USLUGE INTENZIVNA NEGA</t>
  </si>
  <si>
    <t>18216-00</t>
  </si>
  <si>
    <t>EPIDURALNA INFUZIJA LOKALNOG ANESTETIKA</t>
  </si>
  <si>
    <t>18216-27</t>
  </si>
  <si>
    <t>EPIDURALNA INJEKCIJA LOKALNOG ANESTETIKA</t>
  </si>
  <si>
    <t>34524-00</t>
  </si>
  <si>
    <t>KATETERIZACIJA/KANILACIJA OSTAIH VENA</t>
  </si>
  <si>
    <t>KATETERIZACIJA MOKRAĆNE BEŠIKE RG KROZ URETRU</t>
  </si>
  <si>
    <t>39133-01</t>
  </si>
  <si>
    <t>UKLANJANJE KATETERA IZ KIČMENOG PROSTORA</t>
  </si>
  <si>
    <t>47048-00</t>
  </si>
  <si>
    <t>MANIPULACIJA/MOBILIZACIJA ZGLOBA,NEKLASIFIKOVANA NA DRUGOM MESTU</t>
  </si>
  <si>
    <t>92025-00</t>
  </si>
  <si>
    <t>ISPIRANJE OKA</t>
  </si>
  <si>
    <t>92041-00</t>
  </si>
  <si>
    <t>ZBRINJAVANJE OSTALIH VRSTA INTUBACIJA RESPIRATORNO</t>
  </si>
  <si>
    <t>92060-00</t>
  </si>
  <si>
    <t>92064-00</t>
  </si>
  <si>
    <t>92506-39</t>
  </si>
  <si>
    <t>92507-19</t>
  </si>
  <si>
    <t>92507-20</t>
  </si>
  <si>
    <t>92508-19</t>
  </si>
  <si>
    <t>92508-30</t>
  </si>
  <si>
    <t>NEURAKSIJALNA BLOKADA ASA 39</t>
  </si>
  <si>
    <t>92508-40</t>
  </si>
  <si>
    <t>92508-49</t>
  </si>
  <si>
    <t>NEURAKSIJALNA BLOKADA ASA 49</t>
  </si>
  <si>
    <t>92509-29</t>
  </si>
  <si>
    <t>92509-39</t>
  </si>
  <si>
    <t>REGIONALNA BLOKADA, NERAVA GORNJEG EKSTREMITETA, AS</t>
  </si>
  <si>
    <t>92511-19</t>
  </si>
  <si>
    <t>92512-19</t>
  </si>
  <si>
    <t>92512-29</t>
  </si>
  <si>
    <t>92512-30</t>
  </si>
  <si>
    <t>OPŠTA ANESTEZIJA ASA 50</t>
  </si>
  <si>
    <t>92514-59</t>
  </si>
  <si>
    <t>OPŠTA ANESTEZIJA ASA 59</t>
  </si>
  <si>
    <t>SEDACIJA, ASA 30</t>
  </si>
  <si>
    <t>SEDACIJA, ASA 40</t>
  </si>
  <si>
    <t>PRATNJA ILI TRANSPORT KLIJENTA</t>
  </si>
  <si>
    <t>OSTALE USLUGE UROLOGIJA</t>
  </si>
  <si>
    <t>OSTALE ELEKTOKARDIOGRAFIJE</t>
  </si>
  <si>
    <t xml:space="preserve">MERENJE PROTOKA URINA </t>
  </si>
  <si>
    <t>31205-01</t>
  </si>
  <si>
    <t>EKSCIZIJA ČIRA NA KOŽI I POTKOŽNOM TKIVU</t>
  </si>
  <si>
    <t>36652-00</t>
  </si>
  <si>
    <t>RETROGRADNA URETERORENOSKOPIJA</t>
  </si>
  <si>
    <t>ZAMENA STAALNOG URINARNOG KATETEERA RG KROZ UR</t>
  </si>
  <si>
    <t>36812-01</t>
  </si>
  <si>
    <t xml:space="preserve">CISTOSKOPIJA KROZ ARTEFICIJALNU STOMU </t>
  </si>
  <si>
    <t>36818-00</t>
  </si>
  <si>
    <t>ENDOSKOPSKA KATETERIZACIJA URETERA SA RETROGRADNOM URETEROPIJELOGRAFIJOM (CHEVASSU) - JEDNOSTRANA</t>
  </si>
  <si>
    <t>PLASIRANJE JJ KATETERA - URETERORENOSKOPSKI LI CI</t>
  </si>
  <si>
    <t>36821-03</t>
  </si>
  <si>
    <t>ZAMENA JJ KATETERAURETERORENOSKOPSKI ILI CITOS</t>
  </si>
  <si>
    <t>36824-00</t>
  </si>
  <si>
    <t>ENDOSKOPSKA KATETERIZACIJA URETERA RG JEDNOSTRANA</t>
  </si>
  <si>
    <t>36842-00</t>
  </si>
  <si>
    <t>ENDOSKOPSKO ISPIRANJE KRVNIH UGRUŠAKA IZ MOKRAĆNE</t>
  </si>
  <si>
    <t>36845-06</t>
  </si>
  <si>
    <t>ENDOSKOPSKA ELEKTROKUATERIZACIJA JEDNE PROMENE MOK</t>
  </si>
  <si>
    <t>36851-00</t>
  </si>
  <si>
    <t>ENDOSKOPSKO DAVANJE LEKOVA U ZID MOKRAĆNE BEŠIKE</t>
  </si>
  <si>
    <t>37303-00</t>
  </si>
  <si>
    <t>DILATACIJA STENOZE URETRE (BUŽIRANJE)</t>
  </si>
  <si>
    <t>47579-00</t>
  </si>
  <si>
    <t>IMOBILIZACIJA PRELOMA PATELE</t>
  </si>
  <si>
    <t>PROCENA OPŠTEG IZGLEDA OKA I ADNEKSA</t>
  </si>
  <si>
    <t>92195-00</t>
  </si>
  <si>
    <t>ISPIRANJE KATETERA, NEKLASIFIKOVANO NA DRUGOM MESTU</t>
  </si>
  <si>
    <t>NEURAKSIJALNA BLOKADA, ASA 29</t>
  </si>
  <si>
    <t>INTRAMUSKULARNO DAVANJE FARMAKOLOŠKOG SREDSTVA AN</t>
  </si>
  <si>
    <t>INTRAVENSKO DAVANJE FARMAKOLOŠKOG SREDSTVA, ANTI- INFEKTIVNO SREDSTVO</t>
  </si>
  <si>
    <t>INTRAVENSKO DAVANJE FARMAKOLOŠKOG SREDSTVA, ANTI- INFEKTIVNO SREDSTVO DRUGO</t>
  </si>
  <si>
    <t>SUBKUTANO DAVANJE FARMAKOLOŠKOG SREDST.TROMBO</t>
  </si>
  <si>
    <t>OSTALE USLUGE NEUROHIRURGIJA</t>
  </si>
  <si>
    <t>36516-06</t>
  </si>
  <si>
    <t>NEFREKTOMIJA ZA TRANSPLANTACIJU, KADAVER-OTVORENA HIRURGIJA</t>
  </si>
  <si>
    <t>36519-01</t>
  </si>
  <si>
    <t>NEFREKTOMIJA ZA TRANSPLANTIRANOG BUBREGA EKSPOANTACIJA</t>
  </si>
  <si>
    <t>KATETERIZACIJA MOKRAĆNE BEŠIKE/KROZ URETRU</t>
  </si>
  <si>
    <t>90013-00</t>
  </si>
  <si>
    <t>BIOPSIJA NERVA</t>
  </si>
  <si>
    <t>90019-00</t>
  </si>
  <si>
    <t>KAUDALNA INJEKCIJA OSTALIH ILI KOMBINOVANIH TERAPEUTSKIH SUPSTANCI</t>
  </si>
  <si>
    <t>90204-00</t>
  </si>
  <si>
    <t>UKLANJANJE DONORSKOG SRCA ZA TRANSPLANTACIJU</t>
  </si>
  <si>
    <t>KATETERIZACIJA / KANILACIJA OSTALIH VENA</t>
  </si>
  <si>
    <t>92046-00</t>
  </si>
  <si>
    <t>ZAMENA KANILE ZA TRAHEOSTOMIJU</t>
  </si>
  <si>
    <t>KARDIOPULMONALNA REANIMACIJA</t>
  </si>
  <si>
    <t>DRENZA RESPIRATORNOG  SISTEMA BEZ INCIZIJE</t>
  </si>
  <si>
    <t>INTRAVENSKI DEVANJE FARMAKOLOŠKOG SREDSTVA  ANTI-I</t>
  </si>
  <si>
    <t>INTRAVENSKO DAVANJE FARMAKOLOŠKOG SRED.STEROI.</t>
  </si>
  <si>
    <t>INTRAVENSKO DAVANJE FARMAKOLOŠKOG SREDSTVA, DRUGA</t>
  </si>
  <si>
    <t>VU0019</t>
  </si>
  <si>
    <t>ENDOVASKULARNO LEČENJE INTRAKRANIJ.ANEURIZMI</t>
  </si>
  <si>
    <t>OSTALE USLUGE TRAUMATOLOGIJA</t>
  </si>
  <si>
    <t>30052-02</t>
  </si>
  <si>
    <t>REPARACIJA RANE NA USNI</t>
  </si>
  <si>
    <t>ANOREKTRALNI PREGLED</t>
  </si>
  <si>
    <t>PREDNJA RINOSKOPIJA AI/ILI ZADNJA RINOSKOPIJA</t>
  </si>
  <si>
    <t>47009-00</t>
  </si>
  <si>
    <t>ZATVORENA REPOZICIJA ISČAŠENJA RAMENA</t>
  </si>
  <si>
    <t>ZATVORENA REPOZICIJA IŠČAŠENJA ZGLOBA KUKA</t>
  </si>
  <si>
    <t>47054-00</t>
  </si>
  <si>
    <t>ZATVORENA REPOZICIJA IŠČAŠENJA ZGLOBA KOLENA</t>
  </si>
  <si>
    <t>47063-00</t>
  </si>
  <si>
    <t>47324-00</t>
  </si>
  <si>
    <t>47336-00</t>
  </si>
  <si>
    <t>ZATVORENA REPOZICIJA PRELOMA METAKARPUSA</t>
  </si>
  <si>
    <t>47348-00</t>
  </si>
  <si>
    <t>47360-00</t>
  </si>
  <si>
    <t>IMOBILIZACIJA PRELOMA DISTALNOG DELA RADIJUSA</t>
  </si>
  <si>
    <t>47363-01</t>
  </si>
  <si>
    <t>ZATVORENA REPOZICIJA PRELOMA DISTALNOG DELA ULNE</t>
  </si>
  <si>
    <t>47387-00</t>
  </si>
  <si>
    <t>47396-00</t>
  </si>
  <si>
    <t>ZATVORENA REPOZICIJA PRELOMA OLEKRANONA</t>
  </si>
  <si>
    <t>47444-00</t>
  </si>
  <si>
    <t xml:space="preserve">IMOBILIZACIJA PRELOMA TELA HUMERUSA </t>
  </si>
  <si>
    <t>ZATVORENA REPOZICIJA PRELOMA TELA  HUMERUSA SA UNUT</t>
  </si>
  <si>
    <t>47462-00</t>
  </si>
  <si>
    <t>ZATVORENA REPOZICIJA PRELOMA KLJUČNE KOSTI</t>
  </si>
  <si>
    <t>47495-00</t>
  </si>
  <si>
    <t>TRAKCIJA ZBOG PRELOMA ACETABULUMA</t>
  </si>
  <si>
    <t xml:space="preserve">ZATVORENA REPOZICIJA PRELOMA SKOČNOG ZGLOBA  </t>
  </si>
  <si>
    <t>ODSTRANJENJE SREDSTAVVA ZA IMOBILIZACIJU</t>
  </si>
  <si>
    <t>49721-00</t>
  </si>
  <si>
    <t>IMOBILIZACIJA KOD POVREDA, OBOLJENJA I STANJA AHILOVE TETIVE</t>
  </si>
  <si>
    <t>MANIPULACIJA/MOBIIZACIJA ZGLOBA, NEKLASIFIKOVANA NA DRUGOM MESTU</t>
  </si>
  <si>
    <t>50124-00</t>
  </si>
  <si>
    <t>50352-00</t>
  </si>
  <si>
    <t>IMOBILIZACIJA IŠČAŠENOG ZGLOBA KUKA</t>
  </si>
  <si>
    <t>90582-01</t>
  </si>
  <si>
    <t>90595-00</t>
  </si>
  <si>
    <t>UKLANJANJE KATETERA URETEROSTOME ILI</t>
  </si>
  <si>
    <t>HITNA PREOPERARIVNA ANESTEZIOLOŠKA PROCENA</t>
  </si>
  <si>
    <t>92510-29</t>
  </si>
  <si>
    <t>REGIONALNA BLOKADA NERVA STABLA ASA 29</t>
  </si>
  <si>
    <t>REGIONALNA BLOKADA, NERVA DONJEG EKSTREMITETA, ASA</t>
  </si>
  <si>
    <t>INFILTRACIJA LOKALNOG ANESTETIKA, ASA 29</t>
  </si>
  <si>
    <t>SEDACIJA ASA 30</t>
  </si>
  <si>
    <t>INTRAVENSKO DAVANJE FARMAKOLOŠKOG SREDSTVA - ANTI- INFEKTIVNO SREDSTVO</t>
  </si>
  <si>
    <t>INTRAVENSKO DAVANJE FARMAKOLOŠKOG SREDSTA, DRUGO I NEKLASIFIKOVANO FARMAKOLOŠKO SREDSTVO</t>
  </si>
  <si>
    <t xml:space="preserve">SUBKUTANO DAVANJE FARMAKOLOŠKOG </t>
  </si>
  <si>
    <t>OSTALE USLUGE BARO MEDICINA</t>
  </si>
  <si>
    <t>OPŠTA ANESTEZIJA, ASA 39</t>
  </si>
  <si>
    <t>96095-00</t>
  </si>
  <si>
    <t>PODRŠKA TERAPEUTSKOJ DIJETI</t>
  </si>
  <si>
    <t>96123-00</t>
  </si>
  <si>
    <t>INTRAMUSKULARNO DAVANJE FARMAKOLOŠKOG SREDSTVA, DRUGO I NE NAZNAČENO FARMAKOLOŠKO SREDSTVO</t>
  </si>
  <si>
    <t>SUBKUTANO DAVANJE FARMAKOLOŠKOG SREDSTVA, TROMBOLITIČKO SREDSTVO</t>
  </si>
  <si>
    <t>SUBKUTANO DAVANJE FARMAKOLOŠKOG SREDSTVA, INSULIN</t>
  </si>
  <si>
    <t>OSTALE USLUGE RADIOLOŠKA SLUŽBA</t>
  </si>
  <si>
    <t>OSTALE USLUGE ORL SA MFH</t>
  </si>
  <si>
    <t>AUDIOMETRIJA, VAZDUŠNA I KOŠTANA SPROVODLJIVOST, STANDARDNA TEHNIKA</t>
  </si>
  <si>
    <t>SNIMANJE PROSEČNOG SIGNALA EKG</t>
  </si>
  <si>
    <t>POSTUPAK ODRŽAVANJA KONTINUIRANE VENTILATORNE PODR.</t>
  </si>
  <si>
    <t>ENDOTRAHEALNA INTUBACIJA</t>
  </si>
  <si>
    <t>30035-00</t>
  </si>
  <si>
    <t>30061-01</t>
  </si>
  <si>
    <t>PERKUTANA BIOPSIJA KOŠTANE SRŽI, IGLOM (METODA JAMAŠIDI)</t>
  </si>
  <si>
    <t>31230-00</t>
  </si>
  <si>
    <t>EKSCIZIJA LEZIJE NAKOŽI I POTKOŽNOM TKIVU OČNO</t>
  </si>
  <si>
    <t>41500-00</t>
  </si>
  <si>
    <t>UKLANJANJE STRANOG TELA IZ SPOLJAŠNJEG SLUŠNOG HODNIKA</t>
  </si>
  <si>
    <t>41530-00</t>
  </si>
  <si>
    <t>41626-00</t>
  </si>
  <si>
    <t>MIRINOGOTOMIJA, JEDNOSTRANA</t>
  </si>
  <si>
    <t>41626-01</t>
  </si>
  <si>
    <t>MIRINGOTOMIJA, DVOSTRANA</t>
  </si>
  <si>
    <t>41647-00</t>
  </si>
  <si>
    <t>TOLETA UVA JEDNOSTRANO</t>
  </si>
  <si>
    <t>TOALETA UVA DVOSTRANO</t>
  </si>
  <si>
    <t>41650-00</t>
  </si>
  <si>
    <t>INSPEKCIJA BUBNE OPNE, JEDNOSTRANA</t>
  </si>
  <si>
    <t>41659-00</t>
  </si>
  <si>
    <t>41677-00</t>
  </si>
  <si>
    <t>HEMOSTAZA EPISTAKSE PREDNJOM TAMPONADOM ILI KAUTERIZACIJOM</t>
  </si>
  <si>
    <t>41761-00</t>
  </si>
  <si>
    <t>PREGLED NOSNE ŠUPLJINE I/ILI POSTNAZALNOG PROSTORA SA BIOPSIJOM</t>
  </si>
  <si>
    <t>SINUSOSKOPIJA</t>
  </si>
  <si>
    <t>ZAUSTAVLJANJE HEMORAGIJE POSLE TONZILEKTOMIJE I ADE</t>
  </si>
  <si>
    <t>41816-00</t>
  </si>
  <si>
    <t>RIGIDNA EZOFAZOSKOPIJA</t>
  </si>
  <si>
    <t>41825-00</t>
  </si>
  <si>
    <t>EKSTRAKCIJA STRANOG TELA IZ JEDNJAKA RIGIDNIM ENDOSKOPOM</t>
  </si>
  <si>
    <t xml:space="preserve">LARINGOSKOPIJA  </t>
  </si>
  <si>
    <t>41855-00</t>
  </si>
  <si>
    <t>MIKROLARINGOSKPIJA</t>
  </si>
  <si>
    <t>45676-00</t>
  </si>
  <si>
    <t>OSTALE REPARACIJE U USNOJ ŠUPLJINI</t>
  </si>
  <si>
    <t>47738-00</t>
  </si>
  <si>
    <t>ZATVORENA REPOZICIJA PRELOMA NOSNE KOSTI</t>
  </si>
  <si>
    <t>MANIPULACIJA/MOBILIZACIJA ZGLOBOVA, NEKVALIFIKOVANA NA DRUGOM MESTU.</t>
  </si>
  <si>
    <t>53410-00</t>
  </si>
  <si>
    <t>IMOBILIZACIJA FRAKTURE ZIGOMATIČNE KOSTI</t>
  </si>
  <si>
    <t>81832-60</t>
  </si>
  <si>
    <t>PREGLED OČNE DUPLJE</t>
  </si>
  <si>
    <t>81832-61</t>
  </si>
  <si>
    <t>PREGLED OČNOG KAPKA</t>
  </si>
  <si>
    <t>81832-62</t>
  </si>
  <si>
    <t>PREGLED OČNE JABUČICE</t>
  </si>
  <si>
    <t>81832-63</t>
  </si>
  <si>
    <t>PREGLED SUZNOG FILMA</t>
  </si>
  <si>
    <t>81832-64</t>
  </si>
  <si>
    <t>PREGLED PREDNJEG SEGMENTA KONJUKTIVA</t>
  </si>
  <si>
    <t>81832-65</t>
  </si>
  <si>
    <t>PREGLED PREDNJEG SEGMENTA ROŽNJAČA</t>
  </si>
  <si>
    <t>81832-66</t>
  </si>
  <si>
    <t>PREGLED PREDNJEG SEGMENTA PREDNJA KOMORA</t>
  </si>
  <si>
    <t>81832-67</t>
  </si>
  <si>
    <t>PREGLED PREDNJEG SEGMENTADUŽICA</t>
  </si>
  <si>
    <t>81832-68</t>
  </si>
  <si>
    <t>PREGLED PREDNJEG SEGMENTA SOČIVO</t>
  </si>
  <si>
    <t xml:space="preserve">PREGLED ZADNJEG SEGMENTA </t>
  </si>
  <si>
    <t>MERENJE INTRA OKULARNOG PRITISKA</t>
  </si>
  <si>
    <t>81832-73</t>
  </si>
  <si>
    <t>PREGLED ZENICE IZGLED</t>
  </si>
  <si>
    <t>81832-74</t>
  </si>
  <si>
    <t>PREGLED ZENICE REAKCIJE</t>
  </si>
  <si>
    <t>INTERVENCIJA UZ UPOTREBU DIJAGNOSTIČKIH OFTALMOLOŠKIH LEKOVA</t>
  </si>
  <si>
    <t>DAVANJE ANESTETIČKOG SREDSTVA OKO DRUGIH PERIF NERAVA</t>
  </si>
  <si>
    <t>90111-00</t>
  </si>
  <si>
    <t>OSTALE PROCEDURE NA SPOLJAŠNJEM UVU</t>
  </si>
  <si>
    <t>90143-00</t>
  </si>
  <si>
    <t>OSTALE PROCEDURE U USTIMA</t>
  </si>
  <si>
    <t>KATETERIZACIJA OSTALIH VENA</t>
  </si>
  <si>
    <t>92027-00</t>
  </si>
  <si>
    <t>TAMPONADA SPOLJAŠNJEG SLUŠNOG KANALA</t>
  </si>
  <si>
    <t>PLASIRANJE NAZOGASTRIČNE SONDE</t>
  </si>
  <si>
    <t>TRANFUZIJA KRVNIH KOMPONENTI I DERIVATA</t>
  </si>
  <si>
    <t xml:space="preserve">TONOMETRIJA </t>
  </si>
  <si>
    <t>92509-19</t>
  </si>
  <si>
    <t>SEDACIJA ASA 19</t>
  </si>
  <si>
    <t>SEDACIJA ASA 29</t>
  </si>
  <si>
    <t>96024-00</t>
  </si>
  <si>
    <t>PROCENA POTREBE ZA UREĐAJEM ILI OPREMOM KOJA SLUŽI KAO POMOĆ</t>
  </si>
  <si>
    <t>96038-00</t>
  </si>
  <si>
    <t>MERENJE OŠTRINE VIDA</t>
  </si>
  <si>
    <t>96156-00</t>
  </si>
  <si>
    <t>TERAPIJSKO ZATVARANJE OKA ZAVOJEM</t>
  </si>
  <si>
    <t>INTRAVENSKO DAVANJE FARMAKOLOŠKOG SREDSTVA</t>
  </si>
  <si>
    <t>96215-00</t>
  </si>
  <si>
    <t>INCIZIJA I DRENAŽA LEZIJA U UŠNOJ ŠUPLJINI</t>
  </si>
  <si>
    <t>OSTALE USLUGE ONKOLOGIJA</t>
  </si>
  <si>
    <t>241025</t>
  </si>
  <si>
    <t>PRILAGOĐAVANJE DOZA LEKA NA OSNOVU LABORATORIJSKIH PARAMETRA (BIOHEMIJSKI PARAMETRI, NIVO LEKA U KRVI, STANJE PAIJENTA...) (USLUGU OBAVLJA SPECIJALISTA)</t>
  </si>
  <si>
    <t>241026</t>
  </si>
  <si>
    <t>PROVERA MOGUĆIH INTERREAKCIJA MEĐU PRIMENJENIM LEKOVIMA</t>
  </si>
  <si>
    <t>PRAĆENJE TERAPIJSKOG DAVANJE LEKA</t>
  </si>
  <si>
    <t>241028</t>
  </si>
  <si>
    <t>PRAĆENJE POTENCIJALNO NEŽELJENE REAKCIJE NA LEK</t>
  </si>
  <si>
    <t>241032</t>
  </si>
  <si>
    <t>PRAĆENJE SPROVOĐENJA UTRVRĐENIH TERAPIJSKIH PROTOKOLA LEČENJEM</t>
  </si>
  <si>
    <t>241036</t>
  </si>
  <si>
    <t>REKONSTRUISANJE CITOTOKSIČNOG LEKA POD KONTROLISANIM USLOVIMA</t>
  </si>
  <si>
    <t>270102</t>
  </si>
  <si>
    <t>ODREĐIVANJE ANTROPOMETRIJSKIH INDEKSA KOD ISPIT</t>
  </si>
  <si>
    <t xml:space="preserve">TERAPIJSKA ERITROFEREZA </t>
  </si>
  <si>
    <t>ENDOTRAHEALNA INTUBACIJA JEDNOLUMENSKI TUBUS</t>
  </si>
  <si>
    <t xml:space="preserve">ASPIRACIONA PUNKCIJA KOŠTANE SRŽI </t>
  </si>
  <si>
    <t>KATETERIZACIJA MOKRAĆNE BEŠIKE KROZ URETRU</t>
  </si>
  <si>
    <t xml:space="preserve">DIJAGNOSTIČKA TORAKOCENTEZA </t>
  </si>
  <si>
    <t>DAVANJE ANESTETIČKOG SREDSTVA OKO DRUGIH...</t>
  </si>
  <si>
    <t>PLANIRANJE NAZOGASTICNE SONDE</t>
  </si>
  <si>
    <t>OSTALA TERAPIJA OBOGAĆENA KISONIKA/OM</t>
  </si>
  <si>
    <t>ODRŽAVANJE KAATETERA PLASIRANOG RADI ADMINISTRACIJE LEKA</t>
  </si>
  <si>
    <t>TRANSFUZIJA FAKTORA KOAGULACIJE</t>
  </si>
  <si>
    <t>92073-00</t>
  </si>
  <si>
    <t>ISPIRANJE GASTROSTOME ILI ENTEROSTOME</t>
  </si>
  <si>
    <t>UKLANJANJE IPLAKTIRANOG FECESA</t>
  </si>
  <si>
    <t>92099-00</t>
  </si>
  <si>
    <t>ISPIRANJE NEFROSTOME ILI PIJELOSTOME</t>
  </si>
  <si>
    <t>UKLANJANJE KATETERA URETEROSTOME ILI URETERALNOG KATETERA</t>
  </si>
  <si>
    <t xml:space="preserve">RUTINSKA PROPERATIVNA ANESTEZIOLOŠKA PROCENA </t>
  </si>
  <si>
    <t>OPŠTA ANESTEZIJA, ASA 30</t>
  </si>
  <si>
    <t>96072-00</t>
  </si>
  <si>
    <t>INTRAMUSKULARNO DAVANJE FARMAKOLOŠKOG SREDSTVA, STEROID</t>
  </si>
  <si>
    <t>INTRAVENSKO DAVANJE FARMAKOLOŠKOG SREDSTVA,STEROID</t>
  </si>
  <si>
    <t>INTRAVENSKO DAVANJE FARMAKOLOŠKOG SREDSTVA, ANTIDOT</t>
  </si>
  <si>
    <t>INTRAVENSKO DAVANJE FARMAKOLOŠKOG SREDSTVA, HRANLJIVA SUPSTANCA</t>
  </si>
  <si>
    <t>INTRAVENSKO DAVANJE FARMAKOLOŠKOG SREDSTVA, DRUGO I NEKLASIFIKOVANO FARMAKOLOŠKO SREDSTVO</t>
  </si>
  <si>
    <t>SUBKUTANO DAVANJE FARMAKOLOŠKOG SREDSTVA, DRUGO I NEKLASIFIKOVANO FARMAKOLOŠKO SREDSTVO</t>
  </si>
  <si>
    <t>96201-00</t>
  </si>
  <si>
    <t>INTRAKAVITARNO DAVANJE FARMAKOLOŠKOG SREDSTVA, ANTINEOPLASTIČNO SREDSTVO</t>
  </si>
  <si>
    <t>96202-07</t>
  </si>
  <si>
    <t>ORALNO DAVANJE FARMAKOLOŠKOG SREDSTVA, ANTINEOPLASTIČNO SREDSTVO</t>
  </si>
  <si>
    <t>ORALNO DAVANJE FARMAKOLOŠKOG SREDSTVA, TROMBOLITIČKO SREDSTVO</t>
  </si>
  <si>
    <t>ORALNO DAVANJE FARMAKOLOŠKOG SREDSTVA, ANTI-INFEKTIVNO SREDSTVO</t>
  </si>
  <si>
    <t>96203-06</t>
  </si>
  <si>
    <t xml:space="preserve">ORALNO DAVANJE FARMAKOLOŠKOG SREDSTVA, INSULIN </t>
  </si>
  <si>
    <t>96203-07</t>
  </si>
  <si>
    <t>ORALNO DAVANJE FARMAKOLOŠKOG SREDSTVA, HRANLJIVA STUBSTANCA</t>
  </si>
  <si>
    <t>96203-08</t>
  </si>
  <si>
    <t>ORALNO DAVANJE FARMAKOLOŠKOG SREDSTVA, ELEKTROLIT</t>
  </si>
  <si>
    <t>ORALNO DAVANJE FARMAKOLOŠKOG SREDSTVA, DRUGO I NEKLASIFIKOVANO FARMAKOLOŠKO SREDSTVO</t>
  </si>
  <si>
    <t>96206-00</t>
  </si>
  <si>
    <t>NENAZNAČEN NAČIN DAVANJA FARMAKOLOŠKOG SREDSTVA, A</t>
  </si>
  <si>
    <t>OSTALE USLUGE SL.ZA FIZ.MED.I REHABILITACIJU</t>
  </si>
  <si>
    <t>INFEKCIJA U ZGLOB ILI NEKU DRUGU SINOVIJSKU ŠUPLJI</t>
  </si>
  <si>
    <t>96129-00</t>
  </si>
  <si>
    <t>TERAPIJA CELOG TELA VEŽBANJEM</t>
  </si>
  <si>
    <t>OSTALE USLUGE HITNA INTERNA PRIJEMNA - URGENTNA STANJA</t>
  </si>
  <si>
    <t>REPARACIJA RANE NA KOŽI I POTKOŽNOM TKUVU</t>
  </si>
  <si>
    <t>92042-00</t>
  </si>
  <si>
    <t>HUTNA PREOPERATIVNA ANESTEZIOLOŠKA PROCENA</t>
  </si>
  <si>
    <t>INTERVENSKO DAVANJE FARMAKOLOŠKOG SREDSTVA, ELEKTROLIT</t>
  </si>
  <si>
    <t>96200-07</t>
  </si>
  <si>
    <t xml:space="preserve">SUPKUTANO DAVANJE FARMAKOLOŠKOG SREDSTVA, DRUGO I NEKLASIFIKOVANO FARMAKOLOŠKO SREDSTVO </t>
  </si>
  <si>
    <t>OSTALE USLUGE HITNA HIRURŠKA PRIJEMNA - URGENTNA STANJA</t>
  </si>
  <si>
    <t>11615-00</t>
  </si>
  <si>
    <t>MERENJE PERIFERNE TEMPERATURE (NA PRSTU)</t>
  </si>
  <si>
    <t>REPARACIJA RANE NA KOŽI I POTKOŽOM TKIVU OSTALIH</t>
  </si>
  <si>
    <t>REPARACIJA RANE NA KOŽI I POTKOŽNOM TKIVU LICA</t>
  </si>
  <si>
    <t xml:space="preserve">ASPIRACIJA ZGLOBA ILI NEKE DRUGE SINOVIJSKE ŠUPLJI </t>
  </si>
  <si>
    <t>INTRAMUSKUILARNO DAVANJE FARMAKOLOŠKOG SREDSTVA R</t>
  </si>
  <si>
    <t>INTRAVENSKO DAVANJE FARMAKOLOŠKOG SREDSTVA ANTI - I</t>
  </si>
  <si>
    <t>NEKI DRUGI NAČIN DAVANJA FARMAKOLOŠKOG SREDSTVA, D</t>
  </si>
  <si>
    <t>ANOREKTANI PREGLED</t>
  </si>
  <si>
    <t>KATETERIZACIJA MOKRAŽNE BEŠIKE RG KROZ URETRU</t>
  </si>
  <si>
    <t>ZATVORENA REPOZICIJA SKIČNOG ZGLOBA</t>
  </si>
  <si>
    <t>ZATVORENA REPOZICIJA PRELOMA KORPUSA</t>
  </si>
  <si>
    <t>ZATVORENA EPOZICIJA PRELOA SKOČNOG ZGLOBA</t>
  </si>
  <si>
    <t xml:space="preserve">INTRAVENSKO DAVANJE FARMAKOLOŠKOG </t>
  </si>
  <si>
    <t xml:space="preserve">VAĐENJE KRVI U DIJAGNOSTIČKE SVRHE  </t>
  </si>
  <si>
    <t xml:space="preserve">REPARACIJA RANE NA KOŽI </t>
  </si>
  <si>
    <t>UKLANJANJE STRANOG TELA IZ FARINSKA BEZ INCIZIJE</t>
  </si>
  <si>
    <t>MIRINGOTOMIJA, JEDNOSTRANA</t>
  </si>
  <si>
    <t>TOALETA UVA, JEDNOSTRANO</t>
  </si>
  <si>
    <t>ENDONAZANO UKLANJANJE STRANOG TELA NOSNOG KAVUMA</t>
  </si>
  <si>
    <t>HEMOSTAZA EPISTAKSE PREDNJOM TAMPONADOM I /ILI KAUT</t>
  </si>
  <si>
    <t>PREGLD NOSNE ŠUPLJINE I/ILI POSTNAZALNOG PROSTORA</t>
  </si>
  <si>
    <t>KAUTERIZACIJA PROŠIRENIH VENA NOSNOG KAVUMA</t>
  </si>
  <si>
    <t>NEKI DRUGI NAČIN DAVANJA FARMAKOLOŠKOG</t>
  </si>
  <si>
    <t>NEKI NAČIN DAVANJA FARMAKOLOŠKOG SREDSTVA , D</t>
  </si>
  <si>
    <t>OSTALE USLUGE DERMATOVENEROLOGIJA</t>
  </si>
  <si>
    <t>1</t>
  </si>
  <si>
    <t>2</t>
  </si>
  <si>
    <t>DENZITOMETRIJA KOSTIJU UPOTREBOM TENTGENSKE APSORCIOMETRIJE DUALNE ENERGIJE</t>
  </si>
  <si>
    <t>3</t>
  </si>
  <si>
    <t>4</t>
  </si>
  <si>
    <t>5</t>
  </si>
  <si>
    <t>6</t>
  </si>
  <si>
    <t>30186-00</t>
  </si>
  <si>
    <t>UKLANJANJE BRADAVICA SA TABANA</t>
  </si>
  <si>
    <t>7</t>
  </si>
  <si>
    <t>30186-01</t>
  </si>
  <si>
    <t>UKLANJANJE BRADAVICA SA DLANA</t>
  </si>
  <si>
    <t>8</t>
  </si>
  <si>
    <t>9</t>
  </si>
  <si>
    <t>10</t>
  </si>
  <si>
    <t>11</t>
  </si>
  <si>
    <t>12</t>
  </si>
  <si>
    <t>13</t>
  </si>
  <si>
    <t>KRIO TERAPIJA LEZIJA NA KOŽI, VIŠESTRUKE LEZIJE</t>
  </si>
  <si>
    <t>14</t>
  </si>
  <si>
    <t>15</t>
  </si>
  <si>
    <t>30195-07</t>
  </si>
  <si>
    <t>ELEKTROTERAPIJE LEZIJE NA KOŽU, VIŠESTRUKE LEZIJE</t>
  </si>
  <si>
    <t>16</t>
  </si>
  <si>
    <t>45024-00</t>
  </si>
  <si>
    <t>INFILTRACIJA LOKALNOG ANESTETIKA,ASA 19</t>
  </si>
  <si>
    <t>SAVETOVANJE ILI PODUČAVANJE O PROPISANIM/SAMOIZABRAN</t>
  </si>
  <si>
    <t>96076-00</t>
  </si>
  <si>
    <t>SAVETOVANJE ILI PODUČAVANJE O ODRŽAVANJU ZDRAVLJA</t>
  </si>
  <si>
    <t>OSTALE USLUGE OFTALMOLOGIJA</t>
  </si>
  <si>
    <t>30061-02</t>
  </si>
  <si>
    <t>UKLANJANJE POVRŠINSKOG STRANOG TELA SA ROŽNJAČE</t>
  </si>
  <si>
    <t>PREGLED/PROCENA PREDNJEG SEGMENTA, KONJUNKTIVA</t>
  </si>
  <si>
    <t>PREGLED/PROCENA PREDNJEG SEGMENTA, ROŽNJAČA</t>
  </si>
  <si>
    <t>PREGLED/PROCENA PREDNJEG SEGMENTA, PREDNJA KOMORA</t>
  </si>
  <si>
    <t>PREGLED/PROCENA PREDNJEG SEGMENTA, DUŽICA</t>
  </si>
  <si>
    <t>PREGLED/PROCENA PREDNJEG SEGMENTA, SOČIVO</t>
  </si>
  <si>
    <t>OSTALE USLUGE OSTEODENZITOMETRIJA</t>
  </si>
  <si>
    <t>OSTALE USLUGE TRANSFUZIJA</t>
  </si>
  <si>
    <t xml:space="preserve"> TERAPIJSKA ERITROFEREZA</t>
  </si>
  <si>
    <t xml:space="preserve">USLUGE FIZIKALNE </t>
  </si>
  <si>
    <t>USLUGE FIZIKALNE - KARDIOLOGIJA</t>
  </si>
  <si>
    <t>600103</t>
  </si>
  <si>
    <t>POZICIONIRANJE</t>
  </si>
  <si>
    <t>600112</t>
  </si>
  <si>
    <t>AKTIVNE VEŽBE SA POMAGALIMA</t>
  </si>
  <si>
    <t>600120</t>
  </si>
  <si>
    <t>AKTIVNE SEGMENTNE VEŽBE SA OTPOROM</t>
  </si>
  <si>
    <t>600122</t>
  </si>
  <si>
    <t>PASIVNE SEGMENTNE VEŽBE</t>
  </si>
  <si>
    <t>600307</t>
  </si>
  <si>
    <t>VEŽBE RELAKSACIJE</t>
  </si>
  <si>
    <t>600312</t>
  </si>
  <si>
    <t>HOD PO RAVNOM</t>
  </si>
  <si>
    <t>600339</t>
  </si>
  <si>
    <t>600349</t>
  </si>
  <si>
    <t>PREVENCIJA DEKUBITUSA U REHABILITACIJI</t>
  </si>
  <si>
    <t>600803</t>
  </si>
  <si>
    <t>600805</t>
  </si>
  <si>
    <t>600813</t>
  </si>
  <si>
    <t>96118-00</t>
  </si>
  <si>
    <t>TERAPIJA RAMENOG ZGLOBA VEŽBANJEM</t>
  </si>
  <si>
    <t>96119-00</t>
  </si>
  <si>
    <t>TERAPIJA GRUDNIH ILI TRBUŠNIH MIŠIĆA VEŽBANJEM</t>
  </si>
  <si>
    <t>96120-00</t>
  </si>
  <si>
    <t>TERAPIJA MIŠIĆA LEĐA ILI VRATA VEŽBANJEM</t>
  </si>
  <si>
    <t>96130-00</t>
  </si>
  <si>
    <t>UVEŽBAVANJE VEŠTINA U AKTIVNOSTIMA POVEZANIM SA POLOŽAJEM TELA/MOBILNOŠĆU/POKRETOM</t>
  </si>
  <si>
    <t>96131-00</t>
  </si>
  <si>
    <t>UVEŽBAVANJE VEŠTINA U AKTIVNOSTIMA POVEZANIM SA PREMEŠTANJEM</t>
  </si>
  <si>
    <t>96138-00</t>
  </si>
  <si>
    <t>VEŽBE DISANJA U LEČENJU BOLESTI RESPIRATORNOG SISTEMA</t>
  </si>
  <si>
    <t>96159-00</t>
  </si>
  <si>
    <t>USLUGE FIZIKALNE - ALERGOPULMOLOGIJA</t>
  </si>
  <si>
    <t>600345</t>
  </si>
  <si>
    <t>PREOPERATIVNI I RANI REHABILITAIONI TRETMAN BOLES</t>
  </si>
  <si>
    <t>96126-00</t>
  </si>
  <si>
    <t>TERAPIJA MIŠIĆA NOGU VEŽBANJEM</t>
  </si>
  <si>
    <t>UVEŽBAVANJE VEŠTINA U AKTIVNOSTIMA POVEZANIM SA P</t>
  </si>
  <si>
    <t>USLUGE FIZIKALNE -  GASTROENTEROLOGIJA</t>
  </si>
  <si>
    <t>TERAPIJA GRUDNIH ILI TRBUŠNIH MIŠICA VEŽBANJEM</t>
  </si>
  <si>
    <t>USLUGE FIZIKALNE -  HEMATOLOGIJA</t>
  </si>
  <si>
    <t>VEŽBE RALAKSACIJE</t>
  </si>
  <si>
    <t>VEŽBE DISANJA U LEČENJU  BOLESTI RESPIRATORNOG SISTEMA</t>
  </si>
  <si>
    <t>96155-00</t>
  </si>
  <si>
    <t>TERAPIJA STIMULACIJOM NEKLASIFIKOVANA NA DRUGOM MESTU</t>
  </si>
  <si>
    <t>USLUGE FIZIKALNE -  ENDOKRINA</t>
  </si>
  <si>
    <t>600011</t>
  </si>
  <si>
    <t>ELEKTROSTIMULACIJA</t>
  </si>
  <si>
    <t>600113</t>
  </si>
  <si>
    <t>VEŽBE PO ALLAN BURGER-U</t>
  </si>
  <si>
    <t>600348</t>
  </si>
  <si>
    <t>96128-00</t>
  </si>
  <si>
    <t>TERAPIJA MIŠIĆA STOPALA, NOŽNOG ZGLOBA ILI ZGLOBOVA PRSTIJU VEŽBANJEM</t>
  </si>
  <si>
    <t>96142-00</t>
  </si>
  <si>
    <t>UVEŽBAVANJE VEŠTINA KORIŠĆENJA UREĐAJA ILI OPREME ZA POMOĆ</t>
  </si>
  <si>
    <t>TESTIRANJE OPSEGA POKRETA/MIŠIĆA SPECIJALIZOVANOM</t>
  </si>
  <si>
    <t>USLUGE FIZIKLANE -  NEFROLOGIJA</t>
  </si>
  <si>
    <t xml:space="preserve">UVEŽBAVANJE VEŠTINA U AKTIVNOSTIMA POVEZANIM SA PREMEŠTANJEM </t>
  </si>
  <si>
    <t>USLUGE FIZIKALNE - GERIJATRIJA</t>
  </si>
  <si>
    <t>600173</t>
  </si>
  <si>
    <t>VEŽBE PACIJENATA SA PARAPLEGIJOM ILI HEMIPLEGIJOM</t>
  </si>
  <si>
    <t>PREOPERATIVNI I RANI PRE I POSTOPERATIVNI TRETMAN</t>
  </si>
  <si>
    <t>96115-00</t>
  </si>
  <si>
    <t>TERAPIJA MIŠIĆA LICA/TEMPOROMANDIBULARNOG ZGLOBA VEŽBANJEM</t>
  </si>
  <si>
    <t>96125-00</t>
  </si>
  <si>
    <t>TERAPIJA MIŠIĆA KARLIČNOG DNA VEŽBANJEM</t>
  </si>
  <si>
    <t>USLUGE FIZIKALNE - NEUROLOGIJA</t>
  </si>
  <si>
    <t>600111</t>
  </si>
  <si>
    <t>VEŽBE HODA U RAZBOJU</t>
  </si>
  <si>
    <t>600114</t>
  </si>
  <si>
    <t>KOREKTIVNE VEZBE PRED OGLEDALOM</t>
  </si>
  <si>
    <t>600115</t>
  </si>
  <si>
    <t>600116</t>
  </si>
  <si>
    <t>VEŽBE ZA REUMATOIDNI ARTRITIS</t>
  </si>
  <si>
    <t>RANI REHABILITACIONI TRETMAN PACIJENTA U AKUTNIM NEUROLOŠKIM/NEUROHIRURŠKIM STANJIMA</t>
  </si>
  <si>
    <t xml:space="preserve">TERAPIJA GRUDNIH ILI TRBUŠNIH MIŠIĆA VEŽBANJEM  </t>
  </si>
  <si>
    <t>96121-00</t>
  </si>
  <si>
    <t>TERAPIJA MIŠIĆA RUKU VEŽBANJEM</t>
  </si>
  <si>
    <t>96122-00</t>
  </si>
  <si>
    <t>96162-00</t>
  </si>
  <si>
    <t>USLUGE FIZIKALNE -  TBC</t>
  </si>
  <si>
    <t>USLUGE FIZIKALNE -  GINEKOLOGIJA</t>
  </si>
  <si>
    <t>600335</t>
  </si>
  <si>
    <t>USLUGE FIZIKALNE - AKUŠERSTVO</t>
  </si>
  <si>
    <t>TERAPIJA GRUDNIH ILI TRBUŠNIH MIŠIĆA</t>
  </si>
  <si>
    <t>USLUGE FIZIKALNE -  NEONATOLOGIJA</t>
  </si>
  <si>
    <t>USLUGE FIZIKALNE -  PEDIJATRIJA</t>
  </si>
  <si>
    <t>USLUGE FIZIKALNE -  HIRURGIJA</t>
  </si>
  <si>
    <t>PREOPERATIVNI I RANI REHABILITACIONI TRETMAN SA MALIGNOM BOLEŠĆU</t>
  </si>
  <si>
    <t>600810</t>
  </si>
  <si>
    <t>PREOPERATIVNI I RANI REHABILITACIONI TRETMAN PACIJENATA NAKON OPERACIJE NA KRVNIM SUDOVIMA EKSTREMITETA</t>
  </si>
  <si>
    <t>USLUGE FIZIKALNE - INTENZIVNA NEGA</t>
  </si>
  <si>
    <t>VEŽBE DISANJA U LEČENJU BOLESTI RESPIRATORNOG SITEMA</t>
  </si>
  <si>
    <t>USLUGE FIZIKALNE - UROLOGIJA</t>
  </si>
  <si>
    <t>USLUGE FIZIKALNE - NEUROHIRURGIJA</t>
  </si>
  <si>
    <t>PREOPERATIVNI I RANI PE PSTOPERATIVNI TRETMAN</t>
  </si>
  <si>
    <t>TERAPIJA LAKATNOG ZGLOBA VEŽBANJEM</t>
  </si>
  <si>
    <t>VEŽBANJE VEŠTINA U AKTIVNOSTIMA POVEZANIM  SA POLOŽAJEM TELA MOBILNOŠĆU/POKRETOM</t>
  </si>
  <si>
    <t>UVEŽBAVANJE VEŠTINA U AKTIVNOSTIMA POVEZANIM SA</t>
  </si>
  <si>
    <t>USLUGE FIZIKALNE - TRAUMATOLOGIJA</t>
  </si>
  <si>
    <t>INDIVIDUALNI RAD SA GERIJATRIJSKIM ORTOPEDSKIM BOLESNICIMA</t>
  </si>
  <si>
    <t>UVEŽBAVANJ VEŠTINE U AKTIVNOSTIMA POVEZANIM SA P</t>
  </si>
  <si>
    <t>96131--00</t>
  </si>
  <si>
    <t>USLUGE FIZIKALNE -  BARO MEDICINA</t>
  </si>
  <si>
    <t>600016</t>
  </si>
  <si>
    <t>600023</t>
  </si>
  <si>
    <t>ELEKTROMAGNETNO POLJE</t>
  </si>
  <si>
    <t>600117</t>
  </si>
  <si>
    <t>ELEKTROFOREZA LEKA</t>
  </si>
  <si>
    <t>UVEŽBAVANJE VEŠTINA U AKTIVNOSTIMA POVEZANIM SA POLOŽAJEM TELA/MOBILNOŠĆU/POKRETI</t>
  </si>
  <si>
    <t>USLUGE FIZIKALNE -  RADIOLOŠKA SLUŽBA</t>
  </si>
  <si>
    <t>USLUGE FIZIKALNE -  ORL SA MFH</t>
  </si>
  <si>
    <t>UVEŽBAVANJE VEŠTINE U AKTIVNOSTIMA POVEZANIM SA POLOŽAJEM TELA /MOBILNOŠĆU/POKRETOM</t>
  </si>
  <si>
    <t>USLUGE FIZIKALNE -  ONKOLOGIJA</t>
  </si>
  <si>
    <t>PREOPRERATIVNI I RANI REHABILITACIONI TRETMAN BOLESNIKA SA MALIGNOM BOLEŠĆU</t>
  </si>
  <si>
    <t xml:space="preserve"> USLUGE FIZIKALNE - SL.ZA FIZ.MED.I REHABILITACIJU</t>
  </si>
  <si>
    <t>600012</t>
  </si>
  <si>
    <t>INTERFERENTNE STRUJE</t>
  </si>
  <si>
    <t>600015</t>
  </si>
  <si>
    <t>STABILNA GALVANIZACIJA</t>
  </si>
  <si>
    <t>AKTIVNE VEZBE SA POMAGALIMA</t>
  </si>
  <si>
    <t>VEZBE ZA REUMATOIDNI ARTRITIS</t>
  </si>
  <si>
    <t>VEZBE ZA M.BEHTREW</t>
  </si>
  <si>
    <t>VEZBE RELAKSACIJE</t>
  </si>
  <si>
    <t xml:space="preserve">RANI REHABILITACIONI TRETMAN PACIJENTA U AKUTNIM  </t>
  </si>
  <si>
    <t>96127-00</t>
  </si>
  <si>
    <t>TERAPIJA ZGLOBA KOLENA VEŽBANJEM</t>
  </si>
  <si>
    <t>UVEŽBAVANJE VEŠTINE U AKTIVNOSTI POVEZANIM SA PREMEŠTANJEM</t>
  </si>
  <si>
    <t>TERAPIJA STIMULACIJOM, NEKVALIFIKOVANA NA DRUGOM MESTU</t>
  </si>
  <si>
    <t>TERAPIJSKA MASAŽA ILI MANIPULACIJA VEZIVNOG/MEKOG TKIVA, NEKVALIFIKOVANOG NA DRUGOM MESTU</t>
  </si>
  <si>
    <t>USLUGE FIZIKALNA -  HITNA INTERNA PRIJEMNA - URGENTNA STANJA</t>
  </si>
  <si>
    <t>UKUPNO OPERACIJE</t>
  </si>
  <si>
    <t>UKUPNO OSTALE USLUGE</t>
  </si>
  <si>
    <t>UKUPNO FIZIKALNE USLUGE</t>
  </si>
  <si>
    <t xml:space="preserve">ZBIR OSTALE USLUGE + FIZIKALNE </t>
  </si>
  <si>
    <t>УКУПАН ЗБИР</t>
  </si>
  <si>
    <t xml:space="preserve"> УСЛУГЕ ОРГАНИЗОВАНОГ СКРИНИНГА РАКА **</t>
  </si>
  <si>
    <t>CORE биопсија дојке</t>
  </si>
  <si>
    <t>31548-00</t>
  </si>
  <si>
    <t>SVAB биопсија дојке</t>
  </si>
  <si>
    <t>31500-01</t>
  </si>
  <si>
    <t>Отворена биопсија дојке</t>
  </si>
  <si>
    <t>Циљана биопсија дојке  или ендоцервикална киретажа</t>
  </si>
  <si>
    <t>35618-01</t>
  </si>
  <si>
    <t>Конусна биопсија ласером</t>
  </si>
  <si>
    <t>Фибероптичка колоноскопија до цекума; дуга колоноскопија</t>
  </si>
  <si>
    <t>Фибероптичка колоноскопија до цекума са биопсијом; колоноскопија до цекума са вишеструким биопсијама; дуга колоноскопија са биопсијом</t>
  </si>
  <si>
    <t xml:space="preserve">Фибероптичка колоноскопија до цекума са полипектомијом; колоноскопија до цекума са вишеструким полипектомијама; дуга колоноскопија са полипектомијом </t>
  </si>
  <si>
    <t>Ендоскопска мукозна ресекција дебелог црева</t>
  </si>
  <si>
    <t>Фибероптичка колоноскопија до хепатичке флексуре, флексибилна сигмоидоскопија, кратка колоноскопија</t>
  </si>
  <si>
    <t>32084-01</t>
  </si>
  <si>
    <t xml:space="preserve">Фибероптичка колоноскопија до хепатичке флексуре са биопсијом; колоноскопија до хепатичке флексуре са вишеструким биопсијама; флексибилна сигмоидоскопија са биопсијом; кратка колоноскопија са биопсијом </t>
  </si>
  <si>
    <t>32087-00</t>
  </si>
  <si>
    <t xml:space="preserve">Фибероптичка колоноскопија до хепатичке флексуре са полипектомијом; колоноскопија до хепатичке флексуре са вишеструком полипектомијом; флексибилна сигмоидоскопија са полипектомијом; кратка колоноскопија са полипектомијом </t>
  </si>
  <si>
    <t>UKUPNO USLUGE SKRINING RAKA</t>
  </si>
  <si>
    <t xml:space="preserve">СВЕ УСЛУГЕ УКУПНО </t>
  </si>
  <si>
    <t>ZA NAS - ZBIR OPERACIJA</t>
  </si>
  <si>
    <t>ZA NAS - ZBIR OSTALE USLUGE+FIZIKALNE</t>
  </si>
  <si>
    <t>ZA NAS - ZBIR OPERACIJA+OSTALE USLUGE+FIZIKALNE</t>
  </si>
  <si>
    <t>ZA NAS - ZBIR OPERACIJE+OSTALE USLUGE+FIZIKALNE+SKRINING</t>
  </si>
  <si>
    <t xml:space="preserve"> *  Наводе се све остале здравствене услуге осим операција, тј. дијагностичке и терапијске здравствене услуге и интервенције</t>
  </si>
  <si>
    <t xml:space="preserve">** Услуге се планирају за организовани скрининг: карцинома дојке, карцинома грлића материце и колоректалног карцинома са ознаком                               </t>
  </si>
  <si>
    <t xml:space="preserve">      атрибута 24 и називом атрибута "организовани скрининг"</t>
  </si>
  <si>
    <t>НАПОМЕНА: РАЗЛОГ ЗА ПРИВРЕМЕНУ ОБУСТАВУ ПРИЈЕМА ПАЦИЈЕНАТА НА ОДСЕКУ ТБЦ ЈЕ ТЕХНИЧКО ХАВАРИСАЊЕ ОБЈЕКТА И НЕПОСТОЈАЊЕ УСЛОВА ЗА СМЕШТАЈ И ЛЕЧЕЊЕ ПАЦИЈЕНАТА У ТАКВИМ ОКОЛНОСТИМА. ПРЕТХОДНИМ ДОПИСИМА ОБАВЕШТЕНИ СУ НАДЛЕЖНИ:МИНИСТАРСТВО ЗДРАВЉА РС, СЕКРЕТАРИЈАТ ЗА ЗДРАВСТВО И ГРАДСКИ ЗАВОД ЗА ЈАВНО ЗДРАВЉЕ БЕОГРАД. ЗАПОСЛЕНИ У ОВОМ ОДСЕКУ СУ АНГАЖОВАНИ У ОКВИРУ МАТИЧНЕ СЛУЖБЕ ПУЛМОЛОГИЈЕ ГДЕ И ДАЉЕ ОБАВЉАЈУ ДИЈАГНОСТИКУ, АМБУЛАНТНО ПОЛИКЛИНИЧКИ РАД И ЛЕЧЕЊЕ ОВИХ БОЛЕСНИКА</t>
  </si>
  <si>
    <r>
      <rPr>
        <b/>
        <i/>
        <sz val="7"/>
        <color indexed="8"/>
        <rFont val="Arial Bold"/>
        <charset val="238"/>
      </rPr>
      <t xml:space="preserve">НАПОМЕНА </t>
    </r>
    <r>
      <rPr>
        <i/>
        <sz val="7"/>
        <color indexed="8"/>
        <rFont val="Arial Bold"/>
        <charset val="238"/>
      </rPr>
      <t>: ПО УПУТСТВУ ГРАДСКОГ ЗАВОДА УСЛУГЕ ФИЗИКАЛНЕ МЕДИЦИНЕ КОЈЕ СУ СЕ ДО САДА НАЛАЗИЛЕ НА СТАЦИОНАРНИМ ОДЕЉЕЊИМА, САДА СУ ИЗДВОЈЕНЕ И ГРУПИСАНЕ  ПРЕМА МЕСТУ ПРУЖАЊА УСЛУГЕ.</t>
    </r>
  </si>
  <si>
    <t>NEUROAKSIJALNA BLOKADA TOKOM TRUDOVA,ASA 10</t>
  </si>
  <si>
    <t>MIOMEKTOMIJA LAPARATOMIJOM</t>
  </si>
  <si>
    <t>NEUROAKSIJALNA BLOKADA TOKOM TRUDOVA, ASA 19</t>
  </si>
  <si>
    <t>30075-28</t>
  </si>
  <si>
    <t>STACIONAR</t>
  </si>
  <si>
    <t>AMBULANTA</t>
  </si>
  <si>
    <t>UKUPNO</t>
  </si>
  <si>
    <t>NAZIV SLUŽBE ODELJENJA</t>
  </si>
  <si>
    <t>DILATACIJA GRLICA MATERICE</t>
  </si>
  <si>
    <t>UKLANJANJE INTRAUTERINOG UREĐAJA</t>
  </si>
  <si>
    <t>LEČENJE APSCES ABARTOLINIJEVE ŽLEZDE</t>
  </si>
  <si>
    <t>47916-00</t>
  </si>
  <si>
    <t>PARCIJALNA RESEKCIJA UASLOG NOKTA NA PRSTU STOPALA</t>
  </si>
  <si>
    <t>30503-01</t>
  </si>
  <si>
    <t>PARCIJALNA GASTREKTOMIJA SA GASTROJEJUNALNOM ANASTOMOZOM NAKON PRETHODNOG OPERATIVNOG</t>
  </si>
  <si>
    <t>30562-03</t>
  </si>
  <si>
    <t>ZATVARANJE KOLONOSTOME SA USPOSTAVLJANJEM KONTINUITETA CREVA</t>
  </si>
  <si>
    <t>32105-00</t>
  </si>
  <si>
    <t>TRANANALNA EKSCIZIJA PUNE DEBLJINE ANOREKTALNE LEZIJE ILI TKIVA</t>
  </si>
  <si>
    <t>DRENAŽA PERIANALNOG APSCESA</t>
  </si>
  <si>
    <t>KOLOPOTOMIJA</t>
  </si>
  <si>
    <t>90959-00</t>
  </si>
  <si>
    <t>EKSCIZIJA OSTALIH LEZIJA DEBELOG CREVA</t>
  </si>
  <si>
    <t>OTVORENA TRAHEOSTOMIJA, STALNA</t>
  </si>
  <si>
    <t>INCIZIJA I DRENAŽA APSES KOŽE I POTKOOG TKIVA</t>
  </si>
  <si>
    <t>MIRINGOPLASITIKA, RETROAURIKULARNI PRISTUP</t>
  </si>
  <si>
    <t>41689-01</t>
  </si>
  <si>
    <t>PARCIJALNA MUKOTOMIJA, OBOSTRANA</t>
  </si>
  <si>
    <t>41716-01</t>
  </si>
  <si>
    <t>ENDONAZALNA OPERACIJA MAKSILARNOG SINUSA DONJA MEATOTOMIJA, JEDNOSTRANA</t>
  </si>
  <si>
    <t>46494-00</t>
  </si>
  <si>
    <t>EKSCIZIJA GANGLIONA ŠAKE</t>
  </si>
  <si>
    <t>47450-01</t>
  </si>
  <si>
    <t>OTVORENA REPOZICIJA PRELOMA TELA HZMERUSA SA UNUTRAŠNJOM FIKSACIJOM</t>
  </si>
  <si>
    <t>47576-00</t>
  </si>
  <si>
    <t>IMOILIZACIJA PRELOMA FISTULE</t>
  </si>
  <si>
    <t>49560-00</t>
  </si>
  <si>
    <t>ARTROSKOPSKO ODSTRANJENJE SLOBODNIH/LABAVIH TELA IZ KOLENA</t>
  </si>
  <si>
    <t>UŠIVANJE TETIVE, NEKASIFIKOVANO NA DRUGOM MESTU</t>
  </si>
  <si>
    <t>OSTALI POSTUPCI NA MUSKULOSKELETNOM SISTEMU, NEKLASIFIKOVANI NA DRUGOM MESTU</t>
  </si>
  <si>
    <t>IMOBILIZACIJA PRELOMA FIBULE</t>
  </si>
  <si>
    <t>EKSCIZIJA LEZIJE(A) NA KOŽI I POTKOŽNOM TKIVU VRATA</t>
  </si>
  <si>
    <t>36600-02</t>
  </si>
  <si>
    <t>FORMIRANJE NEKONTINENTNOG URINARNOG REZERVOARA - NEKONTINENTA UROSTOMA</t>
  </si>
  <si>
    <t>36652-01</t>
  </si>
  <si>
    <t>RETROGRADNA URETERORENOSKOPIJA SA PUSH BACK MANIPULACIJOM KALKULUSA U BUBREG</t>
  </si>
  <si>
    <t>36656-01</t>
  </si>
  <si>
    <t>90282-02</t>
  </si>
  <si>
    <t>RADIKALNA EKSCIZIJA LIMFNIH ČVOROVA NA DRUGOM MESTU</t>
  </si>
  <si>
    <t>RETROGRADNA URETERORENOSKOPIJA SA FRAGMENTACIJOM I EKSTRAKCIJOM RENALNOG</t>
  </si>
  <si>
    <t>EKSCIZIJSKI DEBRIDMAN MEKOG TKIVA KOJI ZAHVATA KOST ILI HRSKAVICU</t>
  </si>
  <si>
    <t>TERAPEUTSKA MASAŽA ILI MANIPULACIJA VEZIVNOG / MEKOG TKIVA, NEKALSIFIKOVANOG NA DRUGOM MESTU</t>
  </si>
  <si>
    <t>PREOPERATIVNI I RANI REHABILITACIONI TRETMAN BOLESNIKA SA MALIGNOM BOLEŠĆU</t>
  </si>
  <si>
    <t>NA GASTRO</t>
  </si>
  <si>
    <t>30478-04</t>
  </si>
  <si>
    <t>PANENDOSKOPUJA DO DUODENUMA SA EKSCIZIJOM LEZIJA</t>
  </si>
  <si>
    <t>SVEOBUHVAATNI ORALNI PREGLED</t>
  </si>
  <si>
    <t>INTRAARERIJSKA KANILACIJA ZA GASNU ANALIZU KRVI</t>
  </si>
  <si>
    <t xml:space="preserve">KARDIOVERZIJA </t>
  </si>
  <si>
    <t>NA KARDIOLOGIJU</t>
  </si>
  <si>
    <t>NA OFTALMOLOGIJU - OCNO</t>
  </si>
  <si>
    <t>PRVE DVE USLUGE SU NA HIRURGIJI OSTALO PRIPADA OČNOM</t>
  </si>
  <si>
    <t>PREDNJA RINOSKOPIJA I / ILI ZADNJA RINOSKOPIJA</t>
  </si>
  <si>
    <t>96173-00</t>
  </si>
  <si>
    <t>AUDIOMETRIJA, ELEKTIČNIM AUDITORNIM ODGOVOROM</t>
  </si>
  <si>
    <t>NEUROAKSIJALNA BLOKADA ASA 19</t>
  </si>
  <si>
    <t>INFILTRACIJA LOKALNOG ANESTETIKA, ACA 20</t>
  </si>
  <si>
    <t>INFILTRACIJA LOKALNOG ANESTETIKA, ACA 29</t>
  </si>
  <si>
    <t>SECADIJA ASA 20</t>
  </si>
  <si>
    <t>SUBKUTANO DAVANJE FARMAKOLOŠKOG SREDSTVA, ANTINEOPLASTIČNO SREDSTVO</t>
  </si>
  <si>
    <t>SUBKUTANO DAVANJE FARMAKOLOŠKOG SREDSTVA, DRUGO I NEKLASIFIKOVANO FARMAKKOLOŠKO SREDSTVO</t>
  </si>
  <si>
    <t>ORALNO DAVNAJE FARMAKOLOŠKOG SREDSTVA, DRUGO I NEKLASIFIKOVANO FARMAKOLOŠKO SREDSTVO</t>
  </si>
  <si>
    <t>96200-08</t>
  </si>
  <si>
    <t>ORALNO DAVANJE FARMAKOLOŠKOG SREDSTVA, TROMOLITIČKO SREDSTVO</t>
  </si>
  <si>
    <t>ORALNO DAVANJE FAARMAKOLOŠKOG SREDSTVA, ANTI-INFEKTIVNO SREDSTVO</t>
  </si>
  <si>
    <t>ORLNO DAVANJE FARMAKOLOŠKOG SREDSTVA STEROID</t>
  </si>
  <si>
    <t>ORALNO DAVANJE FARMAKOLOŠKOG SREDSTVA, INSULIN</t>
  </si>
  <si>
    <t>ORALNO DAVANJE FARMAKOLOŠKOG SREDSTVA, DRUGO I NEKLASIFIKOVANO FRARMAKOLOŠKO SREDSTVO</t>
  </si>
  <si>
    <t>INTRAMUSKULARNO DAVANJE FARMAKOLOŠKOGSREDSTVA, TRMGOLITIČKO SREDSTVO</t>
  </si>
  <si>
    <t>INTRAMUSKULARNO DAVANJE FARMAKOLOŠKOG SREDSTVA, ELEKTROLIT</t>
  </si>
  <si>
    <t>SUBKUTANO DAVANJE FARMAKOLOŠKOF SRED, ANTIPASTIČNO SREDSTVO</t>
  </si>
  <si>
    <t>SUBKUTANO DAVANJE FARMAKOLOŠKOG SRED, ANTI-INFEKTIVNO SREDSTVO</t>
  </si>
  <si>
    <t>96200-03</t>
  </si>
  <si>
    <t>SUBKTANO DAVANJE FARMAKOLOŠKOG SREDSTVA</t>
  </si>
  <si>
    <t>SUBKUTANO DAVANJE FARMAKOLOŠKOG SRED, STEROID</t>
  </si>
  <si>
    <t>SUBKTANO DAVANJE FARMAKOLOŠKOG SREDSTVA, ELEKTROLIT</t>
  </si>
  <si>
    <t>ORALNO DAVANJE FARMAKOLOŠKOG SREDSTVA, ANTINEPLASTIČKO SREDSTVO</t>
  </si>
  <si>
    <t>ORALNO DAVANJE FARMAKOLOŠKOG SREDSTVA,ANTI-INFEKTRIVNO SREDSTVO</t>
  </si>
  <si>
    <t>SEDACIJA,ASA 30</t>
  </si>
  <si>
    <t>TRANSFUZIJA AUTOLOGNE KRVI</t>
  </si>
  <si>
    <t>INTRAVENSKO DAVANJE FARMAKOLOŠKOG SRED. INSULIN</t>
  </si>
  <si>
    <t xml:space="preserve">INTRAVENSKO DAVANJE FARMAKOLOŠKOG SREDSTVA, INSULIN  </t>
  </si>
  <si>
    <t>SUBKUTANO DAANJE FARMAKOLOŠKOG SREDSTVA, STEROID</t>
  </si>
  <si>
    <t>SUBKUTANO DAANJE FARMAKOLOŠKOG SREDSTVA, INSULIN</t>
  </si>
  <si>
    <t>NEUROAKSIJALNA BLOKADA, ASA 19</t>
  </si>
  <si>
    <t>NEURAKCIJALNA BLOKADA, ASA 30</t>
  </si>
  <si>
    <t>NEURAKCIJALNA BLOKADA, ASA 40</t>
  </si>
  <si>
    <t>REGIONALNA BLOKADA, NERVA DONJEG EKSTREMITETA, ASA 29</t>
  </si>
  <si>
    <t>92512-49</t>
  </si>
  <si>
    <t>INFILTRACIJA LOKALNOG ANESTETIKA, ASA 20</t>
  </si>
  <si>
    <t>INFILTRACIJA LOKALNOG ANESTETIKA, ASA 30</t>
  </si>
  <si>
    <t>SEDACIJA ACA 59</t>
  </si>
  <si>
    <t>SEDACIJA ACA 40</t>
  </si>
  <si>
    <t>INTRAMUSKULARNO DAVANJE FARMAKOLOŠKOG SREDSTVA, HRANJLJIVA SUBSTANCA</t>
  </si>
  <si>
    <t>INTRAVENSKO DAVANJE FAMAKOLOŠKOG SREDSTVA, ANTIDOT</t>
  </si>
  <si>
    <t>SUBKUTANO DAVANJE FARMAKOLOŠKOG SREDSTVA, TROMOLITIČKO SREDSTVO</t>
  </si>
  <si>
    <t>ORALNO DAVANJE FARMAKOLOŠKOG SREDSTVA, ANTINEOPLASTIČKO SREDSTVO</t>
  </si>
  <si>
    <t>ORALNO DAVANJE FARMAKOLOŠKOG SREDSTA, ANTI-INFEKTIVNO SREDSTVO</t>
  </si>
  <si>
    <t>243008</t>
  </si>
  <si>
    <t>IZRADA INFUZIJE OD 500 ML, JEDNA DOZA</t>
  </si>
  <si>
    <t>INTRAVENSKO DAANJE FARMAKOLOŠKOG SREDSTVA, STEROID</t>
  </si>
  <si>
    <t>ORALNO DAANJE FAMAKOLOŠKOG SREDSTA, DRUGO I NEKLASIFIKOVANO FARMAKOLOŠKO SREDSTVO</t>
  </si>
  <si>
    <t>POSTUPAK ODRŽAVANJA NEINVAZIVNE VENUTORNE PODRŠKE</t>
  </si>
  <si>
    <t>SEDACIJA ASA 39</t>
  </si>
  <si>
    <t>INTRAVENSKO DAVANJE FARMAKOLOŠKOG SREDSTVA,INSULIN</t>
  </si>
  <si>
    <t>SUBKUTANO DAVANJE FARMAKOLOŠKOG SREDST.TROMBOEMOLIČKO SREDSTVO</t>
  </si>
  <si>
    <t>OPŠTA ANESTEZIJA, ASA 49</t>
  </si>
  <si>
    <t>SUBKUTANO DAVANJE FAARMAKOLOŠKOG SREDSTVA, TROMBOLITIČKO SREDSTVO</t>
  </si>
  <si>
    <t>SUBKUTANO DAVANJE FARMAKOLOŠKOG SREDTVA, INSULIN</t>
  </si>
  <si>
    <t>SUBKUTANO DAVANJE FARMAKOLOŠKOG SREDTVA, DRUGO I NEKLASIFIKOVANO FARMAKOLIŠKO SRED</t>
  </si>
  <si>
    <t>ORALNO DAVANJE FARMAKOLOŠKOG SREDSTVA ELEKTROLIT</t>
  </si>
  <si>
    <t>SUBKUTANO DAVANJE FARMAKOLOŠKOGSREDSTVA, DRUGO I NEKALSIFIKOVANO FARMAKOLOŠKO SRDSTVO</t>
  </si>
  <si>
    <t>SUBKUTANO DAVANJE FARMAKOLOŠKOG SRED.TROMBOLITIČKO SRED</t>
  </si>
  <si>
    <t>SUBKUTANO DAVANJE FARMAKOLOŠKOG SREDSTVA, STEROID</t>
  </si>
  <si>
    <t>SUBKUTANO DAVANJE FARMAKOLOŠKOG SREDSTV, INSULIN</t>
  </si>
  <si>
    <t>SUBKUTANO DAVANJE FARMKOLOŠKOG SREDSTVA, INSULIN</t>
  </si>
  <si>
    <t>ENTERALNO DAVANJE FARRMAKOLOŠKOG SREDSTVA, HRANLJIVA SUPSTANCA</t>
  </si>
  <si>
    <t>ENTERALNO DAVANJE FARMAKOLOŠKOG SREDSTVA, DRUGO I NEKLASIFIKOVANO FARMAKOLOŠKO</t>
  </si>
  <si>
    <r>
      <t xml:space="preserve">POSTUPAK ODRŽAVANJA KONTINUIRANE VENTILATORNE PODR 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</si>
  <si>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r>
      <t xml:space="preserve">POSTUPAK ODRŽAVANJA KONTINUIRANE VENTILATORNE PODR 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 I &lt;96 SATI</t>
    </r>
  </si>
  <si>
    <r>
      <t xml:space="preserve">POSTUPAK ODRŽAVANJA NEINVAZIVNE VENTILATOREN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</si>
  <si>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INFILTRACIJA LOKALNOG ANESSTETIKA, ASA 39</t>
  </si>
  <si>
    <t>INTRAVENSKO DAVANJE FARMAKOLOŠKOGSREDSTVA, INSULIN</t>
  </si>
  <si>
    <t>SUBKUTANO DAVANJE FARMAKOLOŠKOG SREDSTVA, TROMOLLITIČKO SREDSTVO</t>
  </si>
  <si>
    <t>ODRĐAVANJE KATETERA, PLASIRANOG RADI ADMINISTRACIJE LEKA</t>
  </si>
  <si>
    <t>NEUROAKSIJALNA BLOKADA, ASA 29</t>
  </si>
  <si>
    <t>REGIONALNA BLOKADA, NERVA GORNJEG EKSTREMITETA ASA 29</t>
  </si>
  <si>
    <t>REGIONALNA BLOKADA, NERVA GORNJEG EKSTREMITETA ASA 39</t>
  </si>
  <si>
    <t>INTRAVENSKODAVANJE FARMAKOLOŠKOG SREDSTVA, STEROID</t>
  </si>
  <si>
    <t>ORALNO DAVANJE FARMAKOLOŠKOG SREDSTVA TROMBOEMBOLIČKO SREDSTVO</t>
  </si>
  <si>
    <t>ORALNO DAVANJE FARMAKOLOŠKOG SREDSTVA , ANTI- INFEKTIVNO SREDSTVO</t>
  </si>
  <si>
    <t xml:space="preserve">ORALNO DAVANJE FARMAKOLOŠKOG SREDSTVA,DRUGO I NEKLASIFIKOVANO </t>
  </si>
  <si>
    <t xml:space="preserve"> TERAPIJSKA PLAZMAFEREZA</t>
  </si>
  <si>
    <t>DAVANJE INJEKCIJE  U TERAPIJSKE / DIJAGNOSTIČKE SVRHE</t>
  </si>
  <si>
    <t>INTRAVENSKO DAVANJE FARMAKOLOŠKOG SEDSTVA, STEROID</t>
  </si>
  <si>
    <t>INTRAVENSKO DAVANJE FARMAKOLOŠKOGSREDSTVA INSULIN</t>
  </si>
  <si>
    <t>SUBKUTANO DAVANJE FAMRAKOLOŠKOG SREDSTVA, TROMBOLITIČKO SREDSTVO</t>
  </si>
  <si>
    <t>SUPKUTANO DAVANJE FARMAKOLOŠKOG SREDSTVA, INSULIN</t>
  </si>
  <si>
    <t>INTRAVENSKO DAVANJE FARMAKOLOŠKOG SRDSTVA, HRANLJIVA SUPSTANCA</t>
  </si>
  <si>
    <t>NEKI DRUGI NAČIN DAVANJA FARMAKOLOŠKOG SREDSTVA, ANTINEOPLASTIČKO SREDSTO</t>
  </si>
  <si>
    <t>HEMOSTAZA EPISTAKSE PREDNJOM TAMPONADOM I/ILI KAUTERIZACIJOM</t>
  </si>
  <si>
    <t>UKLANJANJE KATETERA ČURETEROSTOME ILI URETERALNOG KATETERA</t>
  </si>
  <si>
    <t>NEURAKSIJALNA BLOKADA, ASA 39</t>
  </si>
  <si>
    <t>INFILTRACIJA LOKALNOG ANESTETIKA, ASA39</t>
  </si>
  <si>
    <t>INTRAVENSKO DAVANJE FARMAKOLOŠKOG SREDSTVA STEROID</t>
  </si>
  <si>
    <t>INTRAVENKSO DAVANJE FARMAKOLOŠKOG SREDSTVA, INSULIN</t>
  </si>
  <si>
    <t>INTRAVENKSO DAVANJE FARMAKOLOŠKOG SREDSTVA, HRANLJIVA SUPSTANCA</t>
  </si>
  <si>
    <t>ORALNO DAVANJE FARMAKOLOŠKOG SRDSTVA, DRUGO I NEKLASIFIKOVANO SREDSTVO</t>
  </si>
  <si>
    <t>92141-00</t>
  </si>
  <si>
    <t>92506-20</t>
  </si>
  <si>
    <t>92506-29</t>
  </si>
  <si>
    <t>NEUROAKSIJALNA BLOKADA TOKOM TRUDOVA I POROĐAJA 19</t>
  </si>
  <si>
    <t>NEUROAKSIJALNA BLOKADA TOKOM TRUDOVA ASA 20</t>
  </si>
  <si>
    <t>92507-29</t>
  </si>
  <si>
    <t>NEUROAKSIJALNA BLOKADA TOKOM TRUDOVA ASA 29</t>
  </si>
  <si>
    <t>92507-99</t>
  </si>
  <si>
    <t>NEUROAKSIJALNA BLOKADA TOKOM TRUDOVA ASA 99</t>
  </si>
  <si>
    <t>INTRAMUSKKULARNO DAVANJE TARMAKOLOŠKOG SREDSTVA, DRUGO I NENAZNAČENO FARMAKOLOŠKO SREDSTVO</t>
  </si>
  <si>
    <t>30094-10</t>
  </si>
  <si>
    <t>PERKUTANA (POMOĆU IGLE) BIOPSIJA TIROIDNE ŽLEZDE</t>
  </si>
  <si>
    <t>INTRAMUSKULARNO DAVANJE FARMAKOLOŠKOGSREDSTVA, ANTIINFEKTIVNO SREDSTVO</t>
  </si>
  <si>
    <t>INTRAMUSKULARNO DAVANJE FARMAKOLOŠKOG SREDSTVA, DRUGO I NENAZNAČENO FARMAKOLOŠKO SREDSTVO</t>
  </si>
  <si>
    <t>INTRAVENSKO DAVANJE FARMAKOLOŠOG SREDSTVA, ANTI-INFREKTIVNO SREDSTVO</t>
  </si>
  <si>
    <t>35608-01</t>
  </si>
  <si>
    <t>OSTALE PROCEDURE DESTRUKCIJE PROMENA NA GRLIĆU MATERICE</t>
  </si>
  <si>
    <t>TRANSFUZIJA PLAZMA ESPANDERA</t>
  </si>
  <si>
    <t>UKLANJANJE DRENA IZ TRBUHA</t>
  </si>
  <si>
    <t>DRENAŽA RESPIRATORNOG SISTEMA, BEZ INCIZIJE</t>
  </si>
  <si>
    <t>30216-00</t>
  </si>
  <si>
    <t>ASPIRACIJA HEMATOMA IZ KOŽE I POTKOŽNOG TKIVA</t>
  </si>
  <si>
    <t>30216-02</t>
  </si>
  <si>
    <t>OSTALE ASPIRACIJE IZ KOŽE I POTKOŽNOG TKIVA</t>
  </si>
  <si>
    <t>30336-00</t>
  </si>
  <si>
    <t>RADIKLANA EKSCIZIJA LIMFNIH ČVOROVA AKSILE</t>
  </si>
  <si>
    <t>32177-00</t>
  </si>
  <si>
    <t>ODSTRANJENJE KONDILOMA ANALNOG KANALA I PERIANALNE REGIJE</t>
  </si>
  <si>
    <t>ZBRINJAVANJE OSTALIH VRSTA INTUBACIJA RESPIRATORNOGG TRAKTA</t>
  </si>
  <si>
    <t>REGIONALNA BLOKADA, NERVA GLAVE ILI VRATA, ASA 39</t>
  </si>
  <si>
    <t>38612-00</t>
  </si>
  <si>
    <t>UKLANJANJE INTR-AORTNE BALON PUMPE</t>
  </si>
  <si>
    <t>90202-00</t>
  </si>
  <si>
    <t>IMPLANTACIJA PRIVREMENE EPIKARDIJALNE ELEKTRODE PEJSMEJKER</t>
  </si>
  <si>
    <t>13818-00</t>
  </si>
  <si>
    <t>UMETANJE BALONSKOG KATETERA U DESNI DEO SRCA ZBOG PRAĆENJA SVON GRANCOV (SWAN-GANZ)KATETER</t>
  </si>
  <si>
    <t>NEMEHANIČKA METODA REANIMACIJE/OŽIVLJAVANJA</t>
  </si>
  <si>
    <t>ISPIRANJE OSTALILH TRAJNIH KATETERA MOKRAĆNE BEŠIKE</t>
  </si>
  <si>
    <t>UGRADNJA I FIKSACIJA PEBIVAJUĆEG PERITONEALNOG KATETERA RADI DUGOROČNE PERITONEALNE DIJALIZE</t>
  </si>
  <si>
    <t>KATETERIZACIJA MOKRAŽNE BEŠIKE - KROZ URETERU</t>
  </si>
  <si>
    <t>INTRAVENSKO DAVANJE FARMAKOLOŠKOG SREDSTVA, ANTI-INTEKTIVNO SREDSTVO</t>
  </si>
  <si>
    <t>OSTALE USLUGE LABORATORIJA</t>
  </si>
  <si>
    <t>ZATVORENA EPOZICIJA PRELOMA FEMURA</t>
  </si>
  <si>
    <t>47540-00</t>
  </si>
  <si>
    <t>PRIMENA ZAVOJA KUKA</t>
  </si>
  <si>
    <t>47594-00</t>
  </si>
  <si>
    <t>IMOBILIZACIJA PRELOMA SKOČNOG ZGOBA, NEKLASIFIKOVANO NA DRUGOM MESTU</t>
  </si>
  <si>
    <t>ZBRINJAVANJE OSTALIH VRSTA INTUBACIJA RESPIRATORNOG TRAKTA</t>
  </si>
  <si>
    <t>ZATVORENA EPOZICIJA IŠČAŠENJA SKOČNOG ZGLOBA</t>
  </si>
  <si>
    <t>DRENAŽA  RESPIRATORNOG SISTEMA BEZ INCIZIJE</t>
  </si>
  <si>
    <t>90470-00</t>
  </si>
  <si>
    <t>SPONTANI KARLIČNI PORODJAJ</t>
  </si>
  <si>
    <t>30589-00</t>
  </si>
  <si>
    <t>PANKREATIKOJEJUNOSTOMIJA</t>
  </si>
  <si>
    <t>32708-01</t>
  </si>
  <si>
    <t>PLANTARNA FASCIOTOMIJA</t>
  </si>
  <si>
    <t>90323-00</t>
  </si>
  <si>
    <t>OSTALE PROCEDURE NA ŽUČNOM TRAKTU</t>
  </si>
  <si>
    <t>90430-00</t>
  </si>
  <si>
    <t>OSTALE REPARACIJE JAJNIKA</t>
  </si>
  <si>
    <t>UKLANJANJE STRANOG TELA IZ KOŽE I POTKOŽNOG TKIVA BEZ</t>
  </si>
  <si>
    <t>REPARACIJA RANE NA KOŽI I POTKOŽNOM TKIVU LICA ILI VRATA</t>
  </si>
  <si>
    <t>47753-00</t>
  </si>
  <si>
    <t>ZATVORENA REPOZICIJA PRELOMA MAKSILE SA SPOLJAŠNJOM</t>
  </si>
  <si>
    <t>OPERACIJA VARIKOCELE (SUBINGVINALNA)</t>
  </si>
  <si>
    <t>600081</t>
  </si>
  <si>
    <t>APLIKACIJA PO SEGMENTU</t>
  </si>
  <si>
    <t>NEUROAKSIJALNA BLOKAA, ASA 39</t>
  </si>
  <si>
    <t>SUBKUTANO DAVANJE FARMAKOLOŠKOG SREDSTVA</t>
  </si>
  <si>
    <t>OPŠTA ANESTRZIJA ASA 20</t>
  </si>
  <si>
    <t>SEDACIJA ACA 49</t>
  </si>
  <si>
    <t>SUBKUTANO DAVANJE FARMAKOLOŠKOG SRESTVA, DRUGO</t>
  </si>
  <si>
    <t>33815-04</t>
  </si>
  <si>
    <t>16564-01</t>
  </si>
  <si>
    <t>POSTPARTALNA EVAKUACIJA SADRŽAJA MTERICE SUKCIONOM</t>
  </si>
  <si>
    <t>30075-14</t>
  </si>
  <si>
    <t>BIOPSIJA DEBELOG CREVA</t>
  </si>
  <si>
    <t>LAPAROSKOPKSO ODVAJANJE ABDOMINALNIH PRIRASLICA</t>
  </si>
  <si>
    <t>30452-02</t>
  </si>
  <si>
    <t>HOLEDOHSKOPIJA SA ODRASTANJEM KALKULUSA</t>
  </si>
  <si>
    <t>OTVORENA TRAHEOSTOMIJA PRIVREMENA</t>
  </si>
  <si>
    <t xml:space="preserve">UKLANJANJE NOKTA NA PRSTU STOPALA </t>
  </si>
  <si>
    <t>KOREKTIVNE VEŽBE PRED OGLEDALOM</t>
  </si>
  <si>
    <t>600347</t>
  </si>
  <si>
    <t>OBUKA AKTU GUTANJA KOD CENTRALNIH LEZIJA I STANJA POSLE ORL OPERACIJA</t>
  </si>
  <si>
    <t>TESTIRANJE OPSEGA OKRETA/MIŠIĆA SPECIJALIZOVANOM OPREMOM</t>
  </si>
  <si>
    <t>SEDACIJA ASA 20</t>
  </si>
  <si>
    <t>TRANSFUZIJA OSTALIH KRVNIH DERIVTA</t>
  </si>
  <si>
    <t>ABRAZIVNA TERAPIJA KOŽE NA DVE ILI VIŠE ESTETSKIH OBLASTI LICA</t>
  </si>
  <si>
    <t>NEURAKCIJALNA BLOKADA, ASA 10</t>
  </si>
  <si>
    <t>92508-50</t>
  </si>
  <si>
    <t>NEURAKCIJALNA BLOKADA, ASA 50</t>
  </si>
  <si>
    <t>NEKI DRUGI NAČIN DAVANJA FAMAKOLOŠKOG SREDSTVA, DRUGO I NEKALSIFIKOVANO FARMAK</t>
  </si>
  <si>
    <t xml:space="preserve">POSTUPAK ODRŽAVANJA NEINVANZIVNE VENTILAATORNE PODRŠKE </t>
  </si>
  <si>
    <t>36528-00</t>
  </si>
  <si>
    <t>BIOPSIJA VULVE</t>
  </si>
  <si>
    <t>49557-02</t>
  </si>
  <si>
    <t>ARTROSKOPSKA EKSCIZIJA RUBA ILI NABORA MENISKUSA KOLENA</t>
  </si>
  <si>
    <t xml:space="preserve">SPOLJAĐNJA KSACIJA MANDIBUREPOMOĆU INTERMAKSILARNE FIKSACIJE ŽICOM NAKON </t>
  </si>
  <si>
    <t xml:space="preserve">U K U P N O </t>
  </si>
  <si>
    <t>35661-00</t>
  </si>
  <si>
    <t>RADIKALNA HISTEREKTOMIJA SA DISEKCIJOM RETROPERITONEALNIH LIMFNIH NODUSA</t>
  </si>
  <si>
    <t>31470-00</t>
  </si>
  <si>
    <t>LAPARASKOPSKA SPLENEKTOMIJA</t>
  </si>
  <si>
    <t>90321-00</t>
  </si>
  <si>
    <t>OSTALE POPRAVKE BILIJARNOG TRAKTA</t>
  </si>
  <si>
    <t>ORALNO DAVANJE RAFMAKOLOŠKOG STEDSTVA, DRUGO I NEKLSIFIKOVANO FAR</t>
  </si>
  <si>
    <t>UDRUŽENE ZDRAVSTVEE PROCEDURE, DRUGO</t>
  </si>
  <si>
    <t>NEUROAKSIJALNA BLOKADA. ASA 29</t>
  </si>
  <si>
    <t>NEURAKCIJALNA BLOKADA, ASA 49</t>
  </si>
  <si>
    <t>REGIONALNA BLOKADA, NERVA GORNJEG EKSTREMITETA, AS29</t>
  </si>
  <si>
    <t>ORALNO DAVNJE FARMAKOLOŠKOG SREDSTVA TROMOLITIČKO SRED</t>
  </si>
  <si>
    <t>UDRUŽENE ZDRAVSTVENE PRO</t>
  </si>
  <si>
    <t>ENTERALNO DAVANJE FARMAKOLOŠKOG SREDSTV A, HRANLJIVA SUPSTANCA</t>
  </si>
  <si>
    <t>ENTERALNO DAVANJE FARMAKOLOŠKOG SREDSTVA, DRGO I NEKLASIFIKOVANO</t>
  </si>
  <si>
    <t>ORALNO DAVANJE FARMAKOLOŠKOG SREDSTVA INSULIN</t>
  </si>
  <si>
    <t>96137-00</t>
  </si>
  <si>
    <t>LAVAŽA NOSTINCA</t>
  </si>
  <si>
    <t>RUTINSKA PREOPERTIVNA ANESTEZIOLOŠKA PROCENA</t>
  </si>
  <si>
    <t>95550-05</t>
  </si>
  <si>
    <t>UDRUŽENE ZDRAVSTVENE PROCEDURE, PATOLOGIJA GOVORA</t>
  </si>
  <si>
    <t>U K U P N O   G R E Š K E</t>
  </si>
  <si>
    <t>UKUPNO - UKUPNO GREŠKE</t>
  </si>
  <si>
    <t>U K U P N O    G R E Š K E</t>
  </si>
  <si>
    <t xml:space="preserve"> NEFREKTOMIJA JENOSTRANA - OTVORENA HIRURGIJA  (PRIMARNI RAD)</t>
  </si>
  <si>
    <t>30375-25</t>
  </si>
  <si>
    <t>ŠAV LACERACIJE DEBELOG CREVA</t>
  </si>
  <si>
    <t>30614-01</t>
  </si>
  <si>
    <t>REPARACIJA FEMORALNE HERNIJE, OBOSTRANO</t>
  </si>
  <si>
    <t>44367-01</t>
  </si>
  <si>
    <t>DEZARTIKULACIJA U KOLENU</t>
  </si>
  <si>
    <t>47933-01</t>
  </si>
  <si>
    <t>ABLACIJA EGZOSTOZE KOSTI STOPALA</t>
  </si>
  <si>
    <t>DRENAŽA RETROPERITONEALNOG APSCESA</t>
  </si>
  <si>
    <t>1. ОПЕРАЦИЈЕ</t>
  </si>
  <si>
    <t>-  ДИЈАГНОСТИЧКЕ</t>
  </si>
  <si>
    <t>-  ТЕРАПИЈСКЕ</t>
  </si>
  <si>
    <t>-  ИНТЕРВЕНЦИЈЕ</t>
  </si>
  <si>
    <t>КЛИНИЧКО БОЛНИЧКИ ЦЕНТАР ЗЕМУН</t>
  </si>
  <si>
    <t>3. ФИЗИКАЛНЕ УСЛУГЕ</t>
  </si>
  <si>
    <t>UVEŽBAVANJE VEŠTINA KORIŠNJENJA UREĐAJA ILI OPREME ZA</t>
  </si>
  <si>
    <t>VEŽBE PACIJENTAT SA PARAPLEGIJOM ILI HEMIPLEGIJOM</t>
  </si>
  <si>
    <t>UZORKOVANJE  I SLANJE MATERIJALA ZA LABORATORIJSKO ISPITIVANJE</t>
  </si>
  <si>
    <t>UZORKOVANJE I SLANJE MATRIJALA ZA LABORATORIJSKO ISPITIVANJE</t>
  </si>
  <si>
    <t>INTRAARETRIJSKA KANILACIJA ZA GASNU ANALIZU KRVI</t>
  </si>
  <si>
    <t>ORALNO DAVANJE FARMAKOLOŠKOG SREDSTVA</t>
  </si>
  <si>
    <t xml:space="preserve">POSTUPAK ODRŽAVANJA </t>
  </si>
  <si>
    <t xml:space="preserve">UDRUŽENE ZDRAVSTVENE </t>
  </si>
  <si>
    <t>NEKI DRUGI NAČIN DAVANJA</t>
  </si>
  <si>
    <t>ENTERALNO DAVANJE</t>
  </si>
  <si>
    <t>ODRŽAVANJE UREĐAJA ZA DVANJE</t>
  </si>
  <si>
    <t>NEUROAKSIJALNA BLOKADA, ASA 30</t>
  </si>
  <si>
    <t>ENTERALNO DAVNJE</t>
  </si>
  <si>
    <t>260100</t>
  </si>
  <si>
    <t>DEZINFEKCIJA TEKSTILNIH, KOŽNIH GUMENIH I PLASTIČNIH MATERIJA</t>
  </si>
  <si>
    <t>DEZINFEKCIJA TEKSTILNIH,KOŽNIH I GUMENIH I PLASTIČNIH MATERIJJA</t>
  </si>
  <si>
    <t>DEZINFEKCIJA TEKSTILNIH, KOŽNIH , GUMENIH I PLASTIČNIH MATERIJA</t>
  </si>
  <si>
    <t>DEZINFEKCIJA TEKSTILNIH, KOŽNIH, GUMENIH I PLASTIČNIH MATERIJA</t>
  </si>
  <si>
    <t>DEZINFEKCIJA TEKSTILNIH, KOŽNIH, GUMENIH I PLASTIČNIH MATERIJALA</t>
  </si>
  <si>
    <t>DEZINFEKCIJA TEKSTILNI, KOŽNIH GUMENIH I PLASTIČNIH MATERIJA</t>
  </si>
  <si>
    <t>NEUROAKSIJALNA BLOKADA TOKOM TRUDOVA, ASA 29</t>
  </si>
  <si>
    <t>BIOPSIJA DUGOKOG TKIVA DOJKE</t>
  </si>
  <si>
    <t>SINUSOKOPIJA</t>
  </si>
  <si>
    <t>ZU-ZAJEDNIČKE USLUGE</t>
  </si>
  <si>
    <t>34640-00</t>
  </si>
  <si>
    <t>POSTOPERATIVNO PONOVNO OTVARANJE MESTA LAPAROTOMIJE</t>
  </si>
  <si>
    <t>REPARACIJA PEDNJEG DELA VAGINE, VAGINALNI PRISTUP</t>
  </si>
  <si>
    <t>30405-00</t>
  </si>
  <si>
    <t>REPARACIJA INCIZIONE KILE SA TRANSPOZICIJOM MIŠIĆA - CST</t>
  </si>
  <si>
    <t>30460-07</t>
  </si>
  <si>
    <t>HEPATIKOENTEROSTOMIJA</t>
  </si>
  <si>
    <t>30509-00</t>
  </si>
  <si>
    <t>KONNTRLA KRVARENJA IZ PEPTIČKOG ULKUSA RESEKCIJOM ŽELUDCA</t>
  </si>
  <si>
    <t>DRENAŽA INTRA-ABDOMINALNOG APSECESA, HEMATOMA ILI CISTE</t>
  </si>
  <si>
    <t>REPARAIJA RANE NA KOŽI I POTKOŽNOM TKIVU LICA M VRATA, POVRŠINSKI</t>
  </si>
  <si>
    <t>47531-00</t>
  </si>
  <si>
    <t>ZATVORENA REPOZICIJA PRELOMA HEMURA SA UNUTRAŠNJOM FIKSACIJOM</t>
  </si>
  <si>
    <t>REPARACIJA RANE NA KOŽI I POTKOŽNOM TKIVU LICA M VRATA, POVRŠINSKA</t>
  </si>
  <si>
    <t>RANI REHABILITACIONI TRETMAN PACIJENATA U AKUTNIM NEUROLOŠKIM/NEUROHIRURŠKIM STANJIMA</t>
  </si>
  <si>
    <t>TERAPIJA MIŠIĆA LICA-TEMBPOROMANDIBULARNOG ZGLOBA VEŽBANJEM</t>
  </si>
  <si>
    <t>ELEKTROFEREZA LEKA</t>
  </si>
  <si>
    <t>260103</t>
  </si>
  <si>
    <t>DEZINFEKCIJA KARANTINSKIH PROSTORA</t>
  </si>
  <si>
    <t>270107</t>
  </si>
  <si>
    <t>IZRADA PREDLOGA/PRIMERA ISHRANE ZA RAZLIČITA PATOLOŠKA STANJA</t>
  </si>
  <si>
    <t>INTRAARTERIJSKA KANILICAIJA ZA GASNU ANALIZU KRVI</t>
  </si>
  <si>
    <t>PREDNJA RINOSKOPIJAI/ILI ZADNJA RINOSKOPIJA</t>
  </si>
  <si>
    <t>OSTALE PROCENE,KONSULTACIJE ILI EVALUACIJE</t>
  </si>
  <si>
    <t>ORALNO DAVANJE FARMAKOLOŠKOG SREDSTVA HRANLJIVA SUPSTANCA</t>
  </si>
  <si>
    <t>INTRAVENSKO DAVANJE FARMAKOLOŠKOG SRED, INSULIN</t>
  </si>
  <si>
    <t>ORALNO DAVANJE FARMAKOLOŠKOG SREDSVA, ELEKTROLIT</t>
  </si>
  <si>
    <t>ORALNO DAVANJE FARMAKOLOŠKOG SREDSTA, HRANLJIVA SUPSTANCA</t>
  </si>
  <si>
    <t>KATETERIZACIJA/KANILACIJA OSTLAIH VENA</t>
  </si>
  <si>
    <t>92102-00</t>
  </si>
  <si>
    <t>ISPIRANJE CISTOSTOME</t>
  </si>
  <si>
    <t xml:space="preserve">TRANSFUZIJA FAKTORA KOAGULACIJE </t>
  </si>
  <si>
    <t>REGIONALNA BLOKADFA, NERVA GLAVE ILI VRATA, ASA 29</t>
  </si>
  <si>
    <t>INTRAMUSKULARNO DAVANJE FARMAKOLOŠKOG SREDSTVA, ANTI INFEKTIVNO SREDSTVO</t>
  </si>
  <si>
    <t>IMOBILIZAIJA PRELOMA TELA RADIJUSA I ULNE</t>
  </si>
  <si>
    <t>35717-03</t>
  </si>
  <si>
    <t>SALPINGEKOMIJA, OBOSTRANA</t>
  </si>
  <si>
    <t>90175-02</t>
  </si>
  <si>
    <t>OTVORENA REPOZICIJA PRELOMA TELA TIBIJE SA UNUTRAŠNJOM FIKSACIJOM</t>
  </si>
  <si>
    <t>49848-00</t>
  </si>
  <si>
    <t>ISPRAVLJANJE ČEKIĆASTOG PRSTA NA NOZI</t>
  </si>
  <si>
    <t>35694-01</t>
  </si>
  <si>
    <t>LAPAROSKOPSKA ANASTOMOZA JAJOVODA</t>
  </si>
  <si>
    <t>MIKROLARINGOSKOPIJA SA UKLANJANJEM LEZIJA</t>
  </si>
  <si>
    <t>OTVORENA TRAHEOSTOMIAJ, PRIVREMENA</t>
  </si>
  <si>
    <t>PREOPERATIVNI I RANI PRE I POSTOPERATIVNI TRETMAN KOD PACIJENTATA NA OTOPEDSKOM ODELJENJU</t>
  </si>
  <si>
    <t>600001</t>
  </si>
  <si>
    <t>SPECIJALISTIČKI PREGLED FIZIJATRA</t>
  </si>
  <si>
    <r>
      <t>POSTUPAK ODRŽAVANJA KONTINUIRANE VENTILATORNE PODRŠKE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24 SATA</t>
    </r>
  </si>
  <si>
    <t>INFILTRACIJA LOKALNOG ANESTEIKA, ASA 39</t>
  </si>
  <si>
    <t>96201-07</t>
  </si>
  <si>
    <t>INTRAKAVITARNO DAVANJE FARMAKOLOŠKOG SREDSTVA, HRANLJIVA SUPSTANCA</t>
  </si>
  <si>
    <t>ORALNO DAVANJE FARAMKOLOŠKOG SREDSTVA, ANTI-INFEKTIVNO SREDSTVO</t>
  </si>
  <si>
    <t>OPŠTA ANESTEZIJA, ASA 40</t>
  </si>
  <si>
    <t>ORALNO DAVANJE FARMAKOKOŠKOG SREDSTVA, INSULIN</t>
  </si>
  <si>
    <t>DILATACIJA ANUSA</t>
  </si>
  <si>
    <t>ZBRINJAVANJE OSTLIH VRSTA INTUBACIJA RESPIRATORNOG TRAKTA</t>
  </si>
  <si>
    <t>34112-01</t>
  </si>
  <si>
    <t>EKSCIZIJA ILI LIGATURA KOPLEKSNE ARTERIOVENSKE FISTULE NA UDOVIMA</t>
  </si>
  <si>
    <t>30058-01</t>
  </si>
  <si>
    <t>KONTROLA POSTOPERATIVNE HEMORAGIJE, NEKLASIFIKOVANA NA DRUGO MESTU</t>
  </si>
  <si>
    <t>40300-01</t>
  </si>
  <si>
    <t>DISKEKTOMIJA, DVA ILI VIŠE NIVOA</t>
  </si>
  <si>
    <t>OBUKA ZAŠTITNIM POKRETIMA I POLOŽAJIMA TELA KOD DISKOPATIČARA</t>
  </si>
  <si>
    <t>DTI</t>
  </si>
  <si>
    <t>NEUROAKSIJALNA BLOKADA TOKOM TRUDOVA, ASA 39</t>
  </si>
  <si>
    <t>NEUROGAKSIJALNA BLOKADA TOKOM TRUDOVA, ASA 29</t>
  </si>
  <si>
    <t>NEUROGAKSIJALNA BLOKADA TOKOM TRUDOVA, ASA 20</t>
  </si>
  <si>
    <t>KARDIOPULMONALNA RANIMACIJA</t>
  </si>
  <si>
    <t>92513-90</t>
  </si>
  <si>
    <t>INFILTRACIJA LOKALNOG ANESTETIKA, ASA 90</t>
  </si>
  <si>
    <t>96198-00</t>
  </si>
  <si>
    <t>INTRATEKALNO AVANJE FARMAKOLOŠKOG SREDSTVA, DRUGO</t>
  </si>
  <si>
    <t>INTRAVENSKO DAVANJE FARMAKOLOŠKOG SRED.ANTIDOT</t>
  </si>
  <si>
    <t>INTRAVENTKO DAVANJE FARMAKOLOŠKOG SREDSTVA, ANTIDOT</t>
  </si>
  <si>
    <t>INTRAVENSKO DAVANJE FARMAKOLOŠKOG SRDSTVA, ANTIDOT</t>
  </si>
  <si>
    <t>NEKI DRUGI NAČIN DAVANJA FAMAKOLOŠKOG SREDSTVA, DRUGO I NEKLASIFIKOVANO FARMAKOLOŠKO SREDSTVO</t>
  </si>
  <si>
    <t>INTRAVENSKO DAVANJE FARMAKOLOŠKOG SREDSTVA, DRUGO I NEKLASIFIKOVANO FARMAKOLOŠKO SREDSTVA</t>
  </si>
  <si>
    <t>NEKI DRUGI NAČIN DAVANJA FARMAKOLOŠKOG SREDSTA, DRUGO I NEKLASIFIKOVANO FARMAKOLOŠKO SRED</t>
  </si>
  <si>
    <t>IMOBILIZACIJA PRELOA TELA HUMERUSA</t>
  </si>
  <si>
    <t>35565-00</t>
  </si>
  <si>
    <t>VAGINALNA REKONSTRUKCIJA</t>
  </si>
  <si>
    <t>REPARACIJA RUPTURNE MOKRAĆEN BEŠIKE - OBORENA HIRURGIA</t>
  </si>
  <si>
    <t>90582-02</t>
  </si>
  <si>
    <t>UKLANJANJE NOKTA NA PRSTU STOPALA</t>
  </si>
  <si>
    <t>90465-02</t>
  </si>
  <si>
    <t>OSTALE VRSTE INDUKCIJE POROĐAJA FARAKOLOŠKIM SREDSTVOM</t>
  </si>
  <si>
    <t>92510-19</t>
  </si>
  <si>
    <t>NEKI DRUGI NAČIN DAVANJA FARMAKOLOŠKOG SREDSTVA,ANTINEOPLASTIČKO SRED</t>
  </si>
  <si>
    <t>REGIONALNA BLOKADA, NERVA STABLA, ASA 19</t>
  </si>
  <si>
    <t>ORLANO DAVANJE FARMAKOLOŠKOG SREDSTVA, HRANLJIVA SUPSTANCA</t>
  </si>
  <si>
    <t>ISPIRANJE, KATETERA, NEKLASIFIKOVANO NA DRUGOM MESTU</t>
  </si>
  <si>
    <t>SUBKUTANO DAVANJE FARMAKOLOŠKOG SREDSTVA, DRUGO I NEKLASIFIKOVANO</t>
  </si>
  <si>
    <t>32162-01</t>
  </si>
  <si>
    <t>UGRADNJA SETONA ZA VISOKE ANALNE FISTULE</t>
  </si>
  <si>
    <t>33833-03</t>
  </si>
  <si>
    <t>DIREKTNO ZATVARANJE ILIJAČNE ARTERIJE</t>
  </si>
  <si>
    <t>33848-00</t>
  </si>
  <si>
    <t>KONTROLA POSTOPERATIVNOG KRVARENJA ILI TROMBOZE U EKSTREMITETU POSLE VASKULARNE PROCEDURE</t>
  </si>
  <si>
    <t>41689-02</t>
  </si>
  <si>
    <t>TOTALNA MUKOTOMIJA, JEDNOSTRANA</t>
  </si>
  <si>
    <t>47366-02</t>
  </si>
  <si>
    <t>OTVORENA REPOZICIJA PRELOMA DISTALNOG DELA  RADIJUSA UNUTRAŠNJOM FIKSACIJOM</t>
  </si>
  <si>
    <t>35560-00</t>
  </si>
  <si>
    <t>PARCIJALNA VAGINEKTOMIJA</t>
  </si>
  <si>
    <t>13110-00</t>
  </si>
  <si>
    <t>UKLANJANJE PREBIVAJUĆEG PERITONEALNOG KATETERA RADI PERITONEALNE DIJALIZE</t>
  </si>
  <si>
    <t>96019-00</t>
  </si>
  <si>
    <r>
      <t xml:space="preserve">HIPERBARIČNA TERAPIJA  KISEONIKOM, </t>
    </r>
    <r>
      <rPr>
        <b/>
        <u/>
        <sz val="8"/>
        <rFont val="Times New Roman"/>
        <family val="1"/>
        <charset val="238"/>
      </rPr>
      <t>&lt;</t>
    </r>
    <r>
      <rPr>
        <b/>
        <sz val="8"/>
        <rFont val="Times New Roman"/>
        <family val="1"/>
        <charset val="238"/>
      </rPr>
      <t xml:space="preserve"> 90 MINUTA</t>
    </r>
  </si>
  <si>
    <t>49518-00</t>
  </si>
  <si>
    <t>IMPLEMENTACIJA TOTALNE PROTEZE KOLENA, JEDNOSTRANA</t>
  </si>
  <si>
    <t>38353-00</t>
  </si>
  <si>
    <t>UGRADNJA PEJSMEJKERA (VR,DR,CRT.PM)</t>
  </si>
  <si>
    <t>38350-01</t>
  </si>
  <si>
    <t>ZAMENA PERMANENTNE ENDOVENSKE ELEKTRODE ZA PEJSMEJKER</t>
  </si>
  <si>
    <t>90203-00</t>
  </si>
  <si>
    <t>REPOZICIJA ELEKTRODE PEJSMEJKERA</t>
  </si>
  <si>
    <t>UGRADNJA ELEKTRODE U LEVU PRETKOMORU, DESNU PRETKOMORU, LEVU KOMORU</t>
  </si>
  <si>
    <t>ТАБЕЛА 13</t>
  </si>
  <si>
    <t>%</t>
  </si>
  <si>
    <t>INTRAOPERATIVNO ČUVANJE KRVI TRANSFUZIJA PRETHODNO SAKUPLJANJE AUTOLOGNE KRVI ILI KRVNIH KOMPONENTI</t>
  </si>
  <si>
    <t xml:space="preserve">НАПОМЕНА:У ТАБЕЛИ СУ ИСПЛАНИРАНЕ НОВЕ УСЛУГЕ ЗА КОЈЕ ЈЕ НАШ ЦЕНТАР ДОБИО ОДОБРЕЊЕ ОД МИНИСТАРСТВА ЗДРАВЉА ЗА КОРИШЋЕЊЕ  НОВЕ ЗДРАВСТВЕНЕ ТЕХНОЛОГИЈЕ У ПРУЖАЊУ ЗДРАВСТВЕНЕ ЗАШТИТЕ.(38350-00,38350-01,38353-00,90203-00,49518-00; 92060-00) </t>
  </si>
  <si>
    <t>ЗДРАВСТВЕНА УСТАНОВА : КЛИНИЧКО БОЛНИЧКИ  ЦЕНТАР ЗЕМУН</t>
  </si>
  <si>
    <t>2. ОСТАЛЕ УСЛУГЕ - ДТИ</t>
  </si>
  <si>
    <t>4. ЗАЈЕДНИЧКЕ УСЛУГЕ</t>
  </si>
  <si>
    <t>ТАБЕЛА  13                                    - УСЛУГЕ РФЗО -</t>
  </si>
  <si>
    <t>GRUBETIĆKA INSISTIRALA DA VIDIMO ŠIFRU 40003-01 - INSERCIJA VENTRIKULO-PLEURALNOG ŠANTA</t>
  </si>
  <si>
    <t>AKUŠERSTKO ODELJENJE</t>
  </si>
  <si>
    <t>GASTRO AM</t>
  </si>
  <si>
    <t>GINEKOLOŠKO ODELJENJE</t>
  </si>
  <si>
    <t>GINEKOLOŠKA AM</t>
  </si>
  <si>
    <t>HEMATOLOŠKO ODELJENJE</t>
  </si>
  <si>
    <t>HIRURŠKA SLUŽBA</t>
  </si>
  <si>
    <t>NEFROLOŠKO ODELJENJE</t>
  </si>
  <si>
    <t>ONKOLOGIJA</t>
  </si>
  <si>
    <t>SLUŽBA BARO MEDICINE</t>
  </si>
  <si>
    <t>UROLOŠKA SLUŽBA</t>
  </si>
  <si>
    <t>AKUŠERSKO ODELJENJE</t>
  </si>
  <si>
    <t>ENDOKRINOLOŠKO ODELJENJE</t>
  </si>
  <si>
    <t>GASTROENTEROLOGIJA SA HEPATOLOGIJOM</t>
  </si>
  <si>
    <t>KARDIOLOŠKO ODELJENJE</t>
  </si>
  <si>
    <t>LABORATORIJA</t>
  </si>
  <si>
    <t>NEONATOLOGIJA</t>
  </si>
  <si>
    <t>ORL SA MFH</t>
  </si>
  <si>
    <t>PULMOLOGIJA</t>
  </si>
  <si>
    <t>RADIOLOGIJA</t>
  </si>
  <si>
    <t>SL BARO MEDICINE</t>
  </si>
  <si>
    <t>SL ZA SPEC I KONSULTATIVNE PREGLEDE- KABINET ZA DERMATOVENEROLOGIJU</t>
  </si>
  <si>
    <t>SL ZA SPEC I KONSULTATIVNE PREGLEDE- KARDIOLOGIJA</t>
  </si>
  <si>
    <t>UROLOŠKA SL</t>
  </si>
  <si>
    <t>AKUŠERSKA AM</t>
  </si>
  <si>
    <t>HIRURŠKA SL</t>
  </si>
  <si>
    <t>NEUROHIURŠKA SL</t>
  </si>
  <si>
    <t>INCIZIJA I DRENAŽA MEKOG TKIVA</t>
  </si>
  <si>
    <t>35638-09</t>
  </si>
  <si>
    <t>LAPARASKOPSKA SALPINGEKTOMIJA, JEDNOSTRANA</t>
  </si>
  <si>
    <t>35720-00</t>
  </si>
  <si>
    <t>35723-03</t>
  </si>
  <si>
    <t>UZIMANJE UORKA PARA-AORTALNOG LIMFNOG ČVORA ZA UTVRĐIVANJE NIVOA GINEKOLOŠKOG MALIGNITETA</t>
  </si>
  <si>
    <t>35623-00</t>
  </si>
  <si>
    <t>MIOMEKTOMIJA HISTEROSKOPIJOM</t>
  </si>
  <si>
    <t>90452-00</t>
  </si>
  <si>
    <t>UKLANJANJE OSTALIH LEZIJA MATERICE</t>
  </si>
  <si>
    <t>30405-03</t>
  </si>
  <si>
    <t>REPARACIJA OSTALIH KILA TRBUŠNOG ZIDA SA TRANSPOZICIJOM MIŠIĆA</t>
  </si>
  <si>
    <t>30460-04</t>
  </si>
  <si>
    <t>HOLEDOHOJEJUNOSTOMIJA</t>
  </si>
  <si>
    <t>40600-03</t>
  </si>
  <si>
    <t>DRUGA KRANIOPLASTIKA</t>
  </si>
  <si>
    <t>ŠAV PEFORIRANOG ULKUSA</t>
  </si>
  <si>
    <t>47927-00</t>
  </si>
  <si>
    <t>ODSTRANJENJE KLINA, ZAVRTNJA ILI ŽICE, NEKLASIFIKOVANO NA DRUGOM MESTU</t>
  </si>
  <si>
    <t>48948-00</t>
  </si>
  <si>
    <t>ARTROSKOPSKI DEBRIDMAN RAMENA</t>
  </si>
  <si>
    <t>INCIZIJA I DRENAŽA APSCESA MEKANOG TKIVA</t>
  </si>
  <si>
    <t>36585-03</t>
  </si>
  <si>
    <t>FORMIRANJE KUTANE URETEROSTOMIJE (OBOSTRANO) - OTVORENA HIRURGIJA</t>
  </si>
  <si>
    <t>DODATE ONE NEOPREDELJENE USLUGE JAN-FEB 2018</t>
  </si>
  <si>
    <t>30460-01</t>
  </si>
  <si>
    <t>HOLECISTOENTEROSTOMIJA</t>
  </si>
  <si>
    <t>30583-00</t>
  </si>
  <si>
    <t>DISTALNA PANKREATEKTOMIJA</t>
  </si>
  <si>
    <t>32514-00</t>
  </si>
  <si>
    <t>PONOVNA OPERACIJA ZA VARIKOZNE VENE</t>
  </si>
  <si>
    <t>OBRADA KOŽE I POTKOĆNOG TKIVA BEZ EKSCIZIJE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</si>
  <si>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</si>
  <si>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r>
      <t xml:space="preserve">POSTUPAK ODRŽAVANJA NEINVAZIVNE VENTILATOREN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SATA</t>
    </r>
  </si>
  <si>
    <t>92519-19</t>
  </si>
  <si>
    <t>INTRAVENSKA REGIONALNA ANESTEZIJA ASA 19</t>
  </si>
  <si>
    <t>ISPIRANJE NAZOGASTRIČNE SONDE</t>
  </si>
  <si>
    <t>30321-00</t>
  </si>
  <si>
    <t>EKSCIZIJA RETROPERITONEALNE NEUROENDOKRINE LEZIJE</t>
  </si>
  <si>
    <t>96205-02</t>
  </si>
  <si>
    <t>NEKI DRUGI NAČIN DAVANJA FARMAKOLOŠKOG SREDSTVA, ANTINEOPLASTIČKO SREDSTVO</t>
  </si>
  <si>
    <t>NEKI DRUGI NAČIN DAVANJA FARMAKOLOŠKOG SREDSTVA, ANTI-INFEKTIVNO  SREDSTVO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</si>
  <si>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 xml:space="preserve">&gt; </t>
    </r>
    <r>
      <rPr>
        <sz val="8"/>
        <rFont val="Times New Roman"/>
        <family val="1"/>
        <charset val="238"/>
      </rPr>
      <t>96 SATI</t>
    </r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</si>
  <si>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 24 SATA</t>
    </r>
  </si>
  <si>
    <t>INTRAVENSKO DAVANJE FARMAKOLOŠKOG SREDSTVA, SUPSTANCA</t>
  </si>
  <si>
    <t>96136-00</t>
  </si>
  <si>
    <t>UVEŽBAVANJE VEŠTINA TEČNOG GOVORA</t>
  </si>
  <si>
    <t>ORALNO DAVANJE FARMAKOLOŠKOG SREDSTA, ELEKTROLIT</t>
  </si>
  <si>
    <t>96202-08</t>
  </si>
  <si>
    <t>ENTERALNO DAVANJE FARMAKOLOŠKOG SREDSTVA, ELEKTROLIT</t>
  </si>
  <si>
    <t>SEDACIJA, ASA 49</t>
  </si>
  <si>
    <t>59739-03</t>
  </si>
  <si>
    <t>OSTALE SINOGRAFIJE</t>
  </si>
  <si>
    <t>PREDNJA RINOSKOPIA I / ILI ZADNJA RINOSKOPIJA</t>
  </si>
  <si>
    <t>VAĐENJE KRVI U DIJAGNOSTIČKE SVRIHE</t>
  </si>
  <si>
    <t>NEKI DRUGI NAČINA DAVANJA FARMAKOLOŠKOG SREDSTVA, DRUGO I NEKLASIFIKOVANO FARMAKOLOŠKO SREDSTVO</t>
  </si>
  <si>
    <t>35638-02</t>
  </si>
  <si>
    <t>LAPARASKOPSKA OVARIEKTOMIJA, JEDNOSTRANA</t>
  </si>
  <si>
    <t>35649-01</t>
  </si>
  <si>
    <t>LAPARASKOPSKA MIOMEKTOMIJA</t>
  </si>
  <si>
    <t>35713-03</t>
  </si>
  <si>
    <t>ELEKTROKAUTERIZACIJA JAJNIKA (DRILING,LAPAROTOMIJA)</t>
  </si>
  <si>
    <t>EKSCIZIJA LEZIJE(A) NA KOŽI I POTKOŽNOM TKIVU GENITALIJA</t>
  </si>
  <si>
    <t>36558-00</t>
  </si>
  <si>
    <t>EKSCIZIJA CISTE BUBREGA - LAPARASKOPSKI</t>
  </si>
  <si>
    <t>47981-01</t>
  </si>
  <si>
    <t>DEKOPRESIJSKA FASCIOTOMIJA LISTA</t>
  </si>
  <si>
    <t>60015-00</t>
  </si>
  <si>
    <t>DIGITALNO SUPTRAKCIONA ANGIOGRAFIJA TORAKSA, OD ČETRI DO ŠEST NIZOVA PRIKUPLJANJA PODATAKA</t>
  </si>
  <si>
    <t>30250-00</t>
  </si>
  <si>
    <t xml:space="preserve">TOTALNA EKSCIZIJA PAROTIDNE ŽLEZDE SA OČUVANJEM FACIJALNOG NERVA </t>
  </si>
  <si>
    <t>53429-00</t>
  </si>
  <si>
    <t>OTVORENA REPOZICIJA KOMLIKOVANOG PRELOMA MANDIBULE SA UNUTRAŠNJOM FIKSACIJOM</t>
  </si>
  <si>
    <t>47639-01</t>
  </si>
  <si>
    <t>OTVORNA REPOZICIJA PRELOMA METATRZUSA SA UNUTRAŠNJOM FIKSACIJOM</t>
  </si>
  <si>
    <t>41683-00</t>
  </si>
  <si>
    <t>SINEHIOLIZA U NOSNIM KAVUMIMA</t>
  </si>
  <si>
    <t>41764-00</t>
  </si>
  <si>
    <t>ENDOSKOPIJA NOSA</t>
  </si>
  <si>
    <t>37000-00</t>
  </si>
  <si>
    <t>PARCIJALNA EKSCIZIJA MOKRAĆNE BEŠIKE (PARCIJALNA CESTEKTOMIJA) LAPARASKOPSKI</t>
  </si>
  <si>
    <t>37327-00</t>
  </si>
  <si>
    <t>INTERNA URETROTOMIJA - SA OPTIČKIM INTRUMENTOM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</si>
  <si>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&gt; 96</t>
    </r>
    <r>
      <rPr>
        <sz val="8"/>
        <rFont val="Times New Roman"/>
        <family val="1"/>
        <charset val="238"/>
      </rPr>
      <t xml:space="preserve"> SATI</t>
    </r>
  </si>
  <si>
    <t>NEUROAKSIJALAN BLOKADA, ASA 19</t>
  </si>
  <si>
    <t>92109-00</t>
  </si>
  <si>
    <t>ZAMENA OSTALIH VAGINALNIG PESERA</t>
  </si>
  <si>
    <t>ENTERRALNO DAVANJE FARMAKOLOŠKOG SREDSTVA, DRUGO I NEKLASIFIKOVANO FARMAKOLOŠKO SREDSTVO</t>
  </si>
  <si>
    <t>INFILTRACIJA LOKALNOG ANESTETIKA ASA 90</t>
  </si>
  <si>
    <t>OPŠTA ANESTEZIJA, ASA 29</t>
  </si>
  <si>
    <t>NEKI DRUGI NAČIN DAVANJA FARMAKOLOŠKOG SREDSTVA, ANTI INFEKTIVNO SREDSTVO</t>
  </si>
  <si>
    <t>18216-15</t>
  </si>
  <si>
    <t>KAUDALNA INFUZIJA OSTALIH ILI KOMBINOVANIH TERAPEUTSKIH SUPSTANCI</t>
  </si>
  <si>
    <t>TESTIRANJE OPSEGA POKRETA/MIŠIĆA SPECIJALIZOVANOM OPREMOM</t>
  </si>
  <si>
    <t>41716-00</t>
  </si>
  <si>
    <t>ENDONAZALNO UKLANJANJE STRANOG TELA IZ MAKSILARNOG SINUSA</t>
  </si>
  <si>
    <t>90131-00</t>
  </si>
  <si>
    <t>LOKALNA EKSCIZIJA OSTALIH ENDONAZALNIH LEZIJA</t>
  </si>
  <si>
    <t>SEDACIJA,ASA 40</t>
  </si>
  <si>
    <t>NEUROAKSIJALAN BLOKADA, ASA 10</t>
  </si>
  <si>
    <t>90762-00</t>
  </si>
  <si>
    <r>
      <t>POSTUPAK ODRŽAVANJA KONTIUIRANE VENTILATORNE PODRŠKE,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96 SATI</t>
    </r>
  </si>
  <si>
    <t>ORALNO DAVANJE FARMAKOLOŠKOG SREDSTVA, HRANLJIVA SUPSTANCA</t>
  </si>
  <si>
    <t>30494-00</t>
  </si>
  <si>
    <t>REKONSTRUKCIJA ŽUČNIH PUTEVA (T-T ANASTOMOZA)</t>
  </si>
  <si>
    <t>30581-00</t>
  </si>
  <si>
    <t>EKSPLORACIJA DUODENUMA</t>
  </si>
  <si>
    <t>30584-00</t>
  </si>
  <si>
    <t>PANKREATIKODUODENEKTOMIJA S AFORMIRANJEM STOME</t>
  </si>
  <si>
    <t>EKSCIZIJA(BIOPSIJA)LIMFNOG ČVORA VRATA</t>
  </si>
  <si>
    <t>32028-00</t>
  </si>
  <si>
    <t>VRLO NISKA RESTORATIVNA PREDNJA RESEKCIJA REKTUMA SA RUČNO ZAŠUIVENOM KOLAANALNOM ANASTOMOZOM</t>
  </si>
  <si>
    <t>34509-00</t>
  </si>
  <si>
    <t>ARTERIOVENSKA ANASTOMOZA DONJIH UDOVA</t>
  </si>
  <si>
    <t>LAPAROSKOPSKA OVARIJALNA CISTEKTOMIJA, JEDNOSTRANA</t>
  </si>
  <si>
    <t>SALPINGEKTOMIJA, JEDNOSTRANA</t>
  </si>
  <si>
    <t>90375-00</t>
  </si>
  <si>
    <t>PLASIRANJE INTRA-ABDOMINALNE TAMPONADE</t>
  </si>
  <si>
    <t>47566-03</t>
  </si>
  <si>
    <t>OTVORENA REPOZICIJA ZGLOBNOG PRELOMA TELA TIBIJE SA UNUTRAŠNJOM FIKSACIJOM</t>
  </si>
  <si>
    <t>30478-20</t>
  </si>
  <si>
    <t>PANENDOSKOPIJA DODUODENUMA SA OSTALIM KOAGULACIJAMA</t>
  </si>
  <si>
    <t>32090-02</t>
  </si>
  <si>
    <t>FIBEROPTIČKA KOLONOSKOPIJA DO CEKUA SA ADMINISTRIRANJEM MASTILA ZA TETOVAŽU</t>
  </si>
  <si>
    <t>SUTURA POVREDA PERINEUMA PRVOG ILI DRUGOG STEPENA</t>
  </si>
  <si>
    <t>UVEŽBAVANJE VEŠTINA U AKTIVNOSTIMA POVEZANIM SA SENZORNOM/SENZO-MOTORNOM/SENZO-NEUROALNOM</t>
  </si>
  <si>
    <t>TRANSFUZIJA OSTALIH KRVNIH DERIVATA</t>
  </si>
  <si>
    <t>INTRAVENSKO DAVANJE FARMAKOLOŠKOG SREDSTVA, DRUGO I NEKLASIFIKOVANAO FARMAKOLOŠKO SREDSTVO</t>
  </si>
  <si>
    <t>18216-06</t>
  </si>
  <si>
    <t>EPIDURALNA INFUZIJA OSTALIH ILI KOMBINOVANIH TERAPEUTSKIH SUPSTANCI</t>
  </si>
  <si>
    <t>60000-00</t>
  </si>
  <si>
    <t>DIGITALNO SUPTRAKCIONA ANGIOGRAFIJA GLAVE ILI VRATA, TRI ILI MANJE NIZOVA PRIKUPLJANJA PODATAKA</t>
  </si>
  <si>
    <t>INTRAVENSKO DAVANJE FARAMKOLOŠKOG SREDSTVA, ANTINEOPLASTIČNO SREDSTVO</t>
  </si>
  <si>
    <t>30094-09</t>
  </si>
  <si>
    <t>PERKUTANA BIOPSIJA IGLOM PLJUVAČNIH ŽLEZDA ILI KANALA</t>
  </si>
  <si>
    <t>90720-00</t>
  </si>
  <si>
    <t>OSTALE PROCEDURE NA DOJKAMA</t>
  </si>
  <si>
    <r>
      <t>POSTUPAK ODRŽAVANJA KONTINUIRANE VENTILATORNE PODRŠKE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96 SATI</t>
    </r>
  </si>
  <si>
    <t>IMOBILIZACIJA PRELOMA TELA RADIJUSA I ULNE</t>
  </si>
  <si>
    <t>ISPIRANJE OSTALIH TRAJNIH KATTERA MOKRAĆNE BEŠIKE</t>
  </si>
  <si>
    <t>600815</t>
  </si>
  <si>
    <t>PREOPERATIVNI I RANI REHABLITACIONI TRETMAN NA ODELJENJIMA TORAKALNE HIRURGIJE</t>
  </si>
  <si>
    <t>UROLOGIJA OPERACIJE</t>
  </si>
  <si>
    <t>NEUROHIRURGIJA OPERACIJE</t>
  </si>
  <si>
    <t>TRAUMA OPERACIJE</t>
  </si>
  <si>
    <t>KARDOLOGIJA OSTALE USLUGE</t>
  </si>
  <si>
    <t>ALERGOPULMOLOGIJA OSTALE USLUGE</t>
  </si>
  <si>
    <t>GASTROENTEROLOGIJA OSTALE USLUGE</t>
  </si>
  <si>
    <t>NEFROLOGIJA OSTALE USLUGE</t>
  </si>
  <si>
    <t>AKUŠERSTVO OSTALE USLUGE</t>
  </si>
  <si>
    <t>UROLOGIJA OSTALE USLUGE</t>
  </si>
  <si>
    <t>NEUROHIRURGIJA OSTALE USLLUGE</t>
  </si>
  <si>
    <t>BARO MEDICINA OSTALE USLUGE</t>
  </si>
  <si>
    <t>MESTO GDE SE JAVLJA USLUGA</t>
  </si>
  <si>
    <t>ŠIFRA USLUGE</t>
  </si>
  <si>
    <t>NAZIV USLUGE</t>
  </si>
  <si>
    <t>40003-01</t>
  </si>
  <si>
    <t>INSERCIJA VENTRIKULO-PLEURALNOG ŠANTA</t>
  </si>
  <si>
    <t>30481-00</t>
  </si>
  <si>
    <t>INICIJALNA UGRADNJA CEVI PERKUTANE ENDOSKPSKE GASTROSTOME</t>
  </si>
  <si>
    <t>35637-08</t>
  </si>
  <si>
    <t>LAPARASKOPSKA ELEKTROKAUTERIZACIJA JAJNIKA, DRILING OVARIJUMA</t>
  </si>
  <si>
    <t>39600-00</t>
  </si>
  <si>
    <t>DRENAŽA INTRAKRANIJALNE HEMORAGIJE</t>
  </si>
  <si>
    <t>BIOPSIJA PLJUVAČNIH ŽLEZDA ILI KANILA</t>
  </si>
  <si>
    <t>45825-01</t>
  </si>
  <si>
    <t>EKSTRIPACIJA KOŠTANIH TUMORA VILICE</t>
  </si>
  <si>
    <t xml:space="preserve"> </t>
  </si>
  <si>
    <t>49503-04</t>
  </si>
  <si>
    <t>PATELEKTOMIJA</t>
  </si>
  <si>
    <t>90589-01</t>
  </si>
  <si>
    <t>REPOZICIJA LIGAMENTA, NEKLASIFIKOVANA NA DRUGOM MESTU</t>
  </si>
  <si>
    <t>30075-27</t>
  </si>
  <si>
    <t>BIOPSIJA PROMENE NA PENISU</t>
  </si>
  <si>
    <t>36594-03</t>
  </si>
  <si>
    <t>36857-00</t>
  </si>
  <si>
    <t>ENDOSKOPSKA EKSTRAKCIJA KALKULUSA IZ URETERA (BEZ URETEROSKOPIJE)</t>
  </si>
  <si>
    <t>37402-00</t>
  </si>
  <si>
    <t>PARCIJALNA AMPUTACIJA PENISA</t>
  </si>
  <si>
    <t>30335-00</t>
  </si>
  <si>
    <t>30609-02</t>
  </si>
  <si>
    <t>33806-09</t>
  </si>
  <si>
    <t>36624-00</t>
  </si>
  <si>
    <t>REGIONALNA EKSCIZIJASA LIMFNIH ČVOROVA AKSILE</t>
  </si>
  <si>
    <t>LAPARASKOPSKA REPARACIJA INGVINALNE HERNIJE, JEDNOSTRANO</t>
  </si>
  <si>
    <t>SUBKUTANO DAVANJE FARMAKOLOŠKOG SREDSTVA, ANTIINFEKTIVNO SREDSTVO</t>
  </si>
  <si>
    <t>NEKI DRUGI NAČIN DAVANJA FARMAKOLOŠKOG SREDSTVA, DRUGO I NEKLASFIKOVANO FARAMKOLOŠKO SREDSTVO</t>
  </si>
  <si>
    <t>ORALNO DAVANJE FARMAKOLOŠKOG SREDSTVA, TROMBOEMBOLIČKO SREDSTVO</t>
  </si>
  <si>
    <t>96206-02</t>
  </si>
  <si>
    <t>POSTUPAK ODRŽAVANJA KONTINUIRANE VENTILATORNE PODRŠKE  &gt;24 SATA I &lt; 96 SATI</t>
  </si>
  <si>
    <t>TERAPIJA KARDIORESPIRATOROG/KARDIOVASKULARNOG SISTEMA VEŽBANJEM</t>
  </si>
  <si>
    <t>92148-00</t>
  </si>
  <si>
    <t>DAVANJE TOKSOIDA TETANUSA</t>
  </si>
  <si>
    <t>REGIONALNA BLOKADA, NERVA GORNJEG EKSTREMITETA, ASA 29</t>
  </si>
  <si>
    <t>96201-09</t>
  </si>
  <si>
    <t>ENTERALNO DAVANJE FARMAKOLOŠKOG SREDSTVA, ANTIINFEKTIVNO SREDSTVO</t>
  </si>
  <si>
    <t>96202-06</t>
  </si>
  <si>
    <t>ENTERALNO DAVANJE FARMAKOLOŠKOG SREDSVA INSULIN</t>
  </si>
  <si>
    <t>ENTERALNO DAVANJE FARAMKOLOŠKOG SREDSTVA, DRGO I NEKLASFIKOVANO FARMAKOLOŠKO SREDSTVO</t>
  </si>
  <si>
    <t>NENAZNAČEN NAČIN AVANJA FARMAKOLOŠKOG SREDSTVA DRUGO I NEKLASIFIKOVANA FARMAKOLOŠKO</t>
  </si>
  <si>
    <t>ASPIRACIJA MEKOG TKIVA, NEKLASIFIKOVANA NA DRUGOM MESTU</t>
  </si>
  <si>
    <t>PREOPERATIVNI I RANI REHABILITACIONI TRETMAN NA</t>
  </si>
  <si>
    <t>30518-01</t>
  </si>
  <si>
    <t>PARCIJALAN DISTALNA GASTREKTOMIJA SA GASTROJEJUNALNOM ANASTOMOZOM</t>
  </si>
  <si>
    <t>33806-10</t>
  </si>
  <si>
    <t>EMBOLEKTOMIJA ILI TROMBEKTOMIJA POPLITEALNE ARTERIJE</t>
  </si>
  <si>
    <t>INCIZIJAI DRENAŽA APSCESA KOŽE I POTKOŽNOG TKIVA</t>
  </si>
  <si>
    <t>31435-00</t>
  </si>
  <si>
    <t>RADIKALNA EKSCIZIJA LIMFNIH ČVOROVA VRATA</t>
  </si>
  <si>
    <t>90605-00</t>
  </si>
  <si>
    <t>KOMPRESIJA SA OSTEOSINTEZOM I DISKRAKCIONOM OSTEOGENEZOM METODOM PO ILIZAROVU</t>
  </si>
  <si>
    <t>UKLANJANJE KALKULUSA IZ PLJUVAČNIH ŽLEZDA ILI KANILA</t>
  </si>
  <si>
    <t>45230-01</t>
  </si>
  <si>
    <t>35638-07</t>
  </si>
  <si>
    <t>ODLAGANJE INDIREKTONOG UDALJENOG REŽNJA KOŽE</t>
  </si>
  <si>
    <t>600123</t>
  </si>
  <si>
    <t>INDIVIDUALNI RAD SA DECOM (JUVENILNI ARTRITIS, CEREBRALA I SL.)</t>
  </si>
  <si>
    <t>600014</t>
  </si>
  <si>
    <t>TRANSCEREBRALNA ELEKTROFEREZA</t>
  </si>
  <si>
    <t>96197-04</t>
  </si>
  <si>
    <t>OSTALE PROMENE, KONSULTAIJE ILI EVAKUACIJE</t>
  </si>
  <si>
    <t>96180-00</t>
  </si>
  <si>
    <t>NEUROAKSIJALAN BLOKAA, ASA 20</t>
  </si>
  <si>
    <t>ENTERALNO DAVANJE FARMAKOLOŠKOG SRDSTVA, ANTI-INFEKTIVNO SREDSTVO</t>
  </si>
  <si>
    <t>INTRAMUSKULARNO DAVANJE FARMAKOLOŠKOG SREDSTVA, DRUGO I NENAZANEČNO FARMAKOLOŠKO SREDSTVO</t>
  </si>
  <si>
    <t>ENDOSKOPSKA RETROGRADNA HOLANGIOPANKREATOLOGRAFIJA(ERCP)</t>
  </si>
  <si>
    <t>ODRŽAVANJE KATETERA, PLASIRANOG RADI ADMINISTRAIJE LEKA</t>
  </si>
  <si>
    <t>SEDACIJA ASA 50</t>
  </si>
  <si>
    <t>INTRAVENSKO DAANJE FARMAKOLOŠKOG SREDTVA, DRUGO I NEKLASIFIKOVANO FARMAKOLOŠKO SREDSTVO</t>
  </si>
  <si>
    <t>NENAZNAČEN NAČIN DAVANJA FARMAKOLOŠKOG SRDTVA, ANTINEOPLASIČKO SRDSTVO</t>
  </si>
  <si>
    <t>NENAZNAČEN NAČIN DAVANJA FARMAKOLOŠKOG SREDSTVA DRUGO I NEKLASIFIKOVANO FARMAKOLOŠKO SREDSTVO</t>
  </si>
  <si>
    <t>EMBOLEKTOMIJA ILI TROMBEKTOMIJA FEMORALNE ARTERIJE</t>
  </si>
  <si>
    <t>30286-00</t>
  </si>
  <si>
    <t>EKSCIZIJA BRANHIJALNE CISTE</t>
  </si>
  <si>
    <t xml:space="preserve"> IZVRŠENO JAN-OKTOBAR 2018</t>
  </si>
  <si>
    <t>35703-00</t>
  </si>
  <si>
    <t>TEST PROHODNOSTI JAJOVODA</t>
  </si>
  <si>
    <t>REPARACIJA LIGAMENTA, NEKLASIFIKOVANA NA DRUGOM MESTU</t>
  </si>
  <si>
    <t>30075-38</t>
  </si>
  <si>
    <t>BIOPSIJA PERINEUMA</t>
  </si>
  <si>
    <t>30518-02</t>
  </si>
  <si>
    <t>PARCIJJALNA PROKSIMALNA GASTEREKTOMIJA SA EZOFAGOGASTRIČNOM ANASTOMOZOM</t>
  </si>
  <si>
    <t>URETERO-ENTEROSTOMIJA ILI URETEROSIGMIODOSTOMIJA (OBOSTRANA)</t>
  </si>
  <si>
    <t>TERAPIJA MIŠIĆA STOPALA, NIĆNOG ZGLOBA ILI ZGLOBOVA PRSTIJU VEŽBANJEM</t>
  </si>
  <si>
    <t>SUBKUTANO DAVANJE FARMAKOLOŠKOG SRDSTVA ANTINEOPLASTIČNO SREDSTVO</t>
  </si>
  <si>
    <t>OSTALE PSIHOTERAPIJE ILI PSIHOSOCIJANE TERAPIJE</t>
  </si>
  <si>
    <t>OSTALE PSIHOTRAPIJE ILI PSIHOSOCIJALNE TERAPIJE</t>
  </si>
  <si>
    <t>96205-06</t>
  </si>
  <si>
    <t>NEKI DRUI NAČIN DAVANJA FARMAKOLOŠKOG SRESTVA, INSULIN</t>
  </si>
  <si>
    <t>DEKI PROEKCIJA 12 MESECI</t>
  </si>
  <si>
    <t>OVO MI NISMO RADILI U 2017 GODINI, ALI MI ĆEMO VIDETI ŠTA SE DEŠAVA U 2018 GODINI I U 2018 OVO NEMA U TAB USLUGA</t>
  </si>
  <si>
    <t xml:space="preserve"> PLAN 2019</t>
  </si>
  <si>
    <t xml:space="preserve"> PLAN 2020</t>
  </si>
  <si>
    <t>ANGIO SALA - KARDIOLOGIJA PLAN ZA 2020</t>
  </si>
  <si>
    <t>DB ORL SA MFH</t>
  </si>
  <si>
    <t>DB TRAUMA</t>
  </si>
  <si>
    <t>REDNI BROJ</t>
  </si>
  <si>
    <t>GASTRO</t>
  </si>
  <si>
    <t>GASTRO DB</t>
  </si>
  <si>
    <t>GINEKOLOŠKA DB</t>
  </si>
  <si>
    <t>HIRURŠKA DB</t>
  </si>
  <si>
    <t>NEFROLOŠKA DB</t>
  </si>
  <si>
    <t>NEUROHIRURŠKA DB</t>
  </si>
  <si>
    <t>NEUROHIRURŠKA SLUŽBA</t>
  </si>
  <si>
    <t xml:space="preserve">TRAUMA </t>
  </si>
  <si>
    <t>URGENTNA STANJA - TRAUMA</t>
  </si>
  <si>
    <t>SL.ZA SPEC. I KONS. PREGLEDE - HIRURGIJA</t>
  </si>
  <si>
    <t>SL.ZA SPEC. I KONS. PREGLEDE - BARO MEDICINA</t>
  </si>
  <si>
    <t>SL.ZA SPEC. I KONS. PREGLEDE - TRAUMA</t>
  </si>
  <si>
    <t>UROLOŠKA DB</t>
  </si>
  <si>
    <t>AKUŠERSKA DB</t>
  </si>
  <si>
    <t>DB BARO MEDICINA</t>
  </si>
  <si>
    <t>ENDOKRINA DB</t>
  </si>
  <si>
    <t>ENDOKRINA ODELJENJE</t>
  </si>
  <si>
    <t>ENDOSKOPSKA DB</t>
  </si>
  <si>
    <t>GERIJATRIJA</t>
  </si>
  <si>
    <t>GRIJATRIJA AM</t>
  </si>
  <si>
    <t>GINEKOLOGIJA</t>
  </si>
  <si>
    <t>HEMATOLOŠKA DB</t>
  </si>
  <si>
    <t>HEMODIJALIZA DB</t>
  </si>
  <si>
    <t>KARDIOLOŠKA DB</t>
  </si>
  <si>
    <t>NEUROLOŠKA DB</t>
  </si>
  <si>
    <t>ONKOLOGIJA DB</t>
  </si>
  <si>
    <t>SL. ZA FIZ MED I REH</t>
  </si>
  <si>
    <t>URGENTNA STANJA -HIRURGIJA</t>
  </si>
  <si>
    <t>URGENTNA STANJA -INTRNISTIČKI PACIJENTI</t>
  </si>
  <si>
    <t>URGENTNA STANJA -NEUROHIRUGIJA</t>
  </si>
  <si>
    <t>SL. ZA SPEC I KONS PREGLEDE</t>
  </si>
  <si>
    <t>SL. ZA SPEC I KONS PREGLEDE -  AM ZA FIZ MED I REH</t>
  </si>
  <si>
    <t>SL ZA SPEC I KONSULTATIVNE PREGLEDE- HIRURGIJA</t>
  </si>
  <si>
    <t>UROLOGIJA</t>
  </si>
  <si>
    <t>35688-02</t>
  </si>
  <si>
    <t>STERILIZACIJA OTVORENIM ABOMINALNIM PRISTUPOM</t>
  </si>
  <si>
    <t>EKSCIZIJA LEZIJE(A) NA KOŽI I POTKOŽNOM TKIVU NOGE</t>
  </si>
  <si>
    <t>35673-02</t>
  </si>
  <si>
    <t>VAGINALNA HISTEREKTOMIJA SA UKLANJANJEM ADNEKSA</t>
  </si>
  <si>
    <t>35729-01</t>
  </si>
  <si>
    <t>TRANSPOZICIJA JAJNIKA</t>
  </si>
  <si>
    <t>37610-00</t>
  </si>
  <si>
    <t>RADIKALNA EKSCIZIJA RETROPERITOEALNIH LIMFNIH ČVOROVA, REDOM</t>
  </si>
  <si>
    <t>46531-00</t>
  </si>
  <si>
    <t>PARCIJALNA RESEKCIJA URASLOG NOKTA NA PRSTU ŠAKE</t>
  </si>
  <si>
    <t>30375-29</t>
  </si>
  <si>
    <t>PRIVREMENA ILEOSTOMA</t>
  </si>
  <si>
    <t>EKSCIZIJA LEZIJE (A) NA KOŽI I POTKOŽNOM TKIVU GENITALIJA</t>
  </si>
  <si>
    <t>UŠIVANJE MIŠIĆA ILI FASCIJE, NEKLASIFIKOVANO NA DRUGOM MESTU</t>
  </si>
  <si>
    <t>30099-00</t>
  </si>
  <si>
    <t>EKSCIZIJA SINUSA NA KOŽI I POTKOŽNOM TKIVU</t>
  </si>
  <si>
    <t>VEŽBE DISANJA U LEČENJU BOLESTI RESPI8RATORNOG SISTEMA</t>
  </si>
  <si>
    <t>600027</t>
  </si>
  <si>
    <t>INFRAZVUK</t>
  </si>
  <si>
    <t>090039</t>
  </si>
  <si>
    <t>PISMENI NALAZ I MIŠLJENJE SOCIJALNOG RADNIKA</t>
  </si>
  <si>
    <t>090043</t>
  </si>
  <si>
    <t>INFORMATIVNI INTERVJU SOCIJALNOG RADNIKA</t>
  </si>
  <si>
    <t>090044</t>
  </si>
  <si>
    <t>SAVETODAVNI INTERVJU SOCIJALNOG RADNIKA</t>
  </si>
  <si>
    <t>090046</t>
  </si>
  <si>
    <t>SARADNJA SA SLUŽBAMA I STRUČNJACIMA SOCIJANE I ZDRAVSTVENE ZAŠTITE I DRUGIH INSTITUCIJE</t>
  </si>
  <si>
    <t>243016</t>
  </si>
  <si>
    <t>PRIPREMA, SUŠENJE I STERILIZACIJA PRIORA I POSUĐA</t>
  </si>
  <si>
    <t>260094</t>
  </si>
  <si>
    <t>DEZINFEKCIJA SANITARNOG ČVORA: PO OBJEKTU</t>
  </si>
  <si>
    <t>260095</t>
  </si>
  <si>
    <t>DEZINFEKCIJA SANITARNOG ČVORA: PO KABINI</t>
  </si>
  <si>
    <t>090216</t>
  </si>
  <si>
    <t>SMEŠTAJ PACIJENATA U SOCIJALNU USTANOVU</t>
  </si>
  <si>
    <t>SARADNJA SA  SLUŽBAMA I STRUČNJACIMA SOCIJALNE I ZDRAVSTVENE ZAŠTITE I DRUGIH INSTITUCIJA</t>
  </si>
  <si>
    <t>260130</t>
  </si>
  <si>
    <t xml:space="preserve">DEZINFEKCIJA KARANTINSKIH PROSTORA </t>
  </si>
  <si>
    <t>AKUŠERSKA AMBULANTA</t>
  </si>
  <si>
    <t>GINEKOLOGIJA DB</t>
  </si>
  <si>
    <t>GINEKOLOGIJA ODELJENJE</t>
  </si>
  <si>
    <t>GINEKOLOGIJA AM</t>
  </si>
  <si>
    <t>HEMATOLOGIJA DB</t>
  </si>
  <si>
    <t>HEMATOLOGIJA ODELJENJE</t>
  </si>
  <si>
    <t>HEMODIJALIZA - NA NEFRO</t>
  </si>
  <si>
    <t>HIRURGIJA</t>
  </si>
  <si>
    <t>KARDIOLOGIJA</t>
  </si>
  <si>
    <t>NEFROLOGIJA ODELJENJE</t>
  </si>
  <si>
    <t>NEFROLOGIJA</t>
  </si>
  <si>
    <t>NEUROHIRURGIJA DB</t>
  </si>
  <si>
    <t>NEUROHIRURGIJA SL</t>
  </si>
  <si>
    <t>NEUROLOŠKA SL</t>
  </si>
  <si>
    <t>PEDIJATRIJA</t>
  </si>
  <si>
    <t>TRAUMA</t>
  </si>
  <si>
    <t>HITNA STANJA - HIRURGIJA</t>
  </si>
  <si>
    <r>
      <t xml:space="preserve">POSTUPAK ODRŽAVANJA NEINVANZIVE VENTILATORNE PODRŠKE  </t>
    </r>
    <r>
      <rPr>
        <u/>
        <sz val="8"/>
        <rFont val="Times New Roman"/>
        <family val="1"/>
        <charset val="238"/>
      </rPr>
      <t xml:space="preserve">&gt; </t>
    </r>
    <r>
      <rPr>
        <sz val="8"/>
        <rFont val="Times New Roman"/>
        <family val="1"/>
        <charset val="238"/>
      </rPr>
      <t xml:space="preserve">96 SATI </t>
    </r>
  </si>
  <si>
    <t xml:space="preserve">ENDOSKOPSKA SFINKTEROTOMIJA SA EKSTRAKCIJOM KALKUUSA IZ GLAVNOG ĆUČN G KANALA </t>
  </si>
  <si>
    <t>HEMOSTAZA EISTAKSE PREDNJOM TAMPONADOM I ILI KAUTERIZACIJOM</t>
  </si>
  <si>
    <t>SUBKUTANO DAVANJE FARMAKOLOŠKOG SREDSTVA, HRANLJIVA SUPSTANCA</t>
  </si>
  <si>
    <t>30068-00</t>
  </si>
  <si>
    <t>ODSTRANJENJE STRANOGA TELA IZ MEKOG TKIVA, NEKLASIFIKOVANO NA DRUGOM MESTU</t>
  </si>
  <si>
    <t>DIRKTNO ZATVARNAJE FEMORALNE ARTERIJE</t>
  </si>
  <si>
    <t>TERAPIJA KARDIORESPIRAATORNOG/KARDIOVASKULARNOG SISTEMA VEŽBANJEM</t>
  </si>
  <si>
    <t>96205-07</t>
  </si>
  <si>
    <t>NEKI DRUGI NAČIN DAVANJA FARMAKOLOŠKOG SREDSTVA, HRANLJIVA SUPSTANCA</t>
  </si>
  <si>
    <t>INTRAMUSKULARNO DAVANJE FARMAKOLOŠKOG SRDSTVA, ANDIDOT</t>
  </si>
  <si>
    <t>41889-00</t>
  </si>
  <si>
    <t xml:space="preserve">BRONHOSKOPIJA  </t>
  </si>
  <si>
    <t>PRIMENA SREDFSTAVA U KOŽI I POTKOŽNOM TKIVU</t>
  </si>
  <si>
    <t>96201-08</t>
  </si>
  <si>
    <t>INTRAKAVITARNO DAVANJE FARMAKOLOŠKOG SREDSTVA, ELEKTROLIT</t>
  </si>
  <si>
    <t>OSTALE ELEKTOKARDIOGRAFIJE (EKG)</t>
  </si>
  <si>
    <t>30473-03</t>
  </si>
  <si>
    <t>EZOFAGOSKOPIJA</t>
  </si>
  <si>
    <t>46375-00</t>
  </si>
  <si>
    <t>PALMARNA FISCIEKTOMIJA ZBOG DIPITERENOVE KONTRAKTURE KOJA ZAHVATA 2 PRSTA</t>
  </si>
  <si>
    <t>96039-00</t>
  </si>
  <si>
    <t>TEST KONTRASTNE OSETLJIVOSTI</t>
  </si>
  <si>
    <t>INTRAVENSKO DAVANJE FARMAKOLOŠKOG SREDSTA, INSULIN</t>
  </si>
  <si>
    <t>INTRAVENSKO DAVANJE FARMAKOLOŠKOG SRDSTVA, INSULIN</t>
  </si>
  <si>
    <t xml:space="preserve">ZATVORENA REPOZICI </t>
  </si>
  <si>
    <t>45003-01</t>
  </si>
  <si>
    <t>JEDNOSTAVAN I MALI LOKALNI MIOKUTANOŽNI REŽANJ</t>
  </si>
  <si>
    <t>45617-00</t>
  </si>
  <si>
    <t>REDUKCIJA GORNJEG OČNOG KAPKA</t>
  </si>
  <si>
    <t>34130-00</t>
  </si>
  <si>
    <t>ZATVARANJE HIRURŠKI OBLIKOVANE ARTERIOVENSKE FISTULE</t>
  </si>
  <si>
    <t>EKCIZIJA SINUSA NA KOŽI I POTKOŽNOM TKIVU</t>
  </si>
  <si>
    <t>30416-00</t>
  </si>
  <si>
    <t>LAPARASKOPSKA MARSUPIJALIZACIJA CISTE JETRE</t>
  </si>
  <si>
    <t>30520-00</t>
  </si>
  <si>
    <t>LOKALNA EKSSCIZIJA LEZIJE ŽELUDCA</t>
  </si>
  <si>
    <t>32123-00</t>
  </si>
  <si>
    <t>ANOPLASTIKA</t>
  </si>
  <si>
    <t>35638-11</t>
  </si>
  <si>
    <t>LAPARASKOPSKA SALPINGOOVARIEKTOMIJA, JEDNOSTRANA</t>
  </si>
  <si>
    <t>REPARACIJA UPTURE MOKRAĆNE BEŠIKE - OTVORENA</t>
  </si>
  <si>
    <t>90318-00</t>
  </si>
  <si>
    <t>OSTALE REPARACIJE NA JETRI</t>
  </si>
  <si>
    <t>90209-03</t>
  </si>
  <si>
    <t>DIREKTNO ZATVARANJE OSTALIH ARTERIJA</t>
  </si>
  <si>
    <t>DREBAĆA UBTRA-ABDOMINALNOG APSCESA, HEMATOMIMA ILI</t>
  </si>
  <si>
    <t>39312-00</t>
  </si>
  <si>
    <t>OTVORENA NEUROLIZA PERIFERNOG INTERFASCIKULARNOG</t>
  </si>
  <si>
    <t>39321-00</t>
  </si>
  <si>
    <t>TRANSPOZICIJA NERAVA</t>
  </si>
  <si>
    <t>39803-00</t>
  </si>
  <si>
    <t>EKSCIZIJA INTRAKRANIJALNE ARETRIOVENSKE MALFORMACIJE</t>
  </si>
  <si>
    <t>41879-02</t>
  </si>
  <si>
    <t>ZATVARANJE SPOLJAŠNJE FISTULE TRAHEJE</t>
  </si>
  <si>
    <t>41881-02</t>
  </si>
  <si>
    <t>REVIZIJA TRAHEOSTOME</t>
  </si>
  <si>
    <t>45200-00</t>
  </si>
  <si>
    <t xml:space="preserve">JEDNOSTAVAN I MALI LOKALNI REŽANJ KOŽE OSTALIH OBLASTI   </t>
  </si>
  <si>
    <t>47456-01</t>
  </si>
  <si>
    <t>ZATVORENA REPOZICIJA PRELOMA DISTALNOG DELA</t>
  </si>
  <si>
    <t>36564-01</t>
  </si>
  <si>
    <t>PIJELOPLASTIKA - OTVORENA HIRURGIJA (PRIMARNI RAD)</t>
  </si>
  <si>
    <t>90403-00</t>
  </si>
  <si>
    <t>LOKALNA EKSCIZIJA LEZIJE NA PENISU</t>
  </si>
  <si>
    <t>DB ORL I MFH</t>
  </si>
  <si>
    <t>ENDOKRINA</t>
  </si>
  <si>
    <t>HEMODIJALIZNA DB</t>
  </si>
  <si>
    <t>NA HIRURGIJU</t>
  </si>
  <si>
    <t>BARO MEDICINA</t>
  </si>
  <si>
    <t>FIZIKALNA</t>
  </si>
  <si>
    <t>GASTRO SA HEPATOLOGIJOM</t>
  </si>
  <si>
    <t>SL. BARO MEDICINE</t>
  </si>
  <si>
    <t>UVEŽBAVANJE VEŠTINA U AKTIVNOSTIMA</t>
  </si>
  <si>
    <t>PREOPERATIVNI I RANI PRE I POSTOPERATIVNI</t>
  </si>
  <si>
    <t>260101</t>
  </si>
  <si>
    <t>DEZINFEKCIJA ROBE I POSTELJINE</t>
  </si>
  <si>
    <t>250103</t>
  </si>
  <si>
    <t>OTVARANJE MEDICINSKE DOKUMENTACIJE ILI UPISIVANJE U ZDRAVSTVENU DOKUMENTACIJU</t>
  </si>
  <si>
    <t>260056</t>
  </si>
  <si>
    <t>IMUNIZACIJA PO EPIDEMIOLOŠKIM INDIKACIJAMA (BESNILO, TETANUS, HEPATITIS, B ITD)</t>
  </si>
  <si>
    <t>UKLANJANJE KAATETERA IZ KIČMENOG PROSTORA</t>
  </si>
  <si>
    <t>POSTUPAK ODRŽAVANJA KONTINUIRANE VENTILATORNE PODRŠKE, &gt;24 SATI I &lt;96 SATI</t>
  </si>
  <si>
    <t>OPŠTA ANESTEZIJA, ASA 19</t>
  </si>
  <si>
    <t>37300-00</t>
  </si>
  <si>
    <t>PLASIRANJE URETRALNE SONDE</t>
  </si>
  <si>
    <t>96201-03</t>
  </si>
  <si>
    <t>INTRAKAVITARNO DAVANJE FARMAKOLOŠKOG SREDSTVA, STEROID</t>
  </si>
  <si>
    <t>INTRAKAVITARNO DAVANJE FARMAKOLOŠKOG SREDSTVA, DRUGO I NEKLASIFIKOVANO FARMAKOLOŠKO SREDSTVO</t>
  </si>
  <si>
    <t>92509-10</t>
  </si>
  <si>
    <t>REGIONALNA BLOKADA, NERVA GORNJEG EKSTREMITTA, ASA 19</t>
  </si>
  <si>
    <t>POSTUPAK ODRŽAVANJA NEINVAZIVNE VENTILATORNE PODRŠKE &gt;  24 SATA I &lt; 96 SATI</t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</si>
  <si>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&gt;</t>
    </r>
  </si>
  <si>
    <t>11332-00</t>
  </si>
  <si>
    <t>ISPITIVANJE OTOAKUSTIČKE EMISIJE IZVZVANE KLIKOM (TEOAE)</t>
  </si>
  <si>
    <t>BIOMEHANIČKA PROCENA</t>
  </si>
  <si>
    <t>96132-00</t>
  </si>
  <si>
    <t>UVEŽBAVANJE VEŠTINA U VEZI SA SLUHOM</t>
  </si>
  <si>
    <t>INTRAMUSKULARNO DAVANJE FARMAKOLŠKOG SREDSTVA, HRANLJIVA SUPSTANCA</t>
  </si>
  <si>
    <t>NEKI DRUGI NAČIN DAVANJA FARMAKOLOŠKOG SREDSTVA, ANTINEOPLANSKO SREDSTVO</t>
  </si>
  <si>
    <t>59970-02</t>
  </si>
  <si>
    <t>CEREBRALNA ANGIOGRAFIJA</t>
  </si>
  <si>
    <r>
      <t xml:space="preserve">POSTUPAK ODRŽAVANJA NEINVAZIVNE VENTILATORNE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SATA </t>
    </r>
  </si>
  <si>
    <t>TERAPIJA MIŠIĆA RUKU, RUČNOG ZGLOBA ILI ZGLOBOVA PRSTIJU VEŽBANJEM</t>
  </si>
  <si>
    <t>LARINGOSKOPIJA</t>
  </si>
  <si>
    <t>KATETERIZACIJA/KANILACIA OSTALIH VENA</t>
  </si>
  <si>
    <t>81832-02</t>
  </si>
  <si>
    <t>PROCENA RAZLIKOVANJA BOJA</t>
  </si>
  <si>
    <t>PREGLED/PROCENA SEGMENTA, PREDNJA KOMORA</t>
  </si>
  <si>
    <t>NEURAKSIJALNA BLOKADA, ASA 49</t>
  </si>
  <si>
    <t>NENAZNAČEN NAČIN DAVANJA FARMAKOLOŠKOG SREDSTVA, ANTI-INFEKTIVNO SREDSTVO</t>
  </si>
  <si>
    <t>ALERGOPULMOLOŠKA AM</t>
  </si>
  <si>
    <t>INTRAVENTKO DAVANJE FARMAKOLOŠKOG SREDSTVA, INSULIN</t>
  </si>
  <si>
    <t xml:space="preserve">DB TRAUMA </t>
  </si>
  <si>
    <t>90342-00</t>
  </si>
  <si>
    <t>ŠAV KOD LACERACIJE REKTUMA</t>
  </si>
  <si>
    <t>35595-01</t>
  </si>
  <si>
    <t>REPARACIJA KARLIČNOG DNA ABDOMINALNIM PRISTUPOM</t>
  </si>
  <si>
    <t>46516-01</t>
  </si>
  <si>
    <t>UKLANJANJE NOKTA NA PRSTU ŠAKE</t>
  </si>
  <si>
    <t>30224-00</t>
  </si>
  <si>
    <t>PERKUTANA DRENAŽA APSCESA MEOG TKIVA</t>
  </si>
  <si>
    <t>30460-00</t>
  </si>
  <si>
    <t>HOLECISTODUODENOSTOMIJA</t>
  </si>
  <si>
    <t>30511-00</t>
  </si>
  <si>
    <t>REDUKCIJA ŽELUDCA</t>
  </si>
  <si>
    <t>30587-00</t>
  </si>
  <si>
    <t>ANASTOMOZA PANKERASA SA ROUX-EN Y VIJUGE JEJUNEMA</t>
  </si>
  <si>
    <t>35565-01</t>
  </si>
  <si>
    <t>LAPAROSKOPSKA MIOMEKTOMIJA</t>
  </si>
  <si>
    <t>SALPINGEKTOMIJA, OBOSTRANA</t>
  </si>
  <si>
    <t>36558-01</t>
  </si>
  <si>
    <t>REIMPLANTACIJA URETERA U MOKRAĆNU BEŠIKU (JEDNOSTRANA)</t>
  </si>
  <si>
    <t>EKCIZIJA ILI LIGATURA KOMPLEKSE ARTERIOVENSKE FISTULE</t>
  </si>
  <si>
    <t>92035-01</t>
  </si>
  <si>
    <t>KONTINUIRANA VENTILACIJA NEGATIVNIM PRITISKOM (KVNP)</t>
  </si>
  <si>
    <t>41737-00</t>
  </si>
  <si>
    <t>OSTALE ENDONAZALNE PROCEDURE NA FRONTALNOM SINUSU</t>
  </si>
  <si>
    <t>41804-00</t>
  </si>
  <si>
    <t>UKLANJANJE LINGVALNOG KRAJNIKA</t>
  </si>
  <si>
    <t>47786-00</t>
  </si>
  <si>
    <t>OTVORENA REPOZICIJA PRELOMA MAKSILE SA UNUTRAŠNJOM FIKSACIJOM</t>
  </si>
  <si>
    <t>INCIZIJA I DRENAŽA HEMTOMA KOŽE I POTKOŽNOG TKIVA</t>
  </si>
  <si>
    <t>46498-00</t>
  </si>
  <si>
    <t>EKSCIZIJA GANGLIONA TETIVE OVOJNICE FLEKSORA ŠAKE</t>
  </si>
  <si>
    <t>47393-01</t>
  </si>
  <si>
    <t>OTVORENA REPOZICIJA PRELOMA TELA RADIJUS I ULNE SA UNUTRAŠNOM</t>
  </si>
  <si>
    <t>EKSCIZIJA LEZIJE(A) NA KOŽI I POTKOŽNOM TKIVU OSTALIH OBLASTI</t>
  </si>
  <si>
    <t>97323-01</t>
  </si>
  <si>
    <t>HIRURŠKO UKLANJANJE JEDNOG ZUBA KOJE ZAHTEVA UKLANJANJE KOSTI</t>
  </si>
  <si>
    <t>30075-13</t>
  </si>
  <si>
    <t>BIOPSIJA TANKOG CREVA</t>
  </si>
  <si>
    <t>HOLECISTEKTOMIJA</t>
  </si>
  <si>
    <t>TOTALNA KLASIČNA ABDOMIJNALNA HISTEREKTOMIJA</t>
  </si>
  <si>
    <t>36540-00</t>
  </si>
  <si>
    <t>NEFROLITOTOMIJA SA ODSTRANJENJEM &gt; 2 KALKULUSA</t>
  </si>
  <si>
    <t>PREOPERATIVNI I RANI PRE I POSTOPERATIVNI TRETMAN KOD PACIJENTA NA ORTOPEDSKOM</t>
  </si>
  <si>
    <t>NEPOSTREDNA POSTOPERATIVNA REHABILITACIJA OSOBE SA AMPUTACIJOM DONJEG</t>
  </si>
  <si>
    <t>600346</t>
  </si>
  <si>
    <t>PSIHOFIZIČKA PRIPREMA TRUDNICA SA KOMORBIDITEOM</t>
  </si>
  <si>
    <t>RANA REHABILITACIJA NAKON ABDOMINALNIH HIRURŠKIH INTERVENIJA</t>
  </si>
  <si>
    <t>600169</t>
  </si>
  <si>
    <t>FUNKCIONALNA RADNA TERAPIJA - GRUPNA</t>
  </si>
  <si>
    <t>600124</t>
  </si>
  <si>
    <t>VEŽBE NA SPRAVAM ILI ERGIOBICIKLU</t>
  </si>
  <si>
    <t>HEMODIJALIZA</t>
  </si>
  <si>
    <t>NEUROHIRURŠKA SL</t>
  </si>
  <si>
    <t>16573-00</t>
  </si>
  <si>
    <t>SUTURA RASCEPA PERINEUMA TREĆEG ILI ČETVRTOG STEPENA</t>
  </si>
  <si>
    <t>92513-69</t>
  </si>
  <si>
    <t>INFILTRACIJA LOKALNOG ANESTETIKA, ACA 30</t>
  </si>
  <si>
    <t xml:space="preserve">POSTUPAK ODRŽAVANJA NEINVAZIVNE VENTILATORNE PODRŠKE, </t>
  </si>
  <si>
    <t>INTRAMUSKULARNO DAVANJE FARMAKOLOŠKOG SREDSTVA, HRANLJIVA SUPSTANCA</t>
  </si>
  <si>
    <t>30094-06</t>
  </si>
  <si>
    <t>PERKUTANA IGLENA BIOPSIJA INTRAABDOMINALNE MASE</t>
  </si>
  <si>
    <t>INTRAVENSKO DAVANJE FARMAKOLOŠKOG SREDSTVA,HRANLJIVA SUPSTANCA</t>
  </si>
  <si>
    <t>ULANJANJE OSTALIH VAGINALNIH PESARA</t>
  </si>
  <si>
    <t>INTRATEKALNO DAVANJE FARMAKOLOŠKOG SREDSTVA, ABTUBEIOPLASTIČKO SREDSTVO</t>
  </si>
  <si>
    <t>NENAZNAČEN NAČIN DAVANJA FARMAKOLOŠKOG SREDSTVA DRUGO I NEKLASIFIKOVANA FARMAKOLOŠKO</t>
  </si>
  <si>
    <t>PUNJENJE UREŠAJA ZA DAVANJE LEKA ANTINEOPLASTIČKO SREDSTVO</t>
  </si>
  <si>
    <t>BIOPSIJA SENTINEL LIMFNOG ČVORA PEPONE</t>
  </si>
  <si>
    <t>18216-28</t>
  </si>
  <si>
    <t>32153-00</t>
  </si>
  <si>
    <t>GINEKOLOGOŠKI PREGLED</t>
  </si>
  <si>
    <t>90345-00</t>
  </si>
  <si>
    <t>KONTROLA POSTOPERATIVNOG KRVARENJA IIZ REKTUMA ILI ANUSA</t>
  </si>
  <si>
    <t>90545-00</t>
  </si>
  <si>
    <t>INCIZIJA MEKIH TKIVA ŠAKE</t>
  </si>
  <si>
    <t xml:space="preserve">UVEŽBAVANJE VEŠTINA U VEZI SA SLUHOM </t>
  </si>
  <si>
    <t>92203-09</t>
  </si>
  <si>
    <t>ORALNO DAVANJE FAARMAKOLOŠKOG SREDSTVA, DRUGO I NEKLASIFIKOVANO FARMAKOLOŠKO SREDSTVO</t>
  </si>
  <si>
    <t>13300-00</t>
  </si>
  <si>
    <t>KATETERIZACIJA/KANILACIJA OSTALIH VENA NOVOROĐENČETA</t>
  </si>
  <si>
    <t>HEMOSTAZA EPISTAKSE PREDNJOM TAMPONADOM I /ILI KAUTERIZACIJOM</t>
  </si>
  <si>
    <t>UDRUŽENE ZDRAVSTVENE PROCEDURE, PATLOGIJA GOVORA</t>
  </si>
  <si>
    <t>AUDIOMETRIJJA, ELEKTRIČNOM AUDITORNIM ODGOVOROM MOŽDANOG STABLA</t>
  </si>
  <si>
    <t>INTRATEKALNO DAVANJE FARMAKOLOŠKOG SREDSTVA, ANTINEOPLASTIČKO SREDSTVO</t>
  </si>
  <si>
    <t>INSPEKCIJA BUBNE OPNE, JEDNOSTRANO</t>
  </si>
  <si>
    <t>41895-00</t>
  </si>
  <si>
    <t>BRONHOSKOPIJA SA UKLANJANJEM STRANOG TELA (RIGIDNA)</t>
  </si>
  <si>
    <t>47741-00</t>
  </si>
  <si>
    <t>OTVORENA REPOZICIJA PRELOMA NOSNE KOSTI</t>
  </si>
  <si>
    <t>96098-00</t>
  </si>
  <si>
    <t>PARENTERALNA NUTRITIVNA PODRŠKA</t>
  </si>
  <si>
    <t>TEST KOŽNE OSETLJIVOSTI SA &lt; 20 ALERGENA</t>
  </si>
  <si>
    <t>50112-00</t>
  </si>
  <si>
    <t>OPUŠTANJE KONTRAKTURE ZGLOBA, NEKLASIFIKOVANO NA DRUGOM MESTU</t>
  </si>
  <si>
    <t>PRIMENA DRUGOG TERAPEUTSKOG SREDSTVA U ANOREKTALNOM PODRUČJU</t>
  </si>
  <si>
    <t>NEUROAKSIJALNA BLOKADA, ASA 20</t>
  </si>
  <si>
    <t>90313-00</t>
  </si>
  <si>
    <t>OSTALE PROCEDURE REPARACIJA REKTUMA</t>
  </si>
  <si>
    <t>31235-02</t>
  </si>
  <si>
    <t>EKSCIZIJALEZIJE (A)  NA KOŽI I POTKOŽNOM TKIVU ŠAKE</t>
  </si>
  <si>
    <t>EKSCIZIJA LEZIJE(A) NA KOŽI I POTKOŽNOM TKIVU ŠAKE</t>
  </si>
  <si>
    <t>46528-00</t>
  </si>
  <si>
    <t>KLINASTA RESEKICJA URASLOG NOKTA NA PRSTU ŠAKE</t>
  </si>
  <si>
    <t>30075-09</t>
  </si>
  <si>
    <t>BIOPSIJA SLEZINE</t>
  </si>
  <si>
    <t>30315-01</t>
  </si>
  <si>
    <t>TOTALNA PARATIROIDEKTOMIJA</t>
  </si>
  <si>
    <t>30375-02</t>
  </si>
  <si>
    <t>KOLOTOMIJA</t>
  </si>
  <si>
    <t>30375-14</t>
  </si>
  <si>
    <t>INCIIZIJA I DRENAŽA PANKREASA</t>
  </si>
  <si>
    <t>30375-15</t>
  </si>
  <si>
    <t>GASTROTOMIJA SA ODSTRANJENJEM STRANOG TELA</t>
  </si>
  <si>
    <t>30450-00</t>
  </si>
  <si>
    <t>30469-00</t>
  </si>
  <si>
    <t>REPARACIJA HBILIJARNE STRUKTURE</t>
  </si>
  <si>
    <t>30472-01</t>
  </si>
  <si>
    <t>REPARACIJA ZAJEDNIČKOG ŽUČNOG VODA</t>
  </si>
  <si>
    <t>30497-01</t>
  </si>
  <si>
    <t>SELEKTIVNA VAGOTOMIJA SA PARCIJANOM GASTRREKTOMIJOM I GASTROJEUNAULNOM ANASTOMOZOM</t>
  </si>
  <si>
    <t>31423-01</t>
  </si>
  <si>
    <t>REGIONALNA EKSCIZIJA LIMFNIH ČVOROVA NA VRATU</t>
  </si>
  <si>
    <t>31518-01</t>
  </si>
  <si>
    <t>JEDNOSTRAVNA MASTEKTOMIJA, OBOSTRANA</t>
  </si>
  <si>
    <t>32166-01</t>
  </si>
  <si>
    <t>PODEŠAVANJE ANALNOG SETONA</t>
  </si>
  <si>
    <t>33818-01</t>
  </si>
  <si>
    <t>REPARACJA BRAHIJALNE ARTERIJE DIEKTNOM ANASTOMOZOM</t>
  </si>
  <si>
    <t>34103-13</t>
  </si>
  <si>
    <t>PREKID FEMORALNE ARTERIJE</t>
  </si>
  <si>
    <t>35638-01</t>
  </si>
  <si>
    <t>LAPAROSKOPSKA PARCIJALAN OVARIEKTOMIJA</t>
  </si>
  <si>
    <t>45221-01</t>
  </si>
  <si>
    <t>MALI DIREKTNO UDALJENI REŽANJ KOŽE, PRVI STADIJUM</t>
  </si>
  <si>
    <t>90341-00</t>
  </si>
  <si>
    <t>EKSCIZIJA OSTALH LEZIJA REKTUMA</t>
  </si>
  <si>
    <t>39609-00</t>
  </si>
  <si>
    <t>DEBRIDMAN SLOŽENE FRAKTURE LOBANJE</t>
  </si>
  <si>
    <t>41785-00</t>
  </si>
  <si>
    <t>PARCIJALNA FARINGKTOMIJA SA PARCIJALNOM GLOSEKTOMIJOM</t>
  </si>
  <si>
    <t>41868-00</t>
  </si>
  <si>
    <t>REKANALIZACIJA LARIGEALNOG PROSTORA LARINGOMIKROSKOPSKIM ATEHNIKAMA</t>
  </si>
  <si>
    <t>45587-00</t>
  </si>
  <si>
    <t>MELOPLASTIKA,  JEDNOSTRANA</t>
  </si>
  <si>
    <t>90083-00</t>
  </si>
  <si>
    <t>OSTALE PROCEDURE NA ORBITI</t>
  </si>
  <si>
    <t>90684-00</t>
  </si>
  <si>
    <t>OSTALE REKONSTRUKCIJE KOSTIJU LICA</t>
  </si>
  <si>
    <t>34103-18</t>
  </si>
  <si>
    <t>PREKID FEMORALNE VENE</t>
  </si>
  <si>
    <t>47366-00</t>
  </si>
  <si>
    <t>OTVORENA REPOZICIJA PRELOMA DISTALNOG DELA RADIJUSA</t>
  </si>
  <si>
    <t>47366-31</t>
  </si>
  <si>
    <t>OTVORENA REPOZICIJA PELOMA DISTALNOG DELA ULNE SA SPOLJAŠNJOM FIKSACIJOM</t>
  </si>
  <si>
    <t>49211-00</t>
  </si>
  <si>
    <t>REVIZIONA ARTROPLASTIKA RUČNOG ZGLOBA SA KOŠTANIM GRAFTOM</t>
  </si>
  <si>
    <t>50130-00</t>
  </si>
  <si>
    <t>PRIMENA SPOLJAŠNJEG FIKSATORA, NEKLASIFIKOVANA NA DRUGOM MESTU</t>
  </si>
  <si>
    <t>90558-00</t>
  </si>
  <si>
    <t>OTVORENA EPOZICIJA PRELOMA SKOČNOG ZGLOBA</t>
  </si>
  <si>
    <t>90572-00</t>
  </si>
  <si>
    <t>OSTEKTOMIJA, NEKLASIFIKOVANA NA DRUGOM MESTU</t>
  </si>
  <si>
    <t>990582-00</t>
  </si>
  <si>
    <t>UŠIVANJE LIGAMENATA, NEKLASIFIKOVANO NA DRUGOM MESTU</t>
  </si>
  <si>
    <t>30644-12</t>
  </si>
  <si>
    <t>OSTALE PROCEDURE NA SPERMATIČNOJ VRPCI, EPIDIDIMISU II SEEVODU (VAS DEFERENS)</t>
  </si>
  <si>
    <t>36824-01</t>
  </si>
  <si>
    <t>ENDOSKOPSKA KATETERIZACIJA URETERA - OBOSTRANA</t>
  </si>
  <si>
    <t>37200-04</t>
  </si>
  <si>
    <t>RETROPUBIČNA PROSTATEKTOMIJA</t>
  </si>
  <si>
    <t>38424-02</t>
  </si>
  <si>
    <t>PLEURODEZA</t>
  </si>
  <si>
    <t>96096-00</t>
  </si>
  <si>
    <t>ORALNA NUTRITIVNA PODRŠKA</t>
  </si>
  <si>
    <t>EKSTRAKCIJA ŽUČNIH KAMENACA POMOĆU METODA VIZUELIZACIJE</t>
  </si>
  <si>
    <t>LAPARASKOPSKA PARCIJALNA SALPINGEKTOMIJA, JEDNOSTRANO</t>
  </si>
  <si>
    <t>33175-00</t>
  </si>
  <si>
    <t>REPARACIJA RUPTURIRANE ANEURIZME U EKSTREMITETIMA</t>
  </si>
  <si>
    <t>92516-00</t>
  </si>
  <si>
    <t>90582-00</t>
  </si>
  <si>
    <t>Incizija i drenaža pankreasa</t>
  </si>
  <si>
    <t>Regionalna ekscizija limfnih čvorova na vratu</t>
  </si>
  <si>
    <t>90135-00</t>
  </si>
  <si>
    <t>11919-00</t>
  </si>
  <si>
    <t>DODATE ONE NEOPREDELJENE USLUGE JAN-JUN 2019</t>
  </si>
  <si>
    <t>MENADŽMENT NEURAKSIJALNA BLOKADE</t>
  </si>
  <si>
    <t>47655-02</t>
  </si>
  <si>
    <t>ZATVORENA REPOZICIJA UNUTARZGLOBNOG PRELOMA TELA TIBIJE SA UNUTRAŠNJOM FIKSACIJOM</t>
  </si>
  <si>
    <t>EKSCIZIJA LEZI8JA NA JEZIKU</t>
  </si>
  <si>
    <t>MIKCIONA CISTOURETROFRAFIJA</t>
  </si>
  <si>
    <t>Privremena kolostoma</t>
  </si>
  <si>
    <t>Privremena ileostoma</t>
  </si>
  <si>
    <t>30545-01</t>
  </si>
  <si>
    <t>Ezofagektomija abdominalnom i torakalnom mobilizacijom, sa torakalnom anastomozom koristeći Roux-en-Y rekonstrukciju</t>
  </si>
  <si>
    <t>30562-05</t>
  </si>
  <si>
    <t>Zatvaranje ostalih stoma debelog creva</t>
  </si>
  <si>
    <t>30593-00</t>
  </si>
  <si>
    <t>Pankreatektomija</t>
  </si>
  <si>
    <t>Orhidektomija, obostrana</t>
  </si>
  <si>
    <t>Ekscizija limfnog čvora vrata</t>
  </si>
  <si>
    <t>Radikalna ekscizija limfnih čvorova vrata</t>
  </si>
  <si>
    <t>45227-00</t>
  </si>
  <si>
    <t>Indirektni udaljeni režanj kože, oblikovanje tubirane peteljke (pedikule)</t>
  </si>
  <si>
    <t>45233-00</t>
  </si>
  <si>
    <t>Indirektni udaljeni režanj kože, priprema, transfer i povezivanje za intermedijalnu oblast</t>
  </si>
  <si>
    <t>U8184901</t>
  </si>
  <si>
    <t>Oksimetrija</t>
  </si>
  <si>
    <t>Intravensko davanje farmakološkog sredstva, drugo i neklasifikovano farmakološko sredstvo</t>
  </si>
  <si>
    <t>U1150371</t>
  </si>
  <si>
    <t>Inhalacioni provokacioni testovi – specifičnim alergenima</t>
  </si>
  <si>
    <t>U8184900</t>
  </si>
  <si>
    <t>Bronhodilatatorni test</t>
  </si>
  <si>
    <t>U8183342</t>
  </si>
  <si>
    <t>Intervencija uz upotrebu dijagnostičkih oftamoloških lekova</t>
  </si>
  <si>
    <t>U8185805</t>
  </si>
  <si>
    <t>Glukagonski test</t>
  </si>
  <si>
    <t>U8183230</t>
  </si>
  <si>
    <t>Procena opšteg izgleda oka i adneksa</t>
  </si>
  <si>
    <t>U8183271</t>
  </si>
  <si>
    <t>Pregled/procena zadnjeg segmenta</t>
  </si>
  <si>
    <t>Epiduralna injekcija lokalnog anestetika</t>
  </si>
  <si>
    <t>Ekscizija ostalih lezija debelog creva</t>
  </si>
  <si>
    <t>U8188000</t>
  </si>
  <si>
    <t>Tretman Bioptron lampom</t>
  </si>
  <si>
    <t>U8183601</t>
  </si>
  <si>
    <t>Procentualni gubitak sluha po Fauleru (Fowler)</t>
  </si>
  <si>
    <t>U8183603</t>
  </si>
  <si>
    <t>Ispitivanje sluha zvučnim viljuškama</t>
  </si>
  <si>
    <t>U8188702</t>
  </si>
  <si>
    <t>Aplikacija leka u nos</t>
  </si>
  <si>
    <t>Intrakavitarno davanje farmakološkog sredstva, steroid</t>
  </si>
  <si>
    <t>U9601201</t>
  </si>
  <si>
    <t>Defektološka anamneza i observacija</t>
  </si>
  <si>
    <t>U8188706</t>
  </si>
  <si>
    <t>Kauterizacija proširenih vena nosnog kavuma</t>
  </si>
  <si>
    <t>U8183260</t>
  </si>
  <si>
    <t>Pregled/procena očne duplje</t>
  </si>
  <si>
    <t>U8183261</t>
  </si>
  <si>
    <t>Pregled/procena očnog kapka</t>
  </si>
  <si>
    <t>U8183262</t>
  </si>
  <si>
    <t>Pregled/procena očne jabučice</t>
  </si>
  <si>
    <t>U8183263</t>
  </si>
  <si>
    <t>Pregled/procena suznog filma</t>
  </si>
  <si>
    <t>U8183264</t>
  </si>
  <si>
    <t>Pregled/procena prednjeg segmenta, konjunktiva</t>
  </si>
  <si>
    <t>U8183265</t>
  </si>
  <si>
    <t>Pregled/procena prednjeg segmenta, rožnjača</t>
  </si>
  <si>
    <t>U8183266</t>
  </si>
  <si>
    <t>Pregled/procena prednjeg segmenta, prednja komora</t>
  </si>
  <si>
    <t>U8183267</t>
  </si>
  <si>
    <t>Pregled/procena prednjeg segmenta, dužica</t>
  </si>
  <si>
    <t>U8183268</t>
  </si>
  <si>
    <t>Pregled/procena prednjeg segmenta, sočivo</t>
  </si>
  <si>
    <t>U8183269</t>
  </si>
  <si>
    <t>Pregled/procena prednjeg segmenta, ostalo</t>
  </si>
  <si>
    <t>U8183272</t>
  </si>
  <si>
    <t>Merenje/procena intra-okularnog pritiska</t>
  </si>
  <si>
    <t>U8183273</t>
  </si>
  <si>
    <t>Pregled/procena zenice, izgled</t>
  </si>
  <si>
    <t>U8183274</t>
  </si>
  <si>
    <t>Pregled/procena zenice, reakcije</t>
  </si>
  <si>
    <t>U8183301</t>
  </si>
  <si>
    <t>Oftalmološka optička intervencija, recept, naočare</t>
  </si>
  <si>
    <t>U8183343</t>
  </si>
  <si>
    <t>Intervencija uz upotrebu terapeutskih oftamoloških lekova1833</t>
  </si>
  <si>
    <t>Terapija zgloba kuka vežbanjem</t>
  </si>
  <si>
    <t>Manipulacija/mobilizacija zglobova, neklasifikovana na drugom mestu</t>
  </si>
  <si>
    <t>Uvežbavanje veština korišćenja uređaja ili opreme za pomoć</t>
  </si>
  <si>
    <t>Terapija celog tela vežbanjem</t>
  </si>
  <si>
    <t xml:space="preserve">PREOPERATIVNI I RANI PRE I POSTOPERATIVNI TRETMAN KOD </t>
  </si>
  <si>
    <t>REPARACIJA ZADNJEG DELA VAGINE, VAGINALNI PRISTUP</t>
  </si>
  <si>
    <t>41737-09</t>
  </si>
  <si>
    <t>REPARACIJA I REKONSTRUKCIJA FRONTALNOG SINUSA</t>
  </si>
  <si>
    <t>46501-00</t>
  </si>
  <si>
    <t>EKSCIZIJA GANGLIONA VOLARN STRANE RUČNOG ZGLOBA</t>
  </si>
  <si>
    <t>DRENAŽA INTRA-ABDOMINALNOG APSCESA, HEATOMA ILI CISTE</t>
  </si>
  <si>
    <t>RESEKCIJA REKTUMA I/ILI SIGME UZ FORMIRANJE TERMINALNE KOLOSTOME HARTMANOV POSTUPAK</t>
  </si>
  <si>
    <t>CEKOSTOMA</t>
  </si>
  <si>
    <t>35637-06</t>
  </si>
  <si>
    <t>BIOPSIJA JAJNIKA</t>
  </si>
  <si>
    <t>35637-07</t>
  </si>
  <si>
    <t>LAPARASKOPSKA INCIZIJA CISSTE ILI APSCESA JAJNIKA</t>
  </si>
  <si>
    <t>REPARACIJA INFVINALNE HERNIJE, JEDNOSTRANO</t>
  </si>
  <si>
    <t>30226-00</t>
  </si>
  <si>
    <t>FASCIOTOMIJA, NEKLASIFIKOVANA NA DRUGOM MESTU</t>
  </si>
  <si>
    <t>30563-01</t>
  </si>
  <si>
    <t>REVIZIJA STOME DEBELOG CREVA PREOBLIKOVANJE STOME DEBELOG CREVA</t>
  </si>
  <si>
    <t>OTVORENA BIOSIJA DOJKE</t>
  </si>
  <si>
    <t>32096-00</t>
  </si>
  <si>
    <t>BIOPSIJA PUNE DEBLJINE REKTUMA</t>
  </si>
  <si>
    <t>34103-04</t>
  </si>
  <si>
    <t>EKSPLORACIJA POPLITEALNE ARTERIJE</t>
  </si>
  <si>
    <t>SAKROSPINOZN KOLPOPEKSIJA</t>
  </si>
  <si>
    <t>SALPINGOOVARIEKTOMIJA, OBOSTRANA</t>
  </si>
  <si>
    <t>90567-01</t>
  </si>
  <si>
    <t>FASCIOTOMIJA ZBOG ISHEMIJE DONJEG EKSTREMITETA</t>
  </si>
  <si>
    <t>39330-00</t>
  </si>
  <si>
    <t>OTVORENA NEUROLIZA PERIFERNOG NERVA, NIJE NAVEDENA NA DRUGOM MESTU</t>
  </si>
  <si>
    <t>GASTROTOMIJA</t>
  </si>
  <si>
    <t>30075-26</t>
  </si>
  <si>
    <t>BIOPSIJA U FARINKSU</t>
  </si>
  <si>
    <t>45650-00</t>
  </si>
  <si>
    <t>REVIZIJA RINOPLASTIKE</t>
  </si>
  <si>
    <t>46372-00</t>
  </si>
  <si>
    <t>47366-03</t>
  </si>
  <si>
    <t>OTVORENA REPOZICIJA PRELOMA DISTALNOG DELA ULNE SA UNUTRAŠNJOM FIKSACIJOM</t>
  </si>
  <si>
    <t>47399-00</t>
  </si>
  <si>
    <t xml:space="preserve">OTVORENA REPOZICIJA PRELOMA OLEKRANONA  </t>
  </si>
  <si>
    <t>47591-00</t>
  </si>
  <si>
    <t>UNUTRAŠNJA FIKSACIJA ZGLOBNOG PRELOMA KONDILA FEMURA I ZGLOBNE POVRŠINE TIBIJE SA REPARACIJOM ILI REKONSTRUKCIJOM LIGAMENATA</t>
  </si>
  <si>
    <t>47975-01</t>
  </si>
  <si>
    <t>DEKOMPRESIJSKA FASCIOTOMIJA LISTA ZBOG AKUTNOG KOMPARTAN SINDROMA</t>
  </si>
  <si>
    <t>49324-00</t>
  </si>
  <si>
    <t>REVIZIJA POTPUNE ARTROPLASTIKE KUKA</t>
  </si>
  <si>
    <t>REPARACIJA RANE NA KOŽI I POTKOŽNOM TKIVU OSTALIH OBLASTI, KOJA UKLJUČUJE MEKO TKIVO</t>
  </si>
  <si>
    <t>45831-00</t>
  </si>
  <si>
    <t>EKSCIZIJA PAPILARNE HIPERPLAZIJE NA NEPCU</t>
  </si>
  <si>
    <t>35527-00</t>
  </si>
  <si>
    <t>ELEKTROKAUTERIZACIJA KARUNKULA URETRE</t>
  </si>
  <si>
    <t>POSTOPERATIVNO PONOVNO OTVARANJE MESTA LAPRATOMIJE</t>
  </si>
  <si>
    <t>EKSCIZIJA LEZIJE (A9 NA KOŽI I POTKOŽNOM TKIVU OSTALIH OBLASTI</t>
  </si>
  <si>
    <t>37008-02</t>
  </si>
  <si>
    <t>CISTOLITOTOMIJA - LAPARASKOPSKA</t>
  </si>
  <si>
    <t>DB TRAUMA SA ORTOPEDIJOM</t>
  </si>
  <si>
    <t>GASTRO SA HEPATOLOGIJOM AM</t>
  </si>
  <si>
    <t>KABINET ZA DERMATOVENEROLOGIJU</t>
  </si>
  <si>
    <t>SNIMANJE PROSSEČNOG SIGNALA EKG-A</t>
  </si>
  <si>
    <t>EPIDIRALNA INJEKCIJA LOKALNOG ANETETIKA</t>
  </si>
  <si>
    <t>SUTURA POVREDA REKTUMA I/ILI ANALNOG SFINKTERA BEZ POVREDE PERINEUMA</t>
  </si>
  <si>
    <t>90480-01</t>
  </si>
  <si>
    <t>REPARACIJA RANE NA KOŽI I POTKOŽNOM TKIVU LICA ILI VRATA, KOJA UIKLJUČUJE MEKO TKIVO</t>
  </si>
  <si>
    <t>DAVANJE ANESTETIČKOG SREDSTVA OKO DUGIH PERIFERNIH NERAVA</t>
  </si>
  <si>
    <t>30476-02</t>
  </si>
  <si>
    <t>ENDOSKOPSKO BENDIRANJE VARIKOZITETA JEDNJAKA</t>
  </si>
  <si>
    <t xml:space="preserve">DAVANJE ANESTETIČKOG SREDSTVA OKO DRUGIH PERIFERNIH NERAVA </t>
  </si>
  <si>
    <t>96201-02</t>
  </si>
  <si>
    <t>INTRAKAVITARNO DAVANJE FARMAKOLOŠKOG SREDSTVA, ANTI-INFEKTIVNO SREDSTVO</t>
  </si>
  <si>
    <t>INTRAKAVITARNO DAVANJE FARMAKOLOŠKOG SREDSTVA, EEKTROLIT</t>
  </si>
  <si>
    <t>ENTERALNO DAVANJE FARMAKOLOŠKOG SREDSTVA, ANTI-INFEKTIVNO SREDSTVO</t>
  </si>
  <si>
    <t>INTRAMUSKULARNO DAVANJE FAARMAKOLOŠKOG SREDSTVA, ANTI-INFEKTIVNO SREDSTVO</t>
  </si>
  <si>
    <r>
      <t xml:space="preserve">POSTUPAK ODRŽAVANJA NEINVANZIVNE VENTILAATORNE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>96 SATI</t>
    </r>
  </si>
  <si>
    <t>92519-10</t>
  </si>
  <si>
    <t>INTAVENSKA REGIONALNA ANESTEZIJA, ASA 10</t>
  </si>
  <si>
    <t>TERAPIJA ZGLOVA KUKA VEŽBANJEM</t>
  </si>
  <si>
    <t>NEKI DRUGI NAČIN DAVANJA FARMAKOLOŠKOG SREDSTVA, INSULIN</t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</si>
  <si>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24 SATI I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96 SATI</t>
    </r>
  </si>
  <si>
    <r>
      <t>POSTUPAK ODRŽAVANJA NEINVANZIVNE VENTILATORNE PODRŠKE,</t>
    </r>
    <r>
      <rPr>
        <u/>
        <sz val="8"/>
        <rFont val="Times New Roman"/>
        <family val="1"/>
        <charset val="238"/>
      </rPr>
      <t xml:space="preserve"> &gt; 96 SATI</t>
    </r>
  </si>
  <si>
    <t>PREGLED NOVORODJENČETA</t>
  </si>
  <si>
    <t>18274-02</t>
  </si>
  <si>
    <t>DAVANJE ANESTETIČKOG SREDSTVA OKO PARAVERTIBRALNOG LUMBALNOG NERVA</t>
  </si>
  <si>
    <t>PERKUTANA BIOPSIJA KOSTANE SRŽI, IGLOM METODA JAMAŠIDI</t>
  </si>
  <si>
    <t>ASPIRACIJA HEMASTOMA IZ KOŽE I POTKOŽNOG TKIVA</t>
  </si>
  <si>
    <t>41689-00</t>
  </si>
  <si>
    <t>PARCIJALAN MUKOTOMIJA, JEDNOSTRANA</t>
  </si>
  <si>
    <t>ZAMENA STALNOG URINAARNOG KATETERA - KROZ URETRU (ENDOSKOPSKI)</t>
  </si>
  <si>
    <t>UVEŽBAVANJE</t>
  </si>
  <si>
    <t>30484-01</t>
  </si>
  <si>
    <t>ENDOSKOPSKA RETROGRADNA HOLANGIOGRAFIJA (ERC)</t>
  </si>
  <si>
    <t>90568-00</t>
  </si>
  <si>
    <t>INCIZIJA MIŠIĆA, NEKLASIFIKOVANA NA DRUGOM MESTU</t>
  </si>
  <si>
    <t>REPARACIJA RANE NA KOŽI I POTKOŽNOM TKIVU LICA ILI VATA, KOJA UKLJUČUJE MEKO TKIVO</t>
  </si>
  <si>
    <t xml:space="preserve">ISPIRANJE OKA </t>
  </si>
  <si>
    <t>REGIONALNA BLOKADFA, NERVA GLAVE ILI VRATA, ASA 19</t>
  </si>
  <si>
    <t>REGIONALNA BLOKADA, NERVA DONJEG EKSTREMITETA, ASA 30</t>
  </si>
  <si>
    <t>REGIONALNA BLOKADA, NERVA DONJEG EKSTREMITETA, ASA 49</t>
  </si>
  <si>
    <t>ENTERALNO DAVANJE FARMAKOLOŠKOG SRESTVA, HRANLJIVA SUPSTANCA</t>
  </si>
  <si>
    <t>60000-01</t>
  </si>
  <si>
    <t>DIGITALNO SUPTRAKCIONA ANGIOGRAFIJA GLAVE ILI VRATA SA AORTOGRAFIJOM LUKA, TRI ILI MANJE NIZOVA PRIKUPLJANJA</t>
  </si>
  <si>
    <t>IMOBILIZACIJA PRLOMA TELA HUMERUSA</t>
  </si>
  <si>
    <t>INTRAVENSKO DAVANJE FARMAKOLOŠKOG SREDSVA ANTIDOT</t>
  </si>
  <si>
    <t>ELSTERMO CTG ,PMOTPROMG FETUSA</t>
  </si>
  <si>
    <t>ORALNO DAVANJE FARMAKOLOŠKOG SREDSTV, INSULIN</t>
  </si>
  <si>
    <t>ZATVORENA REPOZICIJA IŠČAŠENJA SKOČNOG ZGLOBA</t>
  </si>
  <si>
    <t>ASPIRACIJA ZGLOBA ILI NEKE DRUGE SINOVIJSKE ŠUPLJINE, NEKLSIFIKOVANA NA DRUGOM MESTU</t>
  </si>
  <si>
    <t>36800-02</t>
  </si>
  <si>
    <t>ZAMENA SUPRAPUBIČNOG KATETERA (CISTOSTOMASKOG)</t>
  </si>
  <si>
    <t>NEUROAKSIJALNA BLOKADA, ASA 10</t>
  </si>
  <si>
    <t>96206-06</t>
  </si>
  <si>
    <t>NENAZNAČEN NAČIN DAVANJA FARMAKOLOŠKOG SREDSTVA, INSULIN</t>
  </si>
  <si>
    <t>NEUROLOGIJA</t>
  </si>
  <si>
    <t>TRANSFUZIJA</t>
  </si>
  <si>
    <t>NEUROHIRURGIJA</t>
  </si>
  <si>
    <t>260010</t>
  </si>
  <si>
    <t>EPIDEMIOLOŠKA OBRADA PRIJAVE ZARAZNE BOLESTI</t>
  </si>
  <si>
    <t>DEZINFEKCIJA SANITARNIG ČVORA PO OBJEKTU</t>
  </si>
  <si>
    <t>241024</t>
  </si>
  <si>
    <t>KONSULTACIJA SA LEKARIMA VEZANA ZA FARMAKOLOGIJU</t>
  </si>
  <si>
    <t xml:space="preserve">VEŽBE PACIJENATA SA PARAPLEGIJOM ILI HEMIPLEGIJOM </t>
  </si>
  <si>
    <t>OBUKA AKTU GURANJA KOD CENTRALNIH LEZIJA I STANJA POSLE ORL</t>
  </si>
  <si>
    <t xml:space="preserve">PREOPERATIVNI I RANI P </t>
  </si>
  <si>
    <t>600002</t>
  </si>
  <si>
    <t>SPECIJALISTIČKI PREGLED FIZIJATRA-KONTROLNI</t>
  </si>
  <si>
    <t>600021</t>
  </si>
  <si>
    <t>SUBAKVALNI ULTRAZVUK</t>
  </si>
  <si>
    <t>U8185900</t>
  </si>
  <si>
    <t>MERENJE INTRAABDOMINALNOG PRITISKA</t>
  </si>
  <si>
    <t>U9200101</t>
  </si>
  <si>
    <t>39125-00</t>
  </si>
  <si>
    <t>INSERCIJA ILI ZAMENA SPINALNOG KATETERA</t>
  </si>
  <si>
    <t>30606-01</t>
  </si>
  <si>
    <t>PREŠIVANJE VARIKOZITETA ŽELUDCA</t>
  </si>
  <si>
    <t>32120-00</t>
  </si>
  <si>
    <t>OPERACIJA PO TIRŠU (THIERSCH)</t>
  </si>
  <si>
    <t>96110-00</t>
  </si>
  <si>
    <t>UVEŽBAVANJE VEŠTINA U AKTIVNOSTIMA POVEZANIM SA UČENJEM</t>
  </si>
  <si>
    <t>41644-00</t>
  </si>
  <si>
    <t>EKSCIZIJA IVICE PERFORIRANE BUBNE OPNE</t>
  </si>
  <si>
    <t>92032-00</t>
  </si>
  <si>
    <t>UKLANJANJE STRANOG TELA IZ GRKLJANA, BEZ INCIZIJE</t>
  </si>
  <si>
    <t>PERKUTANA NEFROSTOMIJA (PCN)</t>
  </si>
  <si>
    <t>U9011801</t>
  </si>
  <si>
    <t>INSTALACIJA LEKA KROZ BUUBNU OPNU U BUBNU DUPLJU</t>
  </si>
  <si>
    <t>45048-02</t>
  </si>
  <si>
    <t>EKSCIZIJA LIMFOEDEMATOZNOG TKIVA BEDRA</t>
  </si>
  <si>
    <t>96166-00</t>
  </si>
  <si>
    <t>POMOĆ U AKTIVNOSTIMA VEZANIM ZA POLOŽAJ TELA/MOBILNOST/KRETANJE</t>
  </si>
  <si>
    <t>35680-01</t>
  </si>
  <si>
    <t>REKONSTRUKCIJA MATERICE I POTPORNIH STRUKTURA</t>
  </si>
  <si>
    <t>35688-04</t>
  </si>
  <si>
    <t>ELEKTRODESTRUKCIJA JAJOVODA (LAPARATOMIJA</t>
  </si>
  <si>
    <t>45562-00</t>
  </si>
  <si>
    <t>NEINERVISANI SLOBODNI REŽANJ</t>
  </si>
  <si>
    <t>35694-07</t>
  </si>
  <si>
    <t>SALPINGOSTOMIJA</t>
  </si>
  <si>
    <t>30103-00</t>
  </si>
  <si>
    <t>EKSCIZIJA SINUSA KOJI ZAHVATA MIŠIĆ I DUBOKO TKIVO, NEKLASIFIKOVANA NA DRUGOM MESTU</t>
  </si>
  <si>
    <t>30375-17</t>
  </si>
  <si>
    <t>HIRURPKO REŠAVANJE VOLVULUSA DEBELOG CREVA SA KOLOSTOMOM</t>
  </si>
  <si>
    <t>30458-01</t>
  </si>
  <si>
    <t>INCIZIJA ODIJEVOG (ODDI) SFINKTERA</t>
  </si>
  <si>
    <t>90675-00</t>
  </si>
  <si>
    <t>OSTALE REPARACIJE KOŽE I POTKOŽNOG TKIVA</t>
  </si>
  <si>
    <t>38368-00</t>
  </si>
  <si>
    <t>IMPLANTACIJA PERMANTNTNE ENDOVENSKE ELEKTRODE PEJSMEJKERA U LEVU KOMORU</t>
  </si>
  <si>
    <t>40100-00</t>
  </si>
  <si>
    <t>REPARACIJA SPINALNE MENINGOKELE</t>
  </si>
  <si>
    <t>41689-03</t>
  </si>
  <si>
    <t>TOTALNA MUKOTOMIJA, OBOSTRANA</t>
  </si>
  <si>
    <t>41692-00</t>
  </si>
  <si>
    <t>SUBMUKOZNA RESEKCIJA NOSNIH ŠKOLJKI (KONHI), JEDNOSTRANA</t>
  </si>
  <si>
    <t>41716-04</t>
  </si>
  <si>
    <t>OSTALE ENDONAZALNE PROCEDURE NA MAKSILARNOM SINUSU</t>
  </si>
  <si>
    <t>41737-01</t>
  </si>
  <si>
    <t>OSTALE ENDONAZALNE PROCEDURE NA ETMOIDALNOM SINUSU</t>
  </si>
  <si>
    <t>41787-01</t>
  </si>
  <si>
    <t>UVULEKTOMIJA SA PARCIJALNOM PALATEKTOMIJOM I TONZILEKTOMIJOM</t>
  </si>
  <si>
    <t>52324-00</t>
  </si>
  <si>
    <t>REKONSTRUKCIJA USTA SA DIREKTNIM REŽNJEM JEZIKA, JEDINI ILI PRVI STADIJUM</t>
  </si>
  <si>
    <t>90132-00</t>
  </si>
  <si>
    <t>OSTALE REKONSTRUKCIJE NOSA</t>
  </si>
  <si>
    <t>47018-01</t>
  </si>
  <si>
    <t>ZATVORENA REPOZICIJA IŠČAŠENJA LAKTA SA UNUTRAŠNJOM FIKSACIJOM</t>
  </si>
  <si>
    <t>47366-05</t>
  </si>
  <si>
    <t>OTVORENA REPOZICIJA FRAKTURE FIBULE SA UNUTRAŠNJOM FIKSACIJOM</t>
  </si>
  <si>
    <t>47639-00</t>
  </si>
  <si>
    <t>OTVORENA REPOZICIJA PRELOMA METATARZUSA</t>
  </si>
  <si>
    <t>OVO SU OVE NEOPREDELJENE KOJE SMO DODALI</t>
  </si>
  <si>
    <t>30478-06</t>
  </si>
  <si>
    <t>ENDOSKOPSKA SKLEROZACIJA KRVAREĆE LEZIJE JEDNJAKA</t>
  </si>
  <si>
    <t>UŠIVANJE LIGAMENTA, NEKLASIFIKOVANO NA DRUGOM MESTU</t>
  </si>
  <si>
    <t>HOLEDOHODUODENOSTOMIJA</t>
  </si>
  <si>
    <t>30581-01</t>
  </si>
  <si>
    <t>36594-01</t>
  </si>
  <si>
    <t>URETERO-ENTEROSTOMIJA ILI UETEROSIGMOIDOSTOMIJA</t>
  </si>
  <si>
    <t>45653-00</t>
  </si>
  <si>
    <t>OPERACIJA RINOFIME ŠEJVING (SHAVING) TEHNIKOM</t>
  </si>
  <si>
    <t>47336-01</t>
  </si>
  <si>
    <t>ZATVORENA REPOZICIJA PRELOMA METAKARPUSA SA UNUTRAŠNJOM</t>
  </si>
  <si>
    <t>HEMATOLOGIJA</t>
  </si>
  <si>
    <t>90470-03</t>
  </si>
  <si>
    <t>EKSTRAKCIJA PLODA ZA KARLICU</t>
  </si>
  <si>
    <t>SEDACIJA,ASA 49</t>
  </si>
  <si>
    <t>34112-00</t>
  </si>
  <si>
    <t>EKSCIZIJA ILI LIGATURA JEDNOSTAVNE ARTERIOVENSKE FISTULE NA UDOVIMA</t>
  </si>
  <si>
    <t>92077-00</t>
  </si>
  <si>
    <t>OSTALA ISPIRANJA REKTUMA</t>
  </si>
  <si>
    <t>96152-00</t>
  </si>
  <si>
    <t>BIOFIDBEK</t>
  </si>
  <si>
    <t>NEMEHANIČKA METOD REANIMACIJE / OŽIVLJAVANJA</t>
  </si>
  <si>
    <t>SUBKUTANO DAVANJE FARMAKOLOŠKOG SREDSTVA, TROMBOLITIČKO STEDSTVO</t>
  </si>
  <si>
    <t>92515-50</t>
  </si>
  <si>
    <t>INTRAVENSKO DAVANJE FARMAKOLOŠKOG SRDSTVA, TROMBOLITIČKO SREDSTVO</t>
  </si>
  <si>
    <t>KONTINUIRANO MERENJE ODNOSA IZMEĐU PROTOKA I VOLUMENA TOKOM IZDISAJA ILI UDISAJA</t>
  </si>
  <si>
    <t>PREGLED/PROCENA PRDNJEG SEGMENTA, SOČIVO</t>
  </si>
  <si>
    <t>KADIOLOGIJA</t>
  </si>
  <si>
    <t>34640-03</t>
  </si>
  <si>
    <t>90485-00</t>
  </si>
  <si>
    <t>OSTALE SUTURE LAERACIJA BEZ POVREDA PERINEUMA</t>
  </si>
  <si>
    <t>RAPARACIJA OSTALIH KILA TRBUŠNOG ZIDA</t>
  </si>
  <si>
    <t>30586-01</t>
  </si>
  <si>
    <t>ANASTOMOZA PANKREASA SA ŽELUDCEM</t>
  </si>
  <si>
    <t>HIRURŠKA REDUKCIJA TUMORSKOG TKIVA KARLICE</t>
  </si>
  <si>
    <t>39609-02</t>
  </si>
  <si>
    <t>KOREKCIJA SLOŽENE FRAKTURE LOBANJE</t>
  </si>
  <si>
    <t>39903-00</t>
  </si>
  <si>
    <t>UKLANJANJE INTRAKRANIJALNOG APSCESA</t>
  </si>
  <si>
    <t>40333-00</t>
  </si>
  <si>
    <t>CERVIKALNA DISKEKTOMIJA, JEDAN NIVO</t>
  </si>
  <si>
    <t>41737-03</t>
  </si>
  <si>
    <t>ETMOIDEKTOMIJA, OBOSTRANA</t>
  </si>
  <si>
    <t>52096-00</t>
  </si>
  <si>
    <t>UMETANJE PRIBADAČE ILI ŽICE U MAKSILU, MANDIBULU ILI ZIGOMATIČNU KOST</t>
  </si>
  <si>
    <t>RADIKALNA EKSCIZIJA RETROPERITONEALNIH LIMFNIH ČVOROVA</t>
  </si>
  <si>
    <t>ISPIRANJE OSTALIH TRAJNIH KATETERA MOKRAĆN BEŠIKE</t>
  </si>
  <si>
    <t>30090-00</t>
  </si>
  <si>
    <t>PERKUTANA BIOPSIJA PLEURE IGLOM</t>
  </si>
  <si>
    <t>18274-03</t>
  </si>
  <si>
    <t>DAVANJE ANESTETIČKOG SREDSTVA OKO PARAVERTEBRALNOG SAKRALNOG NERVA</t>
  </si>
  <si>
    <t>REGIONALNA BLOKAA, NERVA GORNJEG EKSTREMITETA, ASA 39</t>
  </si>
  <si>
    <t>POSTUPAK ODRŽAVANJA KONTINUIRANE VENTILATORNE PODRŠKE &gt; 24 SATI I &lt;96 SATI</t>
  </si>
  <si>
    <t>ISPIRANJE UETEROSTOME ILI URETERALNOG KATETERA</t>
  </si>
  <si>
    <t>OPŠTA ANESTEZIJA,ASA 40</t>
  </si>
  <si>
    <t>LUMBALNTA PUNKCIJA</t>
  </si>
  <si>
    <t>INTRAMUSLULARNO DAVANJE FARMAKOLOŠKOG SREDSTVA, STEROID</t>
  </si>
  <si>
    <t>96206-07</t>
  </si>
  <si>
    <t>96206-08</t>
  </si>
  <si>
    <t>NENAZNAČEN NAČIN DAVANJA FARMAKOLOŠKOG SREDSTVA, HRANLJIVA SUPSTANCA</t>
  </si>
  <si>
    <t>NENAZNAČEN NAČIN DAVANJA FARMAKOLOŠKOG SREDSTVA, ELEKTROLIT</t>
  </si>
  <si>
    <t xml:space="preserve">KARDOLOGIJA </t>
  </si>
  <si>
    <t>IZVRŠENJE 2019</t>
  </si>
  <si>
    <t>DEJAN</t>
  </si>
  <si>
    <t>KBC ZEMUN  - KARDIOLOGIJA</t>
  </si>
  <si>
    <t>ŠIFRA</t>
  </si>
  <si>
    <t>NAZIV ODELJENJA</t>
  </si>
  <si>
    <t>I</t>
  </si>
  <si>
    <t>P</t>
  </si>
  <si>
    <t xml:space="preserve">% KOLONA 3/4*100 </t>
  </si>
  <si>
    <t>План за 2021. годину</t>
  </si>
  <si>
    <t xml:space="preserve">ZU-ZAJEDNIČKE USLUGE +USLUGE KOJE SMO DODAVALI SA STARIH IZVRŠENJA NA NOVU USLUGU IZVRŠENJE </t>
  </si>
  <si>
    <t>OVDE JE PLAN 2020</t>
  </si>
  <si>
    <t>PLAN 2021</t>
  </si>
  <si>
    <t>30329-01</t>
  </si>
  <si>
    <t>92001-01</t>
  </si>
  <si>
    <t>REPARACIJA RANE NA KOŽI I POTKOŽNOM TKIVU LICA I VRATA</t>
  </si>
  <si>
    <t>90308-00</t>
  </si>
  <si>
    <t>ENDOSKOPSKA DESTRUKCIJA LEZIJA DEBELOG CREVA</t>
  </si>
  <si>
    <t>34121-01</t>
  </si>
  <si>
    <t>REPARACIJA KOMPLEKSNE ARTERIOVENSKE FISTULE NA EKSTREMITETIMA</t>
  </si>
  <si>
    <t>34512-00</t>
  </si>
  <si>
    <t>KONSTRUKCIJA ARTERIOVENSKE FISTULE SA VENSKIM GRAFITOM</t>
  </si>
  <si>
    <t>90230-00</t>
  </si>
  <si>
    <t>EMBOLEKTOMIJA ILI TROMBEKTOMIJA OSTALIH ARTERIJA</t>
  </si>
  <si>
    <t>35557-00</t>
  </si>
  <si>
    <t>EKCIZIJA LEZIJE VAGINE</t>
  </si>
  <si>
    <t>35638-08</t>
  </si>
  <si>
    <t>LAPARASKOPSKA PARCIJALNA SALPINGEKTOMIJA, OBOSTRANO</t>
  </si>
  <si>
    <t>35726-01</t>
  </si>
  <si>
    <t>STEJDŽING LAPAROTOIJA ZBOG ODREĐIVANJA STEPENA PROŠIRENOSTI BOLESTI</t>
  </si>
  <si>
    <t>34640-02</t>
  </si>
  <si>
    <t>90465-04</t>
  </si>
  <si>
    <t>OSTALE VRSTE INDUKCIJE POROĐAJA HIRURŠKIM PUTEM</t>
  </si>
  <si>
    <t>30375-26</t>
  </si>
  <si>
    <t>HOLECISTOTOMIJA</t>
  </si>
  <si>
    <t>HOLECISTEKTOMIJA SA HOLDOHOTOMIJOM I BILIJARNO-INTESTINALNO</t>
  </si>
  <si>
    <t>30563-02</t>
  </si>
  <si>
    <t>REPARACIJA PARASTOMALNE KILE</t>
  </si>
  <si>
    <t>31340-00</t>
  </si>
  <si>
    <t>EKCIZIJA MIŠIĆA, KOST ILI HRSKAVICE ZBOG LEZIJE KOŽE</t>
  </si>
  <si>
    <t>32004-01</t>
  </si>
  <si>
    <t>PROŠIRENA DESNA HEMIKOLEKTOMIJA SA FORMIRANJEM STOME</t>
  </si>
  <si>
    <t>32103-00</t>
  </si>
  <si>
    <t>TRANSANALNA EKCIZIJE LEZIJE I TKIVA REKTUMA STEREOSKOPSKO</t>
  </si>
  <si>
    <t>32159-02</t>
  </si>
  <si>
    <t>UGRADNJA STETONA I EKCIZIJA ANALNE FISTULE</t>
  </si>
  <si>
    <t>32745-00</t>
  </si>
  <si>
    <t>BAJPAS FEMORALNE DO PROKSIMALNO TIHIJALNE ILI PERIONEALNE AR</t>
  </si>
  <si>
    <t>33154-00</t>
  </si>
  <si>
    <t>ZAMENA RUPTURIRANE ANEURIZME ABDOMINALNE AORTE POMOĆU CERVIKALNOG</t>
  </si>
  <si>
    <t>33806-01</t>
  </si>
  <si>
    <t>EMBOLEKTOMIJA ILI TROMBEKTOMIJA BAHIJALNE ARTERIJE</t>
  </si>
  <si>
    <t>33806-02</t>
  </si>
  <si>
    <t>33806-03</t>
  </si>
  <si>
    <t>EMBOLEKTOMIJA ILI TROMBEKTOMIJA RADIJALNE ARTERIJE</t>
  </si>
  <si>
    <t>EMBOLEKTOMIJA ILI TROMBEKTOMIJA ULNARNE ARTERIJE</t>
  </si>
  <si>
    <t>35596-00</t>
  </si>
  <si>
    <t>OPERACIJA REKTOVAGINALNE FISTULE</t>
  </si>
  <si>
    <t>37601-00</t>
  </si>
  <si>
    <t>EKCIZIJA SPERMATOCELE, JEDNOSTRANA</t>
  </si>
  <si>
    <t>90337-00</t>
  </si>
  <si>
    <t>OSTALI POSTUPCI POSTAVLJANJA  STENTA</t>
  </si>
  <si>
    <t>90575-00</t>
  </si>
  <si>
    <t>EKCIZIJA MEKOG TKIVA NEKLASIFIKOVANA NA DRUGOM MESTU</t>
  </si>
  <si>
    <t>30382-00</t>
  </si>
  <si>
    <t>RADIKALNA REPARACIJA ENTROKUTNE FISTULE TANKOG CREVA</t>
  </si>
  <si>
    <t>35519-03</t>
  </si>
  <si>
    <t>NEFREKTOMIJA PRETHODNO OPERISANOG BUREGA  - OTVORENA H8IRURGIJA (SEKUNDARNI RAD)</t>
  </si>
  <si>
    <t>37212-00</t>
  </si>
  <si>
    <t>BIOPSIJA PROSTATE</t>
  </si>
  <si>
    <t>39706-01</t>
  </si>
  <si>
    <t>DEKOMPRESIJA INTRAKRANIJALNOG TUMORA PUTEM OSTEOPLASTINE KRANIOTOMIJE</t>
  </si>
  <si>
    <t>40015-00</t>
  </si>
  <si>
    <t>SUBTEMPORALNA DEKOMPRESIJA</t>
  </si>
  <si>
    <t>40332-00</t>
  </si>
  <si>
    <t>DEKOMPRESIJA KIČMENE MOŽDINE U VRATNMOM DELU SA AMERIORNO</t>
  </si>
  <si>
    <t>90330-00</t>
  </si>
  <si>
    <t>REVIZIJA ŠANTA CEREBROSPINALNE TEČNOSTI NA PERITONEUMU</t>
  </si>
  <si>
    <t>47386-03</t>
  </si>
  <si>
    <t>INCIZIJA I DRENAŽA APCESA MEKOG TKIVA</t>
  </si>
  <si>
    <t>REPARACIJA RANE NA KOŽI I POTKOŽNOM TKIVU LICA ILI VRATA POVRŠINSKA</t>
  </si>
  <si>
    <t>30275-07</t>
  </si>
  <si>
    <t>RADIKALNA EKCIZIJA LIMFNIH ĆVOROVA VRATA</t>
  </si>
  <si>
    <t>JEDNOSTAVAN MALI  LOKALNI REŽANJ KOŽE UVA</t>
  </si>
  <si>
    <t>45723-00</t>
  </si>
  <si>
    <t>OSTEOTOMIJA (KORTIKOTOMIJA) MANDIUBLE UNUTRAŠNOM FIKSACIJOM</t>
  </si>
  <si>
    <t>OTVORENA REPOZICIJA PRELOMA OLEKIRANONA SA UNUTRAŠNJOM FIKSACIJOM</t>
  </si>
  <si>
    <t>DRENAŽA PRIANALNOG APCESA</t>
  </si>
  <si>
    <t>EKCZIJA LEZIJE MEKOG TKIVA, NEKLASIFIKOVANA NA DRUGOM MESTU</t>
  </si>
  <si>
    <t>EKCIZJA LEZIJE MEKOG TKIVA</t>
  </si>
  <si>
    <t>BIOPSIJA PROMENA SPOLJAŠNJEG UVA</t>
  </si>
  <si>
    <t>HIRURŠKO UKLANJANJE JEDNOG ZUBA KOJE NE ZAHTEVA UKLANJANJE KOSTI ILI RAZDVAJANJE ZUBA</t>
  </si>
  <si>
    <t>22008-00</t>
  </si>
  <si>
    <t>ENDOTRAHEALNA INTUBACIJA, DVOLUOLUMENSKI TUBUS</t>
  </si>
  <si>
    <t>34106-11</t>
  </si>
  <si>
    <t>PREKID RADIJALNE ARTERIJE</t>
  </si>
  <si>
    <t>35303-06</t>
  </si>
  <si>
    <t>PERKUTANA TRANSLUMINALNA ANGIOPLASTIKA BALONOM</t>
  </si>
  <si>
    <t>ZAMENA STALNOG URINARTNOG KATETERA - KROZ URETRU</t>
  </si>
  <si>
    <t>TERAPIJSKA KORAKOCENTEZA</t>
  </si>
  <si>
    <t>TRSTIRANJE OPSEGA POKRETA MIŠIĆA SPECIJALIZOVANOM OPREMOM</t>
  </si>
  <si>
    <t>DEZIFEKCIJA KARANTINSKIH PROSTORA</t>
  </si>
  <si>
    <t>34560-04</t>
  </si>
  <si>
    <t>UKLANJANJE CEVČICE  NAKON TORAKOTOMIJE ILI DENA PLEURALNE</t>
  </si>
  <si>
    <t>UKLANJANJE KATETERA URETEROME ILI URETERALNOG KATETERA</t>
  </si>
  <si>
    <t>TESTIRANJE OPSEGA POKRETA MIŠIĆA SPECIJALIZOVANOM OPREMOM</t>
  </si>
  <si>
    <t>INTRAKAVITARNO DAVANJE FARMAKOLOŠKOG SREDSTVA</t>
  </si>
  <si>
    <t>ORALNO DAVANJE FARMAKOLOŠKOG SREDSTVA, ANTI - INFEKTIVNO SREDSTVO</t>
  </si>
  <si>
    <t>POSTUPAK ODRŽAVANJA NEINVANZIVNE VENTILATORNE PODRŠKE, &gt; 96 SATI</t>
  </si>
  <si>
    <t>SUBKUTANO  DAVANJE FARMAKOLOŠKOG SREDSTA, ANTI - INFEKTIVNO</t>
  </si>
  <si>
    <t>ODRŽAVANJE KATETERA PLASIRANOG RADI ADMINISTRACIJE LEKA</t>
  </si>
  <si>
    <t>ISIRANJE KATETERA, NEKLASIFIKOVANO NA DRUGOM MESTU</t>
  </si>
  <si>
    <t>INTRAVENSKO DAVANJE FARMAKOLOŠKOG SREDSTVA ANTI-INFEKTIVNO</t>
  </si>
  <si>
    <t>INTRAVENSKO DAVANJE FARMAKOLOŠKOG SREDSTVA ANTIDOT</t>
  </si>
  <si>
    <t>ORALNO DAVANJE FARMAKOLOŠKOG SREDSTVA, ANTI-INFEKTIVNO  SREDSTVO</t>
  </si>
  <si>
    <t>KRIOTERAPIJA LEZIJA NA KOŽI, VIŠESTRUKE LEZIJE</t>
  </si>
  <si>
    <t>35614-00</t>
  </si>
  <si>
    <t>KOLPOSKOPIJA</t>
  </si>
  <si>
    <t>90431-00</t>
  </si>
  <si>
    <t>OSTALE PROCEDURE NA JAJNIKU</t>
  </si>
  <si>
    <t>92107-00</t>
  </si>
  <si>
    <t>PLASIRANJE OSTALIH VAGINALNIH PESERA</t>
  </si>
  <si>
    <t>92124-00</t>
  </si>
  <si>
    <t>UKLANJANJE STRANOG TELA IZ VAGINE BEZ INCIZIJE</t>
  </si>
  <si>
    <t>41704-00</t>
  </si>
  <si>
    <t>EVAKUACIJA SEKRETA IZ NOSA I PARANAZALNIH SINUSA KROZ PRIRO</t>
  </si>
  <si>
    <t>90461-00</t>
  </si>
  <si>
    <t>INDUKCIJA POBAČAJA INRAAMINIONSKOM INJEKCIJOM</t>
  </si>
  <si>
    <t>90465-05</t>
  </si>
  <si>
    <t>KONZERVATIVNA I INSTRUMENTALNA INDUKCIJA POROĐAJA</t>
  </si>
  <si>
    <t>NEUROGAKSIJALNA BLOKADA TOKOM TRUDOVA, ASA 39</t>
  </si>
  <si>
    <t>92507-30</t>
  </si>
  <si>
    <t>NEUROAKSIJALNA BLOKADA TOKOM TRUDOVA I POROĐAJA 30</t>
  </si>
  <si>
    <t>92507-39</t>
  </si>
  <si>
    <t>NEUROAKSIJALNA BLOKADA TOKOM TRUDOVA I POROĐAJA 39</t>
  </si>
  <si>
    <t>92507-40</t>
  </si>
  <si>
    <t>NEUROAKSIJALNA BLOKADA TOKOM TRUDOVA I POROĐAJA 40</t>
  </si>
  <si>
    <t>92096-00</t>
  </si>
  <si>
    <t>NEKI DRUGI NAČIN DAVANJA FARMAKOLOŠKOG SREDSTVA, ANTI</t>
  </si>
  <si>
    <t xml:space="preserve">OKSIMETRIJA </t>
  </si>
  <si>
    <t>DEZINFEKCIJA TEKSTILNIH, KOŽNIH, GUMENIJH I PLASTIČNIH MATERIJA</t>
  </si>
  <si>
    <t>30207-00</t>
  </si>
  <si>
    <t>PRIMENA SREDSTVA U LEZIJAMA NA KOŽI</t>
  </si>
  <si>
    <t>TOALETA UVA, DVOSTRANO</t>
  </si>
  <si>
    <t>96020-00</t>
  </si>
  <si>
    <t>PROCENA INTEGRITETA KOŽE</t>
  </si>
  <si>
    <t>30224-02</t>
  </si>
  <si>
    <t>PERKUTANA DRENAŽA RETROPERITONEALNOG APCESA</t>
  </si>
  <si>
    <t>30440-01</t>
  </si>
  <si>
    <t>PERKUTANA BILIJARNA DRENAŽA</t>
  </si>
  <si>
    <t>30628-00</t>
  </si>
  <si>
    <t>PERKUTANA PUNKCIJA I ASPIRACIJA HIDROCELE</t>
  </si>
  <si>
    <t>33842-00</t>
  </si>
  <si>
    <t>KONTROLA POSTOPERATIVNOG KRVARENJA IKLI TROMBOZE POSLE HIRU</t>
  </si>
  <si>
    <t>34106-14</t>
  </si>
  <si>
    <t>PREKID OSTALIH ARTERRIJA</t>
  </si>
  <si>
    <t>KATETERIZACIJA KANILACIJA OSTALIH ARTERIJA</t>
  </si>
  <si>
    <t>34530-01</t>
  </si>
  <si>
    <t>UKLANJANJE ARTERIJSKOG KATRETERA</t>
  </si>
  <si>
    <t>90329-02</t>
  </si>
  <si>
    <t>90392-00</t>
  </si>
  <si>
    <t>OSTALE REPARACIJE NA OMENTUMU</t>
  </si>
  <si>
    <t>KONTROLA POSTOPERATIVNOG KRVARENJA IZ PROSTATE</t>
  </si>
  <si>
    <t>92512-09</t>
  </si>
  <si>
    <t>REGIONALNA BLOKOADA NERVA DEONJEG EKSTREMITETA ASA 49</t>
  </si>
  <si>
    <t>96029-00</t>
  </si>
  <si>
    <t>PROCENA UPRAVLJANJA FINANSIJAMA</t>
  </si>
  <si>
    <t>96029-01</t>
  </si>
  <si>
    <t>SITUACIONA/PROFESIONALNA PROCENA I PROCENA OKRUŽENJA</t>
  </si>
  <si>
    <t>36197-00</t>
  </si>
  <si>
    <t>INTRAMUSKULARNO DAVANJE FARMAKOLOŠKOG SREDSTVA, ANTINEOPLASTIČNO SREDSTVO</t>
  </si>
  <si>
    <t>37604-06</t>
  </si>
  <si>
    <t>INCIZIJA TESTISA</t>
  </si>
  <si>
    <t>92132-00</t>
  </si>
  <si>
    <t>PREVLAČENJE PREPUCIJUMA</t>
  </si>
  <si>
    <t>NEUROAKSIJALNA BLOKADA TOKOM TRUDOVA I POROĐAJA, ASA 30</t>
  </si>
  <si>
    <t>96196-08</t>
  </si>
  <si>
    <t>SUBKUTANO DAVANJE FARMAKOLOŠKOG SREDSTVA, ANTI INFEKTIVNO SREDSTVO</t>
  </si>
  <si>
    <t>18216-24</t>
  </si>
  <si>
    <t>SPINALNA INFUZIJA OSTALIH KOMBINOVANIH TERAPEUTSKIH SUPSTANCI</t>
  </si>
  <si>
    <t>18216-29</t>
  </si>
  <si>
    <t>KAUDALNA INJEKCIJA LOKALNOG ANESTETIKA</t>
  </si>
  <si>
    <t>90028-00</t>
  </si>
  <si>
    <t>EPIDURALNA INJEKCIJA STEROIDA</t>
  </si>
  <si>
    <t>REGIONALNA BLOKADA NERVA DONJEG EKSTREMITETA ASA 19</t>
  </si>
  <si>
    <t>INTRAVENSKO DAVANJE FARMAKOLOŠKO SREDSTVA, HRANLKJIVA SUPSTANCA</t>
  </si>
  <si>
    <t>SUBKUTANO DAVANJE FARMAKOLOŠKOG SREDSTVA, DRUGO I NEKLASIFIKOVANO SREDSTVO</t>
  </si>
  <si>
    <t>47051-00</t>
  </si>
  <si>
    <t>47342-01</t>
  </si>
  <si>
    <t>OTVORENA REPOZICIJA ISČAŠENJA ZGLOBA KUKA</t>
  </si>
  <si>
    <t>OTVORENA REPOZICIJA PRELOMA METAKARPUSA SA UNUTRAŠNJOM F</t>
  </si>
  <si>
    <t>OTVORENA REPOZICIJA PRELOM FEMURA</t>
  </si>
  <si>
    <t>47528-00</t>
  </si>
  <si>
    <t>49845-00</t>
  </si>
  <si>
    <t>47549-01</t>
  </si>
  <si>
    <t>ARTRODEZA PRVOG METETERZOFALANGEALNOG ZGLOBA</t>
  </si>
  <si>
    <t>OTVORENA REPOZICIJA PRELOMA MEDIJALNOG ILI LATERALNOG KOM</t>
  </si>
  <si>
    <t>SEDACIJA ASA 11</t>
  </si>
  <si>
    <t>KAKTETERIZACIJA/KANILACIJA OSTALIH VENA</t>
  </si>
  <si>
    <t>59970-00</t>
  </si>
  <si>
    <t>ANGIOGRAFIJA NEKLASIFIKOVANA NA DRUGOM MESTU</t>
  </si>
  <si>
    <t>11336-00</t>
  </si>
  <si>
    <t>BITERMALNI KALORIČKI TEST ČULA ZA RAVNOTEŽU</t>
  </si>
  <si>
    <t>OSTALE PROCEDURE NA SPOLAŠNJEM UVU</t>
  </si>
  <si>
    <t>90141-00</t>
  </si>
  <si>
    <t>90179-06</t>
  </si>
  <si>
    <t>POSTUPAK ODRŽAVANJA TRAHEOSTOME</t>
  </si>
  <si>
    <t>OSTALE INCIJIJE KOŽE I POTKOŽNOG TKIVA</t>
  </si>
  <si>
    <t>96202-00</t>
  </si>
  <si>
    <t>ENTERALNO DAVANJE FARMAKOLOŠKOG SREDSTVA, ANTINEOPLASTIČKO</t>
  </si>
  <si>
    <t>U8183800</t>
  </si>
  <si>
    <t>PONIJATRIJSKI PREGLED BOLESNIKA</t>
  </si>
  <si>
    <t>U8183803</t>
  </si>
  <si>
    <t>ISPITIVANJE GOVORNOG STATUSA I GLASA BATERIJOM TESTOVA</t>
  </si>
  <si>
    <t>U8184502</t>
  </si>
  <si>
    <t>POZICIONIRAJUĆI TEST</t>
  </si>
  <si>
    <t>U8184503</t>
  </si>
  <si>
    <t>TEST SUBJEKTIVNOG VIZUELNOG VERTIKALNOG ILI HORIZONTALNOG</t>
  </si>
  <si>
    <t>U8184504</t>
  </si>
  <si>
    <t>U8184505</t>
  </si>
  <si>
    <t>U8184506</t>
  </si>
  <si>
    <t xml:space="preserve">VESTIBULASPINALNI TESTOVI - ROMBERGOV (ROMBERB) PAST </t>
  </si>
  <si>
    <t xml:space="preserve">TEST SPONTANOG NISTAGMUSA SA FENZELOVIM NAOČARIMA </t>
  </si>
  <si>
    <t>VESTIBULASPINALNI TESTOVI NAD IMPULSE I HEAD SKAKING</t>
  </si>
  <si>
    <t>U8187400</t>
  </si>
  <si>
    <t>REHABILITACIONI TRETMAN DISFONIJA</t>
  </si>
  <si>
    <t>U8187403</t>
  </si>
  <si>
    <t>FONIJATRIJSKE VEŽBE - VEŽBE DISANJA</t>
  </si>
  <si>
    <t>U8187404</t>
  </si>
  <si>
    <t>U8187405</t>
  </si>
  <si>
    <t>U8187406</t>
  </si>
  <si>
    <t>FONIJATRIJSKE VEŽBE - VEŽBE RELAKSACIJE</t>
  </si>
  <si>
    <t>FONIJATRIJSKE VEŽBE - VEŽBE POSTAVLJANJA GLASA</t>
  </si>
  <si>
    <t>VEŽBE FONACIJE</t>
  </si>
  <si>
    <t>U9011802</t>
  </si>
  <si>
    <t>REPOZICIONI MANEVAR ZA LEČENJE BENIGNOG PAROKSIZMALNOG</t>
  </si>
  <si>
    <t>INTRAMUSKULARNO DAVANJE FARMAKOLOŠKOG SREDSTVA, DRUGO I NEKLA</t>
  </si>
  <si>
    <t>ZATVORENA REPOZICIJA IŠČAŠENJA ZGLOBOVA KOLENA</t>
  </si>
  <si>
    <t>96915-00</t>
  </si>
  <si>
    <t>DEZINVEKCIJA TEKSTILNIH, KOŽNIH, GUMENIH I PLASTIČNIH MATERIJALA</t>
  </si>
  <si>
    <t>INTRAMUSKULARNO DAVANJE FARMAKOLOŠKOG SRESTVA, STEROID</t>
  </si>
  <si>
    <t>IMOBILIZACIJA PRELOMA SKOČNOG ZGLOBA, NEKLASIFIKOVANO NA DRUGOM MESTU</t>
  </si>
  <si>
    <t>90112-00</t>
  </si>
  <si>
    <t>OSTALE REPARACIJE BUBNE OPNE ILI SREDNJEG UVA</t>
  </si>
  <si>
    <t>INTRAMUSKULARNO DAVANJE FARMAKOLOŠKOG SREDSTVA, ANTI</t>
  </si>
  <si>
    <t>30189-00</t>
  </si>
  <si>
    <t>UKLANJANJE MOLUSKE (MOLLUSCUM CONTAGIOSUM)</t>
  </si>
  <si>
    <t>17</t>
  </si>
  <si>
    <t>18</t>
  </si>
  <si>
    <t xml:space="preserve">INTRAVENSKO DAVANJE FARMAKOLOŠKOG SREDSTVA HRANLJIVA </t>
  </si>
  <si>
    <t>600024</t>
  </si>
  <si>
    <t>VAKUSAK</t>
  </si>
  <si>
    <t>UVEŽBAVANJE VEŠTINA U AKTIVNODIMA POVEZANIM SA POLOŽAJEM</t>
  </si>
  <si>
    <t>DAVANJE INJEKCIJE U TERAPIJSKE / DIJAGNOSTIČKE SVRHE</t>
  </si>
  <si>
    <t>IZRADA INDIVIDUALNIH IZVEŠTAJA (IZVEŠTAJ O HOSPITALIZACIJI)</t>
  </si>
  <si>
    <t>IZRADA INDIVIDUALNIH IZVEŠTAJA  (IZVEŠTAJ O HOSPITALIZACIJI)</t>
  </si>
  <si>
    <t>OVA USLUGA PLAN MORA BITI 0 REKLA MILENA IZ GRADSKOG</t>
  </si>
  <si>
    <t>ЈАНУАР-МАРТ</t>
  </si>
  <si>
    <t>АПРИЛ-ЈУН</t>
  </si>
  <si>
    <t>ЈУЛ-СЕПТЕМБАР</t>
  </si>
  <si>
    <t>ОКТОБАР-ДЕЦЕМБАР</t>
  </si>
  <si>
    <t>OPERACIJE JANUAR - MART 2021</t>
  </si>
  <si>
    <t>DTI  USLULGE   JANUAR - MART    2021</t>
  </si>
  <si>
    <t>FIZIKALNE JANUAR - MART  2021</t>
  </si>
  <si>
    <t>ZU - ZAJEDNIČKE USLULGE   JANUAR - MART   2021</t>
  </si>
  <si>
    <t>OPERACIJE APRIL - JUN 2021</t>
  </si>
  <si>
    <t>DTI  USLULGE   APRIL - JUN   2021</t>
  </si>
  <si>
    <t>FIZIKALNE APRIL - JUN 2021</t>
  </si>
  <si>
    <t>ZU - ZAJEDNIČKE USLULGE   APRIL - JUN   2021</t>
  </si>
  <si>
    <t>PLAN 2021-IZVRŠENO 2021</t>
  </si>
  <si>
    <t>CORONA - HIRURGIJA</t>
  </si>
  <si>
    <t>CORONA - INTERNA KLINIKA</t>
  </si>
  <si>
    <t>CORONA - NEUROHIRURGIJA</t>
  </si>
  <si>
    <t>CORONA - RESPIRATORNI CENTAR</t>
  </si>
  <si>
    <t>KABINET DERMATOVENEROLOGIJE</t>
  </si>
  <si>
    <t>SL. ZA SPEC. I  KONSUL. PREGLEDE - MFH</t>
  </si>
  <si>
    <t>SL. ZA SPEC. I KONSUL. PREGLEDE - ORL</t>
  </si>
  <si>
    <t>SL. ZA SPEC. I KONSUL. PREGLEDE - TRAUMA</t>
  </si>
  <si>
    <t>SL. ZA SPEC. I KONSUL. PREGLEDE - UROLOGIJA</t>
  </si>
  <si>
    <t>CISTOSTOMIJA SA PLASIRQANJEM SUPRAPUBIČNOG KATETERA - CISTOFIX-A - PERKUTANA CISTOSTOMIJA</t>
  </si>
  <si>
    <t>SPOLJNA DRENAŽA LIKVORA</t>
  </si>
  <si>
    <t>HIRURŠKA KLINIKA</t>
  </si>
  <si>
    <t>INTERNA KLINIKA</t>
  </si>
  <si>
    <t>ORL ODELJENJE</t>
  </si>
  <si>
    <t>CORONA - UROLOGIJA</t>
  </si>
  <si>
    <t>FIZIKALNA MED  I REHABILITACIJA</t>
  </si>
  <si>
    <t>AMBULANTA ZA FIZI. MEDI. I REHA.</t>
  </si>
  <si>
    <t>SL. ZA SPEC. I KONS. PREGLEDE</t>
  </si>
  <si>
    <t>KABINET ZA KLINIČKU FARMAKOLOGIJU</t>
  </si>
  <si>
    <t>COVID ONKOLOGIJA</t>
  </si>
  <si>
    <t>COVID HITAN PRIJEM</t>
  </si>
  <si>
    <t>CORONA - BARO MEDICINA</t>
  </si>
  <si>
    <t>CORONA - NEUROHIRURŠKO ODELJENJE</t>
  </si>
  <si>
    <t>CORONA ORL</t>
  </si>
  <si>
    <t>NEFROLOGIJA - HEMODIJALIZA</t>
  </si>
  <si>
    <t>SL. ZA SPEC. I KONSUL. PREGLEDE - ALERGOPULMOLOGIJA</t>
  </si>
  <si>
    <t>AM.ZA FIZI. MEDI I REHABILITACIJU</t>
  </si>
  <si>
    <t>SL. ZA SPEC. I KONSUL. PREGLEDE - AMBULANTA ZA IMUNIZACIJU</t>
  </si>
  <si>
    <t>SL. ZA SPEC. I KONSUL. PREGLEDE - AMBULANTA ZA DEKSU</t>
  </si>
  <si>
    <t>SL. ZA SPEC. I KONSUL. PREGLEDE - ENDOKRINA</t>
  </si>
  <si>
    <t>SL. ZA SPEC. I KONSUL. PREGLEDE - GASTRO</t>
  </si>
  <si>
    <t>SL. ZA SPEC. I KONSUL. PREGLEDE - GINEKOLOGIJA</t>
  </si>
  <si>
    <t>SL. ZA SPEC. I KONSUL. PREGLEDE - HEMATOLOGIJA</t>
  </si>
  <si>
    <t>SL. ZA SPEC. I KONSUL. PREGLEDE - HIRURGIJA</t>
  </si>
  <si>
    <t>SL. ZA SPEC. I KONSUL. PREGLEDE - KABINET ZA DERMATOVENEROLOGIJU</t>
  </si>
  <si>
    <t>SL. ZA SPEC. I KONSUL. PREGLEDE - KABINET ZA NEUROPSIHIJATRIJU</t>
  </si>
  <si>
    <t>SL. ZA SPEC. I KONSUL. PREGLEDE - KABINET ZA OFTALMOLOGIJU</t>
  </si>
  <si>
    <t>SL. ZA SPEC. I KONSUL. PREGLEDE - KABINET ZA REUMATOLOGIJU</t>
  </si>
  <si>
    <t>SL. ZA SPEC. I KONSUL. PREGLEDE - KARDIOLOŠKA SPEC AM</t>
  </si>
  <si>
    <t>SL. ZA SPEC. I KONSUL. PREGLEDE - MFH</t>
  </si>
  <si>
    <t>SL. ZA SPEC. I KONSUL. PREGLEDE - NEFROLOGIJA</t>
  </si>
  <si>
    <t xml:space="preserve">NEUROHIRURGIJA </t>
  </si>
  <si>
    <t>SL. ZA SPEC. I KONSUL. PREGLEDE - NEUROLOGIJA</t>
  </si>
  <si>
    <t>SL. ZA SPEC. I KONSUL. PREGLEDE - ORL SPEC AM</t>
  </si>
  <si>
    <t>SL. ZA SPEC. I KONSUL. PREGLEDE - ONKOLOGIJA</t>
  </si>
  <si>
    <t>SME SAMO NA AMBULANTI</t>
  </si>
  <si>
    <t>260093</t>
  </si>
  <si>
    <t>DEZINFEKCIJA OTVORENIH POVRŠINA PO TERITORIJI</t>
  </si>
  <si>
    <t>COVID DB</t>
  </si>
  <si>
    <t xml:space="preserve">HEMODIJALIZA   </t>
  </si>
  <si>
    <t>COVID SPEC AMB</t>
  </si>
  <si>
    <t>CORONA - ORL</t>
  </si>
  <si>
    <t>ORL AFO</t>
  </si>
  <si>
    <t xml:space="preserve">PEDIJATRIJA </t>
  </si>
  <si>
    <t>NIJE RADILA IDE NA ORL</t>
  </si>
  <si>
    <t xml:space="preserve">RADIOLOGIJA  </t>
  </si>
  <si>
    <t>URGENTNA  STANJA -INTERNO</t>
  </si>
  <si>
    <t>ALERGOPULMOLOGIJA</t>
  </si>
  <si>
    <t>SL. ZA FIZ MED I REH - AMBULANTA ZA IMUNIZACIJU</t>
  </si>
  <si>
    <t>DEKSA</t>
  </si>
  <si>
    <t>HIRURŠKA SPEC. AM</t>
  </si>
  <si>
    <t>DERMATOVENEROLOGIJA</t>
  </si>
  <si>
    <t>FARMAKOLOGIJA</t>
  </si>
  <si>
    <t>NEUROPSIHIJATIJA</t>
  </si>
  <si>
    <t>OFTALMOLOGIJA</t>
  </si>
  <si>
    <t>KABINET ZA REUMU</t>
  </si>
  <si>
    <t>KARDIOLOŠKA SPEC. AM</t>
  </si>
  <si>
    <t>MFH</t>
  </si>
  <si>
    <t>ORL</t>
  </si>
  <si>
    <t>ZATVORENA REPOZICIJA PRELOMA KARPUSA</t>
  </si>
  <si>
    <t>92197-09</t>
  </si>
  <si>
    <t>INTRAMUSKULARNO DAVANJE FARMAKOLOŠKOG SRE4DSVA, DRUGO I NENAZNAČENO FARMAKOLOŠKO SREDSTVO</t>
  </si>
  <si>
    <t>UGRADNJA I FIKSACIJA PREBIVAJUĆEG PERITONEALNOG KATETERA RADI DUGOROČNE PERITONELANE DIJALIZE</t>
  </si>
  <si>
    <t>NENAZNAČEN NAČIN DAVANJA FARMAKOLOŠKOG SREDSTVA, ANTINEOPLASTIČKO SREDSTVO</t>
  </si>
  <si>
    <t>ENTERALNO DAVANJE FARMAKOLOŠKOG SREDSTVA, ELEKTOLIT</t>
  </si>
  <si>
    <t>TRANSUZIJA AUTOLOGNE KRVI</t>
  </si>
  <si>
    <t>INTRAMUSKULARNO DAVANJE FARMAKOLOŠKOG SREDSTVA, DRUGO I NEKLASIFIKOVANO</t>
  </si>
  <si>
    <t>47003-00</t>
  </si>
  <si>
    <t>ZATVORENA REPOZICIJA IŠČAŠENJA KLJUČNE KOSTI</t>
  </si>
  <si>
    <t>PANENDOSKOPIJA DO DUODENUMA</t>
  </si>
  <si>
    <t>GRESKA</t>
  </si>
  <si>
    <t>SPECIJALISTIČKI PREGLEDI FIZIJATRA</t>
  </si>
  <si>
    <t>MI PLAN  2021</t>
  </si>
  <si>
    <t xml:space="preserve">NEKE ŠIFRE SPECIFIČNE KOJE PRATIMO DEKI FAKTURISANO I MI TAB 13 - USLUGE </t>
  </si>
  <si>
    <r>
      <t xml:space="preserve">HIPERBARIČNA TERAPIJA KISEONIKOM, </t>
    </r>
    <r>
      <rPr>
        <b/>
        <u/>
        <sz val="8"/>
        <rFont val="Times New Roman"/>
        <family val="1"/>
        <charset val="238"/>
      </rPr>
      <t>&lt;</t>
    </r>
    <r>
      <rPr>
        <b/>
        <sz val="8"/>
        <rFont val="Times New Roman"/>
        <family val="1"/>
        <charset val="238"/>
      </rPr>
      <t xml:space="preserve"> 90 MINUTA</t>
    </r>
  </si>
  <si>
    <t>MORALI SMO NEKE ŠIFRE DA UKLOPIMO SA DEKI FAKTURA ZATO JE OVA RAZLIKA</t>
  </si>
  <si>
    <t>DIJADINAMICKE STRUJE</t>
  </si>
  <si>
    <t>LEČENJE PACIJENATA SA KORONA VIRUSOM - HIRURŠKA KLINIKA</t>
  </si>
  <si>
    <t>RESPIRATORNI CENTAR</t>
  </si>
  <si>
    <t>SL. ORTOPEDIJE SA TRAUMOM</t>
  </si>
  <si>
    <t>URGENTNA STANJA MFH</t>
  </si>
  <si>
    <t>URGENTNA STANJA NEUROHIRURGIJA</t>
  </si>
  <si>
    <t>URGENTNA STANJA ORL</t>
  </si>
  <si>
    <t>URGENTNA STANJA TRAUMA</t>
  </si>
  <si>
    <t>URGENTNA STANJA UROLOGIJA</t>
  </si>
  <si>
    <t>SL. ZA SPEC. I KONS PREGLEDE-HIRURGIJA</t>
  </si>
  <si>
    <t>SL. ZA SPEC. I KONS PREGLEDE-DERMATOVENEROLOGIJA</t>
  </si>
  <si>
    <t>SL. ZA SPEC. I KONS PREGLEDE-ORL</t>
  </si>
  <si>
    <t>SL. ZA SPEC. I KONS PREGLEDE-BARO MEDICINA</t>
  </si>
  <si>
    <t>SL. ZA SPEC. I KONS PREGLEDE-TRAUMA</t>
  </si>
  <si>
    <t>SL. ZA SPEC. I KONS PREGLEDE-UROLOGIJA</t>
  </si>
  <si>
    <t>COVID 19 DB</t>
  </si>
  <si>
    <t>HITAN PRIJEM KORONA PACIJENATA</t>
  </si>
  <si>
    <t xml:space="preserve"> DB ORL SA MFH</t>
  </si>
  <si>
    <t xml:space="preserve"> DB TRAUMA</t>
  </si>
  <si>
    <t xml:space="preserve">GASTRO </t>
  </si>
  <si>
    <t xml:space="preserve">GRIJATRIJA </t>
  </si>
  <si>
    <t>GINEKOLOGIJA  DB</t>
  </si>
  <si>
    <t>LEČENJE PACIJENATA SA KORONA VIRUSOM - BARO MEDICINA</t>
  </si>
  <si>
    <t>LEČENJE PACIJENATA SA KORONA VIRUSOM - INTERNA KLINIKA</t>
  </si>
  <si>
    <t>LEČENJE PACIJENATA SA KORONA VIRUSOM - NEUROHIRURŠKO ODELJENJE</t>
  </si>
  <si>
    <t>LEČENJE PACIJENATA SA KORONA VIRUSOM - ORL ODELJENJE</t>
  </si>
  <si>
    <t>LEČENJE PACIJENATA SA KORONA VIRUSOM - UROLOŠKA ODELJENJE</t>
  </si>
  <si>
    <t>ONKOLOGIJA AMBU</t>
  </si>
  <si>
    <t>PEDIJATRIJSKA SL</t>
  </si>
  <si>
    <t>PEDIJATRIJSKA AM</t>
  </si>
  <si>
    <t>SL KLINIČKE NEUROLOGIJE</t>
  </si>
  <si>
    <t xml:space="preserve">SL. ORTOPEDIJE </t>
  </si>
  <si>
    <t>HITNA NEUROLOŠKA AMBULANTA</t>
  </si>
  <si>
    <t>SL. ZA FIZI MEDI I REHA</t>
  </si>
  <si>
    <t>AM. ZA FIZI MEDI I REHA</t>
  </si>
  <si>
    <t>AMBULANTA ZA IMUNIZACIJU</t>
  </si>
  <si>
    <t>SL ZA SPEC I KONSULTATIVNE PREGLEDE- GASTRO</t>
  </si>
  <si>
    <t>SL ZA SPEC I KONSULTATIVNE PREGLEDE- GINEKOLOGIJA</t>
  </si>
  <si>
    <t>SL ZA SPEC I KONSULTATIVNE PREGLEDE-  HIRURGIJA</t>
  </si>
  <si>
    <t>SL ZA SPEC I KONSULTATIVNE PREGLEDE- DERMATOVENEROLOGIJA</t>
  </si>
  <si>
    <t>SL ZA SPEC I KONSULTATIVNE PREGLEDE- OFTALMOLOGIJA</t>
  </si>
  <si>
    <t>SL ZA SPEC I KONSULTATIVNE PREGLEDE- MFH</t>
  </si>
  <si>
    <t>NEUROHIRURŠKA AM</t>
  </si>
  <si>
    <t>ORL SPEC AM</t>
  </si>
  <si>
    <t>TRAUMATOLOGIJA</t>
  </si>
  <si>
    <t>INTERNA KLINIKA KORONA</t>
  </si>
  <si>
    <t>NEUROHIRURGIJA KORONA</t>
  </si>
  <si>
    <t>ORL SA MFH KORONA</t>
  </si>
  <si>
    <t>UROLOGIJA KORONA</t>
  </si>
  <si>
    <t xml:space="preserve">ORL SA MFH </t>
  </si>
  <si>
    <t>KLINIČKA NEUROLOGIJA</t>
  </si>
  <si>
    <t>SL. ZA FIZ. MED I REH</t>
  </si>
  <si>
    <t>FIZ. MED I REH</t>
  </si>
  <si>
    <t>KARDIOLOGIJA ODELJENJE</t>
  </si>
  <si>
    <t>MIKROBIOLOGIJA</t>
  </si>
  <si>
    <t>BARO MEDICINA KORONA</t>
  </si>
  <si>
    <t>RESPIRATORINI CENTAR</t>
  </si>
  <si>
    <t>NEUROHIRUGIJA</t>
  </si>
  <si>
    <t xml:space="preserve">BARO MEDICINA  </t>
  </si>
  <si>
    <t>URGNENTNA - HIRURGIJA</t>
  </si>
  <si>
    <t>URGNENTNA - INTERNO</t>
  </si>
  <si>
    <t>URGNENTNA - NEUROHIRURGIJA</t>
  </si>
  <si>
    <t>URGNENTNA - ORL</t>
  </si>
  <si>
    <t>URGNENTNA - TRAUMA</t>
  </si>
  <si>
    <t>URGNENTNA - UROLOGIJA</t>
  </si>
  <si>
    <t>FIZ MED I REH</t>
  </si>
  <si>
    <t>AMBU ZA IMUNIZACIJU</t>
  </si>
  <si>
    <t xml:space="preserve">ENDOKRINA  </t>
  </si>
  <si>
    <t xml:space="preserve">GASTRO   </t>
  </si>
  <si>
    <t>NEUROPSIHIJATRIJA</t>
  </si>
  <si>
    <t>OČNO</t>
  </si>
  <si>
    <t xml:space="preserve">REUMA </t>
  </si>
  <si>
    <t>SPEC. AM BARO MEDICINA</t>
  </si>
  <si>
    <t xml:space="preserve">ONKOLOGIJA </t>
  </si>
  <si>
    <t>30518-00</t>
  </si>
  <si>
    <t>PARCIJALNA DISTALNA GASTREKTOMIJA SA GASTRODUODENALNOM ANASTOMOZOM</t>
  </si>
  <si>
    <t>32005-00</t>
  </si>
  <si>
    <t>SUBTOTALNA KOLEKTOMIJA SA ANASTOMOZOM</t>
  </si>
  <si>
    <t>33806-11</t>
  </si>
  <si>
    <t>EMBOLEKTOMIJA ILI TROMBEKTOMIJA TIBIJALNE ARTERIJE</t>
  </si>
  <si>
    <t>41671-03</t>
  </si>
  <si>
    <t>SEPTOPLASTIKA SA SUBMUKOZNOM RESEKCIJOM NOSNE PREGRAD</t>
  </si>
  <si>
    <t>OTVORENA REPOZICIJA PRELOMA METAKARPUSA SA UNUTRAŠNJOM FIKSACIJOM</t>
  </si>
  <si>
    <t>OTVORENA REPOZICIJA PRELOMA MEDIJALNOG ILI LATERALNOG KONDILA TIBIJE SA UNUTRAŠNJOM FIKSACIJOM</t>
  </si>
  <si>
    <t>47603-00</t>
  </si>
  <si>
    <r>
      <t xml:space="preserve">ZATVORENA REPOZICIJA PRELOMA SKOČNOG ZGLOBA SA UNUTRAŠNOM FIKSACIJOM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 2 SINDESMOYE FIBULE ILI MALEOLUSA</t>
    </r>
  </si>
  <si>
    <t>UKLANJANJE INPAKTIRANOG FECESA</t>
  </si>
  <si>
    <t xml:space="preserve">INSPEKCIJA BUBNE OPNE, JEDNOSTRANO </t>
  </si>
  <si>
    <t>95550-14</t>
  </si>
  <si>
    <t>UDRUŽENE ZDRAVSTVENE PROCEDURE, EDUKACIJA O DIJABETESU</t>
  </si>
  <si>
    <t>SUBKUTANO DAVANJE FARMAKOLOŠKOG SREDSTVA TROMBOLITIČKO SREDSTVO</t>
  </si>
  <si>
    <t>INTRAVENSKO  DAVANJE FARMAKOLOŠKOG SREDSTVA, TROMBOLITIČKO SREDSTVO</t>
  </si>
  <si>
    <t>90202-01</t>
  </si>
  <si>
    <t>POSTAVLJANJE PRIVREMENE TRANSKUTANE ELEKTRODE PEJSMEJKEROM</t>
  </si>
  <si>
    <t>TRANSUFIJA GAMA GLOBULINA</t>
  </si>
  <si>
    <t>96205-03</t>
  </si>
  <si>
    <t>NEKI DRUJGI NAČIN DAVANJA FARMAKOLOŠKOG SREDSTVA, STEROID</t>
  </si>
  <si>
    <t>OPŠTA ANESTRZIJA ASA30</t>
  </si>
  <si>
    <t>13939-02</t>
  </si>
  <si>
    <t>ODRŽĐAVANJE UREĐAJA A VASKULARNI PRISTUP</t>
  </si>
  <si>
    <t>18274-04</t>
  </si>
  <si>
    <t>DAVANJE ANESTETIČKOG SREDSTVA OKO PARAVERTEBRALNOG KOGCIGEALNOG NERVA</t>
  </si>
  <si>
    <t>NEUROAKSIJALNA BLOKADA TOKOM TRUDOVAI POROĐAJA, ASA 19</t>
  </si>
  <si>
    <t>NEUROAKSIJALNA BLOKADA TOKOM TRUDOVAI POROĐAJA, ASA 29</t>
  </si>
  <si>
    <t>41656-00</t>
  </si>
  <si>
    <t>HEMOSTAZA EPISTAKSE ZADNJOM TAMPONADOM I/ILI KAUTERIZACIJOM</t>
  </si>
  <si>
    <t>INSTILACIJA LEKA KROZ BUBUNU OPNU U BUBNU DUPLJU</t>
  </si>
  <si>
    <t>96202-01</t>
  </si>
  <si>
    <t>ENTERALNO DAVANJE FARMAKOLOŠKOG SREDSTVA, TROMBOLITIČKO SREDSTVO</t>
  </si>
  <si>
    <t>ZATVORENA REPOZICIJA PRELOMA TELA HUMERUSA SA UNUTRAŠNJOM FIKSACIJOM</t>
  </si>
  <si>
    <t>92518-00</t>
  </si>
  <si>
    <t>INTRAVENSKA POST-PROCEDURALNA INFUZIJA</t>
  </si>
  <si>
    <t>EKSCIZIJA CISTE BUBREGA - OTVORENA HIRURGIJA</t>
  </si>
  <si>
    <t>90367-00</t>
  </si>
  <si>
    <t>ZAMENA KATETERA URETROSTOMIJE</t>
  </si>
  <si>
    <t>U8183304</t>
  </si>
  <si>
    <t>OFTALMOLOŠKA OPTIČKA INTERVENCIJA, RECEPT, OSTALO</t>
  </si>
  <si>
    <t>36649-00</t>
  </si>
  <si>
    <t>ZAMENA NEFROSTOMATSKOG KATETRA</t>
  </si>
  <si>
    <t>47321-01</t>
  </si>
  <si>
    <t>OTVORENA REPOZICIJA UNUTARZGLOBNOG PRELOMA SREDNJEG ČLANKA PRSTA NA RUCI SA UNUTRAŠNJOM FIKSACIJOM</t>
  </si>
  <si>
    <t>47465-00</t>
  </si>
  <si>
    <t>OTVORENA REPOZICIJA PRELOMA KLJUČNE KOSTI</t>
  </si>
  <si>
    <t>47615-05</t>
  </si>
  <si>
    <t>OTVORENA REPOZICIJA IŠČAŠENJA PETNE KOSTI SA UNUTRAŠNJOM FIKSACIJOM</t>
  </si>
  <si>
    <t>OVA USLUGA JE UKUNUTA, ALI NE MOŽEMO DA JE SKINEMO IZ PLANA JER JE RADJENO PLAN ZA 2021 PO IZVRŠENJU ZA 2019 GOD.</t>
  </si>
  <si>
    <t>DTI  USLULGE   ЈУЛ - СЕПТЕМБАР   2021</t>
  </si>
  <si>
    <t>OPERACIJE ЈУЛ - СЕПТЕМБАР 2021</t>
  </si>
  <si>
    <t>FIZIKALNE ЈУЛ - СЕПТЕМБАР 2021</t>
  </si>
  <si>
    <t>ZU - ZAJEDNIČKE USLULGE   ЈУЛ - СЕПТЕМБАР   2021</t>
  </si>
  <si>
    <t xml:space="preserve">ORL  </t>
  </si>
  <si>
    <t>SL. ZA PRIJEM I ZBRINJAVANJE HITNIH STANJA</t>
  </si>
  <si>
    <t>URGENTNA STANJA - NEUROHIRURGGIJA</t>
  </si>
  <si>
    <t>HITAN PRIJEM KORONA</t>
  </si>
  <si>
    <t>KORONA AMBULANTA</t>
  </si>
  <si>
    <t>DB ORL</t>
  </si>
  <si>
    <t>ENDOKRINA AMBULANTA</t>
  </si>
  <si>
    <t>ENDOSKOPIJA</t>
  </si>
  <si>
    <t>NEUROHIRURŠKA</t>
  </si>
  <si>
    <t>SL ANESTEZIJE SA REANIMACIJOM</t>
  </si>
  <si>
    <t>SLUŽBA BAROMEDICINA</t>
  </si>
  <si>
    <t>SL OP BLOKA SA STERILIZACIJOM I INTENZIVNOM TERAPIJOM</t>
  </si>
  <si>
    <t>SL ORTOPEDIJE SA TRAUMOM</t>
  </si>
  <si>
    <t>SL ZA PRIJEM I ZBRINJAVANJE URGENTNIH STANJA</t>
  </si>
  <si>
    <t>URGENTNA STANJA - INTERNO</t>
  </si>
  <si>
    <t>SL. ZA SPEC I KONS PREGLEDE - ALERGOPULMOLOGIJA</t>
  </si>
  <si>
    <t>SL ZA SPEC I KONSULTATIVNE PREGLEDE- ENDOKRINA</t>
  </si>
  <si>
    <t>SL ZA SPEC I KONSULTATIVNE PREGLEDE- KABINET ZA NEUROPSIHIJATRIJU</t>
  </si>
  <si>
    <t>SL ZA SPEC I KONSULTATIVNE PREGLEDE- KABINET ZA  OFTALMOLOGIJU</t>
  </si>
  <si>
    <t>SL ZA SPEC I KONSULTATIVNE PREGLEDE- KABINET ZA REUMATOLOGIJU</t>
  </si>
  <si>
    <t>SL ZA SPEC I KONSULTATIVNE PREGLEDE- NEFROLOGIJA</t>
  </si>
  <si>
    <t>SL ZA SPEC I KONSULTATIVNE PREGLEDE- NEUROHIRURGIJA</t>
  </si>
  <si>
    <t>SL ZA SPEC I KONSULTATIVNE PREGLEDE- NEUROLOGIJA</t>
  </si>
  <si>
    <t>RENTGEN</t>
  </si>
  <si>
    <t>SL OP BLOKA I STERILIZACIJE I INTENZIVNE TERAPIJE</t>
  </si>
  <si>
    <t>FIZIKALNA MED I REH</t>
  </si>
  <si>
    <t>AMBU ZA FIZ MED I REH</t>
  </si>
  <si>
    <t>PREGLED KORONA PACIJENTA</t>
  </si>
  <si>
    <t>ANESTEZIOLOGIJA</t>
  </si>
  <si>
    <t>OP BLOK</t>
  </si>
  <si>
    <t>HITNA STANJA - INTERNO</t>
  </si>
  <si>
    <t>HITNA STANJA - MFH</t>
  </si>
  <si>
    <t>HITNA STANJA - NEUROHIRURGIJA</t>
  </si>
  <si>
    <t>HITNA STANJA - BARO MEDICINA</t>
  </si>
  <si>
    <t>HITNA STANJA - TRAUMA</t>
  </si>
  <si>
    <t>HINA STANJA - UROLOGIJA</t>
  </si>
  <si>
    <t>SL ZA SPEC I KONS PREGLEDE</t>
  </si>
  <si>
    <t>MFH AMBULANTA</t>
  </si>
  <si>
    <t>35713-02</t>
  </si>
  <si>
    <t>INCIZIJA CISTE ILI APSCESA JAJNIKA</t>
  </si>
  <si>
    <t>90001-00</t>
  </si>
  <si>
    <t>UKLANJANJE SPOLJAŠNJEG VENTRIKULARNOG DRENA</t>
  </si>
  <si>
    <t>UKLANJANJE KALKULUSA IZ PLJUVAČNIH ŽLEZDA ILI KANALA</t>
  </si>
  <si>
    <t>45206-02</t>
  </si>
  <si>
    <t>JEDNOSTAVAN I MALI LOKALNI REŽANJ KOŽE USNE</t>
  </si>
  <si>
    <t>45233-01</t>
  </si>
  <si>
    <t>Indirektni udaljeni režanj kože, priprema, transfer i povezivanje za finalnu oblast</t>
  </si>
  <si>
    <t>90138-00</t>
  </si>
  <si>
    <t>EKSCIZIJA LEZIJA NA PLJUVAČNIM ŽLEZDAMA</t>
  </si>
  <si>
    <t>46420-00</t>
  </si>
  <si>
    <t>PRIMARNA REPARACIJA TETIVE EKSTENZORA ŠAKE</t>
  </si>
  <si>
    <t>EKSCIZIJA LIMFNOG ČPVORA PREPONE</t>
  </si>
  <si>
    <t>LAPARASKOPSKA PARCIJALNA OVARIEKTOMIJA</t>
  </si>
  <si>
    <t>35638-10</t>
  </si>
  <si>
    <t>LAPARASKOPSKA SALPINGEKTOMIJA, OBOSTRANA</t>
  </si>
  <si>
    <t>35638-12</t>
  </si>
  <si>
    <t>LAPARASKOPSKA SALPINGOOVARIEKTOMIJA, OBOSTRANA</t>
  </si>
  <si>
    <t>35653-00</t>
  </si>
  <si>
    <t>SUBTOTALNA ABDOMINALNA HISTEREKTOMIJA</t>
  </si>
  <si>
    <t>30165-00</t>
  </si>
  <si>
    <t>LIPEKTOMIJA PREDNJEG TRBUŠNOG ZIDA</t>
  </si>
  <si>
    <t>30578-00</t>
  </si>
  <si>
    <t>EKSCIZIJA LEZIJE PANKREASA</t>
  </si>
  <si>
    <t>32162-00</t>
  </si>
  <si>
    <t>EKSCIZIJA KOMPLIKOVANE ANALNE FISTULE</t>
  </si>
  <si>
    <t>32703-00</t>
  </si>
  <si>
    <t>RESEKCIJA KAROTIDNE ARTERIJE SA REANASTOMOZOM</t>
  </si>
  <si>
    <t>39700-00</t>
  </si>
  <si>
    <t>EKSCIZIJA LOBANJSKE LEZIJE</t>
  </si>
  <si>
    <t>40303-00</t>
  </si>
  <si>
    <t>DISEKTOMIJA ZA REKURENTNE LEZIJE NA DISKUSIMA, JEDAN NIVO</t>
  </si>
  <si>
    <t>OTVORENA REPOZICIJA PRELOMA MEDIJALNOGILI LATERALNOG KONDILA TIBIJE SA UNUTRAŠNJOM FIKSACIJOM</t>
  </si>
  <si>
    <t>41876-00</t>
  </si>
  <si>
    <t xml:space="preserve">LARINGOFISURA  </t>
  </si>
  <si>
    <t>45668-00</t>
  </si>
  <si>
    <t>VERMILIONEKTOMIJA</t>
  </si>
  <si>
    <t>90149-00</t>
  </si>
  <si>
    <t>EKSCIZIJA OSTALIH LEZIJA NA FARINKSU</t>
  </si>
  <si>
    <t>90179-02</t>
  </si>
  <si>
    <t>NAZOFARIHEALNA INTUBACIJA</t>
  </si>
  <si>
    <t>31205-10</t>
  </si>
  <si>
    <t>OTVORENA REPOZICIJA IŠČAŠENJA ZGLOBA KUKA</t>
  </si>
  <si>
    <t>47576-01</t>
  </si>
  <si>
    <t>49303-00</t>
  </si>
  <si>
    <t>ARTROTOMIJA KUKA</t>
  </si>
  <si>
    <t>49560-03</t>
  </si>
  <si>
    <t>ARTROSKOPSKA MENISCEKTOMIJA ZGLOBA KOLENA</t>
  </si>
  <si>
    <t>90569-00</t>
  </si>
  <si>
    <t>ODSTRANJENJE PRIBADAČE, ZAVRTNJA ILI ŽICE IZ MAKSILE, MANDIBULE ILI ZIGOMATIČNE KOSTI</t>
  </si>
  <si>
    <t>30478-11</t>
  </si>
  <si>
    <t>EZOFAGOSKOPIJA SA DIJATERMIJOM</t>
  </si>
  <si>
    <t>43948-00</t>
  </si>
  <si>
    <t>EKSCIZIJA UMBILIKALNOG GRANULOMA</t>
  </si>
  <si>
    <t>30375-08</t>
  </si>
  <si>
    <t>REPOZICIJA INVAGINACIJE TANKOG CREVA</t>
  </si>
  <si>
    <t>30679-00</t>
  </si>
  <si>
    <t>PRIMENA SREDSTVA U PILONIDALNOM SINUSU ILI CISTI</t>
  </si>
  <si>
    <t>33169-00</t>
  </si>
  <si>
    <t>PREKID RUPTURIRANE ANEURIZME VISCERALNE ARTERIJE BEZ PONOVNOG USPOSTAVLJANJA KONTINUITETA</t>
  </si>
  <si>
    <t>33558-02</t>
  </si>
  <si>
    <t>EKSCIZIJA OSTALIH LEZIJA BUBREGA - NEOZNAČENO</t>
  </si>
  <si>
    <t>11602-00</t>
  </si>
  <si>
    <t xml:space="preserve">ISPITIVANJE I SNIMANJE PERIFERNIH VENA U JEDNOM ILI VIŠE EKSTREMITETA PRI ODARANJU, KORIŠĆENJEM CW DOPLERA ILI </t>
  </si>
  <si>
    <t>13300-01</t>
  </si>
  <si>
    <t>KATETERIZACIJA/KANILACIJA PREKO SKALPA KOD NOVOROĐENČETA</t>
  </si>
  <si>
    <t>40600-00</t>
  </si>
  <si>
    <t>KRANIOPLASTIKA SA INSERCIJOM LOBANJSKE PLOČE</t>
  </si>
  <si>
    <t>30213-00</t>
  </si>
  <si>
    <t>DIJATERMIJA TELANGIEKTAZIJA GLAVE I VRATA</t>
  </si>
  <si>
    <t>41737-07</t>
  </si>
  <si>
    <t>BIOPSIJA IZ FRONTALNOG SINUSA</t>
  </si>
  <si>
    <t>96011-00</t>
  </si>
  <si>
    <t>PROCENA GLASA</t>
  </si>
  <si>
    <t>U8183801</t>
  </si>
  <si>
    <t>AKUSTIČKA REGISTRACIJA I ANALIZA GLASA</t>
  </si>
  <si>
    <t>U8187411</t>
  </si>
  <si>
    <t>UVEŽBAVANJE EZOIFAGUSNOG GOVORA</t>
  </si>
  <si>
    <t>47666-01</t>
  </si>
  <si>
    <t>OTVORENA REPOZICIJA PRELOMA ČLANKA PALCA NA NOZI SA UNUTRAŠNJOM FIKSACIJOM</t>
  </si>
  <si>
    <t>47933-00</t>
  </si>
  <si>
    <t>EKSCIZIJA EGZOSTOZE SA KOSTI ŠAKE</t>
  </si>
  <si>
    <t>36854-00</t>
  </si>
  <si>
    <t>ENDOSKOPSKA INCIZIJA VRATA MOKRAĆNE BEŠIKE -TRANSURETRALNA INCIZIJA  VRATA MOKRAĆNE BEŠIKE</t>
  </si>
  <si>
    <t>37212-02</t>
  </si>
  <si>
    <t>INCIZIJA PROSTATE</t>
  </si>
  <si>
    <t xml:space="preserve">NESLAZE SE I TO JE OK DODATE SU ONE NEOPREDELJENE NA OVE </t>
  </si>
  <si>
    <t>VAĐENJE KRVI NOVOREĐENČETA U DIJAGNOSTIČKE SVRHE</t>
  </si>
  <si>
    <t>41764-02</t>
  </si>
  <si>
    <t>FIBEROPTIČKI PREGLED FARINKSA</t>
  </si>
  <si>
    <t>41764-03</t>
  </si>
  <si>
    <t>FIBEROPTIČKA LARINGOSKOPIJA</t>
  </si>
  <si>
    <t>LOKALNA EKSCIZIJA ILI DFESTRUKCIJA LEZIJA NA TVRDOM NEPCU</t>
  </si>
  <si>
    <t>INSTILACIJA LEKA KROZ BUBNU OPNU U BUBNU DUPLJU</t>
  </si>
  <si>
    <t>ODSTRANJENJE STRANOG ATELA IZ MEKOG TKIVA, NEKLASIFIKOVANO NA DRUGOM MESTU</t>
  </si>
  <si>
    <t>PRIMENA DRUGOGO TERAQPEUTSKOG SREDSTVA U ANOREKTAALNOM PODRUČJU</t>
  </si>
  <si>
    <t>NEKI DRUGI NAČIN DAVANJA FARMAKOLOŠKOG SREDSTVA,INSULIN</t>
  </si>
  <si>
    <t>95550-10</t>
  </si>
  <si>
    <t>UDRUŽENE ZDRAVSTVENE PROCEDURE, PSIHOLOGIJA</t>
  </si>
  <si>
    <t>SUTURA RESCEPA PERINEUMA TREĆEG ILI ČETVTOG STEPENA</t>
  </si>
  <si>
    <t>NEUROAKSIJALNA BLOKADA TOKOM TRUDOVA I POROĐAJA, ASA 29</t>
  </si>
  <si>
    <t>ORALNO DAVANJE FARMAKOLOŠKOG SREDSVTA, STEROID</t>
  </si>
  <si>
    <t>ORALNO DAVANJE FARMAKOLOŠKOG SREDSTVA, HRANLJIVA SUBSTANCA</t>
  </si>
  <si>
    <t>59903-00</t>
  </si>
  <si>
    <t>LEVA VENTRIKULOGRAFIJA</t>
  </si>
  <si>
    <t>ANGIOGRAFIJA, NEKRLASIFIKOVANA NA DRUGOM MESTU</t>
  </si>
  <si>
    <t>96196-09</t>
  </si>
  <si>
    <t>INTRA-ARTERIJSKO DAVANJE FARMAKOLOŠKOG SREDSTVA, DRUGO I NEKLASIFIKOVAMO SREDSTVO</t>
  </si>
  <si>
    <t>TERAPIJA KRDIORESPIRATORNOG/KARDIOVASKULARNOG SISTEMA VEŽBANJEM</t>
  </si>
  <si>
    <t>SEDACIJA ASA 41</t>
  </si>
  <si>
    <t>ENDOSKOPSKO ISPIRANJE KRVNIH UGRUŠAKA IZ MOKRAĆNE BESIKE UKLJUČUJUĆI I KAUTERIZACIJU</t>
  </si>
  <si>
    <t>47756-00</t>
  </si>
  <si>
    <t>ZATVORENA REPOZICIJA PRELOMA MANDIBULE SA SPOLJAŠNJOM FIKSACIJOM</t>
  </si>
  <si>
    <t>96010-00</t>
  </si>
  <si>
    <t>PROCENA FUNKCIJE GUTANJA</t>
  </si>
  <si>
    <t>11503-00</t>
  </si>
  <si>
    <t>MERENJE SNAGE DISAJNIH MIŠIĆA UKLJUČUJUĆI TRANSDIJAFRAGMALNE ILI EZOFAGEALNE PRITISKE</t>
  </si>
  <si>
    <t>POSTUPAK ODRŽAVANJA ENDOTRAHEALNE  INTUBACIJE (KONTROLA PRAVILNE POZICIJE), JEDNOLUMENSKI TUBUS</t>
  </si>
  <si>
    <t>OPŠTA ANESTEZIJA, ASA 59</t>
  </si>
  <si>
    <t>BRONHOSPITOMETRIJA</t>
  </si>
  <si>
    <t>42824-01</t>
  </si>
  <si>
    <t>SUBKONJUNKTIVNA PRIMENA LEKA</t>
  </si>
  <si>
    <t>POSTUPAK ODRŽAVANJA NEINVANZIVNE VENTILATORNE PODRŠKE, &gt; 24 SATI I &lt;96 SATI</t>
  </si>
  <si>
    <t>SUBKUTANO DAVANJE FARMAKOLOŠKOG SREDSTVA, ELEKTROLIT</t>
  </si>
  <si>
    <t>ENTERALNO DAVANJE FARMAKOLOŠKOG SREDSTVA, ANTINEOPLASTIČKO SREDSTVO</t>
  </si>
  <si>
    <t>ENTERALNO DAVANJE FARMAKOLOŠKOG SREDSTVA, INSULIN</t>
  </si>
  <si>
    <t>ORALNO DAVANJE FARMAKOLOŠKOG SREDSTVA,STEROID</t>
  </si>
  <si>
    <t>INTRAMUSKULARNO DAVANJE FARMAKOLOŠKOG SREDSTVA STEROID</t>
  </si>
  <si>
    <t>INFILTRACIJA LOKALNOG ANETETIKA, ASA 39</t>
  </si>
  <si>
    <t>INTRAVENSKO DAVANJE FARMAKOLOŠKOG SREDSTVAQ, HRANLJIVA SUBSTANCA</t>
  </si>
  <si>
    <t>47381-02</t>
  </si>
  <si>
    <t>ZATVORENA REPOZICIJA PRELOMA TLA RADIJUSA SA UNUTRAŠNJOM FIKSACIJOM</t>
  </si>
  <si>
    <t>36803-01</t>
  </si>
  <si>
    <t>ENDOSKOPSKA DILATACIJA URETERA - SONDIRANJE (CISTOSKOPSKI)</t>
  </si>
  <si>
    <t>OPŠTA ANESTEZIJA, ASA 10</t>
  </si>
  <si>
    <t>IMUNIZACIJA</t>
  </si>
  <si>
    <t>241012</t>
  </si>
  <si>
    <t>IZDAVANJE LEKOVA NA NALOG ZA PROPISIVANJE I IZDAVANJE LEKOVA</t>
  </si>
  <si>
    <t>OVO JE TAČNO RAZLIKA JE SA NEOPREDELJENIH USLUGA KOJE SMO UBACIJLI U TABELI 13</t>
  </si>
  <si>
    <t>19</t>
  </si>
  <si>
    <t>TERAPIJA STIMULAIJOM, NEKLASIFIKOVANA NA DRUGOM MESTU</t>
  </si>
  <si>
    <t>TESTIRANJE OPSEGA POKRETA/MIŠIĆA SPECIJLAIZOVANOM OPREMA</t>
  </si>
  <si>
    <t>OBUKA AKTU GUTANJA KOD CENTRALNIH LEZIJA I STANJA PO9SLE ORL OPERACIJA</t>
  </si>
  <si>
    <t>UVEŽBAVANJE VEŠTINA KORIŠĆENJA UREĐAJA ILI OPREME ZA POMOČ</t>
  </si>
  <si>
    <t>OVO JE TAČNO SVE JER PUNO USLUGA JE PREBAČENO SA S NA A POŠTO POGREŠNO FAKTURISU NEKE USLUGE NE SMEJU PO NOMENKLATURI DA BUDU NA S SAMO NA A, TAKOĐE TU SU I USLUGE KOJE SU NEOPREDELJENE PA SU UBAČENE U TABELU 13</t>
  </si>
  <si>
    <t>НАПОМЕНА:ПЛАН РАДА ЗА 2021. ГОДИНУ РАЂЕН ЈЕ НА БАЗИ ИЗВРШЕЊА ЈАНУАР - ДЕЦЕМБАР 2019. ГОДИНЕ ОДНОСНО ГОДИНЕ У ОКВИРУ КОЈЕ НИЈЕ ПОСТОЈАО КОВИД..НАША УСТАНОВА ЈЕ У КОВИД СИСТЕМУ ОД 01.01.21 ДО 22.05.21. ГОДИНЕ. У НОРМАЛАН РЕЖИМ РАДА НАША УСТАНОВА ВРАТИЛА СЕ 29.05.21. ГОДИНЕ И ПРЕСТАЛА ДА БУДЕ КОВИД ЦЕНТАР.</t>
  </si>
  <si>
    <t xml:space="preserve">MI IZVRŠENO JAN-SEP  2021 </t>
  </si>
  <si>
    <t>ПЕРИОД: 0101.-31.12.2021.</t>
  </si>
  <si>
    <t>35759-00</t>
  </si>
  <si>
    <t xml:space="preserve">KONTROLA POSTOPERAATIVNOG KRVARENJA </t>
  </si>
  <si>
    <t>37007-03</t>
  </si>
  <si>
    <t>90468-01</t>
  </si>
  <si>
    <t>ИЗВРШЕНО ЈАН-ДЕЦ 2021</t>
  </si>
  <si>
    <t>DOVRŠAVANJE POROĐAJA SREDNJIM FORCEPSOM</t>
  </si>
  <si>
    <t>OPERACIJE OKTOBAR - 15.DECEMBAR 2021</t>
  </si>
  <si>
    <t>DTI  USLULGE   OKTOBAR - 15.DECEMBAR 2021</t>
  </si>
  <si>
    <t>FIZIKALNE OKTOBAR - 15.DECEMBAR 2021</t>
  </si>
  <si>
    <t>ZU - ZAJEDNIČKE USLULGE    OKTOBAR - 15.DECEMBAR   2021</t>
  </si>
  <si>
    <t xml:space="preserve"> ONKOLOGIJA</t>
  </si>
  <si>
    <t xml:space="preserve">ORL </t>
  </si>
  <si>
    <t>SL.ZA SPEC. I KONS. PREGLEDE - KABINET ZA DERMATOVENEROLOGIJU</t>
  </si>
  <si>
    <t>AMBULANTA ZA PREGLED KORONA PACIJENATA</t>
  </si>
  <si>
    <t>NEUROHIRURŠKO ODELJENJE</t>
  </si>
  <si>
    <t>NEFROLOGIJA DB</t>
  </si>
  <si>
    <t>PRIJEM I ZBRINJAVANJE URGENTNIH STANJA</t>
  </si>
  <si>
    <t>URGENTNA STANJA - INTERNISTNIČKI PACIJENTI</t>
  </si>
  <si>
    <t xml:space="preserve">SL. ZA SPEC I KONS PREGLEDE </t>
  </si>
  <si>
    <t>SL. ZA SPEC I KONS PREGLEDE -  ALERGOPULMOLOGIJA</t>
  </si>
  <si>
    <t>SL ZA SPEC I KONSULTATIVNE PREGLEDE- FIZIK. MED I RAHAB</t>
  </si>
  <si>
    <t>KABINET ZA OFTALMOLOGIJU</t>
  </si>
  <si>
    <t>KARDIOLOŠKA SPECIJALISTIČKA AMBULANTA</t>
  </si>
  <si>
    <t>GINEKOLOŠKA AMBULANTA</t>
  </si>
  <si>
    <t>MFH SPEC AMBU</t>
  </si>
  <si>
    <t>NEFROLOŠKA SPEC AM</t>
  </si>
  <si>
    <t>SPEC AM BARO MEDICINA</t>
  </si>
  <si>
    <t>SPEC. ONKOLOŠKA AM</t>
  </si>
  <si>
    <t>TRAUMATOLOŠKA SPEC. AM</t>
  </si>
  <si>
    <t>UROLOŠKA SPEC AM</t>
  </si>
  <si>
    <t>AMBULANTA TRANSFUZIJE</t>
  </si>
  <si>
    <t xml:space="preserve">HEMATOLOGIJA </t>
  </si>
  <si>
    <t xml:space="preserve">KARDIOLOGIJA </t>
  </si>
  <si>
    <t>NEUROHI8RURGIJA</t>
  </si>
  <si>
    <t>AM. ZA FIZ MED I REH</t>
  </si>
  <si>
    <t>SL ZA SPEC. I KONS PREGLEDE</t>
  </si>
  <si>
    <t>AM ZA PREGLED KORONA PACIJENATA</t>
  </si>
  <si>
    <t>UROLOŠKO ODELJENJE</t>
  </si>
  <si>
    <t xml:space="preserve">ONKOLOGIJA  </t>
  </si>
  <si>
    <t>PEDIJATRIJA - MAJKE PRATILJE</t>
  </si>
  <si>
    <t>KABINET ZA ULTRAZVUK</t>
  </si>
  <si>
    <t>NEUROLOŠKA HITNA</t>
  </si>
  <si>
    <t>URGENTNA - HIRURGIJA</t>
  </si>
  <si>
    <t>URGENTNA STANJA - INTERNISTIČKI PACIJENTI</t>
  </si>
  <si>
    <t>SL. ZA SPEC. I KONS PREGLEDE</t>
  </si>
  <si>
    <t>SL. ZA SPEC. I KONS PREGLEDE - ALERGOPULMOLOGIJA</t>
  </si>
  <si>
    <t>SL. ZA SPEC. I KONS PREGLEDE - AM  ZA FIZ MED U RE</t>
  </si>
  <si>
    <t>AMBULANTA ZA DEKSU</t>
  </si>
  <si>
    <t>ENDOKRINOLŠOŠKA SPEC AMB</t>
  </si>
  <si>
    <t>HEMATOLOŠKA AM</t>
  </si>
  <si>
    <t>HIRURŠKA SPEC AM</t>
  </si>
  <si>
    <t>KABINET ZA DERMATOVENEROLOGIJA</t>
  </si>
  <si>
    <t>KABINET ZA NEUROPSIHIJATRIJU</t>
  </si>
  <si>
    <t>KABINET ZA ULTRAZVUČNU DIJAGNOSTIKU</t>
  </si>
  <si>
    <t>KARDIOLOŠKA SPEC AM</t>
  </si>
  <si>
    <t>MFH SPEC AM</t>
  </si>
  <si>
    <t>NEUROHIRURŠKA AMBULANTA</t>
  </si>
  <si>
    <t>NEUROLOŠKA SPEC AM</t>
  </si>
  <si>
    <t>SPEC AM BARO MEDICINE</t>
  </si>
  <si>
    <t>SPECIJALISTIČKA ONKOLOŠKA</t>
  </si>
  <si>
    <t>TRAUMATOLOŠKA</t>
  </si>
  <si>
    <t>UROLOŠKA</t>
  </si>
  <si>
    <t>REPARACIJA RANE NA KOŽI I POTKOŽNOM TKIVU</t>
  </si>
  <si>
    <t>30075-12</t>
  </si>
  <si>
    <t>BIOPSIJA ŽELUDCA</t>
  </si>
  <si>
    <t>30225-00</t>
  </si>
  <si>
    <t>PONOVNA INSERCIJA DRENA ZA DRENAŽU APSCESA</t>
  </si>
  <si>
    <t>30405-02</t>
  </si>
  <si>
    <t>REPARACIJA INCIZIONE KILE SA RESEKCIJOM</t>
  </si>
  <si>
    <t>30564-00</t>
  </si>
  <si>
    <t>PLASTIKA STRUKTURE TANKOG CREVA</t>
  </si>
  <si>
    <t>32029-01</t>
  </si>
  <si>
    <t>REVIZIJA REZERVOARA KOLOSTOME</t>
  </si>
  <si>
    <t>32742-00</t>
  </si>
  <si>
    <t>FEMORALNO-POPLITEALNI BAJPAS POMOĆU VENE</t>
  </si>
  <si>
    <t>33154-01</t>
  </si>
  <si>
    <t>35713-12</t>
  </si>
  <si>
    <t>NALPINGOTOMIA</t>
  </si>
  <si>
    <t>36579-01</t>
  </si>
  <si>
    <t>PARCIJALNA URETEREKTOMIJA</t>
  </si>
  <si>
    <t>EMBOLEKTOMIJA ILI TROMBEKTOMIJA BRAHIJALNE</t>
  </si>
  <si>
    <t>40003-03</t>
  </si>
  <si>
    <t>INSERCIJA VERTIKALNOG ŠANTA U OSTALE</t>
  </si>
  <si>
    <t>90007-02</t>
  </si>
  <si>
    <t>OSTALE PROCEDURE NA MOZGU ILI CEREBRALNOM</t>
  </si>
  <si>
    <t>PLASIRANJE DRENA KROZ MEŠUREBARNI PROSTOR</t>
  </si>
  <si>
    <t>39606-01</t>
  </si>
  <si>
    <t>REPOZICIJA ZATVORENE FRAKTURE LOBANJE</t>
  </si>
  <si>
    <t>39640-00</t>
  </si>
  <si>
    <t>UKLANJANJE LEZIJA KOJE ZAHVATAJU PREDNJU</t>
  </si>
  <si>
    <t>39800-01</t>
  </si>
  <si>
    <t>OBLAGANJE CEREBRALNE ANEURIZME</t>
  </si>
  <si>
    <t>40009-00</t>
  </si>
  <si>
    <t>REVIZIJA VENTRIKULARNOG ŠANTA</t>
  </si>
  <si>
    <t>90031-00</t>
  </si>
  <si>
    <t xml:space="preserve">INCIZIJA I DRENAŽA KIČMENOG KANALA ILI </t>
  </si>
  <si>
    <t>41716-05</t>
  </si>
  <si>
    <t>BIOPSIJA IZ MAKSIMALNOG SINUSA</t>
  </si>
  <si>
    <t>45563-00</t>
  </si>
  <si>
    <t>OSTRVSKI REŽANJ SA VASKULARNOM PEDIKULOM</t>
  </si>
  <si>
    <t>45590-01</t>
  </si>
  <si>
    <t xml:space="preserve">REKONSTRUKCIJA ORBITALNE ŠIPLJINE SA </t>
  </si>
  <si>
    <t>45671-00</t>
  </si>
  <si>
    <t>REKONSTRUKCIJA USNE SA REŽNJEM, JEDINI ILI PRVI</t>
  </si>
  <si>
    <t>47762-00</t>
  </si>
  <si>
    <t>OTVORENA REPOZICIJA PRELOMA ZIGOMATIČNE</t>
  </si>
  <si>
    <t xml:space="preserve">ZATVORENA REPOZICIJA PELOMA METAKARPUSA </t>
  </si>
  <si>
    <t>47537-00</t>
  </si>
  <si>
    <t>49312-00</t>
  </si>
  <si>
    <t>RESEKCIONA ARTROPLASTIKA ZGLOBA KUKA</t>
  </si>
  <si>
    <t>REPARACIJA OSTALIH KILA TRBUŠNOG ZIDA</t>
  </si>
  <si>
    <t>36588-01</t>
  </si>
  <si>
    <t>36854-02</t>
  </si>
  <si>
    <t>TRANSURETALNA RESEKCIJA VRATA MOKRAĆNE</t>
  </si>
  <si>
    <t>37020-01</t>
  </si>
  <si>
    <t>EKSCIZIJA DEIVERTIKULUMA MOKRAĆNE BEŠIKE</t>
  </si>
  <si>
    <t>90952-00</t>
  </si>
  <si>
    <t>INCIZIJA TRBUŠNOG ZIDA</t>
  </si>
  <si>
    <t>FIBEROPTIČKA BARINGOSTKOPIJA</t>
  </si>
  <si>
    <r>
      <t xml:space="preserve">POSTUPAK ODRŽAVANJA NEINVAZIVNE VENTILATORNE PODRŠKE, </t>
    </r>
    <r>
      <rPr>
        <u/>
        <sz val="8"/>
        <rFont val="Times New Roman"/>
        <family val="1"/>
        <charset val="238"/>
      </rPr>
      <t>&lt;2</t>
    </r>
    <r>
      <rPr>
        <sz val="8"/>
        <rFont val="Times New Roman"/>
        <family val="1"/>
        <charset val="238"/>
      </rPr>
      <t>4 SATA</t>
    </r>
  </si>
  <si>
    <t>URETROSKOPIJA</t>
  </si>
  <si>
    <t xml:space="preserve">EZOFAGOSKOPIJA  </t>
  </si>
  <si>
    <t>OSTALE INCIZIJE I DRENAŽE KOŽE I POTKOŽNOG TKIVA</t>
  </si>
  <si>
    <t>96206-03</t>
  </si>
  <si>
    <t>NENAZNAČEN NAČIN DAVANJA FARMAKOLOŠKOG SREDSTVA, STEROID</t>
  </si>
  <si>
    <t>FIBEROPTICKA KOLONOSKOPIJA DO CEKUMA</t>
  </si>
  <si>
    <t>92119-00</t>
  </si>
  <si>
    <t>UKIDANJE OSTALIH DRENAŽNIH SISTEMA URINARNOG SISTEMA</t>
  </si>
  <si>
    <t>NEUROAKSIJALNA BLOKADA TOKOM TRUDOVA I POROĐAJA, ASA 19</t>
  </si>
  <si>
    <t>NEUROAKSIJALNA  BLOKADA TOKOM TRUDOVA I POROĐAJA, ASA 20</t>
  </si>
  <si>
    <t>92511-49</t>
  </si>
  <si>
    <t>REGIONALNA BLOKADA, NERVA GORNJEG EKSTREMITETA, ASA 49</t>
  </si>
  <si>
    <t>REGIONALNA BLOKADA, NERVA GORNJEG EKSTREMITETA, ASA 39</t>
  </si>
  <si>
    <t>90203-04</t>
  </si>
  <si>
    <t>UKLANJANJE PRIVREMENE ENDOVENSKE ELEKTRODE PEJSMEJKERA</t>
  </si>
  <si>
    <t>OPŠTA ANESTEZIJA, ASA 50</t>
  </si>
  <si>
    <t>INTRAMUSKULARNO DAVANJE FARMAKOLOSKOG SREDSTVA, INSULIN</t>
  </si>
  <si>
    <t>92043-01</t>
  </si>
  <si>
    <t>41737-02</t>
  </si>
  <si>
    <t>ETMOIDEKTOMIJA, JEDNOSTRANA</t>
  </si>
  <si>
    <t>11012-00</t>
  </si>
  <si>
    <t>ELEKTROMIOGRAFIJA (EMG)</t>
  </si>
  <si>
    <t>11018-01</t>
  </si>
  <si>
    <t>TEST REPETITIVNE STIMULACIJE</t>
  </si>
  <si>
    <t>TRANSRUZIJA PLAZMA EKSPANDERA</t>
  </si>
  <si>
    <r>
      <t>POSTUPAK ODRŽAVANJA NEINVANZIVNE VENTILATORNE PODRŠKE,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24 SATI</t>
    </r>
  </si>
  <si>
    <r>
      <t xml:space="preserve">POSTUPAK ODRŽAVANJA NEINVANZIVNE VENTILATORNE PODRŠKE,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</si>
  <si>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t>SUBKUTANO DAVANJE FARMAKOLOŠKOG SREDSTVA, ANTI-INFEKTIVNO SREDSTVO</t>
  </si>
  <si>
    <t>ENTERALNO DAVANJE FARMAKOLOŠKOG SREDSTVA, HRANLJIVA SUPSTANCA</t>
  </si>
  <si>
    <t>26205-09</t>
  </si>
  <si>
    <t>47324-01</t>
  </si>
  <si>
    <t>ZATVORENA REPOZICIJA PRELOMA PROKSIMALNOG ČLANKA PRSTA NA RUCI SA UNUTRAŠNJOM FIKSACIJOM</t>
  </si>
  <si>
    <t>92515-11</t>
  </si>
  <si>
    <t>ZATVORENA REPOZICIJA PRELOMA TELA RADIJUSA SA UNUTRAŠNJOM FISKACIJOM</t>
  </si>
  <si>
    <t>ASPIRACIJA ZGLOB ILI NEKE DRUGE SINOVIJSKE ŠUPLJINE, NELASIFIKOVANA NA DRUGOM MESTU</t>
  </si>
  <si>
    <t>INTRAMUSKULARNO DAVANJE  FARMAKOLOŠKOG SREDSTVA, STEROID</t>
  </si>
  <si>
    <t>47030-02</t>
  </si>
  <si>
    <t>ZATVORENA REPOZICIJA IŠČAŠENJA KARPOMETAKARPALNOG ZGLOBA</t>
  </si>
  <si>
    <t>ZATVORENA REPOZICIJA PRELOMA TELA RADIJUSA SA UNUTRAŠNJOM FIKSACIJOM</t>
  </si>
  <si>
    <t>OSTALE TERAPIJE OBOGAĆIVANJA KISENONIKA/OM</t>
  </si>
  <si>
    <t>ISPITIVANJE SLUHA ZVUČNIM VILJUŠKAMA</t>
  </si>
  <si>
    <t>DEFEKTOLOŠKA ANAMNEZA I OBSERVACIJA</t>
  </si>
  <si>
    <t>ZAMENA STALNOG URINARNOG KATETERA - KROZ URETRU (ENDOSKOPSKI)</t>
  </si>
  <si>
    <t>EKSTERNI CTG MONITORING SVRHE</t>
  </si>
  <si>
    <t>DENZITOMETRIJA KOSTIJU UPOTREBOM RENDGENSKE APSORPCIOMETRIJE DUALNE ENERGIJE</t>
  </si>
  <si>
    <t>30014-00</t>
  </si>
  <si>
    <t>PREVIJANJE OPEKOTINE, 10 % I  VIŠE POSTO POVRŠINE TELA JE PREVIJENO</t>
  </si>
  <si>
    <t>34103-08</t>
  </si>
  <si>
    <t>EKSPLORACIJA FEMORALNE VENE</t>
  </si>
  <si>
    <t>34103-09</t>
  </si>
  <si>
    <t>EKSPLORACIJA POPLITEALNE VENE</t>
  </si>
  <si>
    <t>92507-49</t>
  </si>
  <si>
    <t>NEUROAKSIJALNA BLOKADA TOKOM TRUDOVA I POROĐAJA 49</t>
  </si>
  <si>
    <t>96090-00</t>
  </si>
  <si>
    <t>OSTALA SAVETOVANJA ILI PODUČAVANJA</t>
  </si>
  <si>
    <t>38312-01</t>
  </si>
  <si>
    <t>PERKUTANA TRANSLUMINALNA KORONARNA ROTACIONA ATEREKTOMIJA (PTCRA), JEDNA ARTERIJA SA INSERCIJOM</t>
  </si>
  <si>
    <t>38318-01</t>
  </si>
  <si>
    <t>PERKUTANA TRANSLUMINALNA KORONARNA ROTACIONA ATEREKTOMIJA (PTCRA), VIŠE ARTERIJA SA INSERCIJOM</t>
  </si>
  <si>
    <t>47321-00</t>
  </si>
  <si>
    <t>47363-02</t>
  </si>
  <si>
    <t>ZATVORENA REPOZICIJA PRELOMA DISTALNOG DELA RADIJUSA SA UNUTRAŠNJOM FIKSACIJOM</t>
  </si>
  <si>
    <t>47566-00</t>
  </si>
  <si>
    <t>ZATVORENA REPOZICIJA PRELOMA TELA TIBIJE SA UNUTRAŠNJOM FIKSACIJOM</t>
  </si>
  <si>
    <t>47615-01</t>
  </si>
  <si>
    <t>OTVORENA REPOZICIJA PRELOMA PETNE KOSTI SA UNUTRAŠNJOM FIKSACIJOM</t>
  </si>
  <si>
    <t>50106-00</t>
  </si>
  <si>
    <t>STABILIZACIJA ZGLOBA, NEKLASIFIKOVANA NA DRUGOM MESTU</t>
  </si>
  <si>
    <t>ОВОЛИКО ЈЕ У МАЛОЈ ТАБЕЛИ</t>
  </si>
  <si>
    <t>РАЗЛИКА МАЛА И ОВА ТАБЕЛА</t>
  </si>
  <si>
    <t>90203-05</t>
  </si>
  <si>
    <t>PODEŠAVANJE PEJSMEJKERA</t>
  </si>
  <si>
    <t>DEKI                      JAN-DEC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</si>
</sst>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HelveticaPlain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b/>
      <u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u/>
      <sz val="8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i/>
      <sz val="8"/>
      <name val="Times New Roman"/>
      <family val="1"/>
      <charset val="238"/>
    </font>
    <font>
      <b/>
      <i/>
      <sz val="7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7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0"/>
      <name val="Times New Roman"/>
      <family val="1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indexed="12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</font>
    <font>
      <b/>
      <i/>
      <sz val="7"/>
      <name val="HelveticaPlain"/>
      <charset val="238"/>
    </font>
    <font>
      <i/>
      <sz val="7"/>
      <color indexed="8"/>
      <name val="Arial Bold"/>
      <charset val="238"/>
    </font>
    <font>
      <b/>
      <i/>
      <sz val="7"/>
      <color indexed="8"/>
      <name val="Arial Bold"/>
      <charset val="238"/>
    </font>
    <font>
      <b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rgb="FFFF0000"/>
      <name val="Times New Roman"/>
      <family val="1"/>
      <charset val="238"/>
    </font>
    <font>
      <sz val="40"/>
      <color theme="1"/>
      <name val="Times New Roman"/>
      <family val="1"/>
      <charset val="238"/>
    </font>
    <font>
      <b/>
      <i/>
      <sz val="40"/>
      <color theme="1"/>
      <name val="Times New Roman"/>
      <family val="1"/>
      <charset val="238"/>
    </font>
    <font>
      <b/>
      <sz val="36"/>
      <color theme="1"/>
      <name val="Times New Roman"/>
      <family val="1"/>
      <charset val="238"/>
    </font>
    <font>
      <sz val="36"/>
      <color theme="1"/>
      <name val="Times New Roman"/>
      <family val="1"/>
      <charset val="238"/>
    </font>
    <font>
      <i/>
      <sz val="36"/>
      <color theme="1"/>
      <name val="Times New Roman"/>
      <family val="1"/>
      <charset val="238"/>
    </font>
    <font>
      <b/>
      <i/>
      <sz val="20"/>
      <color theme="1"/>
      <name val="Times New Roman"/>
      <family val="1"/>
      <charset val="238"/>
    </font>
    <font>
      <b/>
      <sz val="5"/>
      <name val="Times New Roman"/>
      <family val="1"/>
      <charset val="238"/>
    </font>
    <font>
      <b/>
      <u/>
      <sz val="8"/>
      <name val="Times New Roman"/>
      <family val="1"/>
      <charset val="238"/>
    </font>
    <font>
      <b/>
      <sz val="7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sz val="8"/>
      <color rgb="FFFF0000"/>
      <name val="Times New Roman"/>
      <family val="1"/>
      <charset val="238"/>
    </font>
    <font>
      <b/>
      <sz val="38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6"/>
      <name val="Times New Roman"/>
      <family val="1"/>
      <charset val="238"/>
    </font>
    <font>
      <b/>
      <sz val="12"/>
      <color rgb="FFFF0000"/>
      <name val="Calibri"/>
      <family val="2"/>
      <charset val="238"/>
      <scheme val="minor"/>
    </font>
    <font>
      <sz val="11"/>
      <color rgb="FFFF0000"/>
      <name val="Times New Roman"/>
      <family val="1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FFFCC"/>
        <bgColor theme="9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91E391"/>
        <bgColor indexed="64"/>
      </patternFill>
    </fill>
    <fill>
      <patternFill patternType="solid">
        <fgColor rgb="FFFFE5FF"/>
        <bgColor theme="9" tint="0.79998168889431442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</borders>
  <cellStyleXfs count="18">
    <xf numFmtId="0" fontId="0" fillId="0" borderId="0"/>
    <xf numFmtId="0" fontId="3" fillId="0" borderId="0"/>
    <xf numFmtId="0" fontId="1" fillId="0" borderId="0"/>
    <xf numFmtId="0" fontId="26" fillId="0" borderId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36" fillId="0" borderId="0"/>
  </cellStyleXfs>
  <cellXfs count="693">
    <xf numFmtId="0" fontId="0" fillId="0" borderId="0" xfId="0"/>
    <xf numFmtId="0" fontId="4" fillId="0" borderId="0" xfId="1" applyFont="1" applyFill="1" applyAlignment="1"/>
    <xf numFmtId="0" fontId="5" fillId="0" borderId="0" xfId="1" applyFont="1" applyFill="1" applyAlignment="1">
      <alignment vertical="center"/>
    </xf>
    <xf numFmtId="1" fontId="5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1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vertical="center"/>
    </xf>
    <xf numFmtId="0" fontId="7" fillId="0" borderId="0" xfId="1" applyFont="1" applyFill="1" applyAlignment="1">
      <alignment vertical="center"/>
    </xf>
    <xf numFmtId="1" fontId="5" fillId="0" borderId="0" xfId="1" applyNumberFormat="1" applyFont="1" applyFill="1" applyAlignment="1">
      <alignment vertical="center"/>
    </xf>
    <xf numFmtId="49" fontId="11" fillId="3" borderId="3" xfId="1" applyNumberFormat="1" applyFont="1" applyFill="1" applyBorder="1" applyAlignment="1">
      <alignment horizontal="center" vertical="center"/>
    </xf>
    <xf numFmtId="49" fontId="9" fillId="3" borderId="3" xfId="1" applyNumberFormat="1" applyFont="1" applyFill="1" applyBorder="1" applyAlignment="1">
      <alignment vertical="justify"/>
    </xf>
    <xf numFmtId="49" fontId="9" fillId="3" borderId="3" xfId="1" applyNumberFormat="1" applyFont="1" applyFill="1" applyBorder="1" applyAlignment="1">
      <alignment vertical="center"/>
    </xf>
    <xf numFmtId="0" fontId="11" fillId="3" borderId="3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left" vertical="center"/>
    </xf>
    <xf numFmtId="1" fontId="5" fillId="3" borderId="3" xfId="1" applyNumberFormat="1" applyFont="1" applyFill="1" applyBorder="1" applyAlignment="1">
      <alignment horizontal="center" vertical="center"/>
    </xf>
    <xf numFmtId="1" fontId="5" fillId="4" borderId="3" xfId="1" quotePrefix="1" applyNumberFormat="1" applyFont="1" applyFill="1" applyBorder="1" applyAlignment="1">
      <alignment horizontal="center" vertical="center" wrapText="1"/>
    </xf>
    <xf numFmtId="49" fontId="9" fillId="3" borderId="3" xfId="1" applyNumberFormat="1" applyFont="1" applyFill="1" applyBorder="1" applyAlignment="1">
      <alignment horizontal="left" vertical="center"/>
    </xf>
    <xf numFmtId="49" fontId="9" fillId="3" borderId="3" xfId="1" applyNumberFormat="1" applyFont="1" applyFill="1" applyBorder="1" applyAlignment="1"/>
    <xf numFmtId="49" fontId="9" fillId="3" borderId="3" xfId="1" applyNumberFormat="1" applyFont="1" applyFill="1" applyBorder="1" applyAlignment="1">
      <alignment horizontal="justify" vertical="center"/>
    </xf>
    <xf numFmtId="49" fontId="11" fillId="3" borderId="3" xfId="1" applyNumberFormat="1" applyFont="1" applyFill="1" applyBorder="1" applyAlignment="1">
      <alignment horizontal="center"/>
    </xf>
    <xf numFmtId="49" fontId="9" fillId="3" borderId="3" xfId="1" applyNumberFormat="1" applyFont="1" applyFill="1" applyBorder="1" applyAlignment="1">
      <alignment horizontal="left"/>
    </xf>
    <xf numFmtId="0" fontId="7" fillId="0" borderId="0" xfId="1" applyFont="1"/>
    <xf numFmtId="1" fontId="5" fillId="0" borderId="3" xfId="1" quotePrefix="1" applyNumberFormat="1" applyFont="1" applyFill="1" applyBorder="1" applyAlignment="1">
      <alignment horizontal="center" vertical="center"/>
    </xf>
    <xf numFmtId="1" fontId="5" fillId="8" borderId="3" xfId="1" quotePrefix="1" applyNumberFormat="1" applyFont="1" applyFill="1" applyBorder="1" applyAlignment="1">
      <alignment horizontal="center" vertical="center"/>
    </xf>
    <xf numFmtId="1" fontId="5" fillId="3" borderId="3" xfId="1" quotePrefix="1" applyNumberFormat="1" applyFont="1" applyFill="1" applyBorder="1" applyAlignment="1">
      <alignment horizontal="center" vertical="center"/>
    </xf>
    <xf numFmtId="0" fontId="5" fillId="8" borderId="3" xfId="1" quotePrefix="1" applyFont="1" applyFill="1" applyBorder="1" applyAlignment="1">
      <alignment horizontal="center" vertical="center"/>
    </xf>
    <xf numFmtId="49" fontId="11" fillId="10" borderId="3" xfId="1" applyNumberFormat="1" applyFont="1" applyFill="1" applyBorder="1" applyAlignment="1">
      <alignment horizontal="center" vertical="center"/>
    </xf>
    <xf numFmtId="49" fontId="9" fillId="10" borderId="3" xfId="1" applyNumberFormat="1" applyFont="1" applyFill="1" applyBorder="1" applyAlignment="1">
      <alignment vertical="justify"/>
    </xf>
    <xf numFmtId="1" fontId="5" fillId="10" borderId="3" xfId="1" applyNumberFormat="1" applyFont="1" applyFill="1" applyBorder="1" applyAlignment="1">
      <alignment horizontal="center" vertical="center"/>
    </xf>
    <xf numFmtId="1" fontId="5" fillId="10" borderId="3" xfId="1" quotePrefix="1" applyNumberFormat="1" applyFont="1" applyFill="1" applyBorder="1" applyAlignment="1">
      <alignment horizontal="center" vertical="center"/>
    </xf>
    <xf numFmtId="49" fontId="9" fillId="10" borderId="3" xfId="1" applyNumberFormat="1" applyFont="1" applyFill="1" applyBorder="1" applyAlignment="1">
      <alignment vertical="center"/>
    </xf>
    <xf numFmtId="49" fontId="11" fillId="6" borderId="3" xfId="1" applyNumberFormat="1" applyFont="1" applyFill="1" applyBorder="1" applyAlignment="1">
      <alignment horizontal="center" vertical="center"/>
    </xf>
    <xf numFmtId="49" fontId="9" fillId="6" borderId="3" xfId="1" applyNumberFormat="1" applyFont="1" applyFill="1" applyBorder="1" applyAlignment="1">
      <alignment vertical="center"/>
    </xf>
    <xf numFmtId="1" fontId="5" fillId="7" borderId="3" xfId="1" quotePrefix="1" applyNumberFormat="1" applyFont="1" applyFill="1" applyBorder="1" applyAlignment="1">
      <alignment horizontal="center" vertical="center"/>
    </xf>
    <xf numFmtId="49" fontId="9" fillId="6" borderId="3" xfId="1" applyNumberFormat="1" applyFont="1" applyFill="1" applyBorder="1" applyAlignment="1">
      <alignment vertical="justify"/>
    </xf>
    <xf numFmtId="1" fontId="5" fillId="6" borderId="3" xfId="1" quotePrefix="1" applyNumberFormat="1" applyFont="1" applyFill="1" applyBorder="1" applyAlignment="1">
      <alignment horizontal="center" vertical="center"/>
    </xf>
    <xf numFmtId="49" fontId="9" fillId="6" borderId="3" xfId="1" applyNumberFormat="1" applyFont="1" applyFill="1" applyBorder="1" applyAlignment="1">
      <alignment horizontal="left" vertical="center"/>
    </xf>
    <xf numFmtId="49" fontId="10" fillId="6" borderId="3" xfId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vertical="center"/>
    </xf>
    <xf numFmtId="49" fontId="8" fillId="6" borderId="3" xfId="1" applyNumberFormat="1" applyFont="1" applyFill="1" applyBorder="1" applyAlignment="1">
      <alignment vertical="justify"/>
    </xf>
    <xf numFmtId="0" fontId="11" fillId="6" borderId="3" xfId="1" applyFont="1" applyFill="1" applyBorder="1" applyAlignment="1">
      <alignment horizontal="center" vertical="center"/>
    </xf>
    <xf numFmtId="0" fontId="9" fillId="6" borderId="3" xfId="1" applyFont="1" applyFill="1" applyBorder="1" applyAlignment="1">
      <alignment horizontal="left" vertical="center"/>
    </xf>
    <xf numFmtId="0" fontId="9" fillId="6" borderId="3" xfId="1" applyFont="1" applyFill="1" applyBorder="1" applyAlignment="1">
      <alignment horizontal="left" vertical="center" wrapText="1"/>
    </xf>
    <xf numFmtId="49" fontId="9" fillId="6" borderId="3" xfId="1" applyNumberFormat="1" applyFont="1" applyFill="1" applyBorder="1" applyAlignment="1">
      <alignment vertical="center" wrapText="1"/>
    </xf>
    <xf numFmtId="0" fontId="11" fillId="6" borderId="3" xfId="1" applyFont="1" applyFill="1" applyBorder="1" applyAlignment="1">
      <alignment horizontal="center" vertical="center" wrapText="1"/>
    </xf>
    <xf numFmtId="49" fontId="21" fillId="6" borderId="3" xfId="1" applyNumberFormat="1" applyFont="1" applyFill="1" applyBorder="1" applyAlignment="1">
      <alignment vertical="justify"/>
    </xf>
    <xf numFmtId="0" fontId="7" fillId="0" borderId="0" xfId="1" applyFont="1" applyFill="1"/>
    <xf numFmtId="0" fontId="9" fillId="6" borderId="3" xfId="1" applyFont="1" applyFill="1" applyBorder="1" applyAlignment="1">
      <alignment horizontal="left" wrapText="1"/>
    </xf>
    <xf numFmtId="49" fontId="11" fillId="6" borderId="3" xfId="1" applyNumberFormat="1" applyFont="1" applyFill="1" applyBorder="1" applyAlignment="1">
      <alignment horizontal="center" vertical="justify"/>
    </xf>
    <xf numFmtId="2" fontId="9" fillId="6" borderId="3" xfId="1" applyNumberFormat="1" applyFont="1" applyFill="1" applyBorder="1" applyAlignment="1">
      <alignment vertical="justify"/>
    </xf>
    <xf numFmtId="49" fontId="11" fillId="6" borderId="3" xfId="1" applyNumberFormat="1" applyFont="1" applyFill="1" applyBorder="1" applyAlignment="1">
      <alignment horizontal="center"/>
    </xf>
    <xf numFmtId="49" fontId="9" fillId="6" borderId="3" xfId="1" applyNumberFormat="1" applyFont="1" applyFill="1" applyBorder="1" applyAlignment="1">
      <alignment horizontal="left"/>
    </xf>
    <xf numFmtId="1" fontId="5" fillId="11" borderId="3" xfId="1" applyNumberFormat="1" applyFont="1" applyFill="1" applyBorder="1" applyAlignment="1">
      <alignment horizontal="center" vertical="center"/>
    </xf>
    <xf numFmtId="49" fontId="11" fillId="12" borderId="3" xfId="1" applyNumberFormat="1" applyFont="1" applyFill="1" applyBorder="1" applyAlignment="1">
      <alignment horizontal="center" vertical="center"/>
    </xf>
    <xf numFmtId="49" fontId="9" fillId="12" borderId="3" xfId="1" applyNumberFormat="1" applyFont="1" applyFill="1" applyBorder="1" applyAlignment="1">
      <alignment vertical="center"/>
    </xf>
    <xf numFmtId="1" fontId="5" fillId="12" borderId="3" xfId="1" applyNumberFormat="1" applyFont="1" applyFill="1" applyBorder="1" applyAlignment="1">
      <alignment horizontal="center" vertical="center"/>
    </xf>
    <xf numFmtId="1" fontId="5" fillId="12" borderId="3" xfId="1" quotePrefix="1" applyNumberFormat="1" applyFont="1" applyFill="1" applyBorder="1" applyAlignment="1">
      <alignment horizontal="center" vertical="center"/>
    </xf>
    <xf numFmtId="49" fontId="9" fillId="12" borderId="3" xfId="1" applyNumberFormat="1" applyFont="1" applyFill="1" applyBorder="1" applyAlignment="1">
      <alignment vertical="justify"/>
    </xf>
    <xf numFmtId="0" fontId="11" fillId="12" borderId="3" xfId="1" applyFont="1" applyFill="1" applyBorder="1" applyAlignment="1">
      <alignment horizontal="center" vertical="center" wrapText="1"/>
    </xf>
    <xf numFmtId="0" fontId="9" fillId="12" borderId="3" xfId="1" applyFont="1" applyFill="1" applyBorder="1" applyAlignment="1">
      <alignment horizontal="left" vertical="center" wrapText="1"/>
    </xf>
    <xf numFmtId="1" fontId="5" fillId="12" borderId="3" xfId="1" applyNumberFormat="1" applyFont="1" applyFill="1" applyBorder="1" applyAlignment="1">
      <alignment horizontal="center" vertical="center" wrapText="1"/>
    </xf>
    <xf numFmtId="49" fontId="21" fillId="12" borderId="3" xfId="1" applyNumberFormat="1" applyFont="1" applyFill="1" applyBorder="1" applyAlignment="1">
      <alignment vertical="justify"/>
    </xf>
    <xf numFmtId="0" fontId="9" fillId="12" borderId="3" xfId="1" applyFont="1" applyFill="1" applyBorder="1" applyAlignment="1">
      <alignment vertical="justify" wrapText="1"/>
    </xf>
    <xf numFmtId="1" fontId="14" fillId="8" borderId="3" xfId="1" quotePrefix="1" applyNumberFormat="1" applyFont="1" applyFill="1" applyBorder="1" applyAlignment="1">
      <alignment horizontal="center" vertical="center" wrapText="1"/>
    </xf>
    <xf numFmtId="0" fontId="22" fillId="8" borderId="3" xfId="1" quotePrefix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left" vertical="center"/>
    </xf>
    <xf numFmtId="0" fontId="7" fillId="0" borderId="3" xfId="1" quotePrefix="1" applyFont="1" applyFill="1" applyBorder="1" applyAlignment="1">
      <alignment horizontal="left" vertical="center" wrapText="1"/>
    </xf>
    <xf numFmtId="1" fontId="5" fillId="0" borderId="3" xfId="1" quotePrefix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vertical="center"/>
    </xf>
    <xf numFmtId="1" fontId="5" fillId="0" borderId="0" xfId="1" quotePrefix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center" vertical="center"/>
    </xf>
    <xf numFmtId="0" fontId="5" fillId="0" borderId="0" xfId="1" quotePrefix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 wrapText="1"/>
    </xf>
    <xf numFmtId="1" fontId="5" fillId="0" borderId="0" xfId="1" applyNumberFormat="1" applyFont="1" applyFill="1" applyBorder="1" applyAlignment="1">
      <alignment horizontal="center" vertical="center" wrapText="1"/>
    </xf>
    <xf numFmtId="1" fontId="5" fillId="0" borderId="0" xfId="1" applyNumberFormat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horizontal="left" vertical="center" wrapText="1"/>
    </xf>
    <xf numFmtId="0" fontId="7" fillId="0" borderId="0" xfId="1" applyFont="1" applyFill="1" applyAlignment="1">
      <alignment horizontal="left" vertical="center"/>
    </xf>
    <xf numFmtId="0" fontId="11" fillId="0" borderId="0" xfId="1" applyFont="1" applyFill="1" applyBorder="1" applyAlignment="1">
      <alignment horizontal="left" vertical="center"/>
    </xf>
    <xf numFmtId="49" fontId="10" fillId="3" borderId="3" xfId="1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justify"/>
    </xf>
    <xf numFmtId="1" fontId="5" fillId="6" borderId="4" xfId="1" applyNumberFormat="1" applyFont="1" applyFill="1" applyBorder="1" applyAlignment="1">
      <alignment horizontal="center" vertical="center"/>
    </xf>
    <xf numFmtId="1" fontId="5" fillId="14" borderId="4" xfId="1" applyNumberFormat="1" applyFont="1" applyFill="1" applyBorder="1" applyAlignment="1">
      <alignment horizontal="center" vertical="center"/>
    </xf>
    <xf numFmtId="1" fontId="5" fillId="15" borderId="4" xfId="1" applyNumberFormat="1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/>
    <xf numFmtId="0" fontId="11" fillId="18" borderId="3" xfId="1" applyFont="1" applyFill="1" applyBorder="1" applyAlignment="1">
      <alignment horizontal="center" vertical="center"/>
    </xf>
    <xf numFmtId="0" fontId="9" fillId="18" borderId="3" xfId="1" applyFont="1" applyFill="1" applyBorder="1" applyAlignment="1">
      <alignment horizontal="left" vertical="center"/>
    </xf>
    <xf numFmtId="1" fontId="5" fillId="18" borderId="3" xfId="1" applyNumberFormat="1" applyFont="1" applyFill="1" applyBorder="1" applyAlignment="1">
      <alignment horizontal="center" vertical="center"/>
    </xf>
    <xf numFmtId="1" fontId="5" fillId="18" borderId="3" xfId="1" quotePrefix="1" applyNumberFormat="1" applyFont="1" applyFill="1" applyBorder="1" applyAlignment="1">
      <alignment horizontal="center" vertical="center"/>
    </xf>
    <xf numFmtId="1" fontId="5" fillId="18" borderId="3" xfId="1" quotePrefix="1" applyNumberFormat="1" applyFont="1" applyFill="1" applyBorder="1" applyAlignment="1">
      <alignment horizontal="center" vertical="center" wrapText="1"/>
    </xf>
    <xf numFmtId="0" fontId="35" fillId="0" borderId="0" xfId="0" applyFont="1" applyFill="1"/>
    <xf numFmtId="0" fontId="33" fillId="0" borderId="0" xfId="0" applyFont="1" applyAlignment="1">
      <alignment horizontal="left" vertical="center"/>
    </xf>
    <xf numFmtId="1" fontId="5" fillId="5" borderId="3" xfId="1" applyNumberFormat="1" applyFont="1" applyFill="1" applyBorder="1" applyAlignment="1">
      <alignment horizontal="center" vertical="center"/>
    </xf>
    <xf numFmtId="1" fontId="5" fillId="5" borderId="3" xfId="1" quotePrefix="1" applyNumberFormat="1" applyFont="1" applyFill="1" applyBorder="1" applyAlignment="1">
      <alignment horizontal="center" vertical="center"/>
    </xf>
    <xf numFmtId="49" fontId="8" fillId="5" borderId="3" xfId="1" applyNumberFormat="1" applyFont="1" applyFill="1" applyBorder="1" applyAlignment="1">
      <alignment vertical="justify"/>
    </xf>
    <xf numFmtId="49" fontId="8" fillId="5" borderId="3" xfId="1" applyNumberFormat="1" applyFont="1" applyFill="1" applyBorder="1" applyAlignment="1">
      <alignment vertical="center"/>
    </xf>
    <xf numFmtId="0" fontId="13" fillId="0" borderId="3" xfId="0" applyFont="1" applyFill="1" applyBorder="1" applyAlignment="1">
      <alignment horizontal="center" vertical="center"/>
    </xf>
    <xf numFmtId="1" fontId="5" fillId="8" borderId="3" xfId="1" quotePrefix="1" applyNumberFormat="1" applyFont="1" applyFill="1" applyBorder="1" applyAlignment="1">
      <alignment horizontal="center" vertical="center" wrapText="1"/>
    </xf>
    <xf numFmtId="0" fontId="11" fillId="4" borderId="3" xfId="1" applyFont="1" applyFill="1" applyBorder="1" applyAlignment="1">
      <alignment horizontal="left" vertical="center"/>
    </xf>
    <xf numFmtId="0" fontId="7" fillId="4" borderId="3" xfId="1" quotePrefix="1" applyFont="1" applyFill="1" applyBorder="1" applyAlignment="1">
      <alignment horizontal="left" vertical="center" wrapText="1"/>
    </xf>
    <xf numFmtId="0" fontId="33" fillId="22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justify"/>
    </xf>
    <xf numFmtId="0" fontId="13" fillId="20" borderId="3" xfId="0" applyFont="1" applyFill="1" applyBorder="1" applyAlignment="1">
      <alignment horizontal="center" vertical="center"/>
    </xf>
    <xf numFmtId="0" fontId="33" fillId="20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0" fontId="13" fillId="18" borderId="3" xfId="0" applyFont="1" applyFill="1" applyBorder="1" applyAlignment="1">
      <alignment horizontal="center" vertical="center"/>
    </xf>
    <xf numFmtId="0" fontId="33" fillId="21" borderId="3" xfId="0" applyFont="1" applyFill="1" applyBorder="1" applyAlignment="1">
      <alignment horizontal="center" vertical="center"/>
    </xf>
    <xf numFmtId="0" fontId="13" fillId="21" borderId="3" xfId="0" applyFont="1" applyFill="1" applyBorder="1" applyAlignment="1">
      <alignment horizontal="center" vertical="center"/>
    </xf>
    <xf numFmtId="0" fontId="13" fillId="22" borderId="3" xfId="0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justify"/>
    </xf>
    <xf numFmtId="0" fontId="14" fillId="3" borderId="3" xfId="0" applyFont="1" applyFill="1" applyBorder="1" applyAlignment="1">
      <alignment horizontal="center" vertical="center"/>
    </xf>
    <xf numFmtId="0" fontId="38" fillId="0" borderId="0" xfId="0" applyFont="1"/>
    <xf numFmtId="49" fontId="38" fillId="0" borderId="0" xfId="0" applyNumberFormat="1" applyFont="1"/>
    <xf numFmtId="49" fontId="40" fillId="0" borderId="0" xfId="0" applyNumberFormat="1" applyFont="1"/>
    <xf numFmtId="49" fontId="41" fillId="0" borderId="0" xfId="0" applyNumberFormat="1" applyFont="1"/>
    <xf numFmtId="49" fontId="42" fillId="0" borderId="0" xfId="0" applyNumberFormat="1" applyFont="1"/>
    <xf numFmtId="0" fontId="38" fillId="0" borderId="0" xfId="0" applyFont="1" applyFill="1"/>
    <xf numFmtId="0" fontId="39" fillId="0" borderId="0" xfId="0" applyFont="1" applyFill="1" applyBorder="1" applyAlignment="1">
      <alignment horizontal="center" vertical="justify"/>
    </xf>
    <xf numFmtId="1" fontId="13" fillId="0" borderId="0" xfId="0" applyNumberFormat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33" fillId="0" borderId="3" xfId="0" applyFont="1" applyFill="1" applyBorder="1" applyAlignment="1">
      <alignment horizontal="center" vertical="center"/>
    </xf>
    <xf numFmtId="1" fontId="5" fillId="8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1" fontId="5" fillId="5" borderId="3" xfId="1" quotePrefix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49" fontId="8" fillId="6" borderId="3" xfId="1" applyNumberFormat="1" applyFont="1" applyFill="1" applyBorder="1" applyAlignment="1">
      <alignment horizontal="left" vertical="center"/>
    </xf>
    <xf numFmtId="0" fontId="21" fillId="0" borderId="3" xfId="1" quotePrefix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vertical="center"/>
    </xf>
    <xf numFmtId="49" fontId="11" fillId="23" borderId="3" xfId="1" applyNumberFormat="1" applyFont="1" applyFill="1" applyBorder="1" applyAlignment="1">
      <alignment horizontal="center" vertical="center"/>
    </xf>
    <xf numFmtId="49" fontId="10" fillId="23" borderId="3" xfId="1" applyNumberFormat="1" applyFont="1" applyFill="1" applyBorder="1" applyAlignment="1">
      <alignment horizontal="center" vertical="center"/>
    </xf>
    <xf numFmtId="49" fontId="8" fillId="23" borderId="3" xfId="1" applyNumberFormat="1" applyFont="1" applyFill="1" applyBorder="1" applyAlignment="1">
      <alignment horizontal="left" vertical="center"/>
    </xf>
    <xf numFmtId="49" fontId="8" fillId="23" borderId="3" xfId="1" applyNumberFormat="1" applyFont="1" applyFill="1" applyBorder="1" applyAlignment="1">
      <alignment vertical="justify"/>
    </xf>
    <xf numFmtId="49" fontId="8" fillId="23" borderId="3" xfId="1" applyNumberFormat="1" applyFont="1" applyFill="1" applyBorder="1" applyAlignment="1">
      <alignment vertical="center"/>
    </xf>
    <xf numFmtId="1" fontId="5" fillId="0" borderId="0" xfId="1" applyNumberFormat="1" applyFont="1" applyFill="1" applyBorder="1" applyAlignment="1">
      <alignment vertical="center"/>
    </xf>
    <xf numFmtId="1" fontId="5" fillId="6" borderId="6" xfId="1" applyNumberFormat="1" applyFont="1" applyFill="1" applyBorder="1" applyAlignment="1">
      <alignment vertical="center" wrapText="1"/>
    </xf>
    <xf numFmtId="1" fontId="5" fillId="7" borderId="6" xfId="1" applyNumberFormat="1" applyFont="1" applyFill="1" applyBorder="1" applyAlignment="1">
      <alignment vertical="center" wrapText="1"/>
    </xf>
    <xf numFmtId="1" fontId="8" fillId="6" borderId="3" xfId="1" applyNumberFormat="1" applyFont="1" applyFill="1" applyBorder="1" applyAlignment="1">
      <alignment horizontal="center" vertical="center" wrapText="1"/>
    </xf>
    <xf numFmtId="1" fontId="44" fillId="6" borderId="3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vertical="center" wrapText="1"/>
    </xf>
    <xf numFmtId="1" fontId="5" fillId="7" borderId="3" xfId="1" applyNumberFormat="1" applyFont="1" applyFill="1" applyBorder="1" applyAlignment="1">
      <alignment vertical="center" wrapText="1"/>
    </xf>
    <xf numFmtId="1" fontId="8" fillId="0" borderId="3" xfId="1" applyNumberFormat="1" applyFont="1" applyBorder="1" applyAlignment="1">
      <alignment horizontal="center" vertical="justify" wrapText="1"/>
    </xf>
    <xf numFmtId="1" fontId="5" fillId="8" borderId="3" xfId="1" applyNumberFormat="1" applyFont="1" applyFill="1" applyBorder="1" applyAlignment="1">
      <alignment horizontal="center" vertical="justify" wrapText="1"/>
    </xf>
    <xf numFmtId="0" fontId="5" fillId="5" borderId="3" xfId="1" applyFont="1" applyFill="1" applyBorder="1" applyAlignment="1">
      <alignment horizontal="center" vertical="justify" wrapText="1"/>
    </xf>
    <xf numFmtId="0" fontId="15" fillId="0" borderId="10" xfId="1" applyFont="1" applyFill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/>
    </xf>
    <xf numFmtId="1" fontId="16" fillId="0" borderId="3" xfId="1" applyNumberFormat="1" applyFont="1" applyFill="1" applyBorder="1" applyAlignment="1">
      <alignment horizontal="center" vertical="center"/>
    </xf>
    <xf numFmtId="0" fontId="18" fillId="0" borderId="3" xfId="1" applyFont="1" applyFill="1" applyBorder="1" applyAlignment="1">
      <alignment horizontal="center" vertical="center"/>
    </xf>
    <xf numFmtId="0" fontId="18" fillId="8" borderId="3" xfId="1" applyFont="1" applyFill="1" applyBorder="1" applyAlignment="1">
      <alignment horizontal="center" vertical="center"/>
    </xf>
    <xf numFmtId="1" fontId="17" fillId="0" borderId="3" xfId="1" applyNumberFormat="1" applyFont="1" applyFill="1" applyBorder="1" applyAlignment="1">
      <alignment horizontal="center" vertical="center"/>
    </xf>
    <xf numFmtId="1" fontId="17" fillId="8" borderId="3" xfId="1" applyNumberFormat="1" applyFont="1" applyFill="1" applyBorder="1" applyAlignment="1">
      <alignment horizontal="center" vertical="center"/>
    </xf>
    <xf numFmtId="0" fontId="18" fillId="5" borderId="3" xfId="1" applyFont="1" applyFill="1" applyBorder="1" applyAlignment="1">
      <alignment horizontal="center" vertical="center"/>
    </xf>
    <xf numFmtId="0" fontId="18" fillId="5" borderId="11" xfId="1" applyFont="1" applyFill="1" applyBorder="1" applyAlignment="1">
      <alignment horizontal="center" vertical="center"/>
    </xf>
    <xf numFmtId="1" fontId="5" fillId="9" borderId="3" xfId="1" applyNumberFormat="1" applyFont="1" applyFill="1" applyBorder="1" applyAlignment="1">
      <alignment horizontal="center" vertical="center"/>
    </xf>
    <xf numFmtId="1" fontId="5" fillId="9" borderId="3" xfId="1" quotePrefix="1" applyNumberFormat="1" applyFont="1" applyFill="1" applyBorder="1" applyAlignment="1">
      <alignment horizontal="center" vertical="center" wrapText="1"/>
    </xf>
    <xf numFmtId="0" fontId="5" fillId="8" borderId="3" xfId="1" quotePrefix="1" applyFont="1" applyFill="1" applyBorder="1" applyAlignment="1">
      <alignment horizontal="center" vertical="center" wrapText="1"/>
    </xf>
    <xf numFmtId="1" fontId="5" fillId="9" borderId="3" xfId="1" quotePrefix="1" applyNumberFormat="1" applyFont="1" applyFill="1" applyBorder="1" applyAlignment="1">
      <alignment horizontal="center" vertical="center"/>
    </xf>
    <xf numFmtId="0" fontId="7" fillId="3" borderId="10" xfId="1" applyFont="1" applyFill="1" applyBorder="1" applyAlignment="1">
      <alignment horizontal="center" vertical="center"/>
    </xf>
    <xf numFmtId="0" fontId="7" fillId="9" borderId="10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left" vertical="center"/>
    </xf>
    <xf numFmtId="2" fontId="9" fillId="3" borderId="3" xfId="1" applyNumberFormat="1" applyFont="1" applyFill="1" applyBorder="1" applyAlignment="1">
      <alignment vertical="justify"/>
    </xf>
    <xf numFmtId="1" fontId="19" fillId="3" borderId="3" xfId="1" applyNumberFormat="1" applyFont="1" applyFill="1" applyBorder="1" applyAlignment="1">
      <alignment horizontal="center" vertical="center"/>
    </xf>
    <xf numFmtId="1" fontId="14" fillId="3" borderId="3" xfId="1" applyNumberFormat="1" applyFont="1" applyFill="1" applyBorder="1" applyAlignment="1">
      <alignment horizontal="center" vertical="center"/>
    </xf>
    <xf numFmtId="49" fontId="7" fillId="3" borderId="3" xfId="1" applyNumberFormat="1" applyFont="1" applyFill="1" applyBorder="1" applyAlignment="1">
      <alignment horizontal="left"/>
    </xf>
    <xf numFmtId="0" fontId="7" fillId="10" borderId="10" xfId="1" applyFont="1" applyFill="1" applyBorder="1" applyAlignment="1">
      <alignment horizontal="center" vertical="center"/>
    </xf>
    <xf numFmtId="0" fontId="11" fillId="3" borderId="3" xfId="1" applyFont="1" applyFill="1" applyBorder="1" applyAlignment="1">
      <alignment horizontal="left" vertical="center"/>
    </xf>
    <xf numFmtId="0" fontId="5" fillId="3" borderId="3" xfId="1" quotePrefix="1" applyFont="1" applyFill="1" applyBorder="1" applyAlignment="1">
      <alignment horizontal="left" vertical="center" wrapText="1"/>
    </xf>
    <xf numFmtId="1" fontId="5" fillId="3" borderId="3" xfId="1" quotePrefix="1" applyNumberFormat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left" vertical="center" wrapText="1"/>
    </xf>
    <xf numFmtId="1" fontId="5" fillId="3" borderId="3" xfId="1" applyNumberFormat="1" applyFont="1" applyFill="1" applyBorder="1" applyAlignment="1">
      <alignment horizontal="center" vertical="center" wrapText="1"/>
    </xf>
    <xf numFmtId="0" fontId="7" fillId="6" borderId="10" xfId="1" applyFont="1" applyFill="1" applyBorder="1" applyAlignment="1">
      <alignment horizontal="center" vertical="center"/>
    </xf>
    <xf numFmtId="0" fontId="7" fillId="5" borderId="10" xfId="1" applyFont="1" applyFill="1" applyBorder="1" applyAlignment="1">
      <alignment horizontal="center" vertical="center"/>
    </xf>
    <xf numFmtId="0" fontId="14" fillId="8" borderId="3" xfId="1" quotePrefix="1" applyFont="1" applyFill="1" applyBorder="1" applyAlignment="1">
      <alignment horizontal="center" vertical="center" wrapText="1"/>
    </xf>
    <xf numFmtId="1" fontId="7" fillId="6" borderId="10" xfId="1" applyNumberFormat="1" applyFont="1" applyFill="1" applyBorder="1" applyAlignment="1">
      <alignment horizontal="center" vertical="center"/>
    </xf>
    <xf numFmtId="49" fontId="7" fillId="6" borderId="10" xfId="1" applyNumberFormat="1" applyFont="1" applyFill="1" applyBorder="1" applyAlignment="1">
      <alignment horizontal="center" vertical="center"/>
    </xf>
    <xf numFmtId="0" fontId="7" fillId="12" borderId="10" xfId="1" applyFont="1" applyFill="1" applyBorder="1" applyAlignment="1">
      <alignment horizontal="center" vertical="center"/>
    </xf>
    <xf numFmtId="0" fontId="7" fillId="11" borderId="10" xfId="1" applyFont="1" applyFill="1" applyBorder="1" applyAlignment="1">
      <alignment horizontal="center" vertical="center"/>
    </xf>
    <xf numFmtId="0" fontId="9" fillId="18" borderId="10" xfId="1" applyFont="1" applyFill="1" applyBorder="1" applyAlignment="1">
      <alignment horizontal="center" vertical="center"/>
    </xf>
    <xf numFmtId="0" fontId="10" fillId="12" borderId="10" xfId="1" applyFont="1" applyFill="1" applyBorder="1" applyAlignment="1">
      <alignment horizontal="center" vertical="center"/>
    </xf>
    <xf numFmtId="0" fontId="10" fillId="12" borderId="3" xfId="1" applyFont="1" applyFill="1" applyBorder="1" applyAlignment="1">
      <alignment horizontal="center" vertical="center"/>
    </xf>
    <xf numFmtId="1" fontId="5" fillId="12" borderId="3" xfId="1" quotePrefix="1" applyNumberFormat="1" applyFont="1" applyFill="1" applyBorder="1" applyAlignment="1">
      <alignment horizontal="center" vertical="center" wrapText="1"/>
    </xf>
    <xf numFmtId="49" fontId="10" fillId="12" borderId="10" xfId="1" applyNumberFormat="1" applyFont="1" applyFill="1" applyBorder="1" applyAlignment="1">
      <alignment horizontal="center" vertical="center"/>
    </xf>
    <xf numFmtId="49" fontId="10" fillId="12" borderId="3" xfId="1" applyNumberFormat="1" applyFont="1" applyFill="1" applyBorder="1" applyAlignment="1">
      <alignment horizontal="center" vertical="center"/>
    </xf>
    <xf numFmtId="49" fontId="5" fillId="12" borderId="10" xfId="1" applyNumberFormat="1" applyFont="1" applyFill="1" applyBorder="1" applyAlignment="1">
      <alignment horizontal="center" vertical="center"/>
    </xf>
    <xf numFmtId="49" fontId="5" fillId="12" borderId="3" xfId="1" applyNumberFormat="1" applyFont="1" applyFill="1" applyBorder="1" applyAlignment="1">
      <alignment horizontal="center" vertical="center"/>
    </xf>
    <xf numFmtId="1" fontId="5" fillId="6" borderId="3" xfId="1" quotePrefix="1" applyNumberFormat="1" applyFont="1" applyFill="1" applyBorder="1" applyAlignment="1">
      <alignment horizontal="center" vertical="center" wrapText="1"/>
    </xf>
    <xf numFmtId="1" fontId="5" fillId="11" borderId="3" xfId="1" quotePrefix="1" applyNumberFormat="1" applyFont="1" applyFill="1" applyBorder="1" applyAlignment="1">
      <alignment horizontal="center" vertical="center" wrapText="1"/>
    </xf>
    <xf numFmtId="1" fontId="5" fillId="13" borderId="3" xfId="1" quotePrefix="1" applyNumberFormat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/>
    </xf>
    <xf numFmtId="2" fontId="5" fillId="5" borderId="11" xfId="1" quotePrefix="1" applyNumberFormat="1" applyFont="1" applyFill="1" applyBorder="1" applyAlignment="1">
      <alignment horizontal="center" vertical="center" wrapText="1"/>
    </xf>
    <xf numFmtId="1" fontId="5" fillId="23" borderId="3" xfId="1" quotePrefix="1" applyNumberFormat="1" applyFont="1" applyFill="1" applyBorder="1" applyAlignment="1">
      <alignment horizontal="center" vertical="center"/>
    </xf>
    <xf numFmtId="1" fontId="5" fillId="23" borderId="3" xfId="1" applyNumberFormat="1" applyFont="1" applyFill="1" applyBorder="1" applyAlignment="1">
      <alignment horizontal="center" vertical="center"/>
    </xf>
    <xf numFmtId="0" fontId="9" fillId="23" borderId="3" xfId="0" applyFont="1" applyFill="1" applyBorder="1" applyAlignment="1">
      <alignment horizontal="left" vertical="top" wrapText="1"/>
    </xf>
    <xf numFmtId="49" fontId="46" fillId="6" borderId="3" xfId="1" applyNumberFormat="1" applyFont="1" applyFill="1" applyBorder="1" applyAlignment="1">
      <alignment vertical="justify"/>
    </xf>
    <xf numFmtId="0" fontId="17" fillId="0" borderId="0" xfId="1" applyFont="1" applyFill="1" applyAlignment="1">
      <alignment vertical="center"/>
    </xf>
    <xf numFmtId="0" fontId="33" fillId="6" borderId="3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" fontId="3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33" fillId="3" borderId="3" xfId="0" applyFont="1" applyFill="1" applyBorder="1" applyAlignment="1">
      <alignment horizontal="center" vertical="justify"/>
    </xf>
    <xf numFmtId="0" fontId="33" fillId="6" borderId="3" xfId="0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1" fontId="5" fillId="0" borderId="16" xfId="1" applyNumberFormat="1" applyFont="1" applyFill="1" applyBorder="1" applyAlignment="1">
      <alignment vertical="center"/>
    </xf>
    <xf numFmtId="1" fontId="33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justify"/>
    </xf>
    <xf numFmtId="1" fontId="5" fillId="24" borderId="3" xfId="1" quotePrefix="1" applyNumberFormat="1" applyFont="1" applyFill="1" applyBorder="1" applyAlignment="1">
      <alignment horizontal="center" vertical="center"/>
    </xf>
    <xf numFmtId="49" fontId="18" fillId="23" borderId="3" xfId="1" applyNumberFormat="1" applyFont="1" applyFill="1" applyBorder="1" applyAlignment="1">
      <alignment vertical="center"/>
    </xf>
    <xf numFmtId="49" fontId="8" fillId="3" borderId="3" xfId="1" applyNumberFormat="1" applyFont="1" applyFill="1" applyBorder="1" applyAlignment="1">
      <alignment vertical="center"/>
    </xf>
    <xf numFmtId="1" fontId="33" fillId="0" borderId="0" xfId="0" applyNumberFormat="1" applyFont="1" applyAlignment="1">
      <alignment horizontal="center" vertical="center"/>
    </xf>
    <xf numFmtId="1" fontId="33" fillId="6" borderId="3" xfId="0" applyNumberFormat="1" applyFont="1" applyFill="1" applyBorder="1" applyAlignment="1">
      <alignment horizontal="center" vertical="center"/>
    </xf>
    <xf numFmtId="1" fontId="33" fillId="5" borderId="3" xfId="0" applyNumberFormat="1" applyFont="1" applyFill="1" applyBorder="1" applyAlignment="1">
      <alignment horizontal="center" vertical="center"/>
    </xf>
    <xf numFmtId="49" fontId="49" fillId="3" borderId="3" xfId="1" applyNumberFormat="1" applyFont="1" applyFill="1" applyBorder="1" applyAlignment="1">
      <alignment horizontal="center" vertical="center"/>
    </xf>
    <xf numFmtId="49" fontId="50" fillId="3" borderId="3" xfId="1" applyNumberFormat="1" applyFont="1" applyFill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49" fontId="10" fillId="5" borderId="3" xfId="1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justify"/>
    </xf>
    <xf numFmtId="1" fontId="2" fillId="0" borderId="3" xfId="0" applyNumberFormat="1" applyFont="1" applyFill="1" applyBorder="1" applyAlignment="1">
      <alignment horizontal="center" vertical="center"/>
    </xf>
    <xf numFmtId="0" fontId="30" fillId="0" borderId="0" xfId="1" applyFont="1" applyAlignment="1">
      <alignment horizontal="left" vertical="justify"/>
    </xf>
    <xf numFmtId="49" fontId="31" fillId="16" borderId="0" xfId="2" applyNumberFormat="1" applyFont="1" applyFill="1" applyBorder="1" applyAlignment="1">
      <alignment horizontal="center" vertical="justify"/>
    </xf>
    <xf numFmtId="49" fontId="10" fillId="5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1" fontId="46" fillId="6" borderId="3" xfId="1" applyNumberFormat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49" fontId="10" fillId="5" borderId="3" xfId="1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49" fontId="7" fillId="3" borderId="10" xfId="1" applyNumberFormat="1" applyFont="1" applyFill="1" applyBorder="1" applyAlignment="1">
      <alignment horizontal="center" vertical="center"/>
    </xf>
    <xf numFmtId="49" fontId="10" fillId="15" borderId="3" xfId="1" applyNumberFormat="1" applyFont="1" applyFill="1" applyBorder="1" applyAlignment="1">
      <alignment horizontal="center" vertical="center"/>
    </xf>
    <xf numFmtId="49" fontId="8" fillId="15" borderId="3" xfId="1" applyNumberFormat="1" applyFont="1" applyFill="1" applyBorder="1" applyAlignment="1">
      <alignment vertical="center"/>
    </xf>
    <xf numFmtId="0" fontId="33" fillId="25" borderId="3" xfId="0" applyFont="1" applyFill="1" applyBorder="1" applyAlignment="1">
      <alignment horizontal="center" vertical="justify"/>
    </xf>
    <xf numFmtId="3" fontId="33" fillId="25" borderId="3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49" fontId="51" fillId="0" borderId="0" xfId="0" applyNumberFormat="1" applyFont="1"/>
    <xf numFmtId="0" fontId="47" fillId="6" borderId="3" xfId="0" applyFont="1" applyFill="1" applyBorder="1" applyAlignment="1">
      <alignment horizontal="center" vertical="center"/>
    </xf>
    <xf numFmtId="0" fontId="52" fillId="6" borderId="3" xfId="0" applyFont="1" applyFill="1" applyBorder="1" applyAlignment="1">
      <alignment horizontal="center" vertical="center"/>
    </xf>
    <xf numFmtId="0" fontId="14" fillId="18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23" borderId="3" xfId="0" applyFont="1" applyFill="1" applyBorder="1" applyAlignment="1">
      <alignment horizontal="center" vertical="center"/>
    </xf>
    <xf numFmtId="3" fontId="33" fillId="23" borderId="3" xfId="0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49" fontId="20" fillId="3" borderId="3" xfId="1" applyNumberFormat="1" applyFont="1" applyFill="1" applyBorder="1" applyAlignment="1">
      <alignment vertical="center"/>
    </xf>
    <xf numFmtId="49" fontId="47" fillId="3" borderId="3" xfId="1" applyNumberFormat="1" applyFont="1" applyFill="1" applyBorder="1" applyAlignment="1">
      <alignment vertical="center"/>
    </xf>
    <xf numFmtId="1" fontId="5" fillId="25" borderId="3" xfId="1" quotePrefix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49" fontId="11" fillId="3" borderId="17" xfId="1" applyNumberFormat="1" applyFont="1" applyFill="1" applyBorder="1" applyAlignment="1">
      <alignment horizontal="center" vertical="center"/>
    </xf>
    <xf numFmtId="49" fontId="11" fillId="3" borderId="18" xfId="1" applyNumberFormat="1" applyFont="1" applyFill="1" applyBorder="1" applyAlignment="1">
      <alignment horizontal="center" vertical="center"/>
    </xf>
    <xf numFmtId="49" fontId="9" fillId="3" borderId="18" xfId="1" applyNumberFormat="1" applyFont="1" applyFill="1" applyBorder="1" applyAlignment="1">
      <alignment vertical="center"/>
    </xf>
    <xf numFmtId="49" fontId="19" fillId="26" borderId="3" xfId="0" applyNumberFormat="1" applyFont="1" applyFill="1" applyBorder="1" applyAlignment="1">
      <alignment vertical="justify"/>
    </xf>
    <xf numFmtId="1" fontId="5" fillId="3" borderId="17" xfId="1" applyNumberFormat="1" applyFont="1" applyFill="1" applyBorder="1" applyAlignment="1">
      <alignment horizontal="center" vertical="center"/>
    </xf>
    <xf numFmtId="1" fontId="5" fillId="0" borderId="17" xfId="1" quotePrefix="1" applyNumberFormat="1" applyFont="1" applyFill="1" applyBorder="1" applyAlignment="1">
      <alignment horizontal="center" vertical="center"/>
    </xf>
    <xf numFmtId="0" fontId="5" fillId="8" borderId="17" xfId="1" quotePrefix="1" applyFont="1" applyFill="1" applyBorder="1" applyAlignment="1">
      <alignment horizontal="center" vertical="center"/>
    </xf>
    <xf numFmtId="1" fontId="5" fillId="3" borderId="17" xfId="1" quotePrefix="1" applyNumberFormat="1" applyFont="1" applyFill="1" applyBorder="1" applyAlignment="1">
      <alignment horizontal="center" vertical="center"/>
    </xf>
    <xf numFmtId="1" fontId="5" fillId="8" borderId="17" xfId="1" quotePrefix="1" applyNumberFormat="1" applyFont="1" applyFill="1" applyBorder="1" applyAlignment="1">
      <alignment horizontal="center" vertical="center"/>
    </xf>
    <xf numFmtId="1" fontId="5" fillId="5" borderId="17" xfId="1" quotePrefix="1" applyNumberFormat="1" applyFont="1" applyFill="1" applyBorder="1" applyAlignment="1">
      <alignment horizontal="center" vertical="center" wrapText="1"/>
    </xf>
    <xf numFmtId="1" fontId="5" fillId="3" borderId="18" xfId="1" applyNumberFormat="1" applyFont="1" applyFill="1" applyBorder="1" applyAlignment="1">
      <alignment horizontal="center" vertical="center"/>
    </xf>
    <xf numFmtId="1" fontId="5" fillId="0" borderId="18" xfId="1" quotePrefix="1" applyNumberFormat="1" applyFont="1" applyFill="1" applyBorder="1" applyAlignment="1">
      <alignment horizontal="center" vertical="center"/>
    </xf>
    <xf numFmtId="0" fontId="5" fillId="8" borderId="18" xfId="1" quotePrefix="1" applyFont="1" applyFill="1" applyBorder="1" applyAlignment="1">
      <alignment horizontal="center" vertical="center"/>
    </xf>
    <xf numFmtId="1" fontId="5" fillId="3" borderId="18" xfId="1" quotePrefix="1" applyNumberFormat="1" applyFont="1" applyFill="1" applyBorder="1" applyAlignment="1">
      <alignment horizontal="center" vertical="center"/>
    </xf>
    <xf numFmtId="1" fontId="5" fillId="8" borderId="18" xfId="1" quotePrefix="1" applyNumberFormat="1" applyFont="1" applyFill="1" applyBorder="1" applyAlignment="1">
      <alignment horizontal="center" vertical="center"/>
    </xf>
    <xf numFmtId="1" fontId="5" fillId="5" borderId="18" xfId="1" quotePrefix="1" applyNumberFormat="1" applyFont="1" applyFill="1" applyBorder="1" applyAlignment="1">
      <alignment horizontal="center" vertical="center" wrapText="1"/>
    </xf>
    <xf numFmtId="1" fontId="5" fillId="6" borderId="17" xfId="1" applyNumberFormat="1" applyFont="1" applyFill="1" applyBorder="1" applyAlignment="1">
      <alignment horizontal="center" vertical="center"/>
    </xf>
    <xf numFmtId="49" fontId="11" fillId="6" borderId="18" xfId="1" applyNumberFormat="1" applyFont="1" applyFill="1" applyBorder="1" applyAlignment="1">
      <alignment horizontal="center" vertical="center"/>
    </xf>
    <xf numFmtId="1" fontId="5" fillId="6" borderId="18" xfId="1" applyNumberFormat="1" applyFont="1" applyFill="1" applyBorder="1" applyAlignment="1">
      <alignment horizontal="center" vertical="center"/>
    </xf>
    <xf numFmtId="49" fontId="11" fillId="6" borderId="17" xfId="1" applyNumberFormat="1" applyFont="1" applyFill="1" applyBorder="1" applyAlignment="1">
      <alignment horizontal="center" vertical="center"/>
    </xf>
    <xf numFmtId="49" fontId="9" fillId="6" borderId="17" xfId="1" applyNumberFormat="1" applyFont="1" applyFill="1" applyBorder="1" applyAlignment="1">
      <alignment vertical="center"/>
    </xf>
    <xf numFmtId="1" fontId="5" fillId="6" borderId="17" xfId="1" quotePrefix="1" applyNumberFormat="1" applyFont="1" applyFill="1" applyBorder="1" applyAlignment="1">
      <alignment horizontal="center" vertical="center"/>
    </xf>
    <xf numFmtId="49" fontId="9" fillId="6" borderId="18" xfId="1" applyNumberFormat="1" applyFont="1" applyFill="1" applyBorder="1" applyAlignment="1">
      <alignment vertical="center"/>
    </xf>
    <xf numFmtId="1" fontId="5" fillId="6" borderId="18" xfId="1" quotePrefix="1" applyNumberFormat="1" applyFont="1" applyFill="1" applyBorder="1" applyAlignment="1">
      <alignment horizontal="center" vertical="center"/>
    </xf>
    <xf numFmtId="1" fontId="5" fillId="12" borderId="18" xfId="1" applyNumberFormat="1" applyFont="1" applyFill="1" applyBorder="1" applyAlignment="1">
      <alignment horizontal="center" vertical="center"/>
    </xf>
    <xf numFmtId="1" fontId="5" fillId="12" borderId="18" xfId="1" quotePrefix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5" fillId="0" borderId="0" xfId="1" applyFont="1" applyFill="1"/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center"/>
    </xf>
    <xf numFmtId="1" fontId="7" fillId="0" borderId="0" xfId="1" applyNumberFormat="1" applyFont="1" applyFill="1" applyAlignment="1">
      <alignment horizontal="left" vertical="center"/>
    </xf>
    <xf numFmtId="1" fontId="7" fillId="0" borderId="0" xfId="1" applyNumberFormat="1" applyFont="1"/>
    <xf numFmtId="0" fontId="4" fillId="19" borderId="0" xfId="1" applyFont="1" applyFill="1" applyAlignment="1">
      <alignment vertical="center"/>
    </xf>
    <xf numFmtId="0" fontId="33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justify"/>
    </xf>
    <xf numFmtId="0" fontId="55" fillId="0" borderId="4" xfId="0" applyFont="1" applyBorder="1" applyAlignment="1">
      <alignment horizontal="center" vertical="center"/>
    </xf>
    <xf numFmtId="49" fontId="10" fillId="6" borderId="4" xfId="1" applyNumberFormat="1" applyFont="1" applyFill="1" applyBorder="1" applyAlignment="1">
      <alignment horizontal="center" vertical="center"/>
    </xf>
    <xf numFmtId="49" fontId="8" fillId="6" borderId="4" xfId="1" applyNumberFormat="1" applyFont="1" applyFill="1" applyBorder="1" applyAlignment="1">
      <alignment vertical="center"/>
    </xf>
    <xf numFmtId="0" fontId="33" fillId="6" borderId="4" xfId="0" applyFont="1" applyFill="1" applyBorder="1" applyAlignment="1">
      <alignment horizontal="center" vertical="center"/>
    </xf>
    <xf numFmtId="1" fontId="33" fillId="0" borderId="4" xfId="0" applyNumberFormat="1" applyFont="1" applyFill="1" applyBorder="1" applyAlignment="1">
      <alignment horizontal="center" vertical="center"/>
    </xf>
    <xf numFmtId="1" fontId="37" fillId="6" borderId="4" xfId="0" applyNumberFormat="1" applyFont="1" applyFill="1" applyBorder="1" applyAlignment="1">
      <alignment horizontal="center" vertical="center"/>
    </xf>
    <xf numFmtId="1" fontId="33" fillId="0" borderId="4" xfId="0" applyNumberFormat="1" applyFont="1" applyBorder="1" applyAlignment="1">
      <alignment horizontal="center" vertical="center"/>
    </xf>
    <xf numFmtId="4" fontId="33" fillId="0" borderId="4" xfId="0" applyNumberFormat="1" applyFont="1" applyBorder="1" applyAlignment="1">
      <alignment horizontal="center" vertical="center"/>
    </xf>
    <xf numFmtId="49" fontId="10" fillId="5" borderId="4" xfId="1" applyNumberFormat="1" applyFont="1" applyFill="1" applyBorder="1" applyAlignment="1">
      <alignment horizontal="center" vertical="center"/>
    </xf>
    <xf numFmtId="49" fontId="8" fillId="5" borderId="4" xfId="1" applyNumberFormat="1" applyFont="1" applyFill="1" applyBorder="1" applyAlignment="1">
      <alignment vertical="justify"/>
    </xf>
    <xf numFmtId="1" fontId="33" fillId="5" borderId="4" xfId="0" applyNumberFormat="1" applyFont="1" applyFill="1" applyBorder="1" applyAlignment="1">
      <alignment horizontal="center" vertical="center"/>
    </xf>
    <xf numFmtId="0" fontId="5" fillId="9" borderId="10" xfId="1" applyFont="1" applyFill="1" applyBorder="1" applyAlignment="1">
      <alignment horizontal="center" vertical="center"/>
    </xf>
    <xf numFmtId="0" fontId="5" fillId="9" borderId="3" xfId="1" quotePrefix="1" applyFont="1" applyFill="1" applyBorder="1" applyAlignment="1">
      <alignment horizontal="center" vertical="center" wrapText="1"/>
    </xf>
    <xf numFmtId="0" fontId="5" fillId="9" borderId="3" xfId="1" quotePrefix="1" applyFont="1" applyFill="1" applyBorder="1" applyAlignment="1">
      <alignment horizontal="center" vertical="center"/>
    </xf>
    <xf numFmtId="1" fontId="2" fillId="9" borderId="3" xfId="1" quotePrefix="1" applyNumberFormat="1" applyFont="1" applyFill="1" applyBorder="1" applyAlignment="1">
      <alignment horizontal="center" vertical="center" wrapText="1"/>
    </xf>
    <xf numFmtId="1" fontId="14" fillId="9" borderId="3" xfId="1" quotePrefix="1" applyNumberFormat="1" applyFont="1" applyFill="1" applyBorder="1" applyAlignment="1">
      <alignment horizontal="center" vertical="center" wrapText="1"/>
    </xf>
    <xf numFmtId="49" fontId="46" fillId="3" borderId="3" xfId="1" applyNumberFormat="1" applyFont="1" applyFill="1" applyBorder="1" applyAlignment="1">
      <alignment vertical="justify"/>
    </xf>
    <xf numFmtId="49" fontId="8" fillId="3" borderId="3" xfId="1" applyNumberFormat="1" applyFont="1" applyFill="1" applyBorder="1" applyAlignment="1">
      <alignment horizontal="justify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7" fillId="6" borderId="3" xfId="1" applyFont="1" applyFill="1" applyBorder="1" applyAlignment="1">
      <alignment horizontal="center" vertical="center"/>
    </xf>
    <xf numFmtId="1" fontId="14" fillId="5" borderId="3" xfId="1" quotePrefix="1" applyNumberFormat="1" applyFont="1" applyFill="1" applyBorder="1" applyAlignment="1">
      <alignment horizontal="center" vertical="center" wrapText="1"/>
    </xf>
    <xf numFmtId="49" fontId="7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56" fillId="0" borderId="0" xfId="1" applyFont="1" applyFill="1" applyAlignment="1">
      <alignment horizontal="left" vertical="center"/>
    </xf>
    <xf numFmtId="0" fontId="56" fillId="0" borderId="0" xfId="1" applyFont="1" applyAlignment="1">
      <alignment horizontal="left"/>
    </xf>
    <xf numFmtId="1" fontId="56" fillId="0" borderId="0" xfId="1" applyNumberFormat="1" applyFont="1" applyAlignment="1">
      <alignment horizontal="left"/>
    </xf>
    <xf numFmtId="1" fontId="4" fillId="4" borderId="0" xfId="1" applyNumberFormat="1" applyFont="1" applyFill="1" applyAlignment="1">
      <alignment horizontal="left"/>
    </xf>
    <xf numFmtId="1" fontId="4" fillId="8" borderId="0" xfId="1" applyNumberFormat="1" applyFont="1" applyFill="1" applyAlignment="1">
      <alignment horizontal="left"/>
    </xf>
    <xf numFmtId="0" fontId="7" fillId="12" borderId="3" xfId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justify"/>
    </xf>
    <xf numFmtId="1" fontId="56" fillId="0" borderId="0" xfId="1" applyNumberFormat="1" applyFont="1" applyAlignment="1">
      <alignment horizontal="left" vertical="center"/>
    </xf>
    <xf numFmtId="1" fontId="4" fillId="0" borderId="0" xfId="1" applyNumberFormat="1" applyFont="1" applyAlignment="1">
      <alignment horizontal="left" vertical="center"/>
    </xf>
    <xf numFmtId="1" fontId="5" fillId="6" borderId="3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49" fontId="10" fillId="5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49" fontId="9" fillId="3" borderId="18" xfId="1" applyNumberFormat="1" applyFont="1" applyFill="1" applyBorder="1" applyAlignment="1">
      <alignment vertical="justify"/>
    </xf>
    <xf numFmtId="49" fontId="9" fillId="3" borderId="17" xfId="1" applyNumberFormat="1" applyFont="1" applyFill="1" applyBorder="1" applyAlignment="1">
      <alignment vertical="center"/>
    </xf>
    <xf numFmtId="49" fontId="9" fillId="10" borderId="3" xfId="1" applyNumberFormat="1" applyFont="1" applyFill="1" applyBorder="1" applyAlignment="1">
      <alignment horizontal="left" vertical="center"/>
    </xf>
    <xf numFmtId="1" fontId="4" fillId="27" borderId="0" xfId="1" applyNumberFormat="1" applyFont="1" applyFill="1" applyAlignment="1">
      <alignment horizontal="left"/>
    </xf>
    <xf numFmtId="0" fontId="54" fillId="0" borderId="0" xfId="1" applyFont="1" applyFill="1"/>
    <xf numFmtId="1" fontId="5" fillId="6" borderId="3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49" fontId="9" fillId="6" borderId="18" xfId="1" applyNumberFormat="1" applyFont="1" applyFill="1" applyBorder="1" applyAlignment="1">
      <alignment vertical="justify"/>
    </xf>
    <xf numFmtId="2" fontId="9" fillId="6" borderId="3" xfId="1" applyNumberFormat="1" applyFont="1" applyFill="1" applyBorder="1" applyAlignment="1">
      <alignment vertical="center"/>
    </xf>
    <xf numFmtId="0" fontId="7" fillId="0" borderId="0" xfId="1" applyFont="1" applyAlignment="1">
      <alignment horizontal="left"/>
    </xf>
    <xf numFmtId="1" fontId="5" fillId="19" borderId="0" xfId="1" applyNumberFormat="1" applyFont="1" applyFill="1" applyAlignment="1">
      <alignment horizontal="left"/>
    </xf>
    <xf numFmtId="49" fontId="21" fillId="6" borderId="3" xfId="1" applyNumberFormat="1" applyFont="1" applyFill="1" applyBorder="1" applyAlignment="1">
      <alignment vertical="center"/>
    </xf>
    <xf numFmtId="0" fontId="9" fillId="6" borderId="3" xfId="1" applyFont="1" applyFill="1" applyBorder="1" applyAlignment="1">
      <alignment vertical="center" wrapText="1"/>
    </xf>
    <xf numFmtId="0" fontId="7" fillId="0" borderId="20" xfId="1" applyFont="1" applyFill="1" applyBorder="1" applyAlignment="1">
      <alignment horizontal="center" vertical="center"/>
    </xf>
    <xf numFmtId="0" fontId="11" fillId="0" borderId="17" xfId="1" applyFont="1" applyFill="1" applyBorder="1" applyAlignment="1">
      <alignment horizontal="left" vertical="center"/>
    </xf>
    <xf numFmtId="0" fontId="21" fillId="0" borderId="17" xfId="1" quotePrefix="1" applyFont="1" applyFill="1" applyBorder="1" applyAlignment="1">
      <alignment horizontal="left" vertical="center" wrapText="1"/>
    </xf>
    <xf numFmtId="1" fontId="5" fillId="0" borderId="17" xfId="1" quotePrefix="1" applyNumberFormat="1" applyFont="1" applyFill="1" applyBorder="1" applyAlignment="1">
      <alignment horizontal="center" vertical="center" wrapText="1"/>
    </xf>
    <xf numFmtId="1" fontId="5" fillId="8" borderId="17" xfId="1" quotePrefix="1" applyNumberFormat="1" applyFont="1" applyFill="1" applyBorder="1" applyAlignment="1">
      <alignment horizontal="center" vertical="center" wrapText="1"/>
    </xf>
    <xf numFmtId="1" fontId="5" fillId="13" borderId="17" xfId="1" quotePrefix="1" applyNumberFormat="1" applyFont="1" applyFill="1" applyBorder="1" applyAlignment="1">
      <alignment horizontal="center" vertical="center" wrapText="1"/>
    </xf>
    <xf numFmtId="2" fontId="5" fillId="5" borderId="21" xfId="1" quotePrefix="1" applyNumberFormat="1" applyFont="1" applyFill="1" applyBorder="1" applyAlignment="1">
      <alignment horizontal="center" vertical="center" wrapText="1"/>
    </xf>
    <xf numFmtId="2" fontId="5" fillId="5" borderId="4" xfId="1" quotePrefix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1" fontId="57" fillId="6" borderId="3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33" fillId="9" borderId="0" xfId="0" applyNumberFormat="1" applyFont="1" applyFill="1" applyAlignment="1">
      <alignment horizontal="center" vertical="center"/>
    </xf>
    <xf numFmtId="49" fontId="22" fillId="26" borderId="3" xfId="0" applyNumberFormat="1" applyFont="1" applyFill="1" applyBorder="1" applyAlignment="1">
      <alignment horizontal="center" vertical="center"/>
    </xf>
    <xf numFmtId="49" fontId="22" fillId="28" borderId="3" xfId="0" applyNumberFormat="1" applyFont="1" applyFill="1" applyBorder="1" applyAlignment="1">
      <alignment vertical="justify"/>
    </xf>
    <xf numFmtId="49" fontId="22" fillId="3" borderId="3" xfId="0" applyNumberFormat="1" applyFont="1" applyFill="1" applyBorder="1" applyAlignment="1">
      <alignment horizontal="center" vertical="center"/>
    </xf>
    <xf numFmtId="49" fontId="22" fillId="3" borderId="3" xfId="0" applyNumberFormat="1" applyFont="1" applyFill="1" applyBorder="1" applyAlignment="1">
      <alignment vertical="justify"/>
    </xf>
    <xf numFmtId="49" fontId="22" fillId="28" borderId="3" xfId="0" applyNumberFormat="1" applyFont="1" applyFill="1" applyBorder="1" applyAlignment="1">
      <alignment horizontal="center" vertical="center"/>
    </xf>
    <xf numFmtId="0" fontId="5" fillId="6" borderId="10" xfId="1" applyFont="1" applyFill="1" applyBorder="1" applyAlignment="1">
      <alignment horizontal="center" vertical="center"/>
    </xf>
    <xf numFmtId="0" fontId="7" fillId="29" borderId="10" xfId="1" applyFont="1" applyFill="1" applyBorder="1" applyAlignment="1">
      <alignment horizontal="center" vertical="center"/>
    </xf>
    <xf numFmtId="49" fontId="11" fillId="29" borderId="3" xfId="1" applyNumberFormat="1" applyFont="1" applyFill="1" applyBorder="1" applyAlignment="1">
      <alignment horizontal="center" vertical="center"/>
    </xf>
    <xf numFmtId="49" fontId="9" fillId="29" borderId="3" xfId="1" applyNumberFormat="1" applyFont="1" applyFill="1" applyBorder="1" applyAlignment="1">
      <alignment vertical="center"/>
    </xf>
    <xf numFmtId="0" fontId="7" fillId="29" borderId="0" xfId="1" applyFont="1" applyFill="1"/>
    <xf numFmtId="0" fontId="5" fillId="29" borderId="0" xfId="1" applyFont="1" applyFill="1"/>
    <xf numFmtId="0" fontId="9" fillId="29" borderId="3" xfId="1" applyFont="1" applyFill="1" applyBorder="1" applyAlignment="1">
      <alignment horizontal="left" vertical="center" wrapText="1"/>
    </xf>
    <xf numFmtId="49" fontId="9" fillId="29" borderId="3" xfId="1" applyNumberFormat="1" applyFont="1" applyFill="1" applyBorder="1" applyAlignment="1">
      <alignment vertical="justify"/>
    </xf>
    <xf numFmtId="0" fontId="7" fillId="29" borderId="3" xfId="1" applyFont="1" applyFill="1" applyBorder="1" applyAlignment="1">
      <alignment horizontal="center" vertical="center"/>
    </xf>
    <xf numFmtId="0" fontId="7" fillId="29" borderId="0" xfId="1" applyFont="1" applyFill="1" applyAlignment="1">
      <alignment vertical="center"/>
    </xf>
    <xf numFmtId="0" fontId="5" fillId="29" borderId="0" xfId="1" applyFont="1" applyFill="1" applyAlignment="1">
      <alignment vertical="center"/>
    </xf>
    <xf numFmtId="0" fontId="9" fillId="29" borderId="10" xfId="1" applyFont="1" applyFill="1" applyBorder="1" applyAlignment="1">
      <alignment horizontal="center" vertical="center"/>
    </xf>
    <xf numFmtId="0" fontId="11" fillId="29" borderId="3" xfId="1" applyFont="1" applyFill="1" applyBorder="1" applyAlignment="1">
      <alignment horizontal="center" vertical="center"/>
    </xf>
    <xf numFmtId="0" fontId="9" fillId="29" borderId="3" xfId="1" applyFont="1" applyFill="1" applyBorder="1" applyAlignment="1">
      <alignment horizontal="left" vertical="center"/>
    </xf>
    <xf numFmtId="0" fontId="11" fillId="29" borderId="3" xfId="1" applyFont="1" applyFill="1" applyBorder="1" applyAlignment="1">
      <alignment horizontal="center" vertical="center" wrapText="1"/>
    </xf>
    <xf numFmtId="49" fontId="11" fillId="29" borderId="3" xfId="1" applyNumberFormat="1" applyFont="1" applyFill="1" applyBorder="1" applyAlignment="1">
      <alignment horizontal="center" vertical="justify"/>
    </xf>
    <xf numFmtId="49" fontId="11" fillId="29" borderId="3" xfId="0" applyNumberFormat="1" applyFont="1" applyFill="1" applyBorder="1" applyAlignment="1">
      <alignment horizontal="center" vertical="center"/>
    </xf>
    <xf numFmtId="1" fontId="7" fillId="29" borderId="10" xfId="1" applyNumberFormat="1" applyFont="1" applyFill="1" applyBorder="1" applyAlignment="1">
      <alignment horizontal="center" vertical="center"/>
    </xf>
    <xf numFmtId="49" fontId="7" fillId="29" borderId="3" xfId="1" applyNumberFormat="1" applyFont="1" applyFill="1" applyBorder="1" applyAlignment="1">
      <alignment horizontal="center" vertical="center"/>
    </xf>
    <xf numFmtId="49" fontId="7" fillId="29" borderId="10" xfId="1" applyNumberFormat="1" applyFont="1" applyFill="1" applyBorder="1" applyAlignment="1">
      <alignment horizontal="center" vertical="center"/>
    </xf>
    <xf numFmtId="49" fontId="9" fillId="29" borderId="3" xfId="1" applyNumberFormat="1" applyFont="1" applyFill="1" applyBorder="1" applyAlignment="1">
      <alignment horizontal="left" vertical="center"/>
    </xf>
    <xf numFmtId="49" fontId="22" fillId="6" borderId="3" xfId="0" applyNumberFormat="1" applyFont="1" applyFill="1" applyBorder="1" applyAlignment="1">
      <alignment horizontal="center" vertical="center"/>
    </xf>
    <xf numFmtId="49" fontId="14" fillId="6" borderId="3" xfId="0" applyNumberFormat="1" applyFont="1" applyFill="1" applyBorder="1" applyAlignment="1">
      <alignment vertical="justify"/>
    </xf>
    <xf numFmtId="49" fontId="22" fillId="6" borderId="3" xfId="0" applyNumberFormat="1" applyFont="1" applyFill="1" applyBorder="1" applyAlignment="1">
      <alignment vertical="justify"/>
    </xf>
    <xf numFmtId="49" fontId="49" fillId="6" borderId="3" xfId="0" applyNumberFormat="1" applyFont="1" applyFill="1" applyBorder="1" applyAlignment="1">
      <alignment horizontal="center" vertical="center"/>
    </xf>
    <xf numFmtId="49" fontId="10" fillId="6" borderId="3" xfId="0" applyNumberFormat="1" applyFont="1" applyFill="1" applyBorder="1" applyAlignment="1">
      <alignment horizontal="center" vertical="center"/>
    </xf>
    <xf numFmtId="49" fontId="5" fillId="6" borderId="3" xfId="0" applyNumberFormat="1" applyFont="1" applyFill="1" applyBorder="1" applyAlignment="1">
      <alignment vertical="center"/>
    </xf>
    <xf numFmtId="49" fontId="10" fillId="26" borderId="3" xfId="0" applyNumberFormat="1" applyFont="1" applyFill="1" applyBorder="1" applyAlignment="1">
      <alignment horizontal="center" vertical="center"/>
    </xf>
    <xf numFmtId="49" fontId="10" fillId="26" borderId="3" xfId="0" applyNumberFormat="1" applyFont="1" applyFill="1" applyBorder="1" applyAlignment="1">
      <alignment vertical="justify"/>
    </xf>
    <xf numFmtId="49" fontId="10" fillId="6" borderId="3" xfId="0" applyNumberFormat="1" applyFont="1" applyFill="1" applyBorder="1" applyAlignment="1">
      <alignment vertical="justify"/>
    </xf>
    <xf numFmtId="49" fontId="49" fillId="6" borderId="3" xfId="0" applyNumberFormat="1" applyFont="1" applyFill="1" applyBorder="1" applyAlignment="1">
      <alignment vertical="justify"/>
    </xf>
    <xf numFmtId="49" fontId="22" fillId="6" borderId="3" xfId="0" applyNumberFormat="1" applyFont="1" applyFill="1" applyBorder="1" applyAlignment="1">
      <alignment vertical="center"/>
    </xf>
    <xf numFmtId="49" fontId="22" fillId="26" borderId="3" xfId="0" applyNumberFormat="1" applyFont="1" applyFill="1" applyBorder="1" applyAlignment="1">
      <alignment vertical="justify"/>
    </xf>
    <xf numFmtId="0" fontId="37" fillId="6" borderId="3" xfId="1" applyFont="1" applyFill="1" applyBorder="1" applyAlignment="1">
      <alignment horizontal="center" vertical="center"/>
    </xf>
    <xf numFmtId="0" fontId="37" fillId="6" borderId="3" xfId="0" applyFont="1" applyFill="1" applyBorder="1" applyAlignment="1">
      <alignment vertical="center"/>
    </xf>
    <xf numFmtId="49" fontId="33" fillId="6" borderId="3" xfId="0" applyNumberFormat="1" applyFont="1" applyFill="1" applyBorder="1" applyAlignment="1">
      <alignment horizontal="center" vertical="center"/>
    </xf>
    <xf numFmtId="0" fontId="33" fillId="6" borderId="3" xfId="0" applyFont="1" applyFill="1" applyBorder="1"/>
    <xf numFmtId="0" fontId="7" fillId="25" borderId="10" xfId="1" applyFont="1" applyFill="1" applyBorder="1" applyAlignment="1">
      <alignment horizontal="center" vertical="center"/>
    </xf>
    <xf numFmtId="49" fontId="11" fillId="25" borderId="3" xfId="1" applyNumberFormat="1" applyFont="1" applyFill="1" applyBorder="1" applyAlignment="1">
      <alignment horizontal="center" vertical="center"/>
    </xf>
    <xf numFmtId="49" fontId="9" fillId="25" borderId="3" xfId="1" applyNumberFormat="1" applyFont="1" applyFill="1" applyBorder="1" applyAlignment="1">
      <alignment vertical="center"/>
    </xf>
    <xf numFmtId="49" fontId="22" fillId="30" borderId="3" xfId="0" applyNumberFormat="1" applyFont="1" applyFill="1" applyBorder="1" applyAlignment="1">
      <alignment horizontal="center" vertical="center"/>
    </xf>
    <xf numFmtId="49" fontId="22" fillId="30" borderId="3" xfId="0" applyNumberFormat="1" applyFont="1" applyFill="1" applyBorder="1" applyAlignment="1">
      <alignment vertical="justify"/>
    </xf>
    <xf numFmtId="49" fontId="9" fillId="25" borderId="3" xfId="1" applyNumberFormat="1" applyFont="1" applyFill="1" applyBorder="1" applyAlignment="1">
      <alignment vertical="justify"/>
    </xf>
    <xf numFmtId="49" fontId="22" fillId="30" borderId="3" xfId="0" applyNumberFormat="1" applyFont="1" applyFill="1" applyBorder="1" applyAlignment="1">
      <alignment horizontal="center"/>
    </xf>
    <xf numFmtId="49" fontId="22" fillId="30" borderId="3" xfId="0" applyNumberFormat="1" applyFont="1" applyFill="1" applyBorder="1" applyAlignment="1"/>
    <xf numFmtId="49" fontId="22" fillId="25" borderId="3" xfId="0" applyNumberFormat="1" applyFont="1" applyFill="1" applyBorder="1" applyAlignment="1">
      <alignment horizontal="center" vertical="center"/>
    </xf>
    <xf numFmtId="49" fontId="22" fillId="25" borderId="3" xfId="0" applyNumberFormat="1" applyFont="1" applyFill="1" applyBorder="1" applyAlignment="1">
      <alignment vertical="justify"/>
    </xf>
    <xf numFmtId="49" fontId="9" fillId="25" borderId="3" xfId="1" applyNumberFormat="1" applyFont="1" applyFill="1" applyBorder="1" applyAlignment="1">
      <alignment horizontal="left" vertical="center"/>
    </xf>
    <xf numFmtId="49" fontId="9" fillId="25" borderId="3" xfId="1" applyNumberFormat="1" applyFont="1" applyFill="1" applyBorder="1" applyAlignment="1">
      <alignment vertical="distributed"/>
    </xf>
    <xf numFmtId="0" fontId="7" fillId="25" borderId="3" xfId="1" applyFont="1" applyFill="1" applyBorder="1" applyAlignment="1">
      <alignment horizontal="center" vertical="center"/>
    </xf>
    <xf numFmtId="49" fontId="22" fillId="25" borderId="18" xfId="0" applyNumberFormat="1" applyFont="1" applyFill="1" applyBorder="1" applyAlignment="1">
      <alignment horizontal="center" vertical="center"/>
    </xf>
    <xf numFmtId="49" fontId="22" fillId="25" borderId="18" xfId="0" applyNumberFormat="1" applyFont="1" applyFill="1" applyBorder="1" applyAlignment="1">
      <alignment vertical="justify"/>
    </xf>
    <xf numFmtId="49" fontId="10" fillId="23" borderId="17" xfId="1" applyNumberFormat="1" applyFont="1" applyFill="1" applyBorder="1" applyAlignment="1">
      <alignment horizontal="center" vertical="center"/>
    </xf>
    <xf numFmtId="49" fontId="18" fillId="23" borderId="17" xfId="1" applyNumberFormat="1" applyFont="1" applyFill="1" applyBorder="1" applyAlignment="1">
      <alignment vertical="center"/>
    </xf>
    <xf numFmtId="0" fontId="33" fillId="23" borderId="17" xfId="0" applyFont="1" applyFill="1" applyBorder="1" applyAlignment="1">
      <alignment horizontal="center" vertical="center"/>
    </xf>
    <xf numFmtId="3" fontId="33" fillId="23" borderId="17" xfId="0" applyNumberFormat="1" applyFont="1" applyFill="1" applyBorder="1" applyAlignment="1">
      <alignment horizontal="center" vertical="center"/>
    </xf>
    <xf numFmtId="1" fontId="33" fillId="23" borderId="17" xfId="0" applyNumberFormat="1" applyFont="1" applyFill="1" applyBorder="1" applyAlignment="1">
      <alignment horizontal="center" vertical="center"/>
    </xf>
    <xf numFmtId="49" fontId="10" fillId="6" borderId="22" xfId="1" applyNumberFormat="1" applyFont="1" applyFill="1" applyBorder="1" applyAlignment="1">
      <alignment horizontal="center" vertical="center"/>
    </xf>
    <xf numFmtId="3" fontId="33" fillId="25" borderId="23" xfId="0" applyNumberFormat="1" applyFont="1" applyFill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49" fontId="10" fillId="6" borderId="25" xfId="1" applyNumberFormat="1" applyFont="1" applyFill="1" applyBorder="1" applyAlignment="1">
      <alignment horizontal="center" vertical="center"/>
    </xf>
    <xf numFmtId="49" fontId="8" fillId="6" borderId="25" xfId="1" applyNumberFormat="1" applyFont="1" applyFill="1" applyBorder="1" applyAlignment="1">
      <alignment vertical="center"/>
    </xf>
    <xf numFmtId="0" fontId="33" fillId="0" borderId="25" xfId="0" applyFont="1" applyBorder="1" applyAlignment="1">
      <alignment horizontal="center" vertical="center"/>
    </xf>
    <xf numFmtId="3" fontId="33" fillId="25" borderId="25" xfId="0" applyNumberFormat="1" applyFont="1" applyFill="1" applyBorder="1" applyAlignment="1">
      <alignment horizontal="center" vertical="center"/>
    </xf>
    <xf numFmtId="1" fontId="33" fillId="0" borderId="25" xfId="0" applyNumberFormat="1" applyFont="1" applyBorder="1" applyAlignment="1">
      <alignment horizontal="center" vertical="center"/>
    </xf>
    <xf numFmtId="49" fontId="10" fillId="23" borderId="18" xfId="1" applyNumberFormat="1" applyFont="1" applyFill="1" applyBorder="1" applyAlignment="1">
      <alignment horizontal="center" vertical="center"/>
    </xf>
    <xf numFmtId="49" fontId="8" fillId="23" borderId="18" xfId="1" applyNumberFormat="1" applyFont="1" applyFill="1" applyBorder="1" applyAlignment="1">
      <alignment vertical="justify"/>
    </xf>
    <xf numFmtId="0" fontId="33" fillId="23" borderId="18" xfId="0" applyFont="1" applyFill="1" applyBorder="1" applyAlignment="1">
      <alignment horizontal="center" vertical="center"/>
    </xf>
    <xf numFmtId="3" fontId="33" fillId="23" borderId="18" xfId="0" applyNumberFormat="1" applyFont="1" applyFill="1" applyBorder="1" applyAlignment="1">
      <alignment horizontal="center" vertical="center"/>
    </xf>
    <xf numFmtId="1" fontId="33" fillId="23" borderId="18" xfId="0" applyNumberFormat="1" applyFont="1" applyFill="1" applyBorder="1" applyAlignment="1">
      <alignment horizontal="center" vertical="center"/>
    </xf>
    <xf numFmtId="1" fontId="33" fillId="5" borderId="28" xfId="0" applyNumberFormat="1" applyFont="1" applyFill="1" applyBorder="1" applyAlignment="1">
      <alignment horizontal="center" vertical="center"/>
    </xf>
    <xf numFmtId="1" fontId="33" fillId="5" borderId="30" xfId="0" applyNumberFormat="1" applyFont="1" applyFill="1" applyBorder="1" applyAlignment="1">
      <alignment horizontal="center" vertical="center"/>
    </xf>
    <xf numFmtId="1" fontId="33" fillId="5" borderId="33" xfId="0" applyNumberFormat="1" applyFont="1" applyFill="1" applyBorder="1" applyAlignment="1">
      <alignment horizontal="center" vertical="center"/>
    </xf>
    <xf numFmtId="49" fontId="10" fillId="5" borderId="34" xfId="1" applyNumberFormat="1" applyFont="1" applyFill="1" applyBorder="1" applyAlignment="1">
      <alignment horizontal="center" vertical="center"/>
    </xf>
    <xf numFmtId="49" fontId="10" fillId="5" borderId="35" xfId="1" applyNumberFormat="1" applyFont="1" applyFill="1" applyBorder="1" applyAlignment="1">
      <alignment horizontal="center" vertical="center"/>
    </xf>
    <xf numFmtId="49" fontId="10" fillId="5" borderId="36" xfId="1" applyNumberFormat="1" applyFont="1" applyFill="1" applyBorder="1" applyAlignment="1">
      <alignment horizontal="center" vertical="center"/>
    </xf>
    <xf numFmtId="49" fontId="8" fillId="5" borderId="26" xfId="1" applyNumberFormat="1" applyFont="1" applyFill="1" applyBorder="1" applyAlignment="1">
      <alignment vertical="justify"/>
    </xf>
    <xf numFmtId="49" fontId="8" fillId="5" borderId="29" xfId="1" applyNumberFormat="1" applyFont="1" applyFill="1" applyBorder="1" applyAlignment="1">
      <alignment vertical="justify"/>
    </xf>
    <xf numFmtId="49" fontId="8" fillId="5" borderId="31" xfId="1" applyNumberFormat="1" applyFont="1" applyFill="1" applyBorder="1" applyAlignment="1">
      <alignment vertical="justify"/>
    </xf>
    <xf numFmtId="3" fontId="33" fillId="5" borderId="27" xfId="0" applyNumberFormat="1" applyFont="1" applyFill="1" applyBorder="1" applyAlignment="1">
      <alignment horizontal="center" vertical="center"/>
    </xf>
    <xf numFmtId="1" fontId="33" fillId="5" borderId="27" xfId="0" applyNumberFormat="1" applyFont="1" applyFill="1" applyBorder="1" applyAlignment="1">
      <alignment horizontal="center" vertical="center"/>
    </xf>
    <xf numFmtId="3" fontId="33" fillId="5" borderId="3" xfId="0" applyNumberFormat="1" applyFont="1" applyFill="1" applyBorder="1" applyAlignment="1">
      <alignment horizontal="center" vertical="center"/>
    </xf>
    <xf numFmtId="3" fontId="33" fillId="5" borderId="32" xfId="0" applyNumberFormat="1" applyFont="1" applyFill="1" applyBorder="1" applyAlignment="1">
      <alignment horizontal="center" vertical="center"/>
    </xf>
    <xf numFmtId="1" fontId="33" fillId="5" borderId="32" xfId="0" applyNumberFormat="1" applyFont="1" applyFill="1" applyBorder="1" applyAlignment="1">
      <alignment horizontal="center" vertical="center"/>
    </xf>
    <xf numFmtId="1" fontId="58" fillId="5" borderId="0" xfId="0" applyNumberFormat="1" applyFont="1" applyFill="1" applyAlignment="1">
      <alignment horizontal="center" vertical="center"/>
    </xf>
    <xf numFmtId="49" fontId="8" fillId="6" borderId="37" xfId="1" applyNumberFormat="1" applyFont="1" applyFill="1" applyBorder="1" applyAlignment="1">
      <alignment vertical="center"/>
    </xf>
    <xf numFmtId="0" fontId="33" fillId="0" borderId="22" xfId="0" applyFont="1" applyBorder="1" applyAlignment="1">
      <alignment horizontal="center" vertical="center"/>
    </xf>
    <xf numFmtId="1" fontId="37" fillId="0" borderId="24" xfId="0" applyNumberFormat="1" applyFont="1" applyBorder="1" applyAlignment="1">
      <alignment horizontal="center" vertical="center"/>
    </xf>
    <xf numFmtId="0" fontId="8" fillId="6" borderId="3" xfId="1" applyFont="1" applyFill="1" applyBorder="1" applyAlignment="1">
      <alignment horizontal="left" vertical="center" wrapText="1"/>
    </xf>
    <xf numFmtId="49" fontId="10" fillId="19" borderId="3" xfId="1" applyNumberFormat="1" applyFont="1" applyFill="1" applyBorder="1" applyAlignment="1">
      <alignment horizontal="center" vertical="center"/>
    </xf>
    <xf numFmtId="49" fontId="8" fillId="19" borderId="3" xfId="1" applyNumberFormat="1" applyFont="1" applyFill="1" applyBorder="1" applyAlignment="1">
      <alignment vertical="center"/>
    </xf>
    <xf numFmtId="49" fontId="8" fillId="19" borderId="3" xfId="1" applyNumberFormat="1" applyFont="1" applyFill="1" applyBorder="1" applyAlignment="1">
      <alignment horizontal="left" vertical="center"/>
    </xf>
    <xf numFmtId="0" fontId="33" fillId="13" borderId="27" xfId="0" applyFont="1" applyFill="1" applyBorder="1" applyAlignment="1">
      <alignment horizontal="center" vertical="center"/>
    </xf>
    <xf numFmtId="0" fontId="33" fillId="13" borderId="3" xfId="0" applyFont="1" applyFill="1" applyBorder="1" applyAlignment="1">
      <alignment horizontal="center" vertical="center"/>
    </xf>
    <xf numFmtId="0" fontId="33" fillId="13" borderId="32" xfId="0" applyFont="1" applyFill="1" applyBorder="1" applyAlignment="1">
      <alignment horizontal="center" vertical="center"/>
    </xf>
    <xf numFmtId="0" fontId="33" fillId="13" borderId="0" xfId="0" applyFont="1" applyFill="1" applyAlignment="1">
      <alignment horizontal="center" vertical="center"/>
    </xf>
    <xf numFmtId="1" fontId="5" fillId="9" borderId="4" xfId="1" applyNumberFormat="1" applyFont="1" applyFill="1" applyBorder="1" applyAlignment="1">
      <alignment horizontal="center" vertical="center"/>
    </xf>
    <xf numFmtId="0" fontId="11" fillId="0" borderId="0" xfId="17" applyNumberFormat="1" applyFont="1" applyAlignment="1" applyProtection="1">
      <alignment horizontal="center" vertical="top"/>
    </xf>
    <xf numFmtId="0" fontId="11" fillId="0" borderId="0" xfId="17" applyNumberFormat="1" applyFont="1" applyAlignment="1" applyProtection="1">
      <alignment vertical="top"/>
    </xf>
    <xf numFmtId="0" fontId="57" fillId="0" borderId="0" xfId="1" applyFont="1" applyFill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18" borderId="1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2" fontId="8" fillId="5" borderId="11" xfId="1" quotePrefix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49" fontId="22" fillId="30" borderId="3" xfId="0" applyNumberFormat="1" applyFont="1" applyFill="1" applyBorder="1" applyAlignment="1">
      <alignment vertical="center"/>
    </xf>
    <xf numFmtId="49" fontId="21" fillId="12" borderId="3" xfId="1" applyNumberFormat="1" applyFont="1" applyFill="1" applyBorder="1" applyAlignment="1">
      <alignment vertical="center"/>
    </xf>
    <xf numFmtId="49" fontId="22" fillId="25" borderId="3" xfId="0" applyNumberFormat="1" applyFont="1" applyFill="1" applyBorder="1" applyAlignment="1">
      <alignment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49" fontId="59" fillId="6" borderId="3" xfId="1" applyNumberFormat="1" applyFont="1" applyFill="1" applyBorder="1" applyAlignment="1">
      <alignment horizontal="center" vertical="center"/>
    </xf>
    <xf numFmtId="1" fontId="5" fillId="19" borderId="3" xfId="1" quotePrefix="1" applyNumberFormat="1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49" fontId="19" fillId="3" borderId="3" xfId="0" applyNumberFormat="1" applyFont="1" applyFill="1" applyBorder="1" applyAlignment="1">
      <alignment horizontal="center" vertical="center"/>
    </xf>
    <xf numFmtId="49" fontId="19" fillId="3" borderId="3" xfId="0" applyNumberFormat="1" applyFont="1" applyFill="1" applyBorder="1" applyAlignment="1">
      <alignment vertical="justify"/>
    </xf>
    <xf numFmtId="3" fontId="13" fillId="3" borderId="3" xfId="0" applyNumberFormat="1" applyFont="1" applyFill="1" applyBorder="1" applyAlignment="1">
      <alignment horizontal="center" vertical="center"/>
    </xf>
    <xf numFmtId="0" fontId="7" fillId="6" borderId="2" xfId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7" fillId="29" borderId="2" xfId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justify"/>
    </xf>
    <xf numFmtId="49" fontId="19" fillId="25" borderId="3" xfId="0" applyNumberFormat="1" applyFont="1" applyFill="1" applyBorder="1" applyAlignment="1">
      <alignment horizontal="center" vertical="center"/>
    </xf>
    <xf numFmtId="49" fontId="47" fillId="25" borderId="3" xfId="0" applyNumberFormat="1" applyFont="1" applyFill="1" applyBorder="1" applyAlignment="1">
      <alignment vertical="center"/>
    </xf>
    <xf numFmtId="49" fontId="47" fillId="25" borderId="3" xfId="0" applyNumberFormat="1" applyFont="1" applyFill="1" applyBorder="1" applyAlignment="1">
      <alignment vertical="justify"/>
    </xf>
    <xf numFmtId="0" fontId="14" fillId="0" borderId="0" xfId="0" applyFont="1" applyFill="1" applyAlignment="1">
      <alignment horizontal="center" vertical="justify"/>
    </xf>
    <xf numFmtId="0" fontId="33" fillId="6" borderId="3" xfId="0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49" fontId="21" fillId="3" borderId="3" xfId="1" applyNumberFormat="1" applyFont="1" applyFill="1" applyBorder="1" applyAlignment="1">
      <alignment vertical="justify"/>
    </xf>
    <xf numFmtId="1" fontId="7" fillId="3" borderId="3" xfId="1" applyNumberFormat="1" applyFont="1" applyFill="1" applyBorder="1" applyAlignment="1">
      <alignment horizontal="center" vertical="center"/>
    </xf>
    <xf numFmtId="0" fontId="7" fillId="8" borderId="3" xfId="1" quotePrefix="1" applyFont="1" applyFill="1" applyBorder="1" applyAlignment="1">
      <alignment horizontal="center" vertical="center"/>
    </xf>
    <xf numFmtId="1" fontId="7" fillId="3" borderId="3" xfId="1" quotePrefix="1" applyNumberFormat="1" applyFont="1" applyFill="1" applyBorder="1" applyAlignment="1">
      <alignment horizontal="center" vertical="center"/>
    </xf>
    <xf numFmtId="1" fontId="7" fillId="8" borderId="3" xfId="1" quotePrefix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1" fontId="7" fillId="6" borderId="3" xfId="1" applyNumberFormat="1" applyFont="1" applyFill="1" applyBorder="1" applyAlignment="1">
      <alignment horizontal="center" vertical="center"/>
    </xf>
    <xf numFmtId="1" fontId="7" fillId="6" borderId="3" xfId="1" quotePrefix="1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49" fontId="19" fillId="26" borderId="3" xfId="0" applyNumberFormat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49" fontId="19" fillId="30" borderId="3" xfId="0" applyNumberFormat="1" applyFont="1" applyFill="1" applyBorder="1" applyAlignment="1">
      <alignment horizontal="center" vertical="center"/>
    </xf>
    <xf numFmtId="1" fontId="7" fillId="12" borderId="3" xfId="1" applyNumberFormat="1" applyFont="1" applyFill="1" applyBorder="1" applyAlignment="1">
      <alignment horizontal="center" vertical="center"/>
    </xf>
    <xf numFmtId="1" fontId="7" fillId="12" borderId="3" xfId="1" quotePrefix="1" applyNumberFormat="1" applyFont="1" applyFill="1" applyBorder="1" applyAlignment="1">
      <alignment horizontal="center" vertical="center"/>
    </xf>
    <xf numFmtId="1" fontId="7" fillId="25" borderId="3" xfId="1" quotePrefix="1" applyNumberFormat="1" applyFont="1" applyFill="1" applyBorder="1" applyAlignment="1">
      <alignment horizontal="center" vertical="center"/>
    </xf>
    <xf numFmtId="49" fontId="47" fillId="30" borderId="3" xfId="0" applyNumberFormat="1" applyFont="1" applyFill="1" applyBorder="1" applyAlignment="1">
      <alignment vertical="center"/>
    </xf>
    <xf numFmtId="1" fontId="5" fillId="6" borderId="3" xfId="1" applyNumberFormat="1" applyFont="1" applyFill="1" applyBorder="1" applyAlignment="1">
      <alignment horizontal="center" vertical="center"/>
    </xf>
    <xf numFmtId="1" fontId="5" fillId="0" borderId="3" xfId="1" applyNumberFormat="1" applyFont="1" applyFill="1" applyBorder="1" applyAlignment="1">
      <alignment horizontal="center" vertical="center"/>
    </xf>
    <xf numFmtId="0" fontId="8" fillId="0" borderId="0" xfId="1" applyFont="1" applyFill="1" applyAlignment="1">
      <alignment vertical="justify"/>
    </xf>
    <xf numFmtId="0" fontId="39" fillId="5" borderId="5" xfId="0" applyFont="1" applyFill="1" applyBorder="1" applyAlignment="1">
      <alignment horizontal="center" vertical="justify"/>
    </xf>
    <xf numFmtId="0" fontId="43" fillId="5" borderId="0" xfId="0" applyFont="1" applyFill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9" xfId="0" applyFont="1" applyBorder="1" applyAlignment="1">
      <alignment vertical="center"/>
    </xf>
    <xf numFmtId="0" fontId="33" fillId="0" borderId="17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 textRotation="90"/>
    </xf>
    <xf numFmtId="0" fontId="48" fillId="0" borderId="3" xfId="0" applyFont="1" applyBorder="1" applyAlignment="1">
      <alignment horizontal="center" vertical="center" textRotation="90"/>
    </xf>
    <xf numFmtId="0" fontId="14" fillId="0" borderId="3" xfId="0" applyFont="1" applyBorder="1" applyAlignment="1">
      <alignment horizontal="center" vertical="center"/>
    </xf>
    <xf numFmtId="0" fontId="4" fillId="5" borderId="9" xfId="1" applyFont="1" applyFill="1" applyBorder="1" applyAlignment="1">
      <alignment horizontal="center" vertical="center" wrapText="1"/>
    </xf>
    <xf numFmtId="0" fontId="4" fillId="5" borderId="11" xfId="1" applyFont="1" applyFill="1" applyBorder="1" applyAlignment="1">
      <alignment horizontal="center" vertical="center" wrapText="1"/>
    </xf>
    <xf numFmtId="0" fontId="5" fillId="6" borderId="3" xfId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center" vertical="center" wrapText="1"/>
    </xf>
    <xf numFmtId="1" fontId="5" fillId="6" borderId="1" xfId="1" applyNumberFormat="1" applyFont="1" applyFill="1" applyBorder="1" applyAlignment="1">
      <alignment horizontal="center" vertical="center" wrapText="1"/>
    </xf>
    <xf numFmtId="1" fontId="5" fillId="6" borderId="15" xfId="1" applyNumberFormat="1" applyFont="1" applyFill="1" applyBorder="1" applyAlignment="1">
      <alignment horizontal="center" vertical="center" wrapText="1"/>
    </xf>
    <xf numFmtId="1" fontId="5" fillId="6" borderId="2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/>
    </xf>
    <xf numFmtId="0" fontId="5" fillId="7" borderId="12" xfId="1" applyFont="1" applyFill="1" applyBorder="1" applyAlignment="1">
      <alignment horizontal="center" vertical="center" wrapText="1"/>
    </xf>
    <xf numFmtId="0" fontId="5" fillId="7" borderId="13" xfId="1" applyFont="1" applyFill="1" applyBorder="1" applyAlignment="1">
      <alignment horizontal="center" vertical="center" wrapText="1"/>
    </xf>
    <xf numFmtId="0" fontId="5" fillId="7" borderId="14" xfId="1" applyFont="1" applyFill="1" applyBorder="1" applyAlignment="1">
      <alignment horizontal="center" vertical="center" wrapText="1"/>
    </xf>
    <xf numFmtId="0" fontId="5" fillId="7" borderId="7" xfId="1" applyFont="1" applyFill="1" applyBorder="1" applyAlignment="1">
      <alignment horizontal="center" vertical="center" wrapText="1"/>
    </xf>
    <xf numFmtId="1" fontId="5" fillId="7" borderId="12" xfId="1" applyNumberFormat="1" applyFont="1" applyFill="1" applyBorder="1" applyAlignment="1">
      <alignment horizontal="center" vertical="center" wrapText="1"/>
    </xf>
    <xf numFmtId="1" fontId="5" fillId="7" borderId="13" xfId="1" applyNumberFormat="1" applyFont="1" applyFill="1" applyBorder="1" applyAlignment="1">
      <alignment horizontal="center" vertical="center" wrapText="1"/>
    </xf>
    <xf numFmtId="1" fontId="5" fillId="7" borderId="14" xfId="1" applyNumberFormat="1" applyFont="1" applyFill="1" applyBorder="1" applyAlignment="1">
      <alignment horizontal="center" vertical="center" wrapText="1"/>
    </xf>
    <xf numFmtId="1" fontId="5" fillId="7" borderId="7" xfId="1" applyNumberFormat="1" applyFont="1" applyFill="1" applyBorder="1" applyAlignment="1">
      <alignment horizontal="center" vertical="center" wrapText="1"/>
    </xf>
    <xf numFmtId="0" fontId="5" fillId="5" borderId="12" xfId="1" applyFont="1" applyFill="1" applyBorder="1" applyAlignment="1">
      <alignment horizontal="center" vertical="center" wrapText="1"/>
    </xf>
    <xf numFmtId="0" fontId="5" fillId="5" borderId="13" xfId="1" applyFont="1" applyFill="1" applyBorder="1" applyAlignment="1">
      <alignment horizontal="center" vertical="center" wrapText="1"/>
    </xf>
    <xf numFmtId="0" fontId="5" fillId="5" borderId="14" xfId="1" applyFont="1" applyFill="1" applyBorder="1" applyAlignment="1">
      <alignment horizontal="center" vertical="center" wrapText="1"/>
    </xf>
    <xf numFmtId="0" fontId="5" fillId="5" borderId="7" xfId="1" applyFont="1" applyFill="1" applyBorder="1" applyAlignment="1">
      <alignment horizontal="center" vertical="center" wrapText="1"/>
    </xf>
    <xf numFmtId="0" fontId="10" fillId="9" borderId="3" xfId="1" applyFont="1" applyFill="1" applyBorder="1" applyAlignment="1">
      <alignment horizontal="center" vertical="center"/>
    </xf>
    <xf numFmtId="0" fontId="5" fillId="9" borderId="10" xfId="1" applyFont="1" applyFill="1" applyBorder="1" applyAlignment="1">
      <alignment horizontal="center" vertical="center"/>
    </xf>
    <xf numFmtId="0" fontId="5" fillId="9" borderId="3" xfId="1" applyFont="1" applyFill="1" applyBorder="1" applyAlignment="1">
      <alignment horizontal="center" vertical="center"/>
    </xf>
    <xf numFmtId="0" fontId="10" fillId="9" borderId="10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6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49" fontId="5" fillId="9" borderId="10" xfId="1" applyNumberFormat="1" applyFont="1" applyFill="1" applyBorder="1" applyAlignment="1">
      <alignment horizontal="center" vertical="center"/>
    </xf>
    <xf numFmtId="49" fontId="5" fillId="9" borderId="3" xfId="1" applyNumberFormat="1" applyFont="1" applyFill="1" applyBorder="1" applyAlignment="1">
      <alignment horizontal="center" vertical="center"/>
    </xf>
    <xf numFmtId="0" fontId="5" fillId="3" borderId="10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0" fontId="10" fillId="5" borderId="10" xfId="1" applyFont="1" applyFill="1" applyBorder="1" applyAlignment="1">
      <alignment horizontal="center" vertical="center"/>
    </xf>
    <xf numFmtId="0" fontId="10" fillId="5" borderId="3" xfId="1" applyFont="1" applyFill="1" applyBorder="1" applyAlignment="1">
      <alignment horizontal="center" vertical="center"/>
    </xf>
    <xf numFmtId="0" fontId="5" fillId="5" borderId="10" xfId="1" applyFont="1" applyFill="1" applyBorder="1" applyAlignment="1">
      <alignment horizontal="center" vertical="center"/>
    </xf>
    <xf numFmtId="0" fontId="5" fillId="5" borderId="3" xfId="1" applyFont="1" applyFill="1" applyBorder="1" applyAlignment="1">
      <alignment horizontal="center" vertical="center"/>
    </xf>
    <xf numFmtId="49" fontId="5" fillId="5" borderId="10" xfId="1" applyNumberFormat="1" applyFont="1" applyFill="1" applyBorder="1" applyAlignment="1">
      <alignment horizontal="center" vertical="center"/>
    </xf>
    <xf numFmtId="49" fontId="5" fillId="5" borderId="3" xfId="1" applyNumberFormat="1" applyFont="1" applyFill="1" applyBorder="1" applyAlignment="1">
      <alignment horizontal="center" vertical="center"/>
    </xf>
    <xf numFmtId="49" fontId="10" fillId="5" borderId="10" xfId="1" applyNumberFormat="1" applyFont="1" applyFill="1" applyBorder="1" applyAlignment="1">
      <alignment horizontal="center" vertical="center"/>
    </xf>
    <xf numFmtId="49" fontId="10" fillId="5" borderId="3" xfId="1" applyNumberFormat="1" applyFont="1" applyFill="1" applyBorder="1" applyAlignment="1">
      <alignment horizontal="center" vertical="center"/>
    </xf>
    <xf numFmtId="0" fontId="5" fillId="10" borderId="10" xfId="1" applyFont="1" applyFill="1" applyBorder="1" applyAlignment="1">
      <alignment horizontal="center" vertical="center"/>
    </xf>
    <xf numFmtId="0" fontId="5" fillId="10" borderId="3" xfId="1" applyFont="1" applyFill="1" applyBorder="1" applyAlignment="1">
      <alignment horizontal="center" vertical="center"/>
    </xf>
    <xf numFmtId="49" fontId="14" fillId="5" borderId="10" xfId="1" applyNumberFormat="1" applyFont="1" applyFill="1" applyBorder="1" applyAlignment="1">
      <alignment horizontal="center" vertical="center"/>
    </xf>
    <xf numFmtId="49" fontId="14" fillId="5" borderId="3" xfId="1" applyNumberFormat="1" applyFont="1" applyFill="1" applyBorder="1" applyAlignment="1">
      <alignment horizontal="center" vertical="center"/>
    </xf>
    <xf numFmtId="0" fontId="10" fillId="11" borderId="10" xfId="1" applyFont="1" applyFill="1" applyBorder="1" applyAlignment="1">
      <alignment horizontal="center" vertical="center"/>
    </xf>
    <xf numFmtId="0" fontId="10" fillId="11" borderId="3" xfId="1" applyFont="1" applyFill="1" applyBorder="1" applyAlignment="1">
      <alignment horizontal="center" vertical="center"/>
    </xf>
    <xf numFmtId="0" fontId="5" fillId="11" borderId="10" xfId="1" applyFont="1" applyFill="1" applyBorder="1" applyAlignment="1">
      <alignment horizontal="center" vertical="center"/>
    </xf>
    <xf numFmtId="0" fontId="5" fillId="11" borderId="3" xfId="1" applyFont="1" applyFill="1" applyBorder="1" applyAlignment="1">
      <alignment horizontal="center" vertical="center"/>
    </xf>
    <xf numFmtId="49" fontId="5" fillId="11" borderId="10" xfId="1" applyNumberFormat="1" applyFont="1" applyFill="1" applyBorder="1" applyAlignment="1">
      <alignment horizontal="center" vertical="center"/>
    </xf>
    <xf numFmtId="49" fontId="5" fillId="11" borderId="3" xfId="1" applyNumberFormat="1" applyFont="1" applyFill="1" applyBorder="1" applyAlignment="1">
      <alignment horizontal="center" vertical="center"/>
    </xf>
    <xf numFmtId="0" fontId="8" fillId="0" borderId="0" xfId="1" applyFont="1" applyFill="1" applyAlignment="1">
      <alignment horizontal="center" vertical="justify"/>
    </xf>
    <xf numFmtId="0" fontId="30" fillId="0" borderId="0" xfId="1" applyFont="1" applyAlignment="1">
      <alignment horizontal="left" vertical="justify"/>
    </xf>
    <xf numFmtId="49" fontId="31" fillId="16" borderId="0" xfId="2" applyNumberFormat="1" applyFont="1" applyFill="1" applyBorder="1" applyAlignment="1">
      <alignment horizontal="center" vertical="justify"/>
    </xf>
    <xf numFmtId="0" fontId="7" fillId="0" borderId="0" xfId="17" applyNumberFormat="1" applyFont="1" applyAlignment="1" applyProtection="1">
      <alignment vertical="justify"/>
    </xf>
    <xf numFmtId="0" fontId="5" fillId="6" borderId="4" xfId="1" applyFont="1" applyFill="1" applyBorder="1" applyAlignment="1">
      <alignment horizontal="center" vertical="center"/>
    </xf>
    <xf numFmtId="0" fontId="5" fillId="9" borderId="4" xfId="1" applyFont="1" applyFill="1" applyBorder="1" applyAlignment="1">
      <alignment horizontal="center" vertical="center"/>
    </xf>
    <xf numFmtId="0" fontId="5" fillId="14" borderId="4" xfId="1" applyFont="1" applyFill="1" applyBorder="1" applyAlignment="1">
      <alignment horizontal="center" vertical="center"/>
    </xf>
    <xf numFmtId="0" fontId="5" fillId="15" borderId="4" xfId="1" applyFont="1" applyFill="1" applyBorder="1" applyAlignment="1">
      <alignment horizontal="center" vertical="center"/>
    </xf>
    <xf numFmtId="49" fontId="10" fillId="11" borderId="10" xfId="1" applyNumberFormat="1" applyFont="1" applyFill="1" applyBorder="1" applyAlignment="1">
      <alignment horizontal="center" vertical="center"/>
    </xf>
    <xf numFmtId="49" fontId="10" fillId="11" borderId="3" xfId="1" applyNumberFormat="1" applyFont="1" applyFill="1" applyBorder="1" applyAlignment="1">
      <alignment horizontal="center" vertical="center"/>
    </xf>
    <xf numFmtId="0" fontId="4" fillId="9" borderId="10" xfId="1" applyFont="1" applyFill="1" applyBorder="1" applyAlignment="1">
      <alignment horizontal="center" vertical="center"/>
    </xf>
    <xf numFmtId="0" fontId="4" fillId="9" borderId="3" xfId="1" applyFont="1" applyFill="1" applyBorder="1" applyAlignment="1">
      <alignment horizontal="center" vertical="center"/>
    </xf>
    <xf numFmtId="0" fontId="10" fillId="6" borderId="10" xfId="1" applyFont="1" applyFill="1" applyBorder="1" applyAlignment="1">
      <alignment horizontal="center" vertical="center"/>
    </xf>
    <xf numFmtId="0" fontId="10" fillId="6" borderId="3" xfId="1" applyFont="1" applyFill="1" applyBorder="1" applyAlignment="1">
      <alignment horizontal="center" vertical="center"/>
    </xf>
    <xf numFmtId="0" fontId="10" fillId="13" borderId="10" xfId="1" applyFont="1" applyFill="1" applyBorder="1" applyAlignment="1">
      <alignment horizontal="center" vertical="center"/>
    </xf>
    <xf numFmtId="0" fontId="10" fillId="13" borderId="3" xfId="1" applyFont="1" applyFill="1" applyBorder="1" applyAlignment="1">
      <alignment horizontal="center" vertical="center"/>
    </xf>
    <xf numFmtId="0" fontId="10" fillId="17" borderId="10" xfId="1" applyFont="1" applyFill="1" applyBorder="1" applyAlignment="1">
      <alignment horizontal="center" vertical="center" wrapText="1"/>
    </xf>
    <xf numFmtId="0" fontId="10" fillId="17" borderId="3" xfId="1" applyFont="1" applyFill="1" applyBorder="1" applyAlignment="1">
      <alignment horizontal="center" vertical="center" wrapText="1"/>
    </xf>
    <xf numFmtId="0" fontId="33" fillId="20" borderId="1" xfId="0" applyFont="1" applyFill="1" applyBorder="1" applyAlignment="1">
      <alignment horizontal="center" vertical="center"/>
    </xf>
    <xf numFmtId="0" fontId="33" fillId="20" borderId="2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3" fillId="6" borderId="5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33" fillId="22" borderId="1" xfId="0" applyFont="1" applyFill="1" applyBorder="1" applyAlignment="1">
      <alignment horizontal="center" vertical="center"/>
    </xf>
    <xf numFmtId="0" fontId="33" fillId="22" borderId="2" xfId="0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21" borderId="1" xfId="0" applyFont="1" applyFill="1" applyBorder="1" applyAlignment="1">
      <alignment horizontal="center" vertical="center"/>
    </xf>
    <xf numFmtId="0" fontId="33" fillId="21" borderId="2" xfId="0" applyFont="1" applyFill="1" applyBorder="1" applyAlignment="1">
      <alignment horizontal="center" vertical="center"/>
    </xf>
    <xf numFmtId="0" fontId="33" fillId="18" borderId="3" xfId="0" applyFont="1" applyFill="1" applyBorder="1" applyAlignment="1">
      <alignment horizontal="center" vertical="center"/>
    </xf>
    <xf numFmtId="0" fontId="33" fillId="18" borderId="1" xfId="0" applyFont="1" applyFill="1" applyBorder="1" applyAlignment="1">
      <alignment horizontal="center" vertical="center"/>
    </xf>
    <xf numFmtId="0" fontId="33" fillId="18" borderId="2" xfId="0" applyFont="1" applyFill="1" applyBorder="1" applyAlignment="1">
      <alignment horizontal="center" vertical="center"/>
    </xf>
    <xf numFmtId="0" fontId="34" fillId="18" borderId="5" xfId="0" applyFont="1" applyFill="1" applyBorder="1" applyAlignment="1">
      <alignment horizontal="center" vertical="center"/>
    </xf>
    <xf numFmtId="1" fontId="33" fillId="0" borderId="4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" fontId="53" fillId="0" borderId="4" xfId="0" applyNumberFormat="1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</cellXfs>
  <cellStyles count="18">
    <cellStyle name="ContentsHyperlink" xfId="3"/>
    <cellStyle name="Normal" xfId="0" builtinId="0"/>
    <cellStyle name="Normal 2" xfId="4"/>
    <cellStyle name="Normal 2 2" xfId="1"/>
    <cellStyle name="Normal 2 2 2" xfId="5"/>
    <cellStyle name="Normal 2 2 2 2" xfId="6"/>
    <cellStyle name="Normal 2 2 2 3" xfId="7"/>
    <cellStyle name="Normal 2 2 2_stacionar" xfId="8"/>
    <cellStyle name="Normal 2 3" xfId="9"/>
    <cellStyle name="Normal 2_stacionar" xfId="10"/>
    <cellStyle name="Normal 3" xfId="2"/>
    <cellStyle name="Normal 3 2" xfId="11"/>
    <cellStyle name="Normal 3 2 2" xfId="12"/>
    <cellStyle name="Normal 3 3" xfId="15"/>
    <cellStyle name="Normal 3_4 KBC ZEMUN 31.12.2011 - 1136" xfId="13"/>
    <cellStyle name="Normal 4" xfId="14"/>
    <cellStyle name="Normal 5" xfId="16"/>
    <cellStyle name="Normal 6" xfId="17"/>
  </cellStyles>
  <dxfs count="0"/>
  <tableStyles count="0" defaultTableStyle="TableStyleMedium2" defaultPivotStyle="PivotStyleMedium9"/>
  <colors>
    <mruColors>
      <color rgb="FFFFFFCC"/>
      <color rgb="FF91E391"/>
      <color rgb="FFFFE5FF"/>
      <color rgb="FFFFCCFF"/>
      <color rgb="FFCCFFCC"/>
      <color rgb="FF66FFFF"/>
      <color rgb="FFFF9933"/>
      <color rgb="FFCCCCFF"/>
      <color rgb="FFFF9F9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.KBC%20ZEMUN%20-%20PLAN%20%20RADA%20%20ZA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KАПАЦИТЕТ-RFZO "/>
      <sheetName val="6А-КАПАЦИТЕТ-UKUPNO"/>
      <sheetName val="7-ПРАТИОЦИ РФЗО"/>
      <sheetName val="7А-ПРАТИОЦИ УКУПНО"/>
      <sheetName val="8-ДНЕВНА БОЛН.РФЗО"/>
      <sheetName val="9-НЕОНАТОЛОГИЈА РФЗО"/>
      <sheetName val="10 - ПРЕГЛЕДИ РФЗО"/>
      <sheetName val="10A- ПРЕГЛЕДИ УКУПНО "/>
      <sheetName val="11  OПЕРАЦИЈЕ РФЗО"/>
      <sheetName val="12-ДСГ-ne"/>
      <sheetName val="12-ДСГ"/>
      <sheetName val="14-ДИЈАГНОСТИКА РФЗО-PO NOVOM"/>
      <sheetName val="15-ЛАБОРАТОРИЈА РФЗО-NE"/>
      <sheetName val="15-ЛАБОРАТОРИЈА"/>
      <sheetName val="14-ДИЈАГНОСТИКА РФЗО-PO STAROM"/>
      <sheetName val="15-ЛАБОРАТОРИЈА РФЗО"/>
      <sheetName val="16-ДИЈАЛИЗА РФЗО"/>
      <sheetName val="17 I 18 - КРВ РФЗО-НЕ"/>
      <sheetName val="18 - НАБАВКА КРВИ-NE"/>
      <sheetName val="18-ПРИПРЕМА КРВИ-NE"/>
      <sheetName val="19-ЛЕКОВИ РФЗО-NE "/>
      <sheetName val="17 I 18 - ТАБ КРВ РФЗО-НЕ"/>
      <sheetName val="17-KRV"/>
      <sheetName val="18-LEKOVI-RFZO"/>
      <sheetName val="20-УГРАДНИ РФЗО-ne"/>
      <sheetName val="19-УГРАДНИ РФЗО"/>
      <sheetName val="20-УГРАДНИ НЕ"/>
      <sheetName val=" 20-SANITETSKI RFZO-ne"/>
      <sheetName val="20-SANITETSKI -RFZO"/>
      <sheetName val="20-УГРАДНИ РФЗО U ORTOPEDIJI"/>
      <sheetName val="Soc.Epid.Inform. TAB 23"/>
      <sheetName val="ТАБЕЛАРНИ ПРИКАЗ"/>
      <sheetName val="ZA NAS NASLOVNICE"/>
      <sheetName val="ТРАНСФУЗИЈА - ЈАН-ОКТ 2018"/>
      <sheetName val="ZA TRANSFUZIJU JAN-NOV 2018"/>
      <sheetName val="ЗА ПАТОЛОГИЈУ ЗА ПЛАН  2019"/>
      <sheetName val="ЗА ТРАНСФУЗИЈУ ЗА  ПЛАН 2019"/>
      <sheetName val="8-ДБ-ЗА ДР ТОМАШЕВИЋА"/>
      <sheetName val="LISTE ČEKANJA DA POPUNE"/>
      <sheetName val="21-LISTE ČEKANJA - RFZO"/>
      <sheetName val="22-ZBIRNO USLUGE"/>
      <sheetName val="NASLOVNICA ZA PLAN"/>
      <sheetName val="PODNASLOVI ZA PLAN"/>
      <sheetName val="PODNASLOVI ZA PLAN POJEDINAČ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">
          <cell r="R19">
            <v>13781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J16"/>
  <sheetViews>
    <sheetView topLeftCell="A5" workbookViewId="0">
      <selection activeCell="A5" sqref="A5:XFD15"/>
    </sheetView>
  </sheetViews>
  <sheetFormatPr defaultRowHeight="50.25"/>
  <cols>
    <col min="1" max="9" width="9.140625" style="117"/>
    <col min="10" max="10" width="17.7109375" style="117" customWidth="1"/>
    <col min="11" max="16384" width="9.140625" style="117"/>
  </cols>
  <sheetData>
    <row r="1" spans="1:10">
      <c r="A1" s="593" t="s">
        <v>2203</v>
      </c>
      <c r="B1" s="593"/>
      <c r="C1" s="593"/>
      <c r="D1" s="593"/>
      <c r="E1" s="593"/>
      <c r="F1" s="593"/>
      <c r="G1" s="593"/>
      <c r="H1" s="593"/>
      <c r="I1" s="593"/>
      <c r="J1" s="593"/>
    </row>
    <row r="3" spans="1:10" ht="51" thickBot="1"/>
    <row r="4" spans="1:10" ht="108.75" customHeight="1" thickTop="1" thickBot="1">
      <c r="B4" s="592" t="s">
        <v>2354</v>
      </c>
      <c r="C4" s="592"/>
      <c r="D4" s="592"/>
      <c r="E4" s="592"/>
      <c r="F4" s="592"/>
      <c r="G4" s="592"/>
      <c r="H4" s="592"/>
      <c r="I4" s="592"/>
    </row>
    <row r="5" spans="1:10" s="122" customFormat="1" ht="51" customHeight="1" thickTop="1">
      <c r="B5" s="123"/>
      <c r="C5" s="123"/>
      <c r="D5" s="123"/>
      <c r="E5" s="123"/>
      <c r="F5" s="123"/>
      <c r="G5" s="123"/>
      <c r="H5" s="123"/>
      <c r="I5" s="123"/>
    </row>
    <row r="6" spans="1:10">
      <c r="A6" s="118"/>
      <c r="B6" s="118"/>
      <c r="C6" s="118"/>
      <c r="D6" s="118"/>
      <c r="E6" s="118"/>
      <c r="F6" s="118"/>
      <c r="G6" s="118"/>
      <c r="H6" s="118"/>
      <c r="I6" s="118"/>
      <c r="J6" s="118"/>
    </row>
    <row r="7" spans="1:10">
      <c r="A7" s="118"/>
      <c r="B7" s="119" t="s">
        <v>2199</v>
      </c>
      <c r="C7" s="119"/>
      <c r="D7" s="119"/>
      <c r="E7" s="119"/>
      <c r="F7" s="119"/>
      <c r="G7" s="119"/>
      <c r="H7" s="119"/>
      <c r="I7" s="119"/>
      <c r="J7" s="120"/>
    </row>
    <row r="8" spans="1:10">
      <c r="A8" s="118"/>
      <c r="B8" s="119" t="s">
        <v>2352</v>
      </c>
      <c r="C8" s="119"/>
      <c r="D8" s="119"/>
      <c r="E8" s="119"/>
      <c r="F8" s="119"/>
      <c r="G8" s="119"/>
      <c r="H8" s="119"/>
      <c r="I8" s="119"/>
      <c r="J8" s="120"/>
    </row>
    <row r="9" spans="1:10">
      <c r="A9" s="118"/>
      <c r="B9" s="120"/>
      <c r="C9" s="121" t="s">
        <v>2200</v>
      </c>
      <c r="D9" s="121"/>
      <c r="E9" s="121"/>
      <c r="F9" s="121"/>
      <c r="G9" s="121"/>
      <c r="H9" s="121"/>
      <c r="I9" s="121"/>
      <c r="J9" s="121"/>
    </row>
    <row r="10" spans="1:10">
      <c r="A10" s="118"/>
      <c r="B10" s="120"/>
      <c r="C10" s="121" t="s">
        <v>2201</v>
      </c>
      <c r="D10" s="121"/>
      <c r="E10" s="121"/>
      <c r="F10" s="121"/>
      <c r="G10" s="121"/>
      <c r="H10" s="121"/>
      <c r="I10" s="121"/>
      <c r="J10" s="121"/>
    </row>
    <row r="11" spans="1:10">
      <c r="A11" s="118"/>
      <c r="B11" s="120"/>
      <c r="C11" s="121" t="s">
        <v>2202</v>
      </c>
      <c r="D11" s="121"/>
      <c r="E11" s="121"/>
      <c r="F11" s="121"/>
      <c r="G11" s="121"/>
      <c r="H11" s="121"/>
      <c r="I11" s="121"/>
      <c r="J11" s="121"/>
    </row>
    <row r="12" spans="1:10">
      <c r="A12" s="118"/>
      <c r="B12" s="119" t="s">
        <v>2204</v>
      </c>
      <c r="C12" s="119"/>
      <c r="D12" s="119"/>
      <c r="E12" s="119"/>
      <c r="F12" s="119"/>
      <c r="G12" s="119"/>
      <c r="H12" s="119"/>
      <c r="I12" s="119"/>
      <c r="J12" s="119"/>
    </row>
    <row r="13" spans="1:10">
      <c r="A13" s="118"/>
      <c r="B13" s="245" t="s">
        <v>2353</v>
      </c>
      <c r="C13" s="245"/>
      <c r="D13" s="245"/>
      <c r="E13" s="245"/>
      <c r="F13" s="245"/>
      <c r="G13" s="245"/>
      <c r="H13" s="245"/>
      <c r="I13" s="245"/>
      <c r="J13" s="245"/>
    </row>
    <row r="14" spans="1:10">
      <c r="A14" s="118"/>
      <c r="B14" s="118"/>
      <c r="C14" s="118"/>
      <c r="D14" s="118"/>
      <c r="E14" s="118"/>
      <c r="F14" s="118"/>
      <c r="G14" s="118"/>
      <c r="H14" s="118"/>
      <c r="I14" s="118"/>
      <c r="J14" s="118"/>
    </row>
    <row r="15" spans="1:10">
      <c r="A15" s="118"/>
      <c r="B15" s="118"/>
      <c r="C15" s="118"/>
      <c r="D15" s="118"/>
      <c r="E15" s="118"/>
      <c r="F15" s="118"/>
      <c r="G15" s="118"/>
      <c r="H15" s="118"/>
      <c r="I15" s="118"/>
      <c r="J15" s="118"/>
    </row>
    <row r="16" spans="1:10">
      <c r="A16" s="118"/>
      <c r="B16" s="118"/>
      <c r="C16" s="118"/>
      <c r="D16" s="118"/>
      <c r="E16" s="118"/>
      <c r="F16" s="118"/>
      <c r="G16" s="118"/>
      <c r="H16" s="118"/>
      <c r="I16" s="118"/>
      <c r="J16" s="118"/>
    </row>
  </sheetData>
  <mergeCells count="2">
    <mergeCell ref="B4:I4"/>
    <mergeCell ref="A1:J1"/>
  </mergeCells>
  <pageMargins left="0.19685039370078741" right="0" top="0.19685039370078741" bottom="0.19685039370078741" header="0.19685039370078741" footer="0.19685039370078741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49"/>
  <sheetViews>
    <sheetView topLeftCell="A36" workbookViewId="0">
      <selection activeCell="A40" sqref="A40:XFD46"/>
    </sheetView>
  </sheetViews>
  <sheetFormatPr defaultRowHeight="15.75"/>
  <cols>
    <col min="1" max="1" width="11.5703125" style="85" customWidth="1"/>
    <col min="2" max="2" width="93.7109375" style="85" customWidth="1"/>
    <col min="3" max="4" width="12.140625" style="85" customWidth="1"/>
    <col min="5" max="5" width="11" style="85" customWidth="1"/>
    <col min="6" max="16384" width="9.140625" style="84"/>
  </cols>
  <sheetData>
    <row r="1" spans="1:6" ht="16.5" thickBot="1"/>
    <row r="2" spans="1:6" ht="38.25" customHeight="1" thickTop="1" thickBot="1">
      <c r="A2" s="676" t="s">
        <v>3625</v>
      </c>
      <c r="B2" s="676"/>
      <c r="C2" s="676"/>
      <c r="D2" s="676"/>
      <c r="E2" s="676"/>
    </row>
    <row r="3" spans="1:6" ht="16.5" thickTop="1"/>
    <row r="4" spans="1:6" ht="42.75" customHeight="1">
      <c r="A4" s="107" t="s">
        <v>2638</v>
      </c>
      <c r="B4" s="243" t="s">
        <v>1914</v>
      </c>
      <c r="C4" s="242" t="s">
        <v>1911</v>
      </c>
      <c r="D4" s="242" t="s">
        <v>1912</v>
      </c>
      <c r="E4" s="242" t="s">
        <v>1913</v>
      </c>
    </row>
    <row r="5" spans="1:6" ht="21" customHeight="1">
      <c r="A5" s="87">
        <v>1</v>
      </c>
      <c r="B5" s="87" t="s">
        <v>2652</v>
      </c>
      <c r="C5" s="102">
        <v>0</v>
      </c>
      <c r="D5" s="102">
        <v>43</v>
      </c>
      <c r="E5" s="243">
        <f>SUM(C5:D5)</f>
        <v>43</v>
      </c>
      <c r="F5" s="90"/>
    </row>
    <row r="6" spans="1:6" ht="21" customHeight="1">
      <c r="A6" s="87">
        <v>2</v>
      </c>
      <c r="B6" s="87" t="s">
        <v>2372</v>
      </c>
      <c r="C6" s="102">
        <v>0</v>
      </c>
      <c r="D6" s="102">
        <v>25</v>
      </c>
      <c r="E6" s="243">
        <f t="shared" ref="E6:E45" si="0">SUM(C6:D6)</f>
        <v>25</v>
      </c>
      <c r="F6" s="90"/>
    </row>
    <row r="7" spans="1:6" ht="21" customHeight="1">
      <c r="A7" s="87">
        <v>3</v>
      </c>
      <c r="B7" s="87" t="s">
        <v>2727</v>
      </c>
      <c r="C7" s="102">
        <v>0</v>
      </c>
      <c r="D7" s="102">
        <v>4</v>
      </c>
      <c r="E7" s="243">
        <f t="shared" si="0"/>
        <v>4</v>
      </c>
      <c r="F7" s="90"/>
    </row>
    <row r="8" spans="1:6" ht="21" customHeight="1">
      <c r="A8" s="87">
        <v>4</v>
      </c>
      <c r="B8" s="87" t="s">
        <v>2639</v>
      </c>
      <c r="C8" s="102">
        <v>0</v>
      </c>
      <c r="D8" s="102">
        <v>1</v>
      </c>
      <c r="E8" s="243">
        <f t="shared" si="0"/>
        <v>1</v>
      </c>
      <c r="F8" s="90"/>
    </row>
    <row r="9" spans="1:6" ht="21" customHeight="1">
      <c r="A9" s="87">
        <v>5</v>
      </c>
      <c r="B9" s="87" t="s">
        <v>2659</v>
      </c>
      <c r="C9" s="102">
        <v>0</v>
      </c>
      <c r="D9" s="102">
        <v>28</v>
      </c>
      <c r="E9" s="243">
        <f t="shared" si="0"/>
        <v>28</v>
      </c>
      <c r="F9" s="90"/>
    </row>
    <row r="10" spans="1:6" ht="21" customHeight="1">
      <c r="A10" s="87">
        <v>6</v>
      </c>
      <c r="B10" s="87" t="s">
        <v>2659</v>
      </c>
      <c r="C10" s="102">
        <v>0</v>
      </c>
      <c r="D10" s="102">
        <v>39</v>
      </c>
      <c r="E10" s="243">
        <f t="shared" si="0"/>
        <v>39</v>
      </c>
      <c r="F10" s="90"/>
    </row>
    <row r="11" spans="1:6" ht="21" customHeight="1">
      <c r="A11" s="87">
        <v>7</v>
      </c>
      <c r="B11" s="87" t="s">
        <v>2659</v>
      </c>
      <c r="C11" s="102">
        <v>12</v>
      </c>
      <c r="D11" s="102">
        <v>0</v>
      </c>
      <c r="E11" s="243">
        <f t="shared" si="0"/>
        <v>12</v>
      </c>
      <c r="F11" s="90"/>
    </row>
    <row r="12" spans="1:6" ht="21" customHeight="1">
      <c r="A12" s="87">
        <v>8</v>
      </c>
      <c r="B12" s="87" t="s">
        <v>2659</v>
      </c>
      <c r="C12" s="102">
        <v>6</v>
      </c>
      <c r="D12" s="102">
        <v>0</v>
      </c>
      <c r="E12" s="243">
        <f t="shared" si="0"/>
        <v>6</v>
      </c>
      <c r="F12" s="96"/>
    </row>
    <row r="13" spans="1:6" ht="21" customHeight="1">
      <c r="A13" s="87">
        <v>9</v>
      </c>
      <c r="B13" s="87" t="s">
        <v>3310</v>
      </c>
      <c r="C13" s="102">
        <v>0</v>
      </c>
      <c r="D13" s="102">
        <v>1</v>
      </c>
      <c r="E13" s="243">
        <f t="shared" si="0"/>
        <v>1</v>
      </c>
      <c r="F13" s="90"/>
    </row>
    <row r="14" spans="1:6" ht="21" customHeight="1">
      <c r="A14" s="87">
        <v>10</v>
      </c>
      <c r="B14" s="87" t="s">
        <v>2642</v>
      </c>
      <c r="C14" s="102">
        <v>0</v>
      </c>
      <c r="D14" s="102">
        <v>51</v>
      </c>
      <c r="E14" s="243">
        <f t="shared" si="0"/>
        <v>51</v>
      </c>
      <c r="F14" s="90"/>
    </row>
    <row r="15" spans="1:6" ht="21" customHeight="1">
      <c r="A15" s="87">
        <v>11</v>
      </c>
      <c r="B15" s="87" t="s">
        <v>2361</v>
      </c>
      <c r="C15" s="102">
        <v>0</v>
      </c>
      <c r="D15" s="102">
        <v>165</v>
      </c>
      <c r="E15" s="243">
        <f t="shared" si="0"/>
        <v>165</v>
      </c>
      <c r="F15" s="90"/>
    </row>
    <row r="16" spans="1:6" ht="21" customHeight="1">
      <c r="A16" s="87">
        <v>12</v>
      </c>
      <c r="B16" s="87" t="s">
        <v>3717</v>
      </c>
      <c r="C16" s="102">
        <v>0</v>
      </c>
      <c r="D16" s="102">
        <v>13</v>
      </c>
      <c r="E16" s="243">
        <f t="shared" si="0"/>
        <v>13</v>
      </c>
      <c r="F16" s="90"/>
    </row>
    <row r="17" spans="1:6" ht="21" customHeight="1">
      <c r="A17" s="87">
        <v>13</v>
      </c>
      <c r="B17" s="87" t="s">
        <v>3718</v>
      </c>
      <c r="C17" s="102">
        <v>0</v>
      </c>
      <c r="D17" s="102">
        <v>26</v>
      </c>
      <c r="E17" s="243">
        <f t="shared" si="0"/>
        <v>26</v>
      </c>
      <c r="F17" s="90"/>
    </row>
    <row r="18" spans="1:6" ht="21" customHeight="1">
      <c r="A18" s="87">
        <v>14</v>
      </c>
      <c r="B18" s="87" t="s">
        <v>2721</v>
      </c>
      <c r="C18" s="102">
        <v>0</v>
      </c>
      <c r="D18" s="102">
        <v>3</v>
      </c>
      <c r="E18" s="243">
        <f t="shared" si="0"/>
        <v>3</v>
      </c>
      <c r="F18" s="90"/>
    </row>
    <row r="19" spans="1:6" ht="21" customHeight="1">
      <c r="A19" s="87">
        <v>15</v>
      </c>
      <c r="B19" s="87" t="s">
        <v>2723</v>
      </c>
      <c r="C19" s="102">
        <v>0</v>
      </c>
      <c r="D19" s="102">
        <v>6</v>
      </c>
      <c r="E19" s="243">
        <f t="shared" si="0"/>
        <v>6</v>
      </c>
      <c r="F19" s="90"/>
    </row>
    <row r="20" spans="1:6" ht="21" customHeight="1">
      <c r="A20" s="87">
        <v>16</v>
      </c>
      <c r="B20" s="87" t="s">
        <v>2724</v>
      </c>
      <c r="C20" s="102">
        <v>0</v>
      </c>
      <c r="D20" s="102">
        <v>15</v>
      </c>
      <c r="E20" s="243">
        <f t="shared" si="0"/>
        <v>15</v>
      </c>
      <c r="F20" s="90"/>
    </row>
    <row r="21" spans="1:6" ht="21" customHeight="1">
      <c r="A21" s="87">
        <v>17</v>
      </c>
      <c r="B21" s="87" t="s">
        <v>2372</v>
      </c>
      <c r="C21" s="102">
        <v>0</v>
      </c>
      <c r="D21" s="102">
        <v>35</v>
      </c>
      <c r="E21" s="243">
        <f t="shared" si="0"/>
        <v>35</v>
      </c>
      <c r="F21" s="96"/>
    </row>
    <row r="22" spans="1:6" ht="21" customHeight="1">
      <c r="A22" s="87">
        <v>18</v>
      </c>
      <c r="B22" s="87" t="s">
        <v>3719</v>
      </c>
      <c r="C22" s="102">
        <v>0</v>
      </c>
      <c r="D22" s="102">
        <v>36</v>
      </c>
      <c r="E22" s="243">
        <f t="shared" si="0"/>
        <v>36</v>
      </c>
      <c r="F22" s="90"/>
    </row>
    <row r="23" spans="1:6" ht="21" customHeight="1">
      <c r="A23" s="87">
        <v>19</v>
      </c>
      <c r="B23" s="87" t="s">
        <v>717</v>
      </c>
      <c r="C23" s="102">
        <v>48</v>
      </c>
      <c r="D23" s="102">
        <v>0</v>
      </c>
      <c r="E23" s="243">
        <f t="shared" si="0"/>
        <v>48</v>
      </c>
      <c r="F23" s="90"/>
    </row>
    <row r="24" spans="1:6" ht="21" customHeight="1">
      <c r="A24" s="87">
        <v>20</v>
      </c>
      <c r="B24" s="87" t="s">
        <v>3720</v>
      </c>
      <c r="C24" s="102">
        <v>3</v>
      </c>
      <c r="D24" s="102">
        <v>0</v>
      </c>
      <c r="E24" s="243">
        <f t="shared" si="0"/>
        <v>3</v>
      </c>
      <c r="F24" s="90"/>
    </row>
    <row r="25" spans="1:6" ht="21" customHeight="1">
      <c r="A25" s="87">
        <v>21</v>
      </c>
      <c r="B25" s="87" t="s">
        <v>3721</v>
      </c>
      <c r="C25" s="102">
        <v>1</v>
      </c>
      <c r="D25" s="102">
        <v>0</v>
      </c>
      <c r="E25" s="243">
        <f t="shared" si="0"/>
        <v>1</v>
      </c>
      <c r="F25" s="90"/>
    </row>
    <row r="26" spans="1:6" ht="21" customHeight="1">
      <c r="A26" s="87">
        <v>22</v>
      </c>
      <c r="B26" s="87" t="s">
        <v>3722</v>
      </c>
      <c r="C26" s="102">
        <v>34</v>
      </c>
      <c r="D26" s="102">
        <v>0</v>
      </c>
      <c r="E26" s="243">
        <f t="shared" si="0"/>
        <v>34</v>
      </c>
      <c r="F26" s="90"/>
    </row>
    <row r="27" spans="1:6" ht="21" customHeight="1">
      <c r="A27" s="87">
        <v>23</v>
      </c>
      <c r="B27" s="87" t="s">
        <v>3723</v>
      </c>
      <c r="C27" s="102">
        <v>5</v>
      </c>
      <c r="D27" s="102">
        <v>0</v>
      </c>
      <c r="E27" s="243">
        <f t="shared" si="0"/>
        <v>5</v>
      </c>
      <c r="F27" s="96"/>
    </row>
    <row r="28" spans="1:6" ht="21" customHeight="1">
      <c r="A28" s="87">
        <v>24</v>
      </c>
      <c r="B28" s="87" t="s">
        <v>3724</v>
      </c>
      <c r="C28" s="102">
        <v>1</v>
      </c>
      <c r="D28" s="102">
        <v>0</v>
      </c>
      <c r="E28" s="243">
        <f t="shared" si="0"/>
        <v>1</v>
      </c>
      <c r="F28" s="90"/>
    </row>
    <row r="29" spans="1:6" ht="21" customHeight="1">
      <c r="A29" s="87">
        <v>25</v>
      </c>
      <c r="B29" s="87" t="s">
        <v>3725</v>
      </c>
      <c r="C29" s="102">
        <v>18</v>
      </c>
      <c r="D29" s="102">
        <v>0</v>
      </c>
      <c r="E29" s="243">
        <f t="shared" si="0"/>
        <v>18</v>
      </c>
      <c r="F29" s="90" t="s">
        <v>2797</v>
      </c>
    </row>
    <row r="30" spans="1:6" ht="21" customHeight="1">
      <c r="A30" s="87">
        <v>26</v>
      </c>
      <c r="B30" s="87" t="s">
        <v>3726</v>
      </c>
      <c r="C30" s="102">
        <v>2</v>
      </c>
      <c r="D30" s="102">
        <v>0</v>
      </c>
      <c r="E30" s="243">
        <f t="shared" si="0"/>
        <v>2</v>
      </c>
      <c r="F30" s="90"/>
    </row>
    <row r="31" spans="1:6" ht="21" customHeight="1">
      <c r="A31" s="87">
        <v>27</v>
      </c>
      <c r="B31" s="87" t="s">
        <v>3727</v>
      </c>
      <c r="C31" s="102">
        <v>1</v>
      </c>
      <c r="D31" s="102">
        <v>0</v>
      </c>
      <c r="E31" s="243">
        <f t="shared" si="0"/>
        <v>1</v>
      </c>
      <c r="F31" s="90"/>
    </row>
    <row r="32" spans="1:6" ht="21" customHeight="1">
      <c r="A32" s="87">
        <v>28</v>
      </c>
      <c r="B32" s="87" t="s">
        <v>3728</v>
      </c>
      <c r="C32" s="102">
        <v>22</v>
      </c>
      <c r="D32" s="102">
        <v>0</v>
      </c>
      <c r="E32" s="243">
        <f t="shared" si="0"/>
        <v>22</v>
      </c>
      <c r="F32" s="90"/>
    </row>
    <row r="33" spans="1:6" ht="21" customHeight="1">
      <c r="A33" s="87">
        <v>29</v>
      </c>
      <c r="B33" s="87" t="s">
        <v>3729</v>
      </c>
      <c r="C33" s="102">
        <v>6</v>
      </c>
      <c r="D33" s="102">
        <v>0</v>
      </c>
      <c r="E33" s="243">
        <f t="shared" si="0"/>
        <v>6</v>
      </c>
      <c r="F33" s="90"/>
    </row>
    <row r="34" spans="1:6" ht="21" customHeight="1">
      <c r="A34" s="87">
        <v>30</v>
      </c>
      <c r="B34" s="87" t="s">
        <v>3730</v>
      </c>
      <c r="C34" s="102">
        <v>6</v>
      </c>
      <c r="D34" s="102">
        <v>0</v>
      </c>
      <c r="E34" s="243">
        <f t="shared" si="0"/>
        <v>6</v>
      </c>
      <c r="F34" s="90"/>
    </row>
    <row r="35" spans="1:6" ht="21" customHeight="1">
      <c r="A35" s="87">
        <v>31</v>
      </c>
      <c r="B35" s="87" t="s">
        <v>2651</v>
      </c>
      <c r="C35" s="102">
        <v>0</v>
      </c>
      <c r="D35" s="102">
        <v>9</v>
      </c>
      <c r="E35" s="243">
        <f t="shared" si="0"/>
        <v>9</v>
      </c>
      <c r="F35" s="90"/>
    </row>
    <row r="36" spans="1:6" ht="21" customHeight="1">
      <c r="A36" s="87">
        <v>32</v>
      </c>
      <c r="B36" s="87" t="s">
        <v>2365</v>
      </c>
      <c r="C36" s="102">
        <v>0</v>
      </c>
      <c r="D36" s="102">
        <v>17</v>
      </c>
      <c r="E36" s="243">
        <f t="shared" si="0"/>
        <v>17</v>
      </c>
      <c r="F36" s="90"/>
    </row>
    <row r="37" spans="1:6" ht="21" customHeight="1">
      <c r="A37" s="674" t="s">
        <v>2406</v>
      </c>
      <c r="B37" s="675"/>
      <c r="C37" s="126"/>
      <c r="D37" s="126"/>
      <c r="E37" s="243">
        <f t="shared" si="0"/>
        <v>0</v>
      </c>
      <c r="F37" s="90"/>
    </row>
    <row r="38" spans="1:6" ht="21" customHeight="1">
      <c r="A38" s="243"/>
      <c r="B38" s="243"/>
      <c r="C38" s="126"/>
      <c r="D38" s="126"/>
      <c r="E38" s="243">
        <f t="shared" si="0"/>
        <v>0</v>
      </c>
      <c r="F38" s="90"/>
    </row>
    <row r="39" spans="1:6" ht="21" customHeight="1">
      <c r="A39" s="243"/>
      <c r="B39" s="242"/>
      <c r="C39" s="126"/>
      <c r="D39" s="126"/>
      <c r="E39" s="243">
        <f t="shared" si="0"/>
        <v>0</v>
      </c>
      <c r="F39" s="90"/>
    </row>
    <row r="40" spans="1:6" ht="21" customHeight="1">
      <c r="A40" s="87"/>
      <c r="B40" s="87"/>
      <c r="C40" s="102"/>
      <c r="D40" s="102"/>
      <c r="E40" s="243">
        <f t="shared" si="0"/>
        <v>0</v>
      </c>
      <c r="F40" s="90"/>
    </row>
    <row r="41" spans="1:6" ht="44.25" customHeight="1">
      <c r="A41" s="674" t="s">
        <v>2164</v>
      </c>
      <c r="B41" s="675"/>
      <c r="C41" s="243">
        <f>SUM(C5:C40)</f>
        <v>165</v>
      </c>
      <c r="D41" s="243">
        <f>SUM(D5:D40)</f>
        <v>517</v>
      </c>
      <c r="E41" s="243">
        <f t="shared" si="0"/>
        <v>682</v>
      </c>
      <c r="F41" s="90"/>
    </row>
    <row r="42" spans="1:6">
      <c r="A42" s="108"/>
      <c r="B42" s="108"/>
      <c r="C42" s="108"/>
      <c r="D42" s="108"/>
      <c r="E42" s="109">
        <f t="shared" si="0"/>
        <v>0</v>
      </c>
      <c r="F42" s="90"/>
    </row>
    <row r="43" spans="1:6">
      <c r="A43" s="108"/>
      <c r="B43" s="108"/>
      <c r="C43" s="108"/>
      <c r="D43" s="108"/>
      <c r="E43" s="109">
        <f t="shared" si="0"/>
        <v>0</v>
      </c>
      <c r="F43" s="90"/>
    </row>
    <row r="44" spans="1:6" ht="30.75" customHeight="1">
      <c r="A44" s="672" t="s">
        <v>2188</v>
      </c>
      <c r="B44" s="673"/>
      <c r="C44" s="109">
        <f>SUM(C42:C43)</f>
        <v>0</v>
      </c>
      <c r="D44" s="109">
        <f>SUM(D42:D43)</f>
        <v>0</v>
      </c>
      <c r="E44" s="109">
        <f t="shared" si="0"/>
        <v>0</v>
      </c>
      <c r="F44" s="90"/>
    </row>
    <row r="45" spans="1:6" ht="36.75" customHeight="1">
      <c r="A45" s="674" t="s">
        <v>2187</v>
      </c>
      <c r="B45" s="675"/>
      <c r="C45" s="243">
        <f>C41-C44</f>
        <v>165</v>
      </c>
      <c r="D45" s="243">
        <f>D41-D44</f>
        <v>517</v>
      </c>
      <c r="E45" s="243">
        <f t="shared" si="0"/>
        <v>682</v>
      </c>
      <c r="F45" s="90"/>
    </row>
    <row r="47" spans="1:6">
      <c r="C47" s="207">
        <f>'13-УСЛУГЕ-РФЗО 2021'!H4376</f>
        <v>165</v>
      </c>
      <c r="D47" s="207">
        <f>'13-УСЛУГЕ-РФЗО 2021'!AH4376</f>
        <v>517</v>
      </c>
    </row>
    <row r="48" spans="1:6">
      <c r="C48" s="207">
        <f>C45-C47</f>
        <v>0</v>
      </c>
      <c r="D48" s="207">
        <f>D45-D47</f>
        <v>0</v>
      </c>
    </row>
    <row r="49" spans="3:4">
      <c r="C49" s="207"/>
      <c r="D49" s="207"/>
    </row>
  </sheetData>
  <mergeCells count="5">
    <mergeCell ref="A2:E2"/>
    <mergeCell ref="A37:B37"/>
    <mergeCell ref="A41:B41"/>
    <mergeCell ref="A44:B44"/>
    <mergeCell ref="A45:B45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16"/>
  <sheetViews>
    <sheetView topLeftCell="A97" workbookViewId="0">
      <selection activeCell="A105" sqref="A105:XFD106"/>
    </sheetView>
  </sheetViews>
  <sheetFormatPr defaultRowHeight="15.75"/>
  <cols>
    <col min="1" max="1" width="14" style="89" customWidth="1"/>
    <col min="2" max="2" width="62.140625" style="89" customWidth="1"/>
    <col min="3" max="5" width="17.85546875" style="89" customWidth="1"/>
    <col min="6" max="32" width="0" style="90" hidden="1" customWidth="1"/>
    <col min="33" max="16384" width="9.140625" style="90"/>
  </cols>
  <sheetData>
    <row r="1" spans="1:5" ht="38.25" customHeight="1" thickTop="1" thickBot="1">
      <c r="A1" s="677" t="s">
        <v>3626</v>
      </c>
      <c r="B1" s="677"/>
      <c r="C1" s="677"/>
      <c r="D1" s="677"/>
      <c r="E1" s="677"/>
    </row>
    <row r="2" spans="1:5" ht="16.5" thickTop="1"/>
    <row r="3" spans="1:5" ht="30.75" customHeight="1">
      <c r="A3" s="115" t="s">
        <v>2638</v>
      </c>
      <c r="B3" s="262" t="s">
        <v>1914</v>
      </c>
      <c r="C3" s="262" t="s">
        <v>1912</v>
      </c>
      <c r="D3" s="262" t="s">
        <v>1911</v>
      </c>
      <c r="E3" s="262" t="s">
        <v>1913</v>
      </c>
    </row>
    <row r="4" spans="1:5" ht="16.5" customHeight="1">
      <c r="A4" s="86">
        <v>1</v>
      </c>
      <c r="B4" s="86" t="s">
        <v>2366</v>
      </c>
      <c r="C4" s="102">
        <v>0</v>
      </c>
      <c r="D4" s="102">
        <v>2446</v>
      </c>
      <c r="E4" s="262">
        <f>SUM(C4:D4)</f>
        <v>2446</v>
      </c>
    </row>
    <row r="5" spans="1:5" ht="16.5" customHeight="1">
      <c r="A5" s="86">
        <v>2</v>
      </c>
      <c r="B5" s="86" t="s">
        <v>2379</v>
      </c>
      <c r="C5" s="102">
        <v>218</v>
      </c>
      <c r="D5" s="102">
        <v>0</v>
      </c>
      <c r="E5" s="262">
        <f t="shared" ref="E5:E59" si="0">SUM(C5:D5)</f>
        <v>218</v>
      </c>
    </row>
    <row r="6" spans="1:5" ht="16.5" customHeight="1">
      <c r="A6" s="86">
        <v>3</v>
      </c>
      <c r="B6" s="86" t="s">
        <v>3731</v>
      </c>
      <c r="C6" s="102">
        <v>0</v>
      </c>
      <c r="D6" s="102">
        <v>25</v>
      </c>
      <c r="E6" s="262">
        <f t="shared" si="0"/>
        <v>25</v>
      </c>
    </row>
    <row r="7" spans="1:5" ht="16.5" customHeight="1">
      <c r="A7" s="86">
        <v>4</v>
      </c>
      <c r="B7" s="86" t="s">
        <v>2661</v>
      </c>
      <c r="C7" s="102">
        <v>0</v>
      </c>
      <c r="D7" s="102">
        <v>7</v>
      </c>
      <c r="E7" s="262">
        <f t="shared" si="0"/>
        <v>7</v>
      </c>
    </row>
    <row r="8" spans="1:5" ht="16.5" customHeight="1">
      <c r="A8" s="86"/>
      <c r="B8" s="86" t="s">
        <v>2363</v>
      </c>
      <c r="C8" s="102">
        <v>0</v>
      </c>
      <c r="D8" s="102">
        <v>13</v>
      </c>
      <c r="E8" s="278">
        <f t="shared" si="0"/>
        <v>13</v>
      </c>
    </row>
    <row r="9" spans="1:5" ht="16.5" customHeight="1">
      <c r="A9" s="86">
        <v>5</v>
      </c>
      <c r="B9" s="86" t="s">
        <v>3732</v>
      </c>
      <c r="C9" s="102">
        <v>19073</v>
      </c>
      <c r="D9" s="102">
        <v>0</v>
      </c>
      <c r="E9" s="262">
        <f t="shared" si="0"/>
        <v>19073</v>
      </c>
    </row>
    <row r="10" spans="1:5" ht="16.5" customHeight="1">
      <c r="A10" s="86">
        <v>6</v>
      </c>
      <c r="B10" s="86" t="s">
        <v>3733</v>
      </c>
      <c r="C10" s="102">
        <v>0</v>
      </c>
      <c r="D10" s="102">
        <v>35</v>
      </c>
      <c r="E10" s="262">
        <f t="shared" si="0"/>
        <v>35</v>
      </c>
    </row>
    <row r="11" spans="1:5" ht="16.5" customHeight="1">
      <c r="A11" s="86">
        <v>7</v>
      </c>
      <c r="B11" s="86" t="s">
        <v>3734</v>
      </c>
      <c r="C11" s="102">
        <v>0</v>
      </c>
      <c r="D11" s="102">
        <v>8</v>
      </c>
      <c r="E11" s="262">
        <f t="shared" si="0"/>
        <v>8</v>
      </c>
    </row>
    <row r="12" spans="1:5" ht="16.5" customHeight="1">
      <c r="A12" s="86">
        <v>8</v>
      </c>
      <c r="B12" s="86" t="s">
        <v>2654</v>
      </c>
      <c r="C12" s="102">
        <v>0</v>
      </c>
      <c r="D12" s="102">
        <v>18</v>
      </c>
      <c r="E12" s="262">
        <f t="shared" si="0"/>
        <v>18</v>
      </c>
    </row>
    <row r="13" spans="1:5" ht="16.5" customHeight="1">
      <c r="A13" s="86">
        <v>9</v>
      </c>
      <c r="B13" s="86" t="s">
        <v>2655</v>
      </c>
      <c r="C13" s="102">
        <v>0</v>
      </c>
      <c r="D13" s="102">
        <v>1437</v>
      </c>
      <c r="E13" s="262">
        <f t="shared" si="0"/>
        <v>1437</v>
      </c>
    </row>
    <row r="14" spans="1:5" ht="16.5" customHeight="1">
      <c r="A14" s="86">
        <v>10</v>
      </c>
      <c r="B14" s="86" t="s">
        <v>2656</v>
      </c>
      <c r="C14" s="102">
        <v>0</v>
      </c>
      <c r="D14" s="102">
        <v>142</v>
      </c>
      <c r="E14" s="262">
        <f t="shared" si="0"/>
        <v>142</v>
      </c>
    </row>
    <row r="15" spans="1:5" ht="16.5" customHeight="1">
      <c r="A15" s="86">
        <v>11</v>
      </c>
      <c r="B15" s="86" t="s">
        <v>3735</v>
      </c>
      <c r="C15" s="102">
        <v>0</v>
      </c>
      <c r="D15" s="102">
        <v>971</v>
      </c>
      <c r="E15" s="262">
        <f t="shared" si="0"/>
        <v>971</v>
      </c>
    </row>
    <row r="16" spans="1:5" ht="16.5" customHeight="1">
      <c r="A16" s="86">
        <v>12</v>
      </c>
      <c r="B16" s="86" t="s">
        <v>3735</v>
      </c>
      <c r="C16" s="102">
        <v>21</v>
      </c>
      <c r="D16" s="102">
        <v>51</v>
      </c>
      <c r="E16" s="262">
        <f t="shared" si="0"/>
        <v>72</v>
      </c>
    </row>
    <row r="17" spans="1:6" ht="16.5" customHeight="1">
      <c r="A17" s="86">
        <v>13</v>
      </c>
      <c r="B17" s="86" t="s">
        <v>2640</v>
      </c>
      <c r="C17" s="102">
        <v>0</v>
      </c>
      <c r="D17" s="102">
        <v>192</v>
      </c>
      <c r="E17" s="262">
        <f t="shared" si="0"/>
        <v>192</v>
      </c>
      <c r="F17" s="90" t="s">
        <v>1960</v>
      </c>
    </row>
    <row r="18" spans="1:6" ht="16.5" customHeight="1">
      <c r="A18" s="86">
        <v>14</v>
      </c>
      <c r="B18" s="86" t="s">
        <v>3736</v>
      </c>
      <c r="C18" s="102">
        <v>0</v>
      </c>
      <c r="D18" s="102">
        <v>5158</v>
      </c>
      <c r="E18" s="262">
        <f t="shared" si="0"/>
        <v>5158</v>
      </c>
    </row>
    <row r="19" spans="1:6" ht="16.5" customHeight="1">
      <c r="A19" s="86">
        <v>15</v>
      </c>
      <c r="B19" s="86" t="s">
        <v>3736</v>
      </c>
      <c r="C19" s="102">
        <v>24</v>
      </c>
      <c r="D19" s="102">
        <v>0</v>
      </c>
      <c r="E19" s="262">
        <f t="shared" si="0"/>
        <v>24</v>
      </c>
    </row>
    <row r="20" spans="1:6" ht="16.5" customHeight="1">
      <c r="A20" s="86">
        <v>16</v>
      </c>
      <c r="B20" s="86" t="s">
        <v>3737</v>
      </c>
      <c r="C20" s="102">
        <v>0</v>
      </c>
      <c r="D20" s="102">
        <v>53</v>
      </c>
      <c r="E20" s="262">
        <f t="shared" si="0"/>
        <v>53</v>
      </c>
    </row>
    <row r="21" spans="1:6" ht="16.5" customHeight="1">
      <c r="A21" s="86">
        <v>17</v>
      </c>
      <c r="B21" s="86" t="s">
        <v>2659</v>
      </c>
      <c r="C21" s="102">
        <v>0</v>
      </c>
      <c r="D21" s="102">
        <v>890</v>
      </c>
      <c r="E21" s="262">
        <f t="shared" si="0"/>
        <v>890</v>
      </c>
    </row>
    <row r="22" spans="1:6" ht="16.5" customHeight="1">
      <c r="A22" s="86">
        <v>18</v>
      </c>
      <c r="B22" s="86" t="s">
        <v>2659</v>
      </c>
      <c r="C22" s="102">
        <v>44</v>
      </c>
      <c r="D22" s="102">
        <v>0</v>
      </c>
      <c r="E22" s="262">
        <f t="shared" si="0"/>
        <v>44</v>
      </c>
    </row>
    <row r="23" spans="1:6" ht="16.5" customHeight="1">
      <c r="A23" s="86">
        <v>19</v>
      </c>
      <c r="B23" s="86" t="s">
        <v>2359</v>
      </c>
      <c r="C23" s="102">
        <v>181</v>
      </c>
      <c r="D23" s="102">
        <v>0</v>
      </c>
      <c r="E23" s="262">
        <f t="shared" si="0"/>
        <v>181</v>
      </c>
    </row>
    <row r="24" spans="1:6" ht="16.5" customHeight="1">
      <c r="A24" s="86">
        <v>20</v>
      </c>
      <c r="B24" s="86" t="s">
        <v>2659</v>
      </c>
      <c r="C24" s="102">
        <v>8</v>
      </c>
      <c r="D24" s="102">
        <v>0</v>
      </c>
      <c r="E24" s="262">
        <f t="shared" si="0"/>
        <v>8</v>
      </c>
    </row>
    <row r="25" spans="1:6" ht="16.5" customHeight="1">
      <c r="A25" s="86">
        <v>21</v>
      </c>
      <c r="B25" s="86" t="s">
        <v>2660</v>
      </c>
      <c r="C25" s="102">
        <v>0</v>
      </c>
      <c r="D25" s="102">
        <v>94</v>
      </c>
      <c r="E25" s="262">
        <f t="shared" si="0"/>
        <v>94</v>
      </c>
    </row>
    <row r="26" spans="1:6" ht="16.5" customHeight="1">
      <c r="A26" s="86">
        <v>22</v>
      </c>
      <c r="B26" s="86" t="s">
        <v>2360</v>
      </c>
      <c r="C26" s="102">
        <v>0</v>
      </c>
      <c r="D26" s="102">
        <v>857</v>
      </c>
      <c r="E26" s="262">
        <f t="shared" si="0"/>
        <v>857</v>
      </c>
    </row>
    <row r="27" spans="1:6" ht="16.5" customHeight="1">
      <c r="A27" s="86">
        <v>23</v>
      </c>
      <c r="B27" s="86" t="s">
        <v>2661</v>
      </c>
      <c r="C27" s="102">
        <v>0</v>
      </c>
      <c r="D27" s="102">
        <v>2767</v>
      </c>
      <c r="E27" s="262">
        <f t="shared" si="0"/>
        <v>2767</v>
      </c>
    </row>
    <row r="28" spans="1:6" ht="16.5" customHeight="1">
      <c r="A28" s="86">
        <v>24</v>
      </c>
      <c r="B28" s="86" t="s">
        <v>2642</v>
      </c>
      <c r="C28" s="102">
        <v>0</v>
      </c>
      <c r="D28" s="102">
        <v>80</v>
      </c>
      <c r="E28" s="262">
        <f t="shared" si="0"/>
        <v>80</v>
      </c>
    </row>
    <row r="29" spans="1:6" ht="16.5" customHeight="1">
      <c r="A29" s="86">
        <v>25</v>
      </c>
      <c r="B29" s="86" t="s">
        <v>2361</v>
      </c>
      <c r="C29" s="102">
        <v>0</v>
      </c>
      <c r="D29" s="102">
        <v>9784</v>
      </c>
      <c r="E29" s="262">
        <f t="shared" si="0"/>
        <v>9784</v>
      </c>
    </row>
    <row r="30" spans="1:6" ht="16.5" customHeight="1">
      <c r="A30" s="86">
        <v>26</v>
      </c>
      <c r="B30" s="86" t="s">
        <v>2662</v>
      </c>
      <c r="C30" s="102">
        <v>0</v>
      </c>
      <c r="D30" s="102">
        <v>4</v>
      </c>
      <c r="E30" s="262">
        <f t="shared" si="0"/>
        <v>4</v>
      </c>
    </row>
    <row r="31" spans="1:6" ht="16.5" customHeight="1">
      <c r="A31" s="86">
        <v>27</v>
      </c>
      <c r="B31" s="86" t="s">
        <v>2369</v>
      </c>
      <c r="C31" s="102">
        <v>0</v>
      </c>
      <c r="D31" s="102">
        <v>4071</v>
      </c>
      <c r="E31" s="262">
        <f t="shared" si="0"/>
        <v>4071</v>
      </c>
    </row>
    <row r="32" spans="1:6" ht="16.5" customHeight="1">
      <c r="A32" s="86">
        <v>28</v>
      </c>
      <c r="B32" s="86" t="s">
        <v>2369</v>
      </c>
      <c r="C32" s="102">
        <v>0</v>
      </c>
      <c r="D32" s="102">
        <v>758</v>
      </c>
      <c r="E32" s="262">
        <f t="shared" si="0"/>
        <v>758</v>
      </c>
      <c r="F32" s="90" t="s">
        <v>1968</v>
      </c>
    </row>
    <row r="33" spans="1:7" ht="16.5" customHeight="1">
      <c r="A33" s="86">
        <v>29</v>
      </c>
      <c r="B33" s="86" t="s">
        <v>2369</v>
      </c>
      <c r="C33" s="102">
        <v>18</v>
      </c>
      <c r="D33" s="102">
        <v>0</v>
      </c>
      <c r="E33" s="262">
        <f t="shared" si="0"/>
        <v>18</v>
      </c>
    </row>
    <row r="34" spans="1:7" ht="16.5" customHeight="1">
      <c r="A34" s="86">
        <v>30</v>
      </c>
      <c r="B34" s="86" t="s">
        <v>2369</v>
      </c>
      <c r="C34" s="102">
        <v>37</v>
      </c>
      <c r="D34" s="102">
        <v>2</v>
      </c>
      <c r="E34" s="262">
        <f t="shared" si="0"/>
        <v>39</v>
      </c>
    </row>
    <row r="35" spans="1:7" ht="16.5" customHeight="1">
      <c r="A35" s="86">
        <v>31</v>
      </c>
      <c r="B35" s="86" t="s">
        <v>2369</v>
      </c>
      <c r="C35" s="102">
        <v>2</v>
      </c>
      <c r="D35" s="102">
        <v>1</v>
      </c>
      <c r="E35" s="262">
        <f t="shared" si="0"/>
        <v>3</v>
      </c>
      <c r="F35" s="90" t="s">
        <v>1966</v>
      </c>
    </row>
    <row r="36" spans="1:7" ht="16.5" customHeight="1">
      <c r="A36" s="86">
        <v>32</v>
      </c>
      <c r="B36" s="86" t="s">
        <v>2369</v>
      </c>
      <c r="C36" s="102">
        <v>3</v>
      </c>
      <c r="D36" s="102">
        <v>0</v>
      </c>
      <c r="E36" s="262">
        <f t="shared" si="0"/>
        <v>3</v>
      </c>
      <c r="F36" s="90" t="s">
        <v>1966</v>
      </c>
    </row>
    <row r="37" spans="1:7" ht="16.5" customHeight="1">
      <c r="A37" s="86">
        <v>33</v>
      </c>
      <c r="B37" s="86" t="s">
        <v>2369</v>
      </c>
      <c r="C37" s="102">
        <v>1</v>
      </c>
      <c r="D37" s="102">
        <v>0</v>
      </c>
      <c r="E37" s="269">
        <f t="shared" si="0"/>
        <v>1</v>
      </c>
    </row>
    <row r="38" spans="1:7" ht="16.5" customHeight="1">
      <c r="A38" s="86">
        <v>34</v>
      </c>
      <c r="B38" s="86" t="s">
        <v>2369</v>
      </c>
      <c r="C38" s="102">
        <v>106</v>
      </c>
      <c r="D38" s="102">
        <v>0</v>
      </c>
      <c r="E38" s="269">
        <f t="shared" si="0"/>
        <v>106</v>
      </c>
    </row>
    <row r="39" spans="1:7" ht="16.5" customHeight="1">
      <c r="A39" s="86">
        <v>35</v>
      </c>
      <c r="B39" s="86" t="s">
        <v>2370</v>
      </c>
      <c r="C39" s="102">
        <v>194</v>
      </c>
      <c r="D39" s="102">
        <v>79</v>
      </c>
      <c r="E39" s="269">
        <f t="shared" si="0"/>
        <v>273</v>
      </c>
    </row>
    <row r="40" spans="1:7" ht="16.5" customHeight="1">
      <c r="A40" s="86">
        <v>36</v>
      </c>
      <c r="B40" s="86" t="s">
        <v>2370</v>
      </c>
      <c r="C40" s="102">
        <v>824</v>
      </c>
      <c r="D40" s="102">
        <v>0</v>
      </c>
      <c r="E40" s="262">
        <f t="shared" si="0"/>
        <v>824</v>
      </c>
    </row>
    <row r="41" spans="1:7" ht="16.5" customHeight="1">
      <c r="A41" s="86">
        <v>37</v>
      </c>
      <c r="B41" s="206" t="s">
        <v>3738</v>
      </c>
      <c r="C41" s="102">
        <v>0</v>
      </c>
      <c r="D41" s="102">
        <v>7687</v>
      </c>
      <c r="E41" s="262">
        <f t="shared" si="0"/>
        <v>7687</v>
      </c>
      <c r="F41" s="90" t="s">
        <v>1967</v>
      </c>
    </row>
    <row r="42" spans="1:7" ht="16.5" customHeight="1">
      <c r="A42" s="86">
        <v>38</v>
      </c>
      <c r="B42" s="206" t="s">
        <v>3738</v>
      </c>
      <c r="C42" s="102">
        <v>0</v>
      </c>
      <c r="D42" s="102">
        <v>13040</v>
      </c>
      <c r="E42" s="262">
        <f t="shared" si="0"/>
        <v>13040</v>
      </c>
      <c r="F42" s="90" t="s">
        <v>1966</v>
      </c>
    </row>
    <row r="43" spans="1:7" ht="16.5" customHeight="1">
      <c r="A43" s="86">
        <v>39</v>
      </c>
      <c r="B43" s="206" t="s">
        <v>3739</v>
      </c>
      <c r="C43" s="102">
        <v>0</v>
      </c>
      <c r="D43" s="102">
        <v>70888</v>
      </c>
      <c r="E43" s="262">
        <f t="shared" si="0"/>
        <v>70888</v>
      </c>
    </row>
    <row r="44" spans="1:7" ht="16.5" customHeight="1">
      <c r="A44" s="86">
        <v>40</v>
      </c>
      <c r="B44" s="206" t="s">
        <v>3740</v>
      </c>
      <c r="C44" s="102">
        <v>0</v>
      </c>
      <c r="D44" s="102">
        <v>9373</v>
      </c>
      <c r="E44" s="262">
        <f t="shared" si="0"/>
        <v>9373</v>
      </c>
    </row>
    <row r="45" spans="1:7" ht="16.5" customHeight="1">
      <c r="A45" s="86">
        <v>41</v>
      </c>
      <c r="B45" s="206" t="s">
        <v>3741</v>
      </c>
      <c r="C45" s="102">
        <v>0</v>
      </c>
      <c r="D45" s="102">
        <v>4767</v>
      </c>
      <c r="E45" s="262">
        <f t="shared" si="0"/>
        <v>4767</v>
      </c>
    </row>
    <row r="46" spans="1:7" ht="16.5" customHeight="1">
      <c r="A46" s="86">
        <v>42</v>
      </c>
      <c r="B46" s="86" t="s">
        <v>3718</v>
      </c>
      <c r="C46" s="102">
        <v>0</v>
      </c>
      <c r="D46" s="102">
        <v>78583</v>
      </c>
      <c r="E46" s="262">
        <f t="shared" si="0"/>
        <v>78583</v>
      </c>
    </row>
    <row r="47" spans="1:7" ht="16.5" customHeight="1">
      <c r="A47" s="86">
        <v>43</v>
      </c>
      <c r="B47" s="206" t="s">
        <v>3742</v>
      </c>
      <c r="C47" s="102">
        <v>0</v>
      </c>
      <c r="D47" s="102">
        <v>2153</v>
      </c>
      <c r="E47" s="262">
        <f t="shared" si="0"/>
        <v>2153</v>
      </c>
      <c r="F47" s="90">
        <f>C35+C36+C42+C43+C44+C45+C46+C47</f>
        <v>5</v>
      </c>
      <c r="G47" s="90">
        <f>D35+D36+D42+D43+D44+D45+D46+D47</f>
        <v>178805</v>
      </c>
    </row>
    <row r="48" spans="1:7" ht="16.5" customHeight="1">
      <c r="A48" s="86">
        <v>44</v>
      </c>
      <c r="B48" s="86" t="s">
        <v>2643</v>
      </c>
      <c r="C48" s="102">
        <v>0</v>
      </c>
      <c r="D48" s="102">
        <v>22</v>
      </c>
      <c r="E48" s="262">
        <f t="shared" si="0"/>
        <v>22</v>
      </c>
    </row>
    <row r="49" spans="1:5" ht="16.5" customHeight="1">
      <c r="A49" s="86">
        <v>45</v>
      </c>
      <c r="B49" s="86" t="s">
        <v>2722</v>
      </c>
      <c r="C49" s="102">
        <v>0</v>
      </c>
      <c r="D49" s="102">
        <v>930</v>
      </c>
      <c r="E49" s="262">
        <f t="shared" si="0"/>
        <v>930</v>
      </c>
    </row>
    <row r="50" spans="1:5" ht="16.5" customHeight="1">
      <c r="A50" s="86">
        <v>46</v>
      </c>
      <c r="B50" s="86" t="s">
        <v>2722</v>
      </c>
      <c r="C50" s="102">
        <v>6</v>
      </c>
      <c r="D50" s="102">
        <v>338</v>
      </c>
      <c r="E50" s="262">
        <f t="shared" si="0"/>
        <v>344</v>
      </c>
    </row>
    <row r="51" spans="1:5" ht="16.5" customHeight="1">
      <c r="A51" s="86">
        <v>47</v>
      </c>
      <c r="B51" s="86" t="s">
        <v>2362</v>
      </c>
      <c r="C51" s="102">
        <v>115</v>
      </c>
      <c r="D51" s="102">
        <v>0</v>
      </c>
      <c r="E51" s="262">
        <f t="shared" si="0"/>
        <v>115</v>
      </c>
    </row>
    <row r="52" spans="1:5" ht="16.5" customHeight="1">
      <c r="A52" s="86">
        <v>48</v>
      </c>
      <c r="B52" s="86" t="s">
        <v>2362</v>
      </c>
      <c r="C52" s="102">
        <v>82</v>
      </c>
      <c r="D52" s="102">
        <v>0</v>
      </c>
      <c r="E52" s="262">
        <f t="shared" si="0"/>
        <v>82</v>
      </c>
    </row>
    <row r="53" spans="1:5" ht="16.5" customHeight="1">
      <c r="A53" s="86">
        <v>49</v>
      </c>
      <c r="B53" s="86" t="s">
        <v>2371</v>
      </c>
      <c r="C53" s="102">
        <v>0</v>
      </c>
      <c r="D53" s="102">
        <v>1236</v>
      </c>
      <c r="E53" s="262">
        <f t="shared" si="0"/>
        <v>1236</v>
      </c>
    </row>
    <row r="54" spans="1:5" ht="16.5" customHeight="1">
      <c r="A54" s="86">
        <v>50</v>
      </c>
      <c r="B54" s="86" t="s">
        <v>2644</v>
      </c>
      <c r="C54" s="102">
        <v>0</v>
      </c>
      <c r="D54" s="102">
        <v>48</v>
      </c>
      <c r="E54" s="262">
        <f t="shared" si="0"/>
        <v>48</v>
      </c>
    </row>
    <row r="55" spans="1:5" ht="16.5" customHeight="1">
      <c r="A55" s="86">
        <v>51</v>
      </c>
      <c r="B55" s="86" t="s">
        <v>2895</v>
      </c>
      <c r="C55" s="102">
        <v>0</v>
      </c>
      <c r="D55" s="102">
        <v>2414</v>
      </c>
      <c r="E55" s="262">
        <f t="shared" si="0"/>
        <v>2414</v>
      </c>
    </row>
    <row r="56" spans="1:5" ht="16.5" customHeight="1">
      <c r="A56" s="86">
        <v>52</v>
      </c>
      <c r="B56" s="86" t="s">
        <v>2663</v>
      </c>
      <c r="C56" s="102">
        <v>0</v>
      </c>
      <c r="D56" s="102">
        <v>6</v>
      </c>
      <c r="E56" s="262">
        <f t="shared" si="0"/>
        <v>6</v>
      </c>
    </row>
    <row r="57" spans="1:5" ht="16.5" customHeight="1">
      <c r="A57" s="86">
        <v>53</v>
      </c>
      <c r="B57" s="86" t="s">
        <v>2664</v>
      </c>
      <c r="C57" s="102">
        <v>0</v>
      </c>
      <c r="D57" s="102">
        <v>1057</v>
      </c>
      <c r="E57" s="262">
        <f t="shared" si="0"/>
        <v>1057</v>
      </c>
    </row>
    <row r="58" spans="1:5" ht="16.5" customHeight="1">
      <c r="A58" s="86">
        <v>54</v>
      </c>
      <c r="B58" s="86" t="s">
        <v>3743</v>
      </c>
      <c r="C58" s="102">
        <v>118</v>
      </c>
      <c r="D58" s="102">
        <v>0</v>
      </c>
      <c r="E58" s="262">
        <f t="shared" si="0"/>
        <v>118</v>
      </c>
    </row>
    <row r="59" spans="1:5" ht="16.5" customHeight="1">
      <c r="A59" s="86">
        <v>55</v>
      </c>
      <c r="B59" s="86" t="s">
        <v>3743</v>
      </c>
      <c r="C59" s="102">
        <v>2</v>
      </c>
      <c r="D59" s="102">
        <v>0</v>
      </c>
      <c r="E59" s="262">
        <f t="shared" si="0"/>
        <v>2</v>
      </c>
    </row>
    <row r="60" spans="1:5" ht="16.5" customHeight="1">
      <c r="A60" s="86">
        <v>56</v>
      </c>
      <c r="B60" s="86" t="s">
        <v>2373</v>
      </c>
      <c r="C60" s="102">
        <v>0</v>
      </c>
      <c r="D60" s="102">
        <v>88</v>
      </c>
      <c r="E60" s="262">
        <f t="shared" ref="E60:E112" si="1">SUM(C60:D60)</f>
        <v>88</v>
      </c>
    </row>
    <row r="61" spans="1:5" ht="16.5" customHeight="1">
      <c r="A61" s="86">
        <v>57</v>
      </c>
      <c r="B61" s="86" t="s">
        <v>2372</v>
      </c>
      <c r="C61" s="102">
        <v>0</v>
      </c>
      <c r="D61" s="102">
        <v>1054</v>
      </c>
      <c r="E61" s="262">
        <f t="shared" si="1"/>
        <v>1054</v>
      </c>
    </row>
    <row r="62" spans="1:5" ht="16.5" customHeight="1">
      <c r="A62" s="86">
        <v>58</v>
      </c>
      <c r="B62" s="86" t="s">
        <v>2372</v>
      </c>
      <c r="C62" s="102">
        <v>2058</v>
      </c>
      <c r="D62" s="102">
        <v>0</v>
      </c>
      <c r="E62" s="262">
        <f t="shared" si="1"/>
        <v>2058</v>
      </c>
    </row>
    <row r="63" spans="1:5" ht="16.5" customHeight="1">
      <c r="A63" s="86">
        <v>59</v>
      </c>
      <c r="B63" s="86" t="s">
        <v>3744</v>
      </c>
      <c r="C63" s="102">
        <v>0</v>
      </c>
      <c r="D63" s="102">
        <v>2237</v>
      </c>
      <c r="E63" s="262">
        <f t="shared" si="1"/>
        <v>2237</v>
      </c>
    </row>
    <row r="64" spans="1:5" ht="16.5" customHeight="1">
      <c r="A64" s="86">
        <v>60</v>
      </c>
      <c r="B64" s="86" t="s">
        <v>3744</v>
      </c>
      <c r="C64" s="102">
        <v>2</v>
      </c>
      <c r="D64" s="102">
        <v>0</v>
      </c>
      <c r="E64" s="262">
        <f t="shared" si="1"/>
        <v>2</v>
      </c>
    </row>
    <row r="65" spans="1:5" ht="16.5" customHeight="1">
      <c r="A65" s="86">
        <v>61</v>
      </c>
      <c r="B65" s="86" t="s">
        <v>3745</v>
      </c>
      <c r="C65" s="102">
        <v>390</v>
      </c>
      <c r="D65" s="102">
        <v>0</v>
      </c>
      <c r="E65" s="262">
        <f t="shared" si="1"/>
        <v>390</v>
      </c>
    </row>
    <row r="66" spans="1:5" ht="16.5" customHeight="1">
      <c r="A66" s="86">
        <v>62</v>
      </c>
      <c r="B66" s="86" t="s">
        <v>2373</v>
      </c>
      <c r="C66" s="102">
        <v>0</v>
      </c>
      <c r="D66" s="102">
        <v>2951</v>
      </c>
      <c r="E66" s="262">
        <f t="shared" si="1"/>
        <v>2951</v>
      </c>
    </row>
    <row r="67" spans="1:5" ht="16.5" customHeight="1">
      <c r="A67" s="86">
        <v>63</v>
      </c>
      <c r="B67" s="86" t="s">
        <v>2373</v>
      </c>
      <c r="C67" s="102">
        <v>0</v>
      </c>
      <c r="D67" s="102">
        <v>12</v>
      </c>
      <c r="E67" s="262">
        <f t="shared" si="1"/>
        <v>12</v>
      </c>
    </row>
    <row r="68" spans="1:5" ht="16.5" customHeight="1">
      <c r="A68" s="86">
        <v>64</v>
      </c>
      <c r="B68" s="86" t="s">
        <v>2373</v>
      </c>
      <c r="C68" s="102">
        <v>12</v>
      </c>
      <c r="D68" s="102">
        <v>27</v>
      </c>
      <c r="E68" s="262">
        <f t="shared" si="1"/>
        <v>39</v>
      </c>
    </row>
    <row r="69" spans="1:5" ht="16.5" customHeight="1">
      <c r="A69" s="86">
        <v>65</v>
      </c>
      <c r="B69" s="86" t="s">
        <v>2374</v>
      </c>
      <c r="C69" s="102">
        <v>1</v>
      </c>
      <c r="D69" s="102">
        <v>1</v>
      </c>
      <c r="E69" s="262">
        <f t="shared" si="1"/>
        <v>2</v>
      </c>
    </row>
    <row r="70" spans="1:5" ht="16.5" customHeight="1">
      <c r="A70" s="86">
        <v>66</v>
      </c>
      <c r="B70" s="86" t="s">
        <v>2374</v>
      </c>
      <c r="C70" s="102">
        <v>0</v>
      </c>
      <c r="D70" s="102">
        <v>2</v>
      </c>
      <c r="E70" s="262">
        <f t="shared" si="1"/>
        <v>2</v>
      </c>
    </row>
    <row r="71" spans="1:5" ht="16.5" customHeight="1">
      <c r="A71" s="86">
        <v>67</v>
      </c>
      <c r="B71" s="86" t="s">
        <v>2374</v>
      </c>
      <c r="C71" s="102">
        <v>2</v>
      </c>
      <c r="D71" s="102">
        <v>14</v>
      </c>
      <c r="E71" s="262">
        <f t="shared" si="1"/>
        <v>16</v>
      </c>
    </row>
    <row r="72" spans="1:5" ht="16.5" customHeight="1">
      <c r="A72" s="86">
        <v>68</v>
      </c>
      <c r="B72" s="86" t="s">
        <v>2375</v>
      </c>
      <c r="C72" s="102">
        <v>0</v>
      </c>
      <c r="D72" s="102">
        <v>256</v>
      </c>
      <c r="E72" s="262">
        <f t="shared" si="1"/>
        <v>256</v>
      </c>
    </row>
    <row r="73" spans="1:5" ht="16.5" customHeight="1">
      <c r="A73" s="86"/>
      <c r="B73" s="86" t="s">
        <v>3746</v>
      </c>
      <c r="C73" s="102">
        <v>0</v>
      </c>
      <c r="D73" s="102">
        <v>4607</v>
      </c>
      <c r="E73" s="516">
        <f t="shared" si="1"/>
        <v>4607</v>
      </c>
    </row>
    <row r="74" spans="1:5" ht="16.5" customHeight="1">
      <c r="A74" s="86"/>
      <c r="B74" s="86" t="s">
        <v>3747</v>
      </c>
      <c r="C74" s="102">
        <v>0</v>
      </c>
      <c r="D74" s="102">
        <v>2528</v>
      </c>
      <c r="E74" s="516">
        <f t="shared" si="1"/>
        <v>2528</v>
      </c>
    </row>
    <row r="75" spans="1:5" ht="16.5" customHeight="1">
      <c r="A75" s="86"/>
      <c r="B75" s="86" t="s">
        <v>3748</v>
      </c>
      <c r="C75" s="102">
        <v>359</v>
      </c>
      <c r="D75" s="102">
        <v>0</v>
      </c>
      <c r="E75" s="516">
        <f t="shared" si="1"/>
        <v>359</v>
      </c>
    </row>
    <row r="76" spans="1:5" ht="16.5" customHeight="1">
      <c r="A76" s="86"/>
      <c r="B76" s="86" t="s">
        <v>3749</v>
      </c>
      <c r="C76" s="102">
        <v>0</v>
      </c>
      <c r="D76" s="102">
        <v>2</v>
      </c>
      <c r="E76" s="516">
        <f t="shared" si="1"/>
        <v>2</v>
      </c>
    </row>
    <row r="77" spans="1:5" ht="16.5" customHeight="1">
      <c r="A77" s="86"/>
      <c r="B77" s="86" t="s">
        <v>3750</v>
      </c>
      <c r="C77" s="102">
        <v>917</v>
      </c>
      <c r="D77" s="102">
        <v>0</v>
      </c>
      <c r="E77" s="516">
        <f t="shared" si="1"/>
        <v>917</v>
      </c>
    </row>
    <row r="78" spans="1:5" ht="16.5" customHeight="1">
      <c r="A78" s="86">
        <v>69</v>
      </c>
      <c r="B78" s="86" t="s">
        <v>2666</v>
      </c>
      <c r="C78" s="102">
        <v>1053</v>
      </c>
      <c r="D78" s="102">
        <v>0</v>
      </c>
      <c r="E78" s="262">
        <f t="shared" si="1"/>
        <v>1053</v>
      </c>
    </row>
    <row r="79" spans="1:5" ht="16.5" customHeight="1">
      <c r="A79" s="86">
        <v>70</v>
      </c>
      <c r="B79" s="86" t="s">
        <v>2667</v>
      </c>
      <c r="C79" s="102">
        <v>3151</v>
      </c>
      <c r="D79" s="102">
        <v>0</v>
      </c>
      <c r="E79" s="262">
        <f t="shared" si="1"/>
        <v>3151</v>
      </c>
    </row>
    <row r="80" spans="1:5" ht="16.5" customHeight="1">
      <c r="A80" s="86">
        <v>71</v>
      </c>
      <c r="B80" s="86" t="s">
        <v>728</v>
      </c>
      <c r="C80" s="102">
        <v>160</v>
      </c>
      <c r="D80" s="102">
        <v>0</v>
      </c>
      <c r="E80" s="262">
        <f t="shared" si="1"/>
        <v>160</v>
      </c>
    </row>
    <row r="81" spans="1:5" ht="16.5" customHeight="1">
      <c r="A81" s="86">
        <v>72</v>
      </c>
      <c r="B81" s="86" t="s">
        <v>2668</v>
      </c>
      <c r="C81" s="102">
        <v>136</v>
      </c>
      <c r="D81" s="102">
        <v>0</v>
      </c>
      <c r="E81" s="262">
        <f t="shared" si="1"/>
        <v>136</v>
      </c>
    </row>
    <row r="82" spans="1:5" ht="16.5" customHeight="1">
      <c r="A82" s="86">
        <v>73</v>
      </c>
      <c r="B82" s="86" t="s">
        <v>726</v>
      </c>
      <c r="C82" s="102">
        <v>1836</v>
      </c>
      <c r="D82" s="102">
        <v>0</v>
      </c>
      <c r="E82" s="262">
        <f t="shared" si="1"/>
        <v>1836</v>
      </c>
    </row>
    <row r="83" spans="1:5" ht="16.5" customHeight="1">
      <c r="A83" s="86">
        <v>74</v>
      </c>
      <c r="B83" s="86" t="s">
        <v>725</v>
      </c>
      <c r="C83" s="102">
        <v>5</v>
      </c>
      <c r="D83" s="102">
        <v>0</v>
      </c>
      <c r="E83" s="262">
        <f t="shared" si="1"/>
        <v>5</v>
      </c>
    </row>
    <row r="84" spans="1:5" ht="16.5" customHeight="1">
      <c r="A84" s="86">
        <v>75</v>
      </c>
      <c r="B84" s="86" t="s">
        <v>2647</v>
      </c>
      <c r="C84" s="102">
        <v>433</v>
      </c>
      <c r="D84" s="102">
        <v>0</v>
      </c>
      <c r="E84" s="262">
        <f t="shared" si="1"/>
        <v>433</v>
      </c>
    </row>
    <row r="85" spans="1:5" ht="16.5" customHeight="1">
      <c r="A85" s="86">
        <v>76</v>
      </c>
      <c r="B85" s="86" t="s">
        <v>722</v>
      </c>
      <c r="C85" s="102">
        <v>272</v>
      </c>
      <c r="D85" s="102">
        <v>0</v>
      </c>
      <c r="E85" s="269">
        <f t="shared" si="1"/>
        <v>272</v>
      </c>
    </row>
    <row r="86" spans="1:5" ht="16.5" customHeight="1">
      <c r="A86" s="86"/>
      <c r="B86" s="86" t="s">
        <v>2840</v>
      </c>
      <c r="C86" s="102">
        <v>119</v>
      </c>
      <c r="D86" s="102">
        <v>0</v>
      </c>
      <c r="E86" s="278">
        <f t="shared" si="1"/>
        <v>119</v>
      </c>
    </row>
    <row r="87" spans="1:5" ht="16.5" customHeight="1">
      <c r="A87" s="86">
        <v>78</v>
      </c>
      <c r="B87" s="206" t="s">
        <v>2670</v>
      </c>
      <c r="C87" s="102">
        <v>2</v>
      </c>
      <c r="D87" s="102">
        <v>0</v>
      </c>
      <c r="E87" s="262">
        <f t="shared" si="1"/>
        <v>2</v>
      </c>
    </row>
    <row r="88" spans="1:5" ht="16.5" customHeight="1">
      <c r="A88" s="86">
        <v>79</v>
      </c>
      <c r="B88" s="206" t="s">
        <v>3751</v>
      </c>
      <c r="C88" s="102">
        <v>62</v>
      </c>
      <c r="D88" s="102">
        <v>0</v>
      </c>
      <c r="E88" s="262">
        <f t="shared" si="1"/>
        <v>62</v>
      </c>
    </row>
    <row r="89" spans="1:5" ht="16.5" customHeight="1">
      <c r="A89" s="86">
        <v>81</v>
      </c>
      <c r="B89" s="247" t="s">
        <v>2376</v>
      </c>
      <c r="C89" s="102">
        <v>105</v>
      </c>
      <c r="D89" s="102">
        <v>0</v>
      </c>
      <c r="E89" s="262">
        <f t="shared" si="1"/>
        <v>105</v>
      </c>
    </row>
    <row r="90" spans="1:5" ht="16.5" customHeight="1">
      <c r="A90" s="86">
        <v>82</v>
      </c>
      <c r="B90" s="246" t="s">
        <v>3752</v>
      </c>
      <c r="C90" s="102">
        <v>1</v>
      </c>
      <c r="D90" s="102">
        <v>0</v>
      </c>
      <c r="E90" s="262">
        <f t="shared" si="1"/>
        <v>1</v>
      </c>
    </row>
    <row r="91" spans="1:5" ht="16.5" customHeight="1">
      <c r="A91" s="86">
        <v>83</v>
      </c>
      <c r="B91" s="206" t="s">
        <v>3753</v>
      </c>
      <c r="C91" s="102">
        <v>329</v>
      </c>
      <c r="D91" s="102">
        <v>0</v>
      </c>
      <c r="E91" s="262">
        <f t="shared" si="1"/>
        <v>329</v>
      </c>
    </row>
    <row r="92" spans="1:5" ht="16.5" customHeight="1">
      <c r="A92" s="86">
        <v>84</v>
      </c>
      <c r="B92" s="206" t="s">
        <v>3754</v>
      </c>
      <c r="C92" s="102">
        <v>290</v>
      </c>
      <c r="D92" s="102">
        <v>0</v>
      </c>
      <c r="E92" s="262">
        <f t="shared" si="1"/>
        <v>290</v>
      </c>
    </row>
    <row r="93" spans="1:5" ht="16.5" customHeight="1">
      <c r="A93" s="86">
        <v>85</v>
      </c>
      <c r="B93" s="206" t="s">
        <v>3755</v>
      </c>
      <c r="C93" s="102">
        <v>1352</v>
      </c>
      <c r="D93" s="102">
        <v>0</v>
      </c>
      <c r="E93" s="262">
        <f t="shared" si="1"/>
        <v>1352</v>
      </c>
    </row>
    <row r="94" spans="1:5" ht="16.5" customHeight="1">
      <c r="A94" s="86">
        <v>86</v>
      </c>
      <c r="B94" s="206" t="s">
        <v>3756</v>
      </c>
      <c r="C94" s="102">
        <v>5713</v>
      </c>
      <c r="D94" s="102">
        <v>0</v>
      </c>
      <c r="E94" s="262">
        <f t="shared" si="1"/>
        <v>5713</v>
      </c>
    </row>
    <row r="95" spans="1:5" ht="16.5" customHeight="1">
      <c r="A95" s="86">
        <v>87</v>
      </c>
      <c r="B95" s="206" t="s">
        <v>2377</v>
      </c>
      <c r="C95" s="102">
        <v>1200</v>
      </c>
      <c r="D95" s="102">
        <v>0</v>
      </c>
      <c r="E95" s="262">
        <f t="shared" si="1"/>
        <v>1200</v>
      </c>
    </row>
    <row r="96" spans="1:5" ht="16.5" customHeight="1">
      <c r="A96" s="86">
        <v>88</v>
      </c>
      <c r="B96" s="206" t="s">
        <v>3757</v>
      </c>
      <c r="C96" s="102">
        <v>164</v>
      </c>
      <c r="D96" s="102">
        <v>0</v>
      </c>
      <c r="E96" s="262">
        <f t="shared" si="1"/>
        <v>164</v>
      </c>
    </row>
    <row r="97" spans="1:5" ht="16.5" customHeight="1">
      <c r="A97" s="86">
        <v>89</v>
      </c>
      <c r="B97" s="206" t="s">
        <v>3758</v>
      </c>
      <c r="C97" s="102">
        <v>1</v>
      </c>
      <c r="D97" s="102">
        <v>0</v>
      </c>
      <c r="E97" s="269">
        <f t="shared" si="1"/>
        <v>1</v>
      </c>
    </row>
    <row r="98" spans="1:5" ht="16.5" customHeight="1">
      <c r="A98" s="86">
        <v>90</v>
      </c>
      <c r="B98" s="206" t="s">
        <v>3759</v>
      </c>
      <c r="C98" s="102">
        <v>442</v>
      </c>
      <c r="D98" s="102">
        <v>0</v>
      </c>
      <c r="E98" s="262">
        <f t="shared" si="1"/>
        <v>442</v>
      </c>
    </row>
    <row r="99" spans="1:5" ht="16.5" customHeight="1">
      <c r="A99" s="86">
        <v>91</v>
      </c>
      <c r="B99" s="206" t="s">
        <v>2798</v>
      </c>
      <c r="C99" s="102">
        <v>23</v>
      </c>
      <c r="D99" s="102">
        <v>0</v>
      </c>
      <c r="E99" s="262">
        <f t="shared" si="1"/>
        <v>23</v>
      </c>
    </row>
    <row r="100" spans="1:5" ht="16.5" customHeight="1">
      <c r="A100" s="86">
        <v>92</v>
      </c>
      <c r="B100" s="206" t="s">
        <v>3760</v>
      </c>
      <c r="C100" s="102">
        <v>201</v>
      </c>
      <c r="D100" s="102">
        <v>0</v>
      </c>
      <c r="E100" s="262">
        <f t="shared" si="1"/>
        <v>201</v>
      </c>
    </row>
    <row r="101" spans="1:5" ht="16.5" customHeight="1">
      <c r="A101" s="518"/>
      <c r="B101" s="206" t="s">
        <v>2672</v>
      </c>
      <c r="C101" s="102">
        <v>378</v>
      </c>
      <c r="D101" s="102">
        <v>0</v>
      </c>
      <c r="E101" s="516">
        <f t="shared" si="1"/>
        <v>378</v>
      </c>
    </row>
    <row r="102" spans="1:5" ht="16.5" customHeight="1">
      <c r="A102" s="518"/>
      <c r="B102" s="206" t="s">
        <v>3222</v>
      </c>
      <c r="C102" s="102">
        <v>4</v>
      </c>
      <c r="D102" s="102">
        <v>0</v>
      </c>
      <c r="E102" s="516">
        <f t="shared" si="1"/>
        <v>4</v>
      </c>
    </row>
    <row r="103" spans="1:5" ht="16.5" customHeight="1">
      <c r="A103" s="518"/>
      <c r="B103" s="206" t="s">
        <v>2651</v>
      </c>
      <c r="C103" s="102">
        <v>0</v>
      </c>
      <c r="D103" s="102">
        <v>163</v>
      </c>
      <c r="E103" s="516">
        <f t="shared" si="1"/>
        <v>163</v>
      </c>
    </row>
    <row r="104" spans="1:5" ht="16.5" customHeight="1">
      <c r="A104" s="518"/>
      <c r="B104" s="206" t="s">
        <v>2365</v>
      </c>
      <c r="C104" s="102">
        <v>0</v>
      </c>
      <c r="D104" s="102">
        <v>1650</v>
      </c>
      <c r="E104" s="516">
        <f t="shared" si="1"/>
        <v>1650</v>
      </c>
    </row>
    <row r="105" spans="1:5" ht="16.5" customHeight="1">
      <c r="A105" s="678" t="s">
        <v>2406</v>
      </c>
      <c r="B105" s="679"/>
      <c r="C105" s="102"/>
      <c r="D105" s="102"/>
      <c r="E105" s="262">
        <f t="shared" si="1"/>
        <v>0</v>
      </c>
    </row>
    <row r="106" spans="1:5" ht="16.5" customHeight="1">
      <c r="A106" s="86"/>
      <c r="B106" s="206"/>
      <c r="C106" s="102"/>
      <c r="D106" s="102"/>
      <c r="E106" s="262">
        <f t="shared" si="1"/>
        <v>0</v>
      </c>
    </row>
    <row r="107" spans="1:5" ht="16.5" customHeight="1">
      <c r="A107" s="86"/>
      <c r="B107" s="206"/>
      <c r="C107" s="102"/>
      <c r="D107" s="102"/>
      <c r="E107" s="262">
        <f t="shared" si="1"/>
        <v>0</v>
      </c>
    </row>
    <row r="108" spans="1:5" ht="16.5" customHeight="1">
      <c r="A108" s="86"/>
      <c r="B108" s="206"/>
      <c r="C108" s="102"/>
      <c r="D108" s="102"/>
      <c r="E108" s="262">
        <f t="shared" si="1"/>
        <v>0</v>
      </c>
    </row>
    <row r="109" spans="1:5" ht="22.5" customHeight="1">
      <c r="A109" s="678" t="s">
        <v>2164</v>
      </c>
      <c r="B109" s="679"/>
      <c r="C109" s="262">
        <f>SUM(C4:C108)</f>
        <v>42250</v>
      </c>
      <c r="D109" s="278">
        <f>SUM(D4:D108)</f>
        <v>238077</v>
      </c>
      <c r="E109" s="262">
        <f t="shared" si="1"/>
        <v>280327</v>
      </c>
    </row>
    <row r="110" spans="1:5" ht="14.25" customHeight="1">
      <c r="A110" s="114"/>
      <c r="B110" s="114"/>
      <c r="C110" s="114"/>
      <c r="D110" s="114"/>
      <c r="E110" s="106">
        <f t="shared" si="1"/>
        <v>0</v>
      </c>
    </row>
    <row r="111" spans="1:5" ht="28.5" customHeight="1">
      <c r="A111" s="680" t="s">
        <v>2186</v>
      </c>
      <c r="B111" s="681"/>
      <c r="C111" s="106">
        <f>SUM(C110:C110)</f>
        <v>0</v>
      </c>
      <c r="D111" s="106">
        <f>SUM(D110:D110)</f>
        <v>0</v>
      </c>
      <c r="E111" s="106">
        <f t="shared" si="1"/>
        <v>0</v>
      </c>
    </row>
    <row r="112" spans="1:5" ht="28.5" customHeight="1">
      <c r="A112" s="682" t="s">
        <v>2187</v>
      </c>
      <c r="B112" s="682"/>
      <c r="C112" s="262">
        <f>C109-C111</f>
        <v>42250</v>
      </c>
      <c r="D112" s="262">
        <f>D109-D111</f>
        <v>238077</v>
      </c>
      <c r="E112" s="262">
        <f t="shared" si="1"/>
        <v>280327</v>
      </c>
    </row>
    <row r="114" spans="3:5">
      <c r="C114" s="124">
        <f>'13-УСЛУГЕ-РФЗО 2021'!H4357</f>
        <v>42250</v>
      </c>
      <c r="D114" s="124">
        <f>'13-УСЛУГЕ-РФЗО 2021'!AH4357</f>
        <v>238077</v>
      </c>
    </row>
    <row r="115" spans="3:5">
      <c r="C115" s="124">
        <f>C112-C114</f>
        <v>0</v>
      </c>
      <c r="D115" s="124">
        <f>D112-D114</f>
        <v>0</v>
      </c>
      <c r="E115" s="129"/>
    </row>
    <row r="116" spans="3:5">
      <c r="C116" s="124"/>
      <c r="D116" s="203"/>
    </row>
  </sheetData>
  <mergeCells count="5">
    <mergeCell ref="A1:E1"/>
    <mergeCell ref="A105:B105"/>
    <mergeCell ref="A109:B109"/>
    <mergeCell ref="A111:B111"/>
    <mergeCell ref="A112:B112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1"/>
  <sheetViews>
    <sheetView topLeftCell="A23" workbookViewId="0">
      <selection activeCell="C32" sqref="C1:E1048576"/>
    </sheetView>
  </sheetViews>
  <sheetFormatPr defaultRowHeight="15.75"/>
  <cols>
    <col min="1" max="1" width="14" style="89" customWidth="1"/>
    <col min="2" max="2" width="71.140625" style="89" customWidth="1"/>
    <col min="3" max="5" width="14.7109375" style="89" customWidth="1"/>
    <col min="6" max="16384" width="9.140625" style="90"/>
  </cols>
  <sheetData>
    <row r="1" spans="1:5" ht="24.75" customHeight="1" thickTop="1" thickBot="1">
      <c r="A1" s="688" t="s">
        <v>3627</v>
      </c>
      <c r="B1" s="688"/>
      <c r="C1" s="688"/>
      <c r="D1" s="688"/>
      <c r="E1" s="688"/>
    </row>
    <row r="2" spans="1:5" ht="16.5" thickTop="1"/>
    <row r="3" spans="1:5" ht="30.75" customHeight="1">
      <c r="A3" s="248" t="s">
        <v>2638</v>
      </c>
      <c r="B3" s="263" t="s">
        <v>1914</v>
      </c>
      <c r="C3" s="263" t="s">
        <v>1911</v>
      </c>
      <c r="D3" s="263" t="s">
        <v>1912</v>
      </c>
      <c r="E3" s="263" t="s">
        <v>1913</v>
      </c>
    </row>
    <row r="4" spans="1:5" ht="20.25" customHeight="1">
      <c r="A4" s="111">
        <v>3</v>
      </c>
      <c r="B4" s="111" t="s">
        <v>2655</v>
      </c>
      <c r="C4" s="102">
        <v>0</v>
      </c>
      <c r="D4" s="102">
        <v>48</v>
      </c>
      <c r="E4" s="263">
        <f t="shared" ref="E4:E38" si="0">SUM(C4:D4)</f>
        <v>48</v>
      </c>
    </row>
    <row r="5" spans="1:5" ht="20.25" customHeight="1">
      <c r="A5" s="111">
        <v>4</v>
      </c>
      <c r="B5" s="111" t="s">
        <v>2800</v>
      </c>
      <c r="C5" s="102">
        <v>0</v>
      </c>
      <c r="D5" s="102">
        <v>1</v>
      </c>
      <c r="E5" s="263">
        <f t="shared" si="0"/>
        <v>1</v>
      </c>
    </row>
    <row r="6" spans="1:5" ht="20.25" customHeight="1">
      <c r="A6" s="111">
        <v>5</v>
      </c>
      <c r="B6" s="111" t="s">
        <v>2657</v>
      </c>
      <c r="C6" s="102">
        <v>0</v>
      </c>
      <c r="D6" s="102">
        <v>98</v>
      </c>
      <c r="E6" s="263">
        <f t="shared" si="0"/>
        <v>98</v>
      </c>
    </row>
    <row r="7" spans="1:5" ht="20.25" customHeight="1">
      <c r="A7" s="111">
        <v>6</v>
      </c>
      <c r="B7" s="111" t="s">
        <v>2659</v>
      </c>
      <c r="C7" s="102">
        <v>0</v>
      </c>
      <c r="D7" s="102">
        <v>129</v>
      </c>
      <c r="E7" s="263">
        <f t="shared" si="0"/>
        <v>129</v>
      </c>
    </row>
    <row r="8" spans="1:5" ht="20.25" customHeight="1">
      <c r="A8" s="111">
        <v>7</v>
      </c>
      <c r="B8" s="111" t="s">
        <v>2360</v>
      </c>
      <c r="C8" s="102">
        <v>0</v>
      </c>
      <c r="D8" s="102">
        <v>153</v>
      </c>
      <c r="E8" s="263">
        <f t="shared" si="0"/>
        <v>153</v>
      </c>
    </row>
    <row r="9" spans="1:5" ht="20.25" customHeight="1">
      <c r="A9" s="111">
        <v>8</v>
      </c>
      <c r="B9" s="111" t="s">
        <v>2796</v>
      </c>
      <c r="C9" s="102">
        <v>0</v>
      </c>
      <c r="D9" s="102">
        <v>1112</v>
      </c>
      <c r="E9" s="263">
        <f t="shared" si="0"/>
        <v>1112</v>
      </c>
    </row>
    <row r="10" spans="1:5" ht="20.25" customHeight="1">
      <c r="A10" s="111">
        <v>10</v>
      </c>
      <c r="B10" s="111" t="s">
        <v>2720</v>
      </c>
      <c r="C10" s="102">
        <v>0</v>
      </c>
      <c r="D10" s="102">
        <v>410</v>
      </c>
      <c r="E10" s="263">
        <f t="shared" si="0"/>
        <v>410</v>
      </c>
    </row>
    <row r="11" spans="1:5" ht="20.25" customHeight="1">
      <c r="A11" s="111">
        <v>11</v>
      </c>
      <c r="B11" s="111" t="s">
        <v>2798</v>
      </c>
      <c r="C11" s="102">
        <v>0</v>
      </c>
      <c r="D11" s="102">
        <v>511</v>
      </c>
      <c r="E11" s="263">
        <f t="shared" si="0"/>
        <v>511</v>
      </c>
    </row>
    <row r="12" spans="1:5" ht="20.25" customHeight="1">
      <c r="A12" s="111">
        <v>12</v>
      </c>
      <c r="B12" s="111" t="s">
        <v>2719</v>
      </c>
      <c r="C12" s="102">
        <v>0</v>
      </c>
      <c r="D12" s="102">
        <v>925</v>
      </c>
      <c r="E12" s="263">
        <f t="shared" si="0"/>
        <v>925</v>
      </c>
    </row>
    <row r="13" spans="1:5" ht="20.25" customHeight="1">
      <c r="A13" s="111">
        <v>13</v>
      </c>
      <c r="B13" s="111" t="s">
        <v>3761</v>
      </c>
      <c r="C13" s="102">
        <v>0</v>
      </c>
      <c r="D13" s="102">
        <v>2185</v>
      </c>
      <c r="E13" s="263">
        <f t="shared" si="0"/>
        <v>2185</v>
      </c>
    </row>
    <row r="14" spans="1:5" ht="20.25" customHeight="1">
      <c r="A14" s="111">
        <v>14</v>
      </c>
      <c r="B14" s="111" t="s">
        <v>3762</v>
      </c>
      <c r="C14" s="102">
        <v>0</v>
      </c>
      <c r="D14" s="102">
        <v>934</v>
      </c>
      <c r="E14" s="263">
        <f t="shared" si="0"/>
        <v>934</v>
      </c>
    </row>
    <row r="15" spans="1:5" ht="20.25" customHeight="1">
      <c r="A15" s="111">
        <v>15</v>
      </c>
      <c r="B15" s="111" t="s">
        <v>3763</v>
      </c>
      <c r="C15" s="102">
        <v>0</v>
      </c>
      <c r="D15" s="102">
        <v>53</v>
      </c>
      <c r="E15" s="263">
        <f t="shared" si="0"/>
        <v>53</v>
      </c>
    </row>
    <row r="16" spans="1:5" ht="20.25" customHeight="1">
      <c r="A16" s="111">
        <v>16</v>
      </c>
      <c r="B16" s="111" t="s">
        <v>3718</v>
      </c>
      <c r="C16" s="102">
        <v>0</v>
      </c>
      <c r="D16" s="102">
        <v>2820</v>
      </c>
      <c r="E16" s="263">
        <f t="shared" si="0"/>
        <v>2820</v>
      </c>
    </row>
    <row r="17" spans="1:5" ht="20.25" customHeight="1">
      <c r="A17" s="111">
        <v>17</v>
      </c>
      <c r="B17" s="111" t="s">
        <v>3764</v>
      </c>
      <c r="C17" s="102">
        <v>0</v>
      </c>
      <c r="D17" s="102">
        <v>35</v>
      </c>
      <c r="E17" s="263">
        <f t="shared" si="0"/>
        <v>35</v>
      </c>
    </row>
    <row r="18" spans="1:5" ht="20.25" customHeight="1">
      <c r="A18" s="111">
        <v>18</v>
      </c>
      <c r="B18" s="111" t="s">
        <v>2362</v>
      </c>
      <c r="C18" s="102">
        <v>0</v>
      </c>
      <c r="D18" s="102">
        <v>74</v>
      </c>
      <c r="E18" s="263">
        <f t="shared" si="0"/>
        <v>74</v>
      </c>
    </row>
    <row r="19" spans="1:5" ht="20.25" customHeight="1">
      <c r="A19" s="111">
        <v>19</v>
      </c>
      <c r="B19" s="111" t="s">
        <v>2645</v>
      </c>
      <c r="C19" s="102">
        <v>0</v>
      </c>
      <c r="D19" s="102">
        <v>365</v>
      </c>
      <c r="E19" s="263">
        <f t="shared" si="0"/>
        <v>365</v>
      </c>
    </row>
    <row r="20" spans="1:5" ht="20.25" customHeight="1">
      <c r="A20" s="111">
        <v>20</v>
      </c>
      <c r="B20" s="111" t="s">
        <v>3765</v>
      </c>
      <c r="C20" s="102">
        <v>0</v>
      </c>
      <c r="D20" s="102">
        <v>2</v>
      </c>
      <c r="E20" s="263">
        <f t="shared" si="0"/>
        <v>2</v>
      </c>
    </row>
    <row r="21" spans="1:5" ht="20.25" customHeight="1">
      <c r="A21" s="111">
        <v>21</v>
      </c>
      <c r="B21" s="111" t="s">
        <v>2726</v>
      </c>
      <c r="C21" s="102">
        <v>0</v>
      </c>
      <c r="D21" s="102">
        <v>5</v>
      </c>
      <c r="E21" s="264">
        <f t="shared" si="0"/>
        <v>5</v>
      </c>
    </row>
    <row r="22" spans="1:5" ht="20.25" customHeight="1">
      <c r="A22" s="111">
        <v>22</v>
      </c>
      <c r="B22" s="111" t="s">
        <v>2373</v>
      </c>
      <c r="C22" s="102">
        <v>0</v>
      </c>
      <c r="D22" s="102">
        <v>208</v>
      </c>
      <c r="E22" s="264">
        <f t="shared" si="0"/>
        <v>208</v>
      </c>
    </row>
    <row r="23" spans="1:5" ht="20.25" customHeight="1">
      <c r="A23" s="111">
        <v>23</v>
      </c>
      <c r="B23" s="111" t="s">
        <v>2801</v>
      </c>
      <c r="C23" s="102">
        <v>0</v>
      </c>
      <c r="D23" s="102">
        <v>20</v>
      </c>
      <c r="E23" s="263">
        <f t="shared" si="0"/>
        <v>20</v>
      </c>
    </row>
    <row r="24" spans="1:5" ht="20.25" customHeight="1">
      <c r="A24" s="519"/>
      <c r="B24" s="111" t="s">
        <v>3766</v>
      </c>
      <c r="C24" s="102">
        <v>0</v>
      </c>
      <c r="D24" s="102">
        <v>1210</v>
      </c>
      <c r="E24" s="517">
        <f t="shared" si="0"/>
        <v>1210</v>
      </c>
    </row>
    <row r="25" spans="1:5" ht="20.25" customHeight="1">
      <c r="A25" s="519"/>
      <c r="B25" s="111" t="s">
        <v>2727</v>
      </c>
      <c r="C25" s="102">
        <v>0</v>
      </c>
      <c r="D25" s="102">
        <v>802</v>
      </c>
      <c r="E25" s="517">
        <f t="shared" si="0"/>
        <v>802</v>
      </c>
    </row>
    <row r="26" spans="1:5" ht="20.25" customHeight="1">
      <c r="A26" s="519"/>
      <c r="B26" s="111" t="s">
        <v>3767</v>
      </c>
      <c r="C26" s="102">
        <v>0</v>
      </c>
      <c r="D26" s="102">
        <v>151</v>
      </c>
      <c r="E26" s="517">
        <f t="shared" si="0"/>
        <v>151</v>
      </c>
    </row>
    <row r="27" spans="1:5" ht="20.25" customHeight="1">
      <c r="A27" s="519"/>
      <c r="B27" s="111" t="s">
        <v>3767</v>
      </c>
      <c r="C27" s="102">
        <v>5210</v>
      </c>
      <c r="D27" s="102">
        <v>0</v>
      </c>
      <c r="E27" s="517">
        <f t="shared" si="0"/>
        <v>5210</v>
      </c>
    </row>
    <row r="28" spans="1:5" ht="20.25" customHeight="1">
      <c r="A28" s="519"/>
      <c r="B28" s="111" t="s">
        <v>2669</v>
      </c>
      <c r="C28" s="102">
        <v>0</v>
      </c>
      <c r="D28" s="102">
        <v>2</v>
      </c>
      <c r="E28" s="517">
        <f t="shared" si="0"/>
        <v>2</v>
      </c>
    </row>
    <row r="29" spans="1:5" ht="20.25" customHeight="1">
      <c r="A29" s="519"/>
      <c r="B29" s="111" t="s">
        <v>3768</v>
      </c>
      <c r="C29" s="102">
        <v>1</v>
      </c>
      <c r="D29" s="102">
        <v>0</v>
      </c>
      <c r="E29" s="517">
        <f t="shared" si="0"/>
        <v>1</v>
      </c>
    </row>
    <row r="30" spans="1:5" ht="20.25" customHeight="1">
      <c r="A30" s="519"/>
      <c r="B30" s="111" t="s">
        <v>2365</v>
      </c>
      <c r="C30" s="102">
        <v>0</v>
      </c>
      <c r="D30" s="102">
        <v>110</v>
      </c>
      <c r="E30" s="517">
        <f t="shared" si="0"/>
        <v>110</v>
      </c>
    </row>
    <row r="31" spans="1:5" ht="20.25" customHeight="1">
      <c r="A31" s="519"/>
      <c r="B31" s="111"/>
      <c r="C31" s="102"/>
      <c r="D31" s="102"/>
      <c r="E31" s="517"/>
    </row>
    <row r="32" spans="1:5" ht="20.25" customHeight="1">
      <c r="A32" s="519"/>
      <c r="B32" s="111"/>
      <c r="C32" s="102"/>
      <c r="D32" s="102"/>
      <c r="E32" s="517"/>
    </row>
    <row r="33" spans="1:5" ht="20.25" customHeight="1">
      <c r="A33" s="519"/>
      <c r="B33" s="111"/>
      <c r="C33" s="102"/>
      <c r="D33" s="102"/>
      <c r="E33" s="517"/>
    </row>
    <row r="34" spans="1:5" ht="20.25" customHeight="1">
      <c r="A34" s="519"/>
      <c r="B34" s="111"/>
      <c r="C34" s="102"/>
      <c r="D34" s="102"/>
      <c r="E34" s="517"/>
    </row>
    <row r="35" spans="1:5" ht="23.25" customHeight="1">
      <c r="A35" s="686" t="s">
        <v>2164</v>
      </c>
      <c r="B35" s="687"/>
      <c r="C35" s="263">
        <f>SUM(C4:C30)</f>
        <v>5211</v>
      </c>
      <c r="D35" s="263">
        <f>SUM(D4:D30)</f>
        <v>12363</v>
      </c>
      <c r="E35" s="263">
        <f t="shared" si="0"/>
        <v>17574</v>
      </c>
    </row>
    <row r="36" spans="1:5" ht="21.75" customHeight="1">
      <c r="A36" s="113"/>
      <c r="B36" s="113"/>
      <c r="C36" s="113"/>
      <c r="D36" s="113"/>
      <c r="E36" s="112">
        <f t="shared" si="0"/>
        <v>0</v>
      </c>
    </row>
    <row r="37" spans="1:5" ht="21.75" customHeight="1">
      <c r="A37" s="683" t="s">
        <v>2186</v>
      </c>
      <c r="B37" s="684"/>
      <c r="C37" s="112">
        <f>SUM(C36:C36)</f>
        <v>0</v>
      </c>
      <c r="D37" s="112">
        <f>SUM(D36:D36)</f>
        <v>0</v>
      </c>
      <c r="E37" s="112">
        <f t="shared" si="0"/>
        <v>0</v>
      </c>
    </row>
    <row r="38" spans="1:5" ht="21.75" customHeight="1">
      <c r="A38" s="685" t="s">
        <v>2187</v>
      </c>
      <c r="B38" s="685"/>
      <c r="C38" s="263">
        <f>C35-C37</f>
        <v>5211</v>
      </c>
      <c r="D38" s="263">
        <f>D35-D37</f>
        <v>12363</v>
      </c>
      <c r="E38" s="263">
        <f t="shared" si="0"/>
        <v>17574</v>
      </c>
    </row>
    <row r="39" spans="1:5">
      <c r="C39" s="124">
        <f>'13-УСЛУГЕ-РФЗО 2021'!H4358</f>
        <v>14434</v>
      </c>
      <c r="D39" s="124">
        <f>'13-УСЛУГЕ-РФЗО 2021'!AH4358</f>
        <v>3140</v>
      </c>
    </row>
    <row r="40" spans="1:5">
      <c r="C40" s="124"/>
      <c r="D40" s="124"/>
    </row>
    <row r="41" spans="1:5">
      <c r="C41" s="124">
        <f>C38-C39</f>
        <v>-9223</v>
      </c>
      <c r="D41" s="124">
        <f>D38-D39</f>
        <v>9223</v>
      </c>
    </row>
  </sheetData>
  <mergeCells count="4">
    <mergeCell ref="A1:E1"/>
    <mergeCell ref="A35:B35"/>
    <mergeCell ref="A37:B37"/>
    <mergeCell ref="A38:B38"/>
  </mergeCells>
  <pageMargins left="0.7" right="0.7" top="0.75" bottom="0.75" header="0.3" footer="0.3"/>
  <pageSetup paperSize="9" scale="9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94"/>
  <sheetViews>
    <sheetView workbookViewId="0">
      <selection activeCell="D94" sqref="D94"/>
    </sheetView>
  </sheetViews>
  <sheetFormatPr defaultRowHeight="15.75"/>
  <cols>
    <col min="1" max="1" width="14" style="89" customWidth="1"/>
    <col min="2" max="2" width="62.140625" style="89" customWidth="1"/>
    <col min="3" max="5" width="17.85546875" style="89" customWidth="1"/>
    <col min="6" max="32" width="0" style="90" hidden="1" customWidth="1"/>
    <col min="33" max="16384" width="9.140625" style="90"/>
  </cols>
  <sheetData>
    <row r="1" spans="1:6" ht="38.25" customHeight="1" thickTop="1" thickBot="1">
      <c r="A1" s="677" t="s">
        <v>3628</v>
      </c>
      <c r="B1" s="677"/>
      <c r="C1" s="677"/>
      <c r="D1" s="677"/>
      <c r="E1" s="677"/>
    </row>
    <row r="2" spans="1:6" ht="16.5" thickTop="1"/>
    <row r="3" spans="1:6" ht="30.75" customHeight="1">
      <c r="A3" s="115" t="s">
        <v>2638</v>
      </c>
      <c r="B3" s="262" t="s">
        <v>1914</v>
      </c>
      <c r="C3" s="262" t="s">
        <v>1912</v>
      </c>
      <c r="D3" s="262" t="s">
        <v>1911</v>
      </c>
      <c r="E3" s="262" t="s">
        <v>1913</v>
      </c>
    </row>
    <row r="4" spans="1:6" ht="22.5" customHeight="1">
      <c r="A4" s="86">
        <v>1</v>
      </c>
      <c r="B4" s="86" t="s">
        <v>2366</v>
      </c>
      <c r="C4" s="102">
        <v>0</v>
      </c>
      <c r="D4" s="102">
        <v>534</v>
      </c>
      <c r="E4" s="262">
        <f>SUM(C4:D4)</f>
        <v>534</v>
      </c>
    </row>
    <row r="5" spans="1:6" ht="22.5" customHeight="1">
      <c r="A5" s="86">
        <v>3</v>
      </c>
      <c r="B5" s="86" t="s">
        <v>2366</v>
      </c>
      <c r="C5" s="102">
        <v>110</v>
      </c>
      <c r="D5" s="102">
        <v>0</v>
      </c>
      <c r="E5" s="262">
        <f t="shared" ref="E5:E83" si="0">SUM(C5:D5)</f>
        <v>110</v>
      </c>
    </row>
    <row r="6" spans="1:6" ht="22.5" customHeight="1">
      <c r="A6" s="86">
        <v>4</v>
      </c>
      <c r="B6" s="86" t="s">
        <v>2661</v>
      </c>
      <c r="C6" s="102">
        <v>0</v>
      </c>
      <c r="D6" s="102">
        <v>7</v>
      </c>
      <c r="E6" s="262">
        <f t="shared" si="0"/>
        <v>7</v>
      </c>
    </row>
    <row r="7" spans="1:6" ht="22.5" customHeight="1">
      <c r="A7" s="86">
        <v>5</v>
      </c>
      <c r="B7" s="86" t="s">
        <v>2363</v>
      </c>
      <c r="C7" s="102">
        <v>0</v>
      </c>
      <c r="D7" s="102">
        <v>4</v>
      </c>
      <c r="E7" s="262">
        <f t="shared" si="0"/>
        <v>4</v>
      </c>
    </row>
    <row r="8" spans="1:6" ht="22.5" customHeight="1">
      <c r="A8" s="86">
        <v>6</v>
      </c>
      <c r="B8" s="86" t="s">
        <v>3732</v>
      </c>
      <c r="C8" s="102">
        <v>438</v>
      </c>
      <c r="D8" s="102">
        <v>0</v>
      </c>
      <c r="E8" s="262">
        <f t="shared" si="0"/>
        <v>438</v>
      </c>
    </row>
    <row r="9" spans="1:6" ht="22.5" customHeight="1">
      <c r="A9" s="86">
        <v>7</v>
      </c>
      <c r="B9" s="86" t="s">
        <v>2637</v>
      </c>
      <c r="C9" s="102">
        <v>0</v>
      </c>
      <c r="D9" s="102">
        <v>1</v>
      </c>
      <c r="E9" s="262">
        <f t="shared" si="0"/>
        <v>1</v>
      </c>
    </row>
    <row r="10" spans="1:6" ht="22.5" customHeight="1">
      <c r="A10" s="86">
        <v>8</v>
      </c>
      <c r="B10" s="86" t="s">
        <v>2655</v>
      </c>
      <c r="C10" s="102">
        <v>0</v>
      </c>
      <c r="D10" s="102">
        <v>127</v>
      </c>
      <c r="E10" s="262">
        <f t="shared" si="0"/>
        <v>127</v>
      </c>
    </row>
    <row r="11" spans="1:6" ht="22.5" customHeight="1">
      <c r="A11" s="86">
        <v>9</v>
      </c>
      <c r="B11" s="86" t="s">
        <v>2640</v>
      </c>
      <c r="C11" s="102">
        <v>0</v>
      </c>
      <c r="D11" s="102">
        <v>26</v>
      </c>
      <c r="E11" s="262">
        <f t="shared" si="0"/>
        <v>26</v>
      </c>
    </row>
    <row r="12" spans="1:6" ht="22.5" customHeight="1">
      <c r="A12" s="86">
        <v>10</v>
      </c>
      <c r="B12" s="86" t="s">
        <v>2657</v>
      </c>
      <c r="C12" s="102">
        <v>0</v>
      </c>
      <c r="D12" s="102">
        <v>461</v>
      </c>
      <c r="E12" s="262">
        <f t="shared" si="0"/>
        <v>461</v>
      </c>
    </row>
    <row r="13" spans="1:6" ht="22.5" customHeight="1">
      <c r="A13" s="86">
        <v>11</v>
      </c>
      <c r="B13" s="86" t="s">
        <v>2657</v>
      </c>
      <c r="C13" s="102">
        <v>5</v>
      </c>
      <c r="D13" s="102">
        <v>0</v>
      </c>
      <c r="E13" s="262">
        <f t="shared" si="0"/>
        <v>5</v>
      </c>
    </row>
    <row r="14" spans="1:6" ht="22.5" customHeight="1">
      <c r="A14" s="86">
        <v>12</v>
      </c>
      <c r="B14" s="86" t="s">
        <v>2713</v>
      </c>
      <c r="C14" s="102">
        <v>0</v>
      </c>
      <c r="D14" s="102">
        <v>2</v>
      </c>
      <c r="E14" s="262">
        <f t="shared" si="0"/>
        <v>2</v>
      </c>
    </row>
    <row r="15" spans="1:6" ht="22.5" customHeight="1">
      <c r="A15" s="86">
        <v>13</v>
      </c>
      <c r="B15" s="86" t="s">
        <v>2714</v>
      </c>
      <c r="C15" s="102">
        <v>0</v>
      </c>
      <c r="D15" s="102">
        <v>12</v>
      </c>
      <c r="E15" s="262">
        <f t="shared" si="0"/>
        <v>12</v>
      </c>
    </row>
    <row r="16" spans="1:6" ht="22.5" customHeight="1">
      <c r="A16" s="86">
        <v>14</v>
      </c>
      <c r="B16" s="86" t="s">
        <v>2659</v>
      </c>
      <c r="C16" s="102">
        <v>7</v>
      </c>
      <c r="D16" s="102">
        <v>0</v>
      </c>
      <c r="E16" s="262">
        <f t="shared" si="0"/>
        <v>7</v>
      </c>
      <c r="F16" s="90" t="s">
        <v>1960</v>
      </c>
    </row>
    <row r="17" spans="1:6" ht="22.5" customHeight="1">
      <c r="A17" s="86">
        <v>15</v>
      </c>
      <c r="B17" s="86" t="s">
        <v>3310</v>
      </c>
      <c r="C17" s="102">
        <v>0</v>
      </c>
      <c r="D17" s="102">
        <v>2</v>
      </c>
      <c r="E17" s="262">
        <f t="shared" si="0"/>
        <v>2</v>
      </c>
    </row>
    <row r="18" spans="1:6" ht="22.5" customHeight="1">
      <c r="A18" s="86">
        <v>16</v>
      </c>
      <c r="B18" s="86" t="s">
        <v>2717</v>
      </c>
      <c r="C18" s="102">
        <v>0</v>
      </c>
      <c r="D18" s="102">
        <v>93</v>
      </c>
      <c r="E18" s="262">
        <f t="shared" si="0"/>
        <v>93</v>
      </c>
    </row>
    <row r="19" spans="1:6" ht="22.5" customHeight="1">
      <c r="A19" s="86">
        <v>17</v>
      </c>
      <c r="B19" s="86" t="s">
        <v>2796</v>
      </c>
      <c r="C19" s="102">
        <v>0</v>
      </c>
      <c r="D19" s="102">
        <v>1045</v>
      </c>
      <c r="E19" s="262">
        <f t="shared" si="0"/>
        <v>1045</v>
      </c>
    </row>
    <row r="20" spans="1:6" ht="22.5" customHeight="1">
      <c r="A20" s="86">
        <v>18</v>
      </c>
      <c r="B20" s="86" t="s">
        <v>2719</v>
      </c>
      <c r="C20" s="102">
        <v>0</v>
      </c>
      <c r="D20" s="102">
        <v>347</v>
      </c>
      <c r="E20" s="262">
        <f t="shared" si="0"/>
        <v>347</v>
      </c>
    </row>
    <row r="21" spans="1:6" ht="22.5" customHeight="1">
      <c r="A21" s="86">
        <v>19</v>
      </c>
      <c r="B21" s="86" t="s">
        <v>2720</v>
      </c>
      <c r="C21" s="102">
        <v>0</v>
      </c>
      <c r="D21" s="102">
        <v>2</v>
      </c>
      <c r="E21" s="262">
        <f t="shared" si="0"/>
        <v>2</v>
      </c>
    </row>
    <row r="22" spans="1:6" ht="22.5" customHeight="1">
      <c r="A22" s="86">
        <v>20</v>
      </c>
      <c r="B22" s="86" t="s">
        <v>3769</v>
      </c>
      <c r="C22" s="102">
        <v>0</v>
      </c>
      <c r="D22" s="102">
        <v>767</v>
      </c>
      <c r="E22" s="262">
        <f t="shared" si="0"/>
        <v>767</v>
      </c>
    </row>
    <row r="23" spans="1:6" ht="22.5" customHeight="1">
      <c r="A23" s="86">
        <v>21</v>
      </c>
      <c r="B23" s="86" t="s">
        <v>2720</v>
      </c>
      <c r="C23" s="102">
        <v>0</v>
      </c>
      <c r="D23" s="102">
        <v>98</v>
      </c>
      <c r="E23" s="262">
        <f t="shared" si="0"/>
        <v>98</v>
      </c>
    </row>
    <row r="24" spans="1:6" ht="22.5" customHeight="1">
      <c r="A24" s="86">
        <v>22</v>
      </c>
      <c r="B24" s="86" t="s">
        <v>2720</v>
      </c>
      <c r="C24" s="102">
        <v>9</v>
      </c>
      <c r="D24" s="102">
        <v>0</v>
      </c>
      <c r="E24" s="262">
        <f t="shared" si="0"/>
        <v>9</v>
      </c>
    </row>
    <row r="25" spans="1:6" ht="22.5" customHeight="1">
      <c r="A25" s="86">
        <v>23</v>
      </c>
      <c r="B25" s="86" t="s">
        <v>3326</v>
      </c>
      <c r="C25" s="102">
        <v>37</v>
      </c>
      <c r="D25" s="102">
        <v>2</v>
      </c>
      <c r="E25" s="262">
        <f t="shared" si="0"/>
        <v>39</v>
      </c>
    </row>
    <row r="26" spans="1:6" ht="22.5" customHeight="1">
      <c r="A26" s="86">
        <v>24</v>
      </c>
      <c r="B26" s="86" t="s">
        <v>3769</v>
      </c>
      <c r="C26" s="102">
        <v>8</v>
      </c>
      <c r="D26" s="102">
        <v>1</v>
      </c>
      <c r="E26" s="262">
        <f t="shared" si="0"/>
        <v>9</v>
      </c>
    </row>
    <row r="27" spans="1:6" ht="22.5" customHeight="1">
      <c r="A27" s="86">
        <v>25</v>
      </c>
      <c r="B27" s="86" t="s">
        <v>2370</v>
      </c>
      <c r="C27" s="102">
        <v>590</v>
      </c>
      <c r="D27" s="102">
        <v>1259</v>
      </c>
      <c r="E27" s="262">
        <f t="shared" si="0"/>
        <v>1849</v>
      </c>
    </row>
    <row r="28" spans="1:6" ht="22.5" customHeight="1">
      <c r="A28" s="86">
        <v>26</v>
      </c>
      <c r="B28" s="86" t="s">
        <v>2370</v>
      </c>
      <c r="C28" s="102">
        <v>3</v>
      </c>
      <c r="D28" s="102">
        <v>0</v>
      </c>
      <c r="E28" s="262">
        <f t="shared" si="0"/>
        <v>3</v>
      </c>
    </row>
    <row r="29" spans="1:6" ht="22.5" customHeight="1">
      <c r="A29" s="86">
        <v>27</v>
      </c>
      <c r="B29" s="86" t="s">
        <v>3770</v>
      </c>
      <c r="C29" s="102">
        <v>19</v>
      </c>
      <c r="D29" s="102">
        <v>175</v>
      </c>
      <c r="E29" s="262">
        <f t="shared" si="0"/>
        <v>194</v>
      </c>
    </row>
    <row r="30" spans="1:6" ht="22.5" customHeight="1">
      <c r="A30" s="86">
        <v>31</v>
      </c>
      <c r="B30" s="86" t="s">
        <v>3771</v>
      </c>
      <c r="C30" s="102">
        <v>0</v>
      </c>
      <c r="D30" s="102">
        <v>879</v>
      </c>
      <c r="E30" s="262">
        <f t="shared" si="0"/>
        <v>879</v>
      </c>
    </row>
    <row r="31" spans="1:6" ht="22.5" customHeight="1">
      <c r="A31" s="86">
        <v>32</v>
      </c>
      <c r="B31" s="86" t="s">
        <v>2719</v>
      </c>
      <c r="C31" s="102">
        <v>0</v>
      </c>
      <c r="D31" s="102">
        <v>2346</v>
      </c>
      <c r="E31" s="262">
        <f t="shared" si="0"/>
        <v>2346</v>
      </c>
      <c r="F31" s="90" t="s">
        <v>1966</v>
      </c>
    </row>
    <row r="32" spans="1:6" ht="22.5" customHeight="1">
      <c r="A32" s="86">
        <v>33</v>
      </c>
      <c r="B32" s="86" t="s">
        <v>3642</v>
      </c>
      <c r="C32" s="102">
        <v>0</v>
      </c>
      <c r="D32" s="102">
        <v>8852</v>
      </c>
      <c r="E32" s="262">
        <f t="shared" si="0"/>
        <v>8852</v>
      </c>
      <c r="F32" s="90" t="s">
        <v>1966</v>
      </c>
    </row>
    <row r="33" spans="1:7" ht="22.5" customHeight="1">
      <c r="A33" s="86">
        <v>34</v>
      </c>
      <c r="B33" s="86" t="s">
        <v>3223</v>
      </c>
      <c r="C33" s="102">
        <v>0</v>
      </c>
      <c r="D33" s="102">
        <v>418</v>
      </c>
      <c r="E33" s="262">
        <f t="shared" si="0"/>
        <v>418</v>
      </c>
    </row>
    <row r="34" spans="1:7" ht="22.5" customHeight="1">
      <c r="A34" s="86">
        <v>35</v>
      </c>
      <c r="B34" s="86" t="s">
        <v>3698</v>
      </c>
      <c r="C34" s="102">
        <v>0</v>
      </c>
      <c r="D34" s="102">
        <v>562</v>
      </c>
      <c r="E34" s="262">
        <f t="shared" si="0"/>
        <v>562</v>
      </c>
      <c r="F34" s="90" t="s">
        <v>1967</v>
      </c>
    </row>
    <row r="35" spans="1:7" ht="22.5" customHeight="1">
      <c r="A35" s="86">
        <v>36</v>
      </c>
      <c r="B35" s="86" t="s">
        <v>3772</v>
      </c>
      <c r="C35" s="102">
        <v>0</v>
      </c>
      <c r="D35" s="102">
        <v>3756</v>
      </c>
      <c r="E35" s="262">
        <f t="shared" si="0"/>
        <v>3756</v>
      </c>
      <c r="F35" s="90" t="s">
        <v>1966</v>
      </c>
    </row>
    <row r="36" spans="1:7" ht="22.5" customHeight="1">
      <c r="A36" s="86">
        <v>37</v>
      </c>
      <c r="B36" s="86" t="s">
        <v>2672</v>
      </c>
      <c r="C36" s="102">
        <v>0</v>
      </c>
      <c r="D36" s="102">
        <v>601</v>
      </c>
      <c r="E36" s="262">
        <f t="shared" si="0"/>
        <v>601</v>
      </c>
    </row>
    <row r="37" spans="1:7" ht="22.5" customHeight="1">
      <c r="A37" s="86">
        <v>38</v>
      </c>
      <c r="B37" s="86" t="s">
        <v>2722</v>
      </c>
      <c r="C37" s="102">
        <v>0</v>
      </c>
      <c r="D37" s="102">
        <v>209</v>
      </c>
      <c r="E37" s="262">
        <f t="shared" si="0"/>
        <v>209</v>
      </c>
    </row>
    <row r="38" spans="1:7" ht="22.5" customHeight="1">
      <c r="A38" s="86">
        <v>39</v>
      </c>
      <c r="B38" s="86" t="s">
        <v>2722</v>
      </c>
      <c r="C38" s="102">
        <v>2</v>
      </c>
      <c r="D38" s="102">
        <v>256</v>
      </c>
      <c r="E38" s="262">
        <f t="shared" si="0"/>
        <v>258</v>
      </c>
    </row>
    <row r="39" spans="1:7" ht="22.5" customHeight="1">
      <c r="A39" s="86">
        <v>40</v>
      </c>
      <c r="B39" s="86" t="s">
        <v>2722</v>
      </c>
      <c r="C39" s="102">
        <v>13</v>
      </c>
      <c r="D39" s="102">
        <v>0</v>
      </c>
      <c r="E39" s="262">
        <f t="shared" si="0"/>
        <v>13</v>
      </c>
    </row>
    <row r="40" spans="1:7" ht="22.5" customHeight="1">
      <c r="A40" s="86">
        <v>41</v>
      </c>
      <c r="B40" s="86" t="s">
        <v>2722</v>
      </c>
      <c r="C40" s="102">
        <v>7</v>
      </c>
      <c r="D40" s="102">
        <v>0</v>
      </c>
      <c r="E40" s="262">
        <f t="shared" si="0"/>
        <v>7</v>
      </c>
      <c r="F40" s="90" t="e">
        <f>C31+C32+C35+C36+#REF!+C38+C39+C40</f>
        <v>#REF!</v>
      </c>
      <c r="G40" s="90" t="e">
        <f>D31+D32+D35+D36+#REF!+D38+D39+D40</f>
        <v>#REF!</v>
      </c>
    </row>
    <row r="41" spans="1:7" ht="22.5" customHeight="1">
      <c r="A41" s="86">
        <v>42</v>
      </c>
      <c r="B41" s="86" t="s">
        <v>2371</v>
      </c>
      <c r="C41" s="102">
        <v>0</v>
      </c>
      <c r="D41" s="102">
        <v>646</v>
      </c>
      <c r="E41" s="262">
        <f t="shared" si="0"/>
        <v>646</v>
      </c>
    </row>
    <row r="42" spans="1:7" ht="22.5" customHeight="1">
      <c r="A42" s="86">
        <v>43</v>
      </c>
      <c r="B42" s="86" t="s">
        <v>3773</v>
      </c>
      <c r="C42" s="102">
        <v>0</v>
      </c>
      <c r="D42" s="102">
        <v>63</v>
      </c>
      <c r="E42" s="262">
        <f t="shared" si="0"/>
        <v>63</v>
      </c>
    </row>
    <row r="43" spans="1:7" ht="22.5" customHeight="1">
      <c r="A43" s="86">
        <v>44</v>
      </c>
      <c r="B43" s="86" t="s">
        <v>2663</v>
      </c>
      <c r="C43" s="102">
        <v>0</v>
      </c>
      <c r="D43" s="102">
        <v>2</v>
      </c>
      <c r="E43" s="262">
        <f t="shared" si="0"/>
        <v>2</v>
      </c>
    </row>
    <row r="44" spans="1:7" ht="22.5" customHeight="1">
      <c r="A44" s="86">
        <v>45</v>
      </c>
      <c r="B44" s="86" t="s">
        <v>2363</v>
      </c>
      <c r="C44" s="102">
        <v>0</v>
      </c>
      <c r="D44" s="102">
        <v>104</v>
      </c>
      <c r="E44" s="262">
        <f t="shared" si="0"/>
        <v>104</v>
      </c>
    </row>
    <row r="45" spans="1:7" ht="22.5" customHeight="1">
      <c r="A45" s="86">
        <v>46</v>
      </c>
      <c r="B45" s="86" t="s">
        <v>2363</v>
      </c>
      <c r="C45" s="102">
        <v>23</v>
      </c>
      <c r="D45" s="102">
        <v>0</v>
      </c>
      <c r="E45" s="262">
        <f t="shared" si="0"/>
        <v>23</v>
      </c>
    </row>
    <row r="46" spans="1:7" ht="22.5" customHeight="1">
      <c r="A46" s="86">
        <v>47</v>
      </c>
      <c r="B46" s="86" t="s">
        <v>2363</v>
      </c>
      <c r="C46" s="102">
        <v>0</v>
      </c>
      <c r="D46" s="102">
        <v>25</v>
      </c>
      <c r="E46" s="262">
        <f t="shared" si="0"/>
        <v>25</v>
      </c>
    </row>
    <row r="47" spans="1:7" ht="22.5" customHeight="1">
      <c r="A47" s="86">
        <v>48</v>
      </c>
      <c r="B47" s="86" t="s">
        <v>2726</v>
      </c>
      <c r="C47" s="102">
        <v>0</v>
      </c>
      <c r="D47" s="102">
        <v>398</v>
      </c>
      <c r="E47" s="262">
        <f t="shared" si="0"/>
        <v>398</v>
      </c>
    </row>
    <row r="48" spans="1:7" ht="22.5" customHeight="1">
      <c r="A48" s="86">
        <v>49</v>
      </c>
      <c r="B48" s="86" t="s">
        <v>2726</v>
      </c>
      <c r="C48" s="102">
        <v>32</v>
      </c>
      <c r="D48" s="102">
        <v>0</v>
      </c>
      <c r="E48" s="262">
        <f t="shared" si="0"/>
        <v>32</v>
      </c>
    </row>
    <row r="49" spans="1:5" ht="22.5" customHeight="1">
      <c r="A49" s="86">
        <v>50</v>
      </c>
      <c r="B49" s="86" t="s">
        <v>2373</v>
      </c>
      <c r="C49" s="102">
        <v>0</v>
      </c>
      <c r="D49" s="102">
        <v>344</v>
      </c>
      <c r="E49" s="262">
        <f t="shared" si="0"/>
        <v>344</v>
      </c>
    </row>
    <row r="50" spans="1:5" ht="22.5" customHeight="1">
      <c r="A50" s="86">
        <v>51</v>
      </c>
      <c r="B50" s="86" t="s">
        <v>3774</v>
      </c>
      <c r="C50" s="102">
        <v>0</v>
      </c>
      <c r="D50" s="102">
        <v>67</v>
      </c>
      <c r="E50" s="262">
        <f t="shared" si="0"/>
        <v>67</v>
      </c>
    </row>
    <row r="51" spans="1:5" ht="22.5" customHeight="1">
      <c r="A51" s="86">
        <v>52</v>
      </c>
      <c r="B51" s="86" t="s">
        <v>3221</v>
      </c>
      <c r="C51" s="102">
        <v>0</v>
      </c>
      <c r="D51" s="102">
        <v>730</v>
      </c>
      <c r="E51" s="262">
        <f t="shared" si="0"/>
        <v>730</v>
      </c>
    </row>
    <row r="52" spans="1:5" ht="22.5" customHeight="1">
      <c r="A52" s="518"/>
      <c r="B52" s="86" t="s">
        <v>2727</v>
      </c>
      <c r="C52" s="102">
        <v>0</v>
      </c>
      <c r="D52" s="102">
        <v>451</v>
      </c>
      <c r="E52" s="516">
        <f t="shared" si="0"/>
        <v>451</v>
      </c>
    </row>
    <row r="53" spans="1:5" ht="22.5" customHeight="1">
      <c r="A53" s="518"/>
      <c r="B53" s="86" t="s">
        <v>3221</v>
      </c>
      <c r="C53" s="102">
        <v>250</v>
      </c>
      <c r="D53" s="102">
        <v>0</v>
      </c>
      <c r="E53" s="516">
        <f t="shared" si="0"/>
        <v>250</v>
      </c>
    </row>
    <row r="54" spans="1:5" ht="22.5" customHeight="1">
      <c r="A54" s="518"/>
      <c r="B54" s="86" t="s">
        <v>3775</v>
      </c>
      <c r="C54" s="102">
        <v>83</v>
      </c>
      <c r="D54" s="102">
        <v>0</v>
      </c>
      <c r="E54" s="516">
        <f t="shared" si="0"/>
        <v>83</v>
      </c>
    </row>
    <row r="55" spans="1:5" ht="22.5" customHeight="1">
      <c r="A55" s="518"/>
      <c r="B55" s="86" t="s">
        <v>3776</v>
      </c>
      <c r="C55" s="102">
        <v>444</v>
      </c>
      <c r="D55" s="102">
        <v>0</v>
      </c>
      <c r="E55" s="516">
        <f t="shared" si="0"/>
        <v>444</v>
      </c>
    </row>
    <row r="56" spans="1:5" ht="22.5" customHeight="1">
      <c r="A56" s="518"/>
      <c r="B56" s="86" t="s">
        <v>3777</v>
      </c>
      <c r="C56" s="102">
        <v>2</v>
      </c>
      <c r="D56" s="102">
        <v>0</v>
      </c>
      <c r="E56" s="516">
        <f t="shared" si="0"/>
        <v>2</v>
      </c>
    </row>
    <row r="57" spans="1:5" ht="22.5" customHeight="1">
      <c r="A57" s="518"/>
      <c r="B57" s="86" t="s">
        <v>3778</v>
      </c>
      <c r="C57" s="102">
        <v>1</v>
      </c>
      <c r="D57" s="102">
        <v>0</v>
      </c>
      <c r="E57" s="516">
        <f t="shared" si="0"/>
        <v>1</v>
      </c>
    </row>
    <row r="58" spans="1:5" ht="22.5" customHeight="1">
      <c r="A58" s="518"/>
      <c r="B58" s="86" t="s">
        <v>3779</v>
      </c>
      <c r="C58" s="102">
        <v>10</v>
      </c>
      <c r="D58" s="102">
        <v>0</v>
      </c>
      <c r="E58" s="516">
        <f t="shared" si="0"/>
        <v>10</v>
      </c>
    </row>
    <row r="59" spans="1:5" ht="22.5" customHeight="1">
      <c r="A59" s="518"/>
      <c r="B59" s="86" t="s">
        <v>3780</v>
      </c>
      <c r="C59" s="102">
        <v>129</v>
      </c>
      <c r="D59" s="102">
        <v>0</v>
      </c>
      <c r="E59" s="516">
        <f t="shared" si="0"/>
        <v>129</v>
      </c>
    </row>
    <row r="60" spans="1:5" ht="22.5" customHeight="1">
      <c r="A60" s="518"/>
      <c r="B60" s="86" t="s">
        <v>3687</v>
      </c>
      <c r="C60" s="102">
        <v>389</v>
      </c>
      <c r="D60" s="102">
        <v>0</v>
      </c>
      <c r="E60" s="516">
        <f t="shared" si="0"/>
        <v>389</v>
      </c>
    </row>
    <row r="61" spans="1:5" ht="22.5" customHeight="1">
      <c r="A61" s="518"/>
      <c r="B61" s="86" t="s">
        <v>3781</v>
      </c>
      <c r="C61" s="102">
        <v>246</v>
      </c>
      <c r="D61" s="102">
        <v>0</v>
      </c>
      <c r="E61" s="516">
        <f t="shared" si="0"/>
        <v>246</v>
      </c>
    </row>
    <row r="62" spans="1:5" ht="22.5" customHeight="1">
      <c r="A62" s="518"/>
      <c r="B62" s="86" t="s">
        <v>3782</v>
      </c>
      <c r="C62" s="102">
        <v>8</v>
      </c>
      <c r="D62" s="102">
        <v>0</v>
      </c>
      <c r="E62" s="516">
        <f t="shared" si="0"/>
        <v>8</v>
      </c>
    </row>
    <row r="63" spans="1:5" ht="22.5" customHeight="1">
      <c r="A63" s="518"/>
      <c r="B63" s="86" t="s">
        <v>3689</v>
      </c>
      <c r="C63" s="102">
        <v>107</v>
      </c>
      <c r="D63" s="102">
        <v>0</v>
      </c>
      <c r="E63" s="516">
        <f t="shared" si="0"/>
        <v>107</v>
      </c>
    </row>
    <row r="64" spans="1:5" ht="22.5" customHeight="1">
      <c r="A64" s="518"/>
      <c r="B64" s="86" t="s">
        <v>3783</v>
      </c>
      <c r="C64" s="102">
        <v>1085</v>
      </c>
      <c r="D64" s="102">
        <v>0</v>
      </c>
      <c r="E64" s="516">
        <f t="shared" si="0"/>
        <v>1085</v>
      </c>
    </row>
    <row r="65" spans="1:5" ht="22.5" customHeight="1">
      <c r="A65" s="518"/>
      <c r="B65" s="86" t="s">
        <v>3784</v>
      </c>
      <c r="C65" s="102">
        <v>235</v>
      </c>
      <c r="D65" s="102">
        <v>0</v>
      </c>
      <c r="E65" s="516">
        <f t="shared" si="0"/>
        <v>235</v>
      </c>
    </row>
    <row r="66" spans="1:5" ht="22.5" customHeight="1">
      <c r="A66" s="518"/>
      <c r="B66" s="86" t="s">
        <v>2659</v>
      </c>
      <c r="C66" s="102">
        <v>540</v>
      </c>
      <c r="D66" s="102">
        <v>0</v>
      </c>
      <c r="E66" s="516">
        <f t="shared" si="0"/>
        <v>540</v>
      </c>
    </row>
    <row r="67" spans="1:5" ht="22.5" customHeight="1">
      <c r="A67" s="518"/>
      <c r="B67" s="86" t="s">
        <v>3310</v>
      </c>
      <c r="C67" s="102">
        <v>181</v>
      </c>
      <c r="D67" s="102">
        <v>0</v>
      </c>
      <c r="E67" s="516">
        <f t="shared" si="0"/>
        <v>181</v>
      </c>
    </row>
    <row r="68" spans="1:5" ht="22.5" customHeight="1">
      <c r="A68" s="518"/>
      <c r="B68" s="86" t="s">
        <v>2719</v>
      </c>
      <c r="C68" s="102">
        <v>484</v>
      </c>
      <c r="D68" s="102">
        <v>0</v>
      </c>
      <c r="E68" s="516">
        <f t="shared" si="0"/>
        <v>484</v>
      </c>
    </row>
    <row r="69" spans="1:5" ht="22.5" customHeight="1">
      <c r="A69" s="518"/>
      <c r="B69" s="86" t="s">
        <v>3691</v>
      </c>
      <c r="C69" s="102">
        <v>1562</v>
      </c>
      <c r="D69" s="102">
        <v>0</v>
      </c>
      <c r="E69" s="516">
        <f t="shared" si="0"/>
        <v>1562</v>
      </c>
    </row>
    <row r="70" spans="1:5" ht="22.5" customHeight="1">
      <c r="A70" s="518"/>
      <c r="B70" s="86" t="s">
        <v>3785</v>
      </c>
      <c r="C70" s="102">
        <v>73</v>
      </c>
      <c r="D70" s="102">
        <v>0</v>
      </c>
      <c r="E70" s="516">
        <f t="shared" si="0"/>
        <v>73</v>
      </c>
    </row>
    <row r="71" spans="1:5" ht="22.5" customHeight="1">
      <c r="A71" s="518"/>
      <c r="B71" s="86" t="s">
        <v>3786</v>
      </c>
      <c r="C71" s="102">
        <v>385</v>
      </c>
      <c r="D71" s="102">
        <v>0</v>
      </c>
      <c r="E71" s="516">
        <f t="shared" si="0"/>
        <v>385</v>
      </c>
    </row>
    <row r="72" spans="1:5" ht="22.5" customHeight="1">
      <c r="A72" s="518"/>
      <c r="B72" s="86" t="s">
        <v>3787</v>
      </c>
      <c r="C72" s="102">
        <v>64</v>
      </c>
      <c r="D72" s="102">
        <v>0</v>
      </c>
      <c r="E72" s="516">
        <f t="shared" si="0"/>
        <v>64</v>
      </c>
    </row>
    <row r="73" spans="1:5" ht="22.5" customHeight="1">
      <c r="A73" s="518"/>
      <c r="B73" s="86" t="s">
        <v>2720</v>
      </c>
      <c r="C73" s="102">
        <v>75</v>
      </c>
      <c r="D73" s="102">
        <v>0</v>
      </c>
      <c r="E73" s="516">
        <f t="shared" si="0"/>
        <v>75</v>
      </c>
    </row>
    <row r="74" spans="1:5" ht="22.5" customHeight="1">
      <c r="A74" s="518"/>
      <c r="B74" s="86" t="s">
        <v>3697</v>
      </c>
      <c r="C74" s="102">
        <v>164</v>
      </c>
      <c r="D74" s="102">
        <v>0</v>
      </c>
      <c r="E74" s="516">
        <f t="shared" si="0"/>
        <v>164</v>
      </c>
    </row>
    <row r="75" spans="1:5" ht="22.5" customHeight="1">
      <c r="A75" s="518"/>
      <c r="B75" s="86" t="s">
        <v>2722</v>
      </c>
      <c r="C75" s="102">
        <v>306</v>
      </c>
      <c r="D75" s="102">
        <v>0</v>
      </c>
      <c r="E75" s="516">
        <f t="shared" si="0"/>
        <v>306</v>
      </c>
    </row>
    <row r="76" spans="1:5" ht="22.5" customHeight="1">
      <c r="A76" s="518"/>
      <c r="B76" s="86" t="s">
        <v>3223</v>
      </c>
      <c r="C76" s="102">
        <v>178</v>
      </c>
      <c r="D76" s="102">
        <v>0</v>
      </c>
      <c r="E76" s="516">
        <f t="shared" si="0"/>
        <v>178</v>
      </c>
    </row>
    <row r="77" spans="1:5" ht="22.5" customHeight="1">
      <c r="A77" s="518"/>
      <c r="B77" s="86" t="s">
        <v>2663</v>
      </c>
      <c r="C77" s="102">
        <v>214</v>
      </c>
      <c r="D77" s="102">
        <v>0</v>
      </c>
      <c r="E77" s="516">
        <f t="shared" si="0"/>
        <v>214</v>
      </c>
    </row>
    <row r="78" spans="1:5" ht="22.5" customHeight="1">
      <c r="A78" s="518"/>
      <c r="B78" s="86" t="s">
        <v>3698</v>
      </c>
      <c r="C78" s="102">
        <v>406</v>
      </c>
      <c r="D78" s="102">
        <v>0</v>
      </c>
      <c r="E78" s="516">
        <f t="shared" si="0"/>
        <v>406</v>
      </c>
    </row>
    <row r="79" spans="1:5" ht="22.5" customHeight="1">
      <c r="A79" s="518"/>
      <c r="B79" s="86" t="s">
        <v>3788</v>
      </c>
      <c r="C79" s="102">
        <v>37</v>
      </c>
      <c r="D79" s="102">
        <v>0</v>
      </c>
      <c r="E79" s="516">
        <f t="shared" si="0"/>
        <v>37</v>
      </c>
    </row>
    <row r="80" spans="1:5" ht="22.5" customHeight="1">
      <c r="A80" s="518"/>
      <c r="B80" s="86" t="s">
        <v>3789</v>
      </c>
      <c r="C80" s="102">
        <v>113</v>
      </c>
      <c r="D80" s="102">
        <v>0</v>
      </c>
      <c r="E80" s="516">
        <f t="shared" si="0"/>
        <v>113</v>
      </c>
    </row>
    <row r="81" spans="1:5" ht="22.5" customHeight="1">
      <c r="A81" s="518"/>
      <c r="B81" s="86" t="s">
        <v>2727</v>
      </c>
      <c r="C81" s="102">
        <v>499</v>
      </c>
      <c r="D81" s="102">
        <v>0</v>
      </c>
      <c r="E81" s="516">
        <f t="shared" si="0"/>
        <v>499</v>
      </c>
    </row>
    <row r="82" spans="1:5" ht="22.5" customHeight="1">
      <c r="A82" s="518"/>
      <c r="B82" s="86" t="s">
        <v>2672</v>
      </c>
      <c r="C82" s="102">
        <v>653</v>
      </c>
      <c r="D82" s="102">
        <v>0</v>
      </c>
      <c r="E82" s="516">
        <f t="shared" si="0"/>
        <v>653</v>
      </c>
    </row>
    <row r="83" spans="1:5" ht="22.5" customHeight="1">
      <c r="A83" s="518"/>
      <c r="B83" s="86" t="s">
        <v>2672</v>
      </c>
      <c r="C83" s="102">
        <v>0</v>
      </c>
      <c r="D83" s="102">
        <v>186</v>
      </c>
      <c r="E83" s="516">
        <f t="shared" si="0"/>
        <v>186</v>
      </c>
    </row>
    <row r="84" spans="1:5" ht="43.5" customHeight="1">
      <c r="A84" s="678" t="s">
        <v>2164</v>
      </c>
      <c r="B84" s="679"/>
      <c r="C84" s="262">
        <f>SUM(C4:C83)</f>
        <v>10226</v>
      </c>
      <c r="D84" s="534">
        <f>SUM(D4:D83)</f>
        <v>25860</v>
      </c>
      <c r="E84" s="262">
        <f t="shared" ref="E84:E90" si="1">SUM(C84:D84)</f>
        <v>36086</v>
      </c>
    </row>
    <row r="85" spans="1:5" ht="15" customHeight="1">
      <c r="A85" s="114"/>
      <c r="B85" s="114"/>
      <c r="C85" s="114"/>
      <c r="D85" s="114"/>
      <c r="E85" s="106">
        <f t="shared" si="1"/>
        <v>0</v>
      </c>
    </row>
    <row r="86" spans="1:5">
      <c r="A86" s="114"/>
      <c r="B86" s="114"/>
      <c r="C86" s="114"/>
      <c r="D86" s="114"/>
      <c r="E86" s="106">
        <f t="shared" si="1"/>
        <v>0</v>
      </c>
    </row>
    <row r="87" spans="1:5">
      <c r="A87" s="114"/>
      <c r="B87" s="114"/>
      <c r="C87" s="114"/>
      <c r="D87" s="114"/>
      <c r="E87" s="106">
        <f t="shared" si="1"/>
        <v>0</v>
      </c>
    </row>
    <row r="88" spans="1:5">
      <c r="A88" s="114"/>
      <c r="B88" s="114"/>
      <c r="C88" s="114"/>
      <c r="D88" s="114"/>
      <c r="E88" s="106">
        <f t="shared" si="1"/>
        <v>0</v>
      </c>
    </row>
    <row r="89" spans="1:5" ht="45" customHeight="1">
      <c r="A89" s="680" t="s">
        <v>2186</v>
      </c>
      <c r="B89" s="681"/>
      <c r="C89" s="106">
        <f>SUM(C85:C88)</f>
        <v>0</v>
      </c>
      <c r="D89" s="106">
        <f>SUM(D85:D88)</f>
        <v>0</v>
      </c>
      <c r="E89" s="106">
        <f t="shared" si="1"/>
        <v>0</v>
      </c>
    </row>
    <row r="90" spans="1:5" ht="47.25" customHeight="1">
      <c r="A90" s="682" t="s">
        <v>2187</v>
      </c>
      <c r="B90" s="682"/>
      <c r="C90" s="262">
        <f>C84-C89</f>
        <v>10226</v>
      </c>
      <c r="D90" s="262">
        <f>D84-D89</f>
        <v>25860</v>
      </c>
      <c r="E90" s="262">
        <f t="shared" si="1"/>
        <v>36086</v>
      </c>
    </row>
    <row r="92" spans="1:5">
      <c r="C92" s="124">
        <f>'13-УСЛУГЕ-РФЗО 2021'!K4357</f>
        <v>36281</v>
      </c>
      <c r="D92" s="124">
        <f>'13-УСЛУГЕ-РФЗО 2021'!AK4357</f>
        <v>127</v>
      </c>
    </row>
    <row r="93" spans="1:5">
      <c r="C93" s="124">
        <f>C90-C92</f>
        <v>-26055</v>
      </c>
      <c r="D93" s="124">
        <f>D90-D92</f>
        <v>25733</v>
      </c>
      <c r="E93" s="129"/>
    </row>
    <row r="94" spans="1:5">
      <c r="D94" s="204"/>
    </row>
  </sheetData>
  <mergeCells count="4">
    <mergeCell ref="A1:E1"/>
    <mergeCell ref="A84:B84"/>
    <mergeCell ref="A89:B89"/>
    <mergeCell ref="A90:B90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F63"/>
  <sheetViews>
    <sheetView topLeftCell="A52" workbookViewId="0">
      <selection activeCell="B64" sqref="B64"/>
    </sheetView>
  </sheetViews>
  <sheetFormatPr defaultRowHeight="15.75"/>
  <cols>
    <col min="1" max="1" width="11.5703125" style="85" customWidth="1"/>
    <col min="2" max="2" width="93.7109375" style="85" customWidth="1"/>
    <col min="3" max="4" width="12.140625" style="85" customWidth="1"/>
    <col min="5" max="5" width="11" style="85" customWidth="1"/>
    <col min="6" max="16384" width="9.140625" style="84"/>
  </cols>
  <sheetData>
    <row r="1" spans="1:6" ht="16.5" thickBot="1"/>
    <row r="2" spans="1:6" ht="38.25" customHeight="1" thickTop="1" thickBot="1">
      <c r="A2" s="676" t="s">
        <v>3843</v>
      </c>
      <c r="B2" s="676"/>
      <c r="C2" s="676"/>
      <c r="D2" s="676"/>
      <c r="E2" s="676"/>
    </row>
    <row r="3" spans="1:6" ht="16.5" thickTop="1"/>
    <row r="4" spans="1:6" ht="42.75" customHeight="1">
      <c r="A4" s="107" t="s">
        <v>2638</v>
      </c>
      <c r="B4" s="243" t="s">
        <v>1914</v>
      </c>
      <c r="C4" s="242" t="s">
        <v>1911</v>
      </c>
      <c r="D4" s="242" t="s">
        <v>1912</v>
      </c>
      <c r="E4" s="242" t="s">
        <v>1913</v>
      </c>
    </row>
    <row r="5" spans="1:6" ht="21" customHeight="1">
      <c r="A5" s="548">
        <v>1</v>
      </c>
      <c r="B5" s="87" t="s">
        <v>2356</v>
      </c>
      <c r="C5" s="102">
        <v>0</v>
      </c>
      <c r="D5" s="102">
        <v>256</v>
      </c>
      <c r="E5" s="243">
        <f>SUM(C5:D5)</f>
        <v>256</v>
      </c>
      <c r="F5" s="90"/>
    </row>
    <row r="6" spans="1:6" ht="21" customHeight="1">
      <c r="A6" s="548">
        <v>2</v>
      </c>
      <c r="B6" s="87" t="s">
        <v>2794</v>
      </c>
      <c r="C6" s="102">
        <v>0</v>
      </c>
      <c r="D6" s="102">
        <v>105</v>
      </c>
      <c r="E6" s="243">
        <f t="shared" ref="E6:E59" si="0">SUM(C6:D6)</f>
        <v>105</v>
      </c>
      <c r="F6" s="90"/>
    </row>
    <row r="7" spans="1:6" ht="21" customHeight="1">
      <c r="A7" s="548">
        <v>3</v>
      </c>
      <c r="B7" s="87" t="s">
        <v>2842</v>
      </c>
      <c r="C7" s="102">
        <v>0</v>
      </c>
      <c r="D7" s="102">
        <v>8</v>
      </c>
      <c r="E7" s="243">
        <f t="shared" si="0"/>
        <v>8</v>
      </c>
      <c r="F7" s="90"/>
    </row>
    <row r="8" spans="1:6" ht="21" customHeight="1">
      <c r="A8" s="548">
        <v>4</v>
      </c>
      <c r="B8" s="87" t="s">
        <v>2800</v>
      </c>
      <c r="C8" s="102">
        <v>0</v>
      </c>
      <c r="D8" s="102">
        <v>5</v>
      </c>
      <c r="E8" s="243">
        <f t="shared" si="0"/>
        <v>5</v>
      </c>
      <c r="F8" s="90"/>
    </row>
    <row r="9" spans="1:6" ht="21" customHeight="1">
      <c r="A9" s="548">
        <v>5</v>
      </c>
      <c r="B9" s="87" t="s">
        <v>2800</v>
      </c>
      <c r="C9" s="102">
        <v>0</v>
      </c>
      <c r="D9" s="102">
        <v>3</v>
      </c>
      <c r="E9" s="243">
        <f t="shared" si="0"/>
        <v>3</v>
      </c>
      <c r="F9" s="90"/>
    </row>
    <row r="10" spans="1:6" ht="21" customHeight="1">
      <c r="A10" s="548">
        <v>6</v>
      </c>
      <c r="B10" s="87" t="s">
        <v>2640</v>
      </c>
      <c r="C10" s="102">
        <v>2</v>
      </c>
      <c r="D10" s="102">
        <v>6</v>
      </c>
      <c r="E10" s="243">
        <f t="shared" si="0"/>
        <v>8</v>
      </c>
      <c r="F10" s="96"/>
    </row>
    <row r="11" spans="1:6" ht="21" customHeight="1">
      <c r="A11" s="548">
        <v>7</v>
      </c>
      <c r="B11" s="87" t="s">
        <v>2640</v>
      </c>
      <c r="C11" s="102">
        <v>0</v>
      </c>
      <c r="D11" s="102">
        <v>2</v>
      </c>
      <c r="E11" s="243">
        <f t="shared" si="0"/>
        <v>2</v>
      </c>
      <c r="F11" s="90"/>
    </row>
    <row r="12" spans="1:6" ht="21" customHeight="1">
      <c r="A12" s="548">
        <v>8</v>
      </c>
      <c r="B12" s="87" t="s">
        <v>2659</v>
      </c>
      <c r="C12" s="102">
        <v>0</v>
      </c>
      <c r="D12" s="102">
        <v>87</v>
      </c>
      <c r="E12" s="243">
        <f t="shared" si="0"/>
        <v>87</v>
      </c>
      <c r="F12" s="90"/>
    </row>
    <row r="13" spans="1:6" ht="21" customHeight="1">
      <c r="A13" s="548">
        <v>9</v>
      </c>
      <c r="B13" s="87" t="s">
        <v>2659</v>
      </c>
      <c r="C13" s="102">
        <v>0</v>
      </c>
      <c r="D13" s="102">
        <v>149</v>
      </c>
      <c r="E13" s="243">
        <f t="shared" si="0"/>
        <v>149</v>
      </c>
      <c r="F13" s="90"/>
    </row>
    <row r="14" spans="1:6" ht="21" customHeight="1">
      <c r="A14" s="548">
        <v>10</v>
      </c>
      <c r="B14" s="87" t="s">
        <v>2659</v>
      </c>
      <c r="C14" s="102">
        <v>29</v>
      </c>
      <c r="D14" s="102">
        <v>0</v>
      </c>
      <c r="E14" s="243">
        <f t="shared" si="0"/>
        <v>29</v>
      </c>
      <c r="F14" s="90"/>
    </row>
    <row r="15" spans="1:6" ht="21" customHeight="1">
      <c r="A15" s="548">
        <v>11</v>
      </c>
      <c r="B15" s="87" t="s">
        <v>2659</v>
      </c>
      <c r="C15" s="102">
        <v>31</v>
      </c>
      <c r="D15" s="102">
        <v>0</v>
      </c>
      <c r="E15" s="243">
        <f t="shared" si="0"/>
        <v>31</v>
      </c>
      <c r="F15" s="90"/>
    </row>
    <row r="16" spans="1:6" ht="21" customHeight="1">
      <c r="A16" s="548">
        <v>12</v>
      </c>
      <c r="B16" s="87" t="s">
        <v>2360</v>
      </c>
      <c r="C16" s="102">
        <v>0</v>
      </c>
      <c r="D16" s="102">
        <v>2</v>
      </c>
      <c r="E16" s="243">
        <f t="shared" si="0"/>
        <v>2</v>
      </c>
      <c r="F16" s="90"/>
    </row>
    <row r="17" spans="1:6" ht="21" customHeight="1">
      <c r="A17" s="548">
        <v>13</v>
      </c>
      <c r="B17" s="87" t="s">
        <v>2642</v>
      </c>
      <c r="C17" s="102">
        <v>0</v>
      </c>
      <c r="D17" s="102">
        <v>156</v>
      </c>
      <c r="E17" s="243">
        <f t="shared" si="0"/>
        <v>156</v>
      </c>
      <c r="F17" s="90"/>
    </row>
    <row r="18" spans="1:6" ht="21" customHeight="1">
      <c r="A18" s="548">
        <v>14</v>
      </c>
      <c r="B18" s="87" t="s">
        <v>2719</v>
      </c>
      <c r="C18" s="102">
        <v>0</v>
      </c>
      <c r="D18" s="102">
        <v>968</v>
      </c>
      <c r="E18" s="243">
        <f t="shared" si="0"/>
        <v>968</v>
      </c>
      <c r="F18" s="90"/>
    </row>
    <row r="19" spans="1:6" ht="21" customHeight="1">
      <c r="A19" s="548">
        <v>15</v>
      </c>
      <c r="B19" s="87" t="s">
        <v>2720</v>
      </c>
      <c r="C19" s="102">
        <v>0</v>
      </c>
      <c r="D19" s="102">
        <v>2</v>
      </c>
      <c r="E19" s="243">
        <f t="shared" si="0"/>
        <v>2</v>
      </c>
      <c r="F19" s="90"/>
    </row>
    <row r="20" spans="1:6" ht="21" customHeight="1">
      <c r="A20" s="548">
        <v>16</v>
      </c>
      <c r="B20" s="87" t="s">
        <v>2719</v>
      </c>
      <c r="C20" s="102">
        <v>0</v>
      </c>
      <c r="D20" s="102">
        <v>23</v>
      </c>
      <c r="E20" s="243">
        <f t="shared" si="0"/>
        <v>23</v>
      </c>
      <c r="F20" s="96"/>
    </row>
    <row r="21" spans="1:6" ht="21" customHeight="1">
      <c r="A21" s="548">
        <v>17</v>
      </c>
      <c r="B21" s="87" t="s">
        <v>3846</v>
      </c>
      <c r="C21" s="102">
        <v>0</v>
      </c>
      <c r="D21" s="102">
        <v>1</v>
      </c>
      <c r="E21" s="243">
        <f t="shared" si="0"/>
        <v>1</v>
      </c>
      <c r="F21" s="90"/>
    </row>
    <row r="22" spans="1:6" ht="21" customHeight="1">
      <c r="A22" s="548">
        <v>18</v>
      </c>
      <c r="B22" s="87" t="s">
        <v>3718</v>
      </c>
      <c r="C22" s="102">
        <v>0</v>
      </c>
      <c r="D22" s="102">
        <v>21</v>
      </c>
      <c r="E22" s="243">
        <f t="shared" si="0"/>
        <v>21</v>
      </c>
      <c r="F22" s="90"/>
    </row>
    <row r="23" spans="1:6" ht="21" customHeight="1">
      <c r="A23" s="548">
        <v>19</v>
      </c>
      <c r="B23" s="87" t="s">
        <v>2722</v>
      </c>
      <c r="C23" s="102">
        <v>0</v>
      </c>
      <c r="D23" s="102">
        <v>13</v>
      </c>
      <c r="E23" s="243">
        <f t="shared" si="0"/>
        <v>13</v>
      </c>
      <c r="F23" s="90"/>
    </row>
    <row r="24" spans="1:6" ht="21" customHeight="1">
      <c r="A24" s="548">
        <v>20</v>
      </c>
      <c r="B24" s="87" t="s">
        <v>2722</v>
      </c>
      <c r="C24" s="102">
        <v>29</v>
      </c>
      <c r="D24" s="102">
        <v>0</v>
      </c>
      <c r="E24" s="243">
        <f t="shared" si="0"/>
        <v>29</v>
      </c>
      <c r="F24" s="90"/>
    </row>
    <row r="25" spans="1:6" ht="21" customHeight="1">
      <c r="A25" s="548">
        <v>21</v>
      </c>
      <c r="B25" s="87" t="s">
        <v>2722</v>
      </c>
      <c r="C25" s="102">
        <v>22</v>
      </c>
      <c r="D25" s="102">
        <v>0</v>
      </c>
      <c r="E25" s="243">
        <f t="shared" si="0"/>
        <v>22</v>
      </c>
      <c r="F25" s="90"/>
    </row>
    <row r="26" spans="1:6" ht="21" customHeight="1">
      <c r="A26" s="548">
        <v>22</v>
      </c>
      <c r="B26" s="87" t="s">
        <v>3223</v>
      </c>
      <c r="C26" s="102">
        <v>0</v>
      </c>
      <c r="D26" s="102">
        <v>29</v>
      </c>
      <c r="E26" s="243">
        <f t="shared" si="0"/>
        <v>29</v>
      </c>
      <c r="F26" s="90"/>
    </row>
    <row r="27" spans="1:6" ht="21" customHeight="1">
      <c r="A27" s="548">
        <v>23</v>
      </c>
      <c r="B27" s="87" t="s">
        <v>3223</v>
      </c>
      <c r="C27" s="102">
        <v>0</v>
      </c>
      <c r="D27" s="102">
        <v>95</v>
      </c>
      <c r="E27" s="243">
        <f t="shared" si="0"/>
        <v>95</v>
      </c>
      <c r="F27" s="90"/>
    </row>
    <row r="28" spans="1:6" ht="21" customHeight="1">
      <c r="A28" s="548">
        <v>24</v>
      </c>
      <c r="B28" s="87" t="s">
        <v>2363</v>
      </c>
      <c r="C28" s="102">
        <v>0</v>
      </c>
      <c r="D28" s="102">
        <v>5</v>
      </c>
      <c r="E28" s="243">
        <f t="shared" si="0"/>
        <v>5</v>
      </c>
      <c r="F28" s="90"/>
    </row>
    <row r="29" spans="1:6" ht="21" customHeight="1">
      <c r="A29" s="548">
        <v>25</v>
      </c>
      <c r="B29" s="87" t="s">
        <v>2363</v>
      </c>
      <c r="C29" s="102">
        <v>3</v>
      </c>
      <c r="D29" s="102">
        <v>0</v>
      </c>
      <c r="E29" s="243">
        <f t="shared" si="0"/>
        <v>3</v>
      </c>
      <c r="F29" s="90"/>
    </row>
    <row r="30" spans="1:6" ht="21" customHeight="1">
      <c r="A30" s="548">
        <v>26</v>
      </c>
      <c r="B30" s="87" t="s">
        <v>2372</v>
      </c>
      <c r="C30" s="102">
        <v>0</v>
      </c>
      <c r="D30" s="102">
        <v>175</v>
      </c>
      <c r="E30" s="243">
        <f t="shared" si="0"/>
        <v>175</v>
      </c>
      <c r="F30" s="90"/>
    </row>
    <row r="31" spans="1:6" ht="21" customHeight="1">
      <c r="A31" s="548">
        <v>27</v>
      </c>
      <c r="B31" s="87" t="s">
        <v>2373</v>
      </c>
      <c r="C31" s="102">
        <v>0</v>
      </c>
      <c r="D31" s="102">
        <v>3</v>
      </c>
      <c r="E31" s="243">
        <f t="shared" si="0"/>
        <v>3</v>
      </c>
      <c r="F31" s="96"/>
    </row>
    <row r="32" spans="1:6" ht="21" customHeight="1">
      <c r="A32" s="548">
        <v>28</v>
      </c>
      <c r="B32" s="87" t="s">
        <v>2798</v>
      </c>
      <c r="C32" s="102">
        <v>0</v>
      </c>
      <c r="D32" s="102">
        <v>18</v>
      </c>
      <c r="E32" s="243">
        <f t="shared" si="0"/>
        <v>18</v>
      </c>
      <c r="F32" s="90"/>
    </row>
    <row r="33" spans="1:6" ht="21" customHeight="1">
      <c r="A33" s="548">
        <v>29</v>
      </c>
      <c r="B33" s="87" t="s">
        <v>2727</v>
      </c>
      <c r="C33" s="102">
        <v>0</v>
      </c>
      <c r="D33" s="102">
        <v>112</v>
      </c>
      <c r="E33" s="243">
        <f t="shared" si="0"/>
        <v>112</v>
      </c>
      <c r="F33" s="90"/>
    </row>
    <row r="34" spans="1:6" ht="21" customHeight="1">
      <c r="A34" s="548">
        <v>30</v>
      </c>
      <c r="B34" s="87" t="s">
        <v>3847</v>
      </c>
      <c r="C34" s="102">
        <v>0</v>
      </c>
      <c r="D34" s="102">
        <v>1</v>
      </c>
      <c r="E34" s="243">
        <f t="shared" si="0"/>
        <v>1</v>
      </c>
      <c r="F34" s="90"/>
    </row>
    <row r="35" spans="1:6" ht="21" customHeight="1">
      <c r="A35" s="548">
        <v>31</v>
      </c>
      <c r="B35" s="87" t="s">
        <v>717</v>
      </c>
      <c r="C35" s="102">
        <v>154</v>
      </c>
      <c r="D35" s="102">
        <v>0</v>
      </c>
      <c r="E35" s="243">
        <f t="shared" si="0"/>
        <v>154</v>
      </c>
      <c r="F35" s="90"/>
    </row>
    <row r="36" spans="1:6" ht="21" customHeight="1">
      <c r="A36" s="548">
        <v>32</v>
      </c>
      <c r="B36" s="87" t="s">
        <v>728</v>
      </c>
      <c r="C36" s="102">
        <v>15</v>
      </c>
      <c r="D36" s="102">
        <v>0</v>
      </c>
      <c r="E36" s="243">
        <f t="shared" si="0"/>
        <v>15</v>
      </c>
      <c r="F36" s="90"/>
    </row>
    <row r="37" spans="1:6" ht="21" customHeight="1">
      <c r="A37" s="548">
        <v>33</v>
      </c>
      <c r="B37" s="87" t="s">
        <v>3848</v>
      </c>
      <c r="C37" s="102">
        <v>2</v>
      </c>
      <c r="D37" s="102">
        <v>0</v>
      </c>
      <c r="E37" s="243">
        <f t="shared" si="0"/>
        <v>2</v>
      </c>
      <c r="F37" s="90"/>
    </row>
    <row r="38" spans="1:6" ht="21" customHeight="1">
      <c r="A38" s="548">
        <v>34</v>
      </c>
      <c r="B38" s="87" t="s">
        <v>726</v>
      </c>
      <c r="C38" s="102">
        <v>118</v>
      </c>
      <c r="D38" s="102">
        <v>0</v>
      </c>
      <c r="E38" s="243">
        <f t="shared" si="0"/>
        <v>118</v>
      </c>
      <c r="F38" s="90"/>
    </row>
    <row r="39" spans="1:6" ht="21" customHeight="1">
      <c r="A39" s="548">
        <v>35</v>
      </c>
      <c r="B39" s="87" t="s">
        <v>2647</v>
      </c>
      <c r="C39" s="102">
        <v>23</v>
      </c>
      <c r="D39" s="102">
        <v>0</v>
      </c>
      <c r="E39" s="243">
        <f t="shared" si="0"/>
        <v>23</v>
      </c>
      <c r="F39" s="90"/>
    </row>
    <row r="40" spans="1:6" ht="21" customHeight="1">
      <c r="A40" s="548">
        <v>36</v>
      </c>
      <c r="B40" s="87" t="s">
        <v>722</v>
      </c>
      <c r="C40" s="102">
        <v>4</v>
      </c>
      <c r="D40" s="102">
        <v>0</v>
      </c>
      <c r="E40" s="243">
        <f t="shared" si="0"/>
        <v>4</v>
      </c>
      <c r="F40" s="90"/>
    </row>
    <row r="41" spans="1:6" ht="21" customHeight="1">
      <c r="A41" s="548">
        <v>37</v>
      </c>
      <c r="B41" s="87" t="s">
        <v>717</v>
      </c>
      <c r="C41" s="102">
        <v>34</v>
      </c>
      <c r="D41" s="102">
        <v>0</v>
      </c>
      <c r="E41" s="243">
        <f t="shared" si="0"/>
        <v>34</v>
      </c>
      <c r="F41" s="90"/>
    </row>
    <row r="42" spans="1:6" ht="21" customHeight="1">
      <c r="A42" s="548">
        <v>38</v>
      </c>
      <c r="B42" s="87" t="s">
        <v>3167</v>
      </c>
      <c r="C42" s="102">
        <v>8</v>
      </c>
      <c r="D42" s="102">
        <v>0</v>
      </c>
      <c r="E42" s="243">
        <f t="shared" si="0"/>
        <v>8</v>
      </c>
      <c r="F42" s="90"/>
    </row>
    <row r="43" spans="1:6" ht="21" customHeight="1">
      <c r="A43" s="548">
        <v>39</v>
      </c>
      <c r="B43" s="87" t="s">
        <v>3698</v>
      </c>
      <c r="C43" s="102">
        <v>1</v>
      </c>
      <c r="D43" s="102">
        <v>0</v>
      </c>
      <c r="E43" s="243">
        <f t="shared" si="0"/>
        <v>1</v>
      </c>
      <c r="F43" s="90"/>
    </row>
    <row r="44" spans="1:6" ht="21" customHeight="1">
      <c r="A44" s="548">
        <v>40</v>
      </c>
      <c r="B44" s="87" t="s">
        <v>2798</v>
      </c>
      <c r="C44" s="102">
        <v>55</v>
      </c>
      <c r="D44" s="102">
        <v>0</v>
      </c>
      <c r="E44" s="243">
        <f t="shared" si="0"/>
        <v>55</v>
      </c>
      <c r="F44" s="90"/>
    </row>
    <row r="45" spans="1:6" ht="21" customHeight="1">
      <c r="A45" s="548">
        <v>41</v>
      </c>
      <c r="B45" s="87" t="s">
        <v>2727</v>
      </c>
      <c r="C45" s="102">
        <v>12</v>
      </c>
      <c r="D45" s="102">
        <v>0</v>
      </c>
      <c r="E45" s="243">
        <f t="shared" si="0"/>
        <v>12</v>
      </c>
      <c r="F45" s="90"/>
    </row>
    <row r="46" spans="1:6" ht="21" customHeight="1">
      <c r="A46" s="548">
        <v>42</v>
      </c>
      <c r="B46" s="87" t="s">
        <v>2672</v>
      </c>
      <c r="C46" s="102">
        <v>1</v>
      </c>
      <c r="D46" s="102">
        <v>0</v>
      </c>
      <c r="E46" s="243">
        <f t="shared" si="0"/>
        <v>1</v>
      </c>
      <c r="F46" s="90"/>
    </row>
    <row r="47" spans="1:6" ht="21" customHeight="1">
      <c r="A47" s="548">
        <v>43</v>
      </c>
      <c r="B47" s="87" t="s">
        <v>2672</v>
      </c>
      <c r="C47" s="102">
        <v>0</v>
      </c>
      <c r="D47" s="102">
        <v>28</v>
      </c>
      <c r="E47" s="243">
        <f t="shared" si="0"/>
        <v>28</v>
      </c>
      <c r="F47" s="90"/>
    </row>
    <row r="48" spans="1:6" ht="21" customHeight="1">
      <c r="A48" s="548">
        <v>44</v>
      </c>
      <c r="B48" s="87" t="s">
        <v>2672</v>
      </c>
      <c r="C48" s="102">
        <v>0</v>
      </c>
      <c r="D48" s="102">
        <v>135</v>
      </c>
      <c r="E48" s="243">
        <f t="shared" si="0"/>
        <v>135</v>
      </c>
      <c r="F48" s="90"/>
    </row>
    <row r="49" spans="1:6" ht="21" customHeight="1">
      <c r="A49" s="548">
        <v>45</v>
      </c>
      <c r="B49" s="541"/>
      <c r="C49" s="102"/>
      <c r="D49" s="102"/>
      <c r="E49" s="243"/>
      <c r="F49" s="90"/>
    </row>
    <row r="50" spans="1:6" ht="21" customHeight="1">
      <c r="A50" s="548">
        <v>46</v>
      </c>
      <c r="B50" s="541"/>
      <c r="C50" s="102"/>
      <c r="D50" s="102"/>
      <c r="E50" s="243"/>
      <c r="F50" s="90"/>
    </row>
    <row r="51" spans="1:6" ht="21" customHeight="1">
      <c r="A51" s="674" t="s">
        <v>2406</v>
      </c>
      <c r="B51" s="675"/>
      <c r="C51" s="126"/>
      <c r="D51" s="126"/>
      <c r="E51" s="243">
        <f t="shared" si="0"/>
        <v>0</v>
      </c>
      <c r="F51" s="90"/>
    </row>
    <row r="52" spans="1:6" ht="31.5" customHeight="1">
      <c r="A52" s="243"/>
      <c r="B52" s="208"/>
      <c r="C52" s="126"/>
      <c r="D52" s="126"/>
      <c r="E52" s="243">
        <f t="shared" si="0"/>
        <v>0</v>
      </c>
      <c r="F52" s="90"/>
    </row>
    <row r="53" spans="1:6" ht="21" customHeight="1">
      <c r="A53" s="87"/>
      <c r="B53" s="87"/>
      <c r="C53" s="102"/>
      <c r="D53" s="102"/>
      <c r="E53" s="243">
        <f t="shared" si="0"/>
        <v>0</v>
      </c>
      <c r="F53" s="90"/>
    </row>
    <row r="54" spans="1:6" ht="21" customHeight="1">
      <c r="A54" s="87"/>
      <c r="B54" s="87"/>
      <c r="C54" s="102"/>
      <c r="D54" s="102"/>
      <c r="E54" s="243">
        <f t="shared" si="0"/>
        <v>0</v>
      </c>
      <c r="F54" s="90"/>
    </row>
    <row r="55" spans="1:6" ht="44.25" customHeight="1">
      <c r="A55" s="674" t="s">
        <v>2164</v>
      </c>
      <c r="B55" s="675"/>
      <c r="C55" s="243">
        <f>SUM(C5:C54)</f>
        <v>543</v>
      </c>
      <c r="D55" s="243">
        <f>SUM(D5:D54)</f>
        <v>2408</v>
      </c>
      <c r="E55" s="243">
        <f t="shared" si="0"/>
        <v>2951</v>
      </c>
      <c r="F55" s="90"/>
    </row>
    <row r="56" spans="1:6">
      <c r="A56" s="108"/>
      <c r="B56" s="108"/>
      <c r="C56" s="108"/>
      <c r="D56" s="108"/>
      <c r="E56" s="109">
        <f t="shared" si="0"/>
        <v>0</v>
      </c>
      <c r="F56" s="90"/>
    </row>
    <row r="57" spans="1:6">
      <c r="A57" s="108"/>
      <c r="B57" s="108"/>
      <c r="C57" s="108"/>
      <c r="D57" s="108"/>
      <c r="E57" s="109">
        <f t="shared" si="0"/>
        <v>0</v>
      </c>
      <c r="F57" s="90"/>
    </row>
    <row r="58" spans="1:6" ht="30.75" customHeight="1">
      <c r="A58" s="672" t="s">
        <v>2188</v>
      </c>
      <c r="B58" s="673"/>
      <c r="C58" s="109">
        <f>SUM(C56:C57)</f>
        <v>0</v>
      </c>
      <c r="D58" s="109">
        <f>SUM(D56:D57)</f>
        <v>0</v>
      </c>
      <c r="E58" s="109">
        <f t="shared" si="0"/>
        <v>0</v>
      </c>
      <c r="F58" s="90"/>
    </row>
    <row r="59" spans="1:6" ht="36.75" customHeight="1">
      <c r="A59" s="674" t="s">
        <v>2187</v>
      </c>
      <c r="B59" s="675"/>
      <c r="C59" s="243">
        <f>C55-C58</f>
        <v>543</v>
      </c>
      <c r="D59" s="243">
        <f>D55-D58</f>
        <v>2408</v>
      </c>
      <c r="E59" s="243">
        <f t="shared" si="0"/>
        <v>2951</v>
      </c>
      <c r="F59" s="90"/>
    </row>
    <row r="61" spans="1:6">
      <c r="C61" s="207">
        <f>'13-УСЛУГЕ-РФЗО 2021'!L4356</f>
        <v>543</v>
      </c>
      <c r="D61" s="207">
        <f>'13-УСЛУГЕ-РФЗО 2021'!AL4356</f>
        <v>2479</v>
      </c>
    </row>
    <row r="62" spans="1:6">
      <c r="C62" s="207">
        <f>C59-C61</f>
        <v>0</v>
      </c>
      <c r="D62" s="207">
        <f>D59-D61</f>
        <v>-71</v>
      </c>
    </row>
    <row r="63" spans="1:6">
      <c r="B63" s="85" t="s">
        <v>3971</v>
      </c>
      <c r="C63" s="207"/>
      <c r="D63" s="207"/>
    </row>
  </sheetData>
  <mergeCells count="5">
    <mergeCell ref="A2:E2"/>
    <mergeCell ref="A51:B51"/>
    <mergeCell ref="A55:B55"/>
    <mergeCell ref="A58:B58"/>
    <mergeCell ref="A59:B59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G133"/>
  <sheetViews>
    <sheetView topLeftCell="A113" workbookViewId="0">
      <selection activeCell="A4" sqref="A4:A118"/>
    </sheetView>
  </sheetViews>
  <sheetFormatPr defaultRowHeight="15.75"/>
  <cols>
    <col min="1" max="1" width="14" style="89" customWidth="1"/>
    <col min="2" max="2" width="62.140625" style="89" customWidth="1"/>
    <col min="3" max="5" width="17.85546875" style="89" customWidth="1"/>
    <col min="6" max="32" width="0" style="90" hidden="1" customWidth="1"/>
    <col min="33" max="16384" width="9.140625" style="90"/>
  </cols>
  <sheetData>
    <row r="1" spans="1:5" ht="38.25" customHeight="1" thickTop="1" thickBot="1">
      <c r="A1" s="677" t="s">
        <v>3842</v>
      </c>
      <c r="B1" s="677"/>
      <c r="C1" s="677"/>
      <c r="D1" s="677"/>
      <c r="E1" s="677"/>
    </row>
    <row r="2" spans="1:5" ht="16.5" thickTop="1"/>
    <row r="3" spans="1:5" ht="30.75" customHeight="1">
      <c r="A3" s="115" t="s">
        <v>2638</v>
      </c>
      <c r="B3" s="262" t="s">
        <v>1914</v>
      </c>
      <c r="C3" s="262" t="s">
        <v>1912</v>
      </c>
      <c r="D3" s="262" t="s">
        <v>1911</v>
      </c>
      <c r="E3" s="262" t="s">
        <v>1913</v>
      </c>
    </row>
    <row r="4" spans="1:5" ht="16.5" customHeight="1">
      <c r="A4" s="86">
        <v>1</v>
      </c>
      <c r="B4" s="86" t="s">
        <v>2652</v>
      </c>
      <c r="C4" s="102">
        <v>0</v>
      </c>
      <c r="D4" s="102">
        <v>12898</v>
      </c>
      <c r="E4" s="262">
        <f>SUM(C4:D4)</f>
        <v>12898</v>
      </c>
    </row>
    <row r="5" spans="1:5" ht="16.5" customHeight="1">
      <c r="A5" s="86">
        <v>2</v>
      </c>
      <c r="B5" s="86" t="s">
        <v>2366</v>
      </c>
      <c r="C5" s="102">
        <v>937</v>
      </c>
      <c r="D5" s="102">
        <v>0</v>
      </c>
      <c r="E5" s="262">
        <f t="shared" ref="E5:E59" si="0">SUM(C5:D5)</f>
        <v>937</v>
      </c>
    </row>
    <row r="6" spans="1:5" ht="16.5" customHeight="1">
      <c r="A6" s="86">
        <v>3</v>
      </c>
      <c r="B6" s="86" t="s">
        <v>2653</v>
      </c>
      <c r="C6" s="102">
        <v>0</v>
      </c>
      <c r="D6" s="102">
        <v>5</v>
      </c>
      <c r="E6" s="262">
        <f t="shared" si="0"/>
        <v>5</v>
      </c>
    </row>
    <row r="7" spans="1:5" ht="16.5" customHeight="1">
      <c r="A7" s="86">
        <v>4</v>
      </c>
      <c r="B7" s="86" t="s">
        <v>3849</v>
      </c>
      <c r="C7" s="102">
        <v>18804</v>
      </c>
      <c r="D7" s="102">
        <v>0</v>
      </c>
      <c r="E7" s="262">
        <f t="shared" si="0"/>
        <v>18804</v>
      </c>
    </row>
    <row r="8" spans="1:5" ht="16.5" customHeight="1">
      <c r="A8" s="86">
        <v>5</v>
      </c>
      <c r="B8" s="206" t="s">
        <v>3850</v>
      </c>
      <c r="C8" s="102">
        <v>14508</v>
      </c>
      <c r="D8" s="102">
        <v>0</v>
      </c>
      <c r="E8" s="262">
        <f t="shared" si="0"/>
        <v>14508</v>
      </c>
    </row>
    <row r="9" spans="1:5" ht="16.5" customHeight="1">
      <c r="A9" s="86">
        <v>6</v>
      </c>
      <c r="B9" s="206" t="s">
        <v>3851</v>
      </c>
      <c r="C9" s="102">
        <v>0</v>
      </c>
      <c r="D9" s="102">
        <v>102</v>
      </c>
      <c r="E9" s="291">
        <f t="shared" si="0"/>
        <v>102</v>
      </c>
    </row>
    <row r="10" spans="1:5" ht="16.5" customHeight="1">
      <c r="A10" s="86">
        <v>7</v>
      </c>
      <c r="B10" s="86" t="s">
        <v>2637</v>
      </c>
      <c r="C10" s="102">
        <v>0</v>
      </c>
      <c r="D10" s="102">
        <v>15</v>
      </c>
      <c r="E10" s="262">
        <f t="shared" si="0"/>
        <v>15</v>
      </c>
    </row>
    <row r="11" spans="1:5" ht="16.5" customHeight="1">
      <c r="A11" s="86">
        <v>8</v>
      </c>
      <c r="B11" s="86" t="s">
        <v>2655</v>
      </c>
      <c r="C11" s="102">
        <v>0</v>
      </c>
      <c r="D11" s="102">
        <v>227</v>
      </c>
      <c r="E11" s="262">
        <f t="shared" si="0"/>
        <v>227</v>
      </c>
    </row>
    <row r="12" spans="1:5" ht="16.5" customHeight="1">
      <c r="A12" s="86">
        <v>9</v>
      </c>
      <c r="B12" s="86" t="s">
        <v>2655</v>
      </c>
      <c r="C12" s="102">
        <v>0</v>
      </c>
      <c r="D12" s="102">
        <v>8148</v>
      </c>
      <c r="E12" s="262">
        <f t="shared" si="0"/>
        <v>8148</v>
      </c>
    </row>
    <row r="13" spans="1:5" ht="16.5" customHeight="1">
      <c r="A13" s="86">
        <v>10</v>
      </c>
      <c r="B13" s="86" t="s">
        <v>3852</v>
      </c>
      <c r="C13" s="102">
        <v>0</v>
      </c>
      <c r="D13" s="102">
        <v>2</v>
      </c>
      <c r="E13" s="262">
        <f t="shared" si="0"/>
        <v>2</v>
      </c>
    </row>
    <row r="14" spans="1:5" ht="16.5" customHeight="1">
      <c r="A14" s="86">
        <v>11</v>
      </c>
      <c r="B14" s="86" t="s">
        <v>3853</v>
      </c>
      <c r="C14" s="102">
        <v>0</v>
      </c>
      <c r="D14" s="102">
        <v>940</v>
      </c>
      <c r="E14" s="262">
        <f t="shared" si="0"/>
        <v>940</v>
      </c>
    </row>
    <row r="15" spans="1:5" ht="16.5" customHeight="1">
      <c r="A15" s="86">
        <v>12</v>
      </c>
      <c r="B15" s="86" t="s">
        <v>2357</v>
      </c>
      <c r="C15" s="102">
        <v>0</v>
      </c>
      <c r="D15" s="102">
        <v>12535</v>
      </c>
      <c r="E15" s="262">
        <f t="shared" si="0"/>
        <v>12535</v>
      </c>
    </row>
    <row r="16" spans="1:5" ht="16.5" customHeight="1">
      <c r="A16" s="86">
        <v>13</v>
      </c>
      <c r="B16" s="86" t="s">
        <v>2640</v>
      </c>
      <c r="C16" s="102">
        <v>0</v>
      </c>
      <c r="D16" s="102">
        <v>1</v>
      </c>
      <c r="E16" s="262">
        <f t="shared" si="0"/>
        <v>1</v>
      </c>
    </row>
    <row r="17" spans="1:6" ht="16.5" customHeight="1">
      <c r="A17" s="86">
        <v>14</v>
      </c>
      <c r="B17" s="86" t="s">
        <v>3735</v>
      </c>
      <c r="C17" s="102">
        <v>49</v>
      </c>
      <c r="D17" s="102">
        <v>293</v>
      </c>
      <c r="E17" s="262">
        <f t="shared" si="0"/>
        <v>342</v>
      </c>
      <c r="F17" s="90" t="s">
        <v>1960</v>
      </c>
    </row>
    <row r="18" spans="1:6" ht="16.5" customHeight="1">
      <c r="A18" s="86">
        <v>15</v>
      </c>
      <c r="B18" s="86" t="s">
        <v>2639</v>
      </c>
      <c r="C18" s="102">
        <v>0</v>
      </c>
      <c r="D18" s="102">
        <v>206</v>
      </c>
      <c r="E18" s="262">
        <f t="shared" si="0"/>
        <v>206</v>
      </c>
    </row>
    <row r="19" spans="1:6" ht="16.5" customHeight="1">
      <c r="A19" s="86">
        <v>16</v>
      </c>
      <c r="B19" s="86" t="s">
        <v>2657</v>
      </c>
      <c r="C19" s="102">
        <v>0</v>
      </c>
      <c r="D19" s="102">
        <v>20077</v>
      </c>
      <c r="E19" s="262">
        <f t="shared" si="0"/>
        <v>20077</v>
      </c>
    </row>
    <row r="20" spans="1:6" ht="16.5" customHeight="1">
      <c r="A20" s="86">
        <v>17</v>
      </c>
      <c r="B20" s="86" t="s">
        <v>2657</v>
      </c>
      <c r="C20" s="102">
        <v>18</v>
      </c>
      <c r="D20" s="102">
        <v>0</v>
      </c>
      <c r="E20" s="262">
        <f t="shared" si="0"/>
        <v>18</v>
      </c>
    </row>
    <row r="21" spans="1:6" ht="16.5" customHeight="1">
      <c r="A21" s="86">
        <v>18</v>
      </c>
      <c r="B21" s="86" t="s">
        <v>2659</v>
      </c>
      <c r="C21" s="102">
        <v>0</v>
      </c>
      <c r="D21" s="102">
        <v>176</v>
      </c>
      <c r="E21" s="262">
        <f t="shared" si="0"/>
        <v>176</v>
      </c>
    </row>
    <row r="22" spans="1:6" ht="16.5" customHeight="1">
      <c r="A22" s="86">
        <v>19</v>
      </c>
      <c r="B22" s="86" t="s">
        <v>2359</v>
      </c>
      <c r="C22" s="102">
        <v>0</v>
      </c>
      <c r="D22" s="102">
        <v>4253</v>
      </c>
      <c r="E22" s="262">
        <f t="shared" si="0"/>
        <v>4253</v>
      </c>
    </row>
    <row r="23" spans="1:6" ht="16.5" customHeight="1">
      <c r="A23" s="86">
        <v>20</v>
      </c>
      <c r="B23" s="86" t="s">
        <v>2359</v>
      </c>
      <c r="C23" s="102">
        <v>74</v>
      </c>
      <c r="D23" s="102">
        <v>0</v>
      </c>
      <c r="E23" s="262">
        <f t="shared" si="0"/>
        <v>74</v>
      </c>
    </row>
    <row r="24" spans="1:6" ht="16.5" customHeight="1">
      <c r="A24" s="86">
        <v>21</v>
      </c>
      <c r="B24" s="86" t="s">
        <v>2659</v>
      </c>
      <c r="C24" s="102">
        <v>461</v>
      </c>
      <c r="D24" s="102">
        <v>0</v>
      </c>
      <c r="E24" s="262">
        <f t="shared" si="0"/>
        <v>461</v>
      </c>
    </row>
    <row r="25" spans="1:6" ht="16.5" customHeight="1">
      <c r="A25" s="86">
        <v>22</v>
      </c>
      <c r="B25" s="86" t="s">
        <v>2659</v>
      </c>
      <c r="C25" s="102">
        <v>57</v>
      </c>
      <c r="D25" s="102">
        <v>0</v>
      </c>
      <c r="E25" s="262">
        <f t="shared" si="0"/>
        <v>57</v>
      </c>
    </row>
    <row r="26" spans="1:6" ht="16.5" customHeight="1">
      <c r="A26" s="86">
        <v>23</v>
      </c>
      <c r="B26" s="86" t="s">
        <v>2360</v>
      </c>
      <c r="C26" s="102">
        <v>0</v>
      </c>
      <c r="D26" s="102">
        <v>587</v>
      </c>
      <c r="E26" s="262">
        <f t="shared" si="0"/>
        <v>587</v>
      </c>
    </row>
    <row r="27" spans="1:6" ht="16.5" customHeight="1">
      <c r="A27" s="86">
        <v>24</v>
      </c>
      <c r="B27" s="86" t="s">
        <v>3310</v>
      </c>
      <c r="C27" s="102">
        <v>0</v>
      </c>
      <c r="D27" s="102">
        <v>4724</v>
      </c>
      <c r="E27" s="262">
        <f t="shared" si="0"/>
        <v>4724</v>
      </c>
    </row>
    <row r="28" spans="1:6" ht="16.5" customHeight="1">
      <c r="A28" s="86">
        <v>25</v>
      </c>
      <c r="B28" s="86" t="s">
        <v>2894</v>
      </c>
      <c r="C28" s="102">
        <v>0</v>
      </c>
      <c r="D28" s="102">
        <v>11090</v>
      </c>
      <c r="E28" s="262">
        <f t="shared" si="0"/>
        <v>11090</v>
      </c>
    </row>
    <row r="29" spans="1:6" ht="16.5" customHeight="1">
      <c r="A29" s="86">
        <v>26</v>
      </c>
      <c r="B29" s="86" t="s">
        <v>2894</v>
      </c>
      <c r="C29" s="102">
        <v>0</v>
      </c>
      <c r="D29" s="102">
        <v>1</v>
      </c>
      <c r="E29" s="262">
        <f t="shared" si="0"/>
        <v>1</v>
      </c>
    </row>
    <row r="30" spans="1:6" ht="16.5" customHeight="1">
      <c r="A30" s="86">
        <v>27</v>
      </c>
      <c r="B30" s="86" t="s">
        <v>2719</v>
      </c>
      <c r="C30" s="102">
        <v>0</v>
      </c>
      <c r="D30" s="102">
        <v>221</v>
      </c>
      <c r="E30" s="262">
        <f t="shared" si="0"/>
        <v>221</v>
      </c>
    </row>
    <row r="31" spans="1:6" ht="16.5" customHeight="1">
      <c r="A31" s="86">
        <v>28</v>
      </c>
      <c r="B31" s="86" t="s">
        <v>2719</v>
      </c>
      <c r="C31" s="102">
        <v>0</v>
      </c>
      <c r="D31" s="102">
        <v>62681</v>
      </c>
      <c r="E31" s="262">
        <f t="shared" si="0"/>
        <v>62681</v>
      </c>
    </row>
    <row r="32" spans="1:6" ht="16.5" customHeight="1">
      <c r="A32" s="86">
        <v>29</v>
      </c>
      <c r="B32" s="86" t="s">
        <v>2720</v>
      </c>
      <c r="C32" s="102">
        <v>0</v>
      </c>
      <c r="D32" s="102">
        <v>39</v>
      </c>
      <c r="E32" s="262">
        <f t="shared" si="0"/>
        <v>39</v>
      </c>
      <c r="F32" s="90" t="s">
        <v>1968</v>
      </c>
    </row>
    <row r="33" spans="1:7" ht="16.5" customHeight="1">
      <c r="A33" s="86">
        <v>30</v>
      </c>
      <c r="B33" s="86" t="s">
        <v>2720</v>
      </c>
      <c r="C33" s="102">
        <v>0</v>
      </c>
      <c r="D33" s="102">
        <v>23383</v>
      </c>
      <c r="E33" s="262">
        <f t="shared" si="0"/>
        <v>23383</v>
      </c>
    </row>
    <row r="34" spans="1:7" ht="16.5" customHeight="1">
      <c r="A34" s="86">
        <v>31</v>
      </c>
      <c r="B34" s="86" t="s">
        <v>2720</v>
      </c>
      <c r="C34" s="102">
        <v>0</v>
      </c>
      <c r="D34" s="102">
        <v>2774</v>
      </c>
      <c r="E34" s="262">
        <f t="shared" si="0"/>
        <v>2774</v>
      </c>
    </row>
    <row r="35" spans="1:7" ht="16.5" customHeight="1">
      <c r="A35" s="86">
        <v>32</v>
      </c>
      <c r="B35" s="86" t="s">
        <v>2720</v>
      </c>
      <c r="C35" s="102">
        <v>80</v>
      </c>
      <c r="D35" s="102">
        <v>1</v>
      </c>
      <c r="E35" s="262">
        <f t="shared" si="0"/>
        <v>81</v>
      </c>
      <c r="F35" s="90" t="s">
        <v>1966</v>
      </c>
    </row>
    <row r="36" spans="1:7" ht="16.5" customHeight="1">
      <c r="A36" s="86">
        <v>33</v>
      </c>
      <c r="B36" s="86" t="s">
        <v>2720</v>
      </c>
      <c r="C36" s="102">
        <v>108</v>
      </c>
      <c r="D36" s="102">
        <v>9</v>
      </c>
      <c r="E36" s="262">
        <f t="shared" si="0"/>
        <v>117</v>
      </c>
      <c r="F36" s="90" t="s">
        <v>1966</v>
      </c>
    </row>
    <row r="37" spans="1:7" ht="16.5" customHeight="1">
      <c r="A37" s="86">
        <v>34</v>
      </c>
      <c r="B37" s="86" t="s">
        <v>2720</v>
      </c>
      <c r="C37" s="102">
        <v>7</v>
      </c>
      <c r="D37" s="102">
        <v>4</v>
      </c>
      <c r="E37" s="262">
        <f t="shared" si="0"/>
        <v>11</v>
      </c>
    </row>
    <row r="38" spans="1:7" ht="16.5" customHeight="1">
      <c r="A38" s="86">
        <v>35</v>
      </c>
      <c r="B38" s="86" t="s">
        <v>2720</v>
      </c>
      <c r="C38" s="102">
        <v>4</v>
      </c>
      <c r="D38" s="102">
        <v>15</v>
      </c>
      <c r="E38" s="262">
        <f t="shared" si="0"/>
        <v>19</v>
      </c>
      <c r="F38" s="90" t="s">
        <v>1967</v>
      </c>
    </row>
    <row r="39" spans="1:7" ht="16.5" customHeight="1">
      <c r="A39" s="86">
        <v>36</v>
      </c>
      <c r="B39" s="86" t="s">
        <v>2720</v>
      </c>
      <c r="C39" s="102">
        <v>343</v>
      </c>
      <c r="D39" s="102">
        <v>0</v>
      </c>
      <c r="E39" s="262">
        <f t="shared" si="0"/>
        <v>343</v>
      </c>
      <c r="F39" s="90" t="s">
        <v>1966</v>
      </c>
    </row>
    <row r="40" spans="1:7" ht="16.5" customHeight="1">
      <c r="A40" s="86">
        <v>37</v>
      </c>
      <c r="B40" s="86" t="s">
        <v>2370</v>
      </c>
      <c r="C40" s="102">
        <v>347</v>
      </c>
      <c r="D40" s="102">
        <v>277</v>
      </c>
      <c r="E40" s="262">
        <f t="shared" si="0"/>
        <v>624</v>
      </c>
    </row>
    <row r="41" spans="1:7" ht="16.5" customHeight="1">
      <c r="A41" s="86">
        <v>38</v>
      </c>
      <c r="B41" s="86" t="s">
        <v>2370</v>
      </c>
      <c r="C41" s="102">
        <v>998</v>
      </c>
      <c r="D41" s="102">
        <v>1</v>
      </c>
      <c r="E41" s="262">
        <f t="shared" si="0"/>
        <v>999</v>
      </c>
    </row>
    <row r="42" spans="1:7" ht="16.5" customHeight="1">
      <c r="A42" s="86">
        <v>39</v>
      </c>
      <c r="B42" s="86" t="s">
        <v>2798</v>
      </c>
      <c r="C42" s="102">
        <v>0</v>
      </c>
      <c r="D42" s="102">
        <v>9425</v>
      </c>
      <c r="E42" s="262">
        <f t="shared" si="0"/>
        <v>9425</v>
      </c>
    </row>
    <row r="43" spans="1:7" ht="16.5" customHeight="1">
      <c r="A43" s="86">
        <v>40</v>
      </c>
      <c r="B43" s="86" t="s">
        <v>2719</v>
      </c>
      <c r="C43" s="102">
        <v>0</v>
      </c>
      <c r="D43" s="102">
        <v>10981</v>
      </c>
      <c r="E43" s="262">
        <f t="shared" si="0"/>
        <v>10981</v>
      </c>
    </row>
    <row r="44" spans="1:7" ht="16.5" customHeight="1">
      <c r="A44" s="86">
        <v>41</v>
      </c>
      <c r="B44" s="86" t="s">
        <v>3642</v>
      </c>
      <c r="C44" s="102">
        <v>0</v>
      </c>
      <c r="D44" s="102">
        <v>50322</v>
      </c>
      <c r="E44" s="262">
        <f t="shared" si="0"/>
        <v>50322</v>
      </c>
      <c r="F44" s="90">
        <f>C35+C36+C39+C40+C41+C42+C43+C44</f>
        <v>1876</v>
      </c>
      <c r="G44" s="90">
        <f>D35+D36+D39+D40+D41+D42+D43+D44</f>
        <v>71016</v>
      </c>
    </row>
    <row r="45" spans="1:7" ht="16.5" customHeight="1">
      <c r="A45" s="86">
        <v>42</v>
      </c>
      <c r="B45" s="86" t="s">
        <v>3854</v>
      </c>
      <c r="C45" s="102">
        <v>0</v>
      </c>
      <c r="D45" s="102">
        <v>8986</v>
      </c>
      <c r="E45" s="262">
        <f t="shared" si="0"/>
        <v>8986</v>
      </c>
    </row>
    <row r="46" spans="1:7" ht="16.5" customHeight="1">
      <c r="A46" s="86">
        <v>43</v>
      </c>
      <c r="B46" s="86" t="s">
        <v>2372</v>
      </c>
      <c r="C46" s="102">
        <v>0</v>
      </c>
      <c r="D46" s="102">
        <v>4051</v>
      </c>
      <c r="E46" s="262">
        <f t="shared" si="0"/>
        <v>4051</v>
      </c>
    </row>
    <row r="47" spans="1:7" ht="16.5" customHeight="1">
      <c r="A47" s="86">
        <v>44</v>
      </c>
      <c r="B47" s="86" t="s">
        <v>3718</v>
      </c>
      <c r="C47" s="102">
        <v>0</v>
      </c>
      <c r="D47" s="102">
        <v>63060</v>
      </c>
      <c r="E47" s="262">
        <f t="shared" si="0"/>
        <v>63060</v>
      </c>
    </row>
    <row r="48" spans="1:7" ht="16.5" customHeight="1">
      <c r="A48" s="86">
        <v>45</v>
      </c>
      <c r="B48" s="86" t="s">
        <v>2672</v>
      </c>
      <c r="C48" s="102">
        <v>0</v>
      </c>
      <c r="D48" s="102">
        <v>2615</v>
      </c>
      <c r="E48" s="262">
        <f t="shared" si="0"/>
        <v>2615</v>
      </c>
    </row>
    <row r="49" spans="1:5" ht="16.5" customHeight="1">
      <c r="A49" s="86">
        <v>46</v>
      </c>
      <c r="B49" s="86" t="s">
        <v>2722</v>
      </c>
      <c r="C49" s="102">
        <v>0</v>
      </c>
      <c r="D49" s="102">
        <v>69</v>
      </c>
      <c r="E49" s="262">
        <f t="shared" si="0"/>
        <v>69</v>
      </c>
    </row>
    <row r="50" spans="1:5" ht="16.5" customHeight="1">
      <c r="A50" s="86">
        <v>47</v>
      </c>
      <c r="B50" s="86" t="s">
        <v>2722</v>
      </c>
      <c r="C50" s="102">
        <v>0</v>
      </c>
      <c r="D50" s="102">
        <v>4798</v>
      </c>
      <c r="E50" s="287">
        <f t="shared" si="0"/>
        <v>4798</v>
      </c>
    </row>
    <row r="51" spans="1:5" ht="16.5" customHeight="1">
      <c r="A51" s="86">
        <v>48</v>
      </c>
      <c r="B51" s="86" t="s">
        <v>2722</v>
      </c>
      <c r="C51" s="102">
        <v>24</v>
      </c>
      <c r="D51" s="102">
        <v>639</v>
      </c>
      <c r="E51" s="287">
        <f t="shared" si="0"/>
        <v>663</v>
      </c>
    </row>
    <row r="52" spans="1:5" ht="16.5" customHeight="1">
      <c r="A52" s="86">
        <v>49</v>
      </c>
      <c r="B52" s="86" t="s">
        <v>2722</v>
      </c>
      <c r="C52" s="102">
        <v>314</v>
      </c>
      <c r="D52" s="102">
        <v>1</v>
      </c>
      <c r="E52" s="287">
        <f t="shared" si="0"/>
        <v>315</v>
      </c>
    </row>
    <row r="53" spans="1:5" ht="16.5" customHeight="1">
      <c r="A53" s="86">
        <v>50</v>
      </c>
      <c r="B53" s="86" t="s">
        <v>2722</v>
      </c>
      <c r="C53" s="102">
        <v>281</v>
      </c>
      <c r="D53" s="102">
        <v>0</v>
      </c>
      <c r="E53" s="287">
        <f t="shared" si="0"/>
        <v>281</v>
      </c>
    </row>
    <row r="54" spans="1:5" ht="16.5" customHeight="1">
      <c r="A54" s="86">
        <v>51</v>
      </c>
      <c r="B54" s="86" t="s">
        <v>2371</v>
      </c>
      <c r="C54" s="102">
        <v>0</v>
      </c>
      <c r="D54" s="102">
        <v>5153</v>
      </c>
      <c r="E54" s="262">
        <f t="shared" si="0"/>
        <v>5153</v>
      </c>
    </row>
    <row r="55" spans="1:5" ht="16.5" customHeight="1">
      <c r="A55" s="86">
        <v>52</v>
      </c>
      <c r="B55" s="86" t="s">
        <v>3223</v>
      </c>
      <c r="C55" s="102">
        <v>0</v>
      </c>
      <c r="D55" s="102">
        <v>173</v>
      </c>
      <c r="E55" s="262">
        <f t="shared" si="0"/>
        <v>173</v>
      </c>
    </row>
    <row r="56" spans="1:5" ht="16.5" customHeight="1">
      <c r="A56" s="86">
        <v>53</v>
      </c>
      <c r="B56" s="86" t="s">
        <v>3223</v>
      </c>
      <c r="C56" s="102">
        <v>0</v>
      </c>
      <c r="D56" s="102">
        <v>12245</v>
      </c>
      <c r="E56" s="262">
        <f t="shared" si="0"/>
        <v>12245</v>
      </c>
    </row>
    <row r="57" spans="1:5" ht="16.5" customHeight="1">
      <c r="A57" s="86">
        <v>54</v>
      </c>
      <c r="B57" s="86" t="s">
        <v>3221</v>
      </c>
      <c r="C57" s="102">
        <v>0</v>
      </c>
      <c r="D57" s="102">
        <v>80</v>
      </c>
      <c r="E57" s="262">
        <f t="shared" si="0"/>
        <v>80</v>
      </c>
    </row>
    <row r="58" spans="1:5" ht="16.5" customHeight="1">
      <c r="A58" s="86">
        <v>55</v>
      </c>
      <c r="B58" s="86" t="s">
        <v>2664</v>
      </c>
      <c r="C58" s="102">
        <v>0</v>
      </c>
      <c r="D58" s="102">
        <v>5561</v>
      </c>
      <c r="E58" s="262">
        <f t="shared" si="0"/>
        <v>5561</v>
      </c>
    </row>
    <row r="59" spans="1:5" ht="16.5" customHeight="1">
      <c r="A59" s="86">
        <v>56</v>
      </c>
      <c r="B59" s="86" t="s">
        <v>2664</v>
      </c>
      <c r="C59" s="102">
        <v>411</v>
      </c>
      <c r="D59" s="102">
        <v>0</v>
      </c>
      <c r="E59" s="262">
        <f t="shared" si="0"/>
        <v>411</v>
      </c>
    </row>
    <row r="60" spans="1:5" ht="16.5" customHeight="1">
      <c r="A60" s="86">
        <v>57</v>
      </c>
      <c r="B60" s="86" t="s">
        <v>2664</v>
      </c>
      <c r="C60" s="102">
        <v>5</v>
      </c>
      <c r="D60" s="102">
        <v>0</v>
      </c>
      <c r="E60" s="262">
        <f t="shared" ref="E60:E129" si="1">SUM(C60:D60)</f>
        <v>5</v>
      </c>
    </row>
    <row r="61" spans="1:5" ht="16.5" customHeight="1">
      <c r="A61" s="86">
        <v>58</v>
      </c>
      <c r="B61" s="86" t="s">
        <v>2664</v>
      </c>
      <c r="C61" s="102">
        <v>0</v>
      </c>
      <c r="D61" s="102">
        <v>1035</v>
      </c>
      <c r="E61" s="262">
        <f t="shared" si="1"/>
        <v>1035</v>
      </c>
    </row>
    <row r="62" spans="1:5" ht="16.5" customHeight="1">
      <c r="A62" s="86">
        <v>59</v>
      </c>
      <c r="B62" s="86" t="s">
        <v>2372</v>
      </c>
      <c r="C62" s="102">
        <v>0</v>
      </c>
      <c r="D62" s="102">
        <v>5528</v>
      </c>
      <c r="E62" s="262">
        <f t="shared" si="1"/>
        <v>5528</v>
      </c>
    </row>
    <row r="63" spans="1:5" ht="16.5" customHeight="1">
      <c r="A63" s="86">
        <v>60</v>
      </c>
      <c r="B63" s="86" t="s">
        <v>2372</v>
      </c>
      <c r="C63" s="102">
        <v>4482</v>
      </c>
      <c r="D63" s="102">
        <v>0</v>
      </c>
      <c r="E63" s="262">
        <f t="shared" si="1"/>
        <v>4482</v>
      </c>
    </row>
    <row r="64" spans="1:5" ht="16.5" customHeight="1">
      <c r="A64" s="86">
        <v>61</v>
      </c>
      <c r="B64" s="86" t="s">
        <v>2726</v>
      </c>
      <c r="C64" s="102">
        <v>0</v>
      </c>
      <c r="D64" s="102">
        <v>6276</v>
      </c>
      <c r="E64" s="262">
        <f t="shared" si="1"/>
        <v>6276</v>
      </c>
    </row>
    <row r="65" spans="1:5" ht="16.5" customHeight="1">
      <c r="A65" s="86">
        <v>62</v>
      </c>
      <c r="B65" s="86" t="s">
        <v>2726</v>
      </c>
      <c r="C65" s="102">
        <v>0</v>
      </c>
      <c r="D65" s="102">
        <v>1</v>
      </c>
      <c r="E65" s="262">
        <f t="shared" si="1"/>
        <v>1</v>
      </c>
    </row>
    <row r="66" spans="1:5" ht="16.5" customHeight="1">
      <c r="A66" s="86">
        <v>63</v>
      </c>
      <c r="B66" s="86" t="s">
        <v>2726</v>
      </c>
      <c r="C66" s="102">
        <v>20</v>
      </c>
      <c r="D66" s="102">
        <v>0</v>
      </c>
      <c r="E66" s="262">
        <f t="shared" si="1"/>
        <v>20</v>
      </c>
    </row>
    <row r="67" spans="1:5" ht="16.5" customHeight="1">
      <c r="A67" s="86">
        <v>64</v>
      </c>
      <c r="B67" s="86" t="s">
        <v>2726</v>
      </c>
      <c r="C67" s="102">
        <v>1639</v>
      </c>
      <c r="D67" s="102">
        <v>0</v>
      </c>
      <c r="E67" s="262">
        <f t="shared" si="1"/>
        <v>1639</v>
      </c>
    </row>
    <row r="68" spans="1:5" ht="16.5" customHeight="1">
      <c r="A68" s="86">
        <v>65</v>
      </c>
      <c r="B68" s="86" t="s">
        <v>2726</v>
      </c>
      <c r="C68" s="102">
        <v>72</v>
      </c>
      <c r="D68" s="102">
        <v>0</v>
      </c>
      <c r="E68" s="291">
        <f t="shared" si="1"/>
        <v>72</v>
      </c>
    </row>
    <row r="69" spans="1:5" ht="16.5" customHeight="1">
      <c r="A69" s="86">
        <v>66</v>
      </c>
      <c r="B69" s="86" t="s">
        <v>2373</v>
      </c>
      <c r="C69" s="102">
        <v>0</v>
      </c>
      <c r="D69" s="102">
        <v>15282</v>
      </c>
      <c r="E69" s="262">
        <f t="shared" si="1"/>
        <v>15282</v>
      </c>
    </row>
    <row r="70" spans="1:5" ht="16.5" customHeight="1">
      <c r="A70" s="86">
        <v>67</v>
      </c>
      <c r="B70" s="86" t="s">
        <v>2373</v>
      </c>
      <c r="C70" s="102">
        <v>0</v>
      </c>
      <c r="D70" s="102">
        <v>55</v>
      </c>
      <c r="E70" s="262">
        <f t="shared" si="1"/>
        <v>55</v>
      </c>
    </row>
    <row r="71" spans="1:5" ht="16.5" customHeight="1">
      <c r="A71" s="86">
        <v>68</v>
      </c>
      <c r="B71" s="86" t="s">
        <v>2373</v>
      </c>
      <c r="C71" s="102">
        <v>54</v>
      </c>
      <c r="D71" s="102">
        <v>167</v>
      </c>
      <c r="E71" s="262">
        <f t="shared" si="1"/>
        <v>221</v>
      </c>
    </row>
    <row r="72" spans="1:5" ht="16.5" customHeight="1">
      <c r="A72" s="86">
        <v>69</v>
      </c>
      <c r="B72" s="86" t="s">
        <v>2373</v>
      </c>
      <c r="C72" s="102">
        <v>0</v>
      </c>
      <c r="D72" s="102">
        <v>2</v>
      </c>
      <c r="E72" s="262">
        <f t="shared" si="1"/>
        <v>2</v>
      </c>
    </row>
    <row r="73" spans="1:5" ht="16.5" customHeight="1">
      <c r="A73" s="86">
        <v>70</v>
      </c>
      <c r="B73" s="86" t="s">
        <v>2373</v>
      </c>
      <c r="C73" s="102">
        <v>0</v>
      </c>
      <c r="D73" s="102">
        <v>15</v>
      </c>
      <c r="E73" s="262">
        <f t="shared" si="1"/>
        <v>15</v>
      </c>
    </row>
    <row r="74" spans="1:5" ht="16.5" customHeight="1">
      <c r="A74" s="86">
        <v>71</v>
      </c>
      <c r="B74" s="86" t="s">
        <v>2374</v>
      </c>
      <c r="C74" s="102">
        <v>0</v>
      </c>
      <c r="D74" s="102">
        <v>1</v>
      </c>
      <c r="E74" s="287">
        <f t="shared" si="1"/>
        <v>1</v>
      </c>
    </row>
    <row r="75" spans="1:5" ht="16.5" customHeight="1">
      <c r="A75" s="86">
        <v>72</v>
      </c>
      <c r="B75" s="86" t="s">
        <v>2374</v>
      </c>
      <c r="C75" s="102">
        <v>0</v>
      </c>
      <c r="D75" s="102">
        <v>14</v>
      </c>
      <c r="E75" s="287">
        <f t="shared" si="1"/>
        <v>14</v>
      </c>
    </row>
    <row r="76" spans="1:5" ht="16.5" customHeight="1">
      <c r="A76" s="86">
        <v>73</v>
      </c>
      <c r="B76" s="86" t="s">
        <v>2374</v>
      </c>
      <c r="C76" s="102">
        <v>21</v>
      </c>
      <c r="D76" s="102">
        <v>60</v>
      </c>
      <c r="E76" s="262">
        <f t="shared" si="1"/>
        <v>81</v>
      </c>
    </row>
    <row r="77" spans="1:5" ht="16.5" customHeight="1">
      <c r="A77" s="86">
        <v>74</v>
      </c>
      <c r="B77" s="86" t="s">
        <v>3855</v>
      </c>
      <c r="C77" s="102">
        <v>0</v>
      </c>
      <c r="D77" s="102">
        <v>3</v>
      </c>
      <c r="E77" s="539">
        <f t="shared" si="1"/>
        <v>3</v>
      </c>
    </row>
    <row r="78" spans="1:5" ht="16.5" customHeight="1">
      <c r="A78" s="86">
        <v>75</v>
      </c>
      <c r="B78" s="86" t="s">
        <v>3855</v>
      </c>
      <c r="C78" s="102">
        <v>3</v>
      </c>
      <c r="D78" s="102">
        <v>0</v>
      </c>
      <c r="E78" s="539">
        <f t="shared" si="1"/>
        <v>3</v>
      </c>
    </row>
    <row r="79" spans="1:5" ht="16.5" customHeight="1">
      <c r="A79" s="86">
        <v>76</v>
      </c>
      <c r="B79" s="86" t="s">
        <v>3856</v>
      </c>
      <c r="C79" s="102">
        <v>0</v>
      </c>
      <c r="D79" s="102">
        <v>4298</v>
      </c>
      <c r="E79" s="539">
        <f t="shared" si="1"/>
        <v>4298</v>
      </c>
    </row>
    <row r="80" spans="1:5" ht="16.5" customHeight="1">
      <c r="A80" s="86">
        <v>77</v>
      </c>
      <c r="B80" s="86" t="s">
        <v>3746</v>
      </c>
      <c r="C80" s="102">
        <v>0</v>
      </c>
      <c r="D80" s="102">
        <v>17036</v>
      </c>
      <c r="E80" s="539">
        <f t="shared" si="1"/>
        <v>17036</v>
      </c>
    </row>
    <row r="81" spans="1:5" ht="16.5" customHeight="1">
      <c r="A81" s="86">
        <v>78</v>
      </c>
      <c r="B81" s="86" t="s">
        <v>3221</v>
      </c>
      <c r="C81" s="102">
        <v>1</v>
      </c>
      <c r="D81" s="102">
        <v>2</v>
      </c>
      <c r="E81" s="539">
        <f t="shared" si="1"/>
        <v>3</v>
      </c>
    </row>
    <row r="82" spans="1:5" ht="16.5" customHeight="1">
      <c r="A82" s="86">
        <v>79</v>
      </c>
      <c r="B82" s="86" t="s">
        <v>3857</v>
      </c>
      <c r="C82" s="102">
        <v>0</v>
      </c>
      <c r="D82" s="102">
        <v>127</v>
      </c>
      <c r="E82" s="539">
        <f t="shared" si="1"/>
        <v>127</v>
      </c>
    </row>
    <row r="83" spans="1:5" ht="16.5" customHeight="1">
      <c r="A83" s="86">
        <v>80</v>
      </c>
      <c r="B83" s="86" t="s">
        <v>3858</v>
      </c>
      <c r="C83" s="102">
        <v>0</v>
      </c>
      <c r="D83" s="102">
        <v>11787</v>
      </c>
      <c r="E83" s="539">
        <f t="shared" si="1"/>
        <v>11787</v>
      </c>
    </row>
    <row r="84" spans="1:5" ht="16.5" customHeight="1">
      <c r="A84" s="86">
        <v>81</v>
      </c>
      <c r="B84" s="86" t="s">
        <v>3221</v>
      </c>
      <c r="C84" s="102">
        <v>1194</v>
      </c>
      <c r="D84" s="102">
        <v>0</v>
      </c>
      <c r="E84" s="539">
        <f t="shared" si="1"/>
        <v>1194</v>
      </c>
    </row>
    <row r="85" spans="1:5" ht="16.5" customHeight="1">
      <c r="A85" s="86">
        <v>82</v>
      </c>
      <c r="B85" s="86" t="s">
        <v>2799</v>
      </c>
      <c r="C85" s="102">
        <v>0</v>
      </c>
      <c r="D85" s="102">
        <v>1</v>
      </c>
      <c r="E85" s="539">
        <f t="shared" si="1"/>
        <v>1</v>
      </c>
    </row>
    <row r="86" spans="1:5" ht="16.5" customHeight="1">
      <c r="A86" s="86">
        <v>83</v>
      </c>
      <c r="B86" s="86" t="s">
        <v>2799</v>
      </c>
      <c r="C86" s="102">
        <v>926</v>
      </c>
      <c r="D86" s="102">
        <v>0</v>
      </c>
      <c r="E86" s="539">
        <f t="shared" si="1"/>
        <v>926</v>
      </c>
    </row>
    <row r="87" spans="1:5" ht="16.5" customHeight="1">
      <c r="A87" s="86">
        <v>84</v>
      </c>
      <c r="B87" s="86" t="s">
        <v>3859</v>
      </c>
      <c r="C87" s="102">
        <v>0</v>
      </c>
      <c r="D87" s="102">
        <v>4</v>
      </c>
      <c r="E87" s="539">
        <f t="shared" si="1"/>
        <v>4</v>
      </c>
    </row>
    <row r="88" spans="1:5" ht="16.5" customHeight="1">
      <c r="A88" s="86">
        <v>85</v>
      </c>
      <c r="B88" s="86" t="s">
        <v>717</v>
      </c>
      <c r="C88" s="102">
        <v>3824</v>
      </c>
      <c r="D88" s="102">
        <v>0</v>
      </c>
      <c r="E88" s="262">
        <f t="shared" si="1"/>
        <v>3824</v>
      </c>
    </row>
    <row r="89" spans="1:5" ht="16.5" customHeight="1">
      <c r="A89" s="86">
        <v>86</v>
      </c>
      <c r="B89" s="86" t="s">
        <v>3860</v>
      </c>
      <c r="C89" s="102">
        <v>8447</v>
      </c>
      <c r="D89" s="102">
        <v>0</v>
      </c>
      <c r="E89" s="262">
        <f t="shared" si="1"/>
        <v>8447</v>
      </c>
    </row>
    <row r="90" spans="1:5" ht="16.5" customHeight="1">
      <c r="A90" s="86">
        <v>87</v>
      </c>
      <c r="B90" s="86" t="s">
        <v>728</v>
      </c>
      <c r="C90" s="102">
        <v>334</v>
      </c>
      <c r="D90" s="102">
        <v>0</v>
      </c>
      <c r="E90" s="262">
        <f t="shared" si="1"/>
        <v>334</v>
      </c>
    </row>
    <row r="91" spans="1:5" ht="16.5" customHeight="1">
      <c r="A91" s="86">
        <v>88</v>
      </c>
      <c r="B91" s="86" t="s">
        <v>723</v>
      </c>
      <c r="C91" s="102">
        <v>371</v>
      </c>
      <c r="D91" s="102">
        <v>0</v>
      </c>
      <c r="E91" s="262">
        <f t="shared" si="1"/>
        <v>371</v>
      </c>
    </row>
    <row r="92" spans="1:5" ht="16.5" customHeight="1">
      <c r="A92" s="86">
        <v>89</v>
      </c>
      <c r="B92" s="86" t="s">
        <v>726</v>
      </c>
      <c r="C92" s="102">
        <v>5917</v>
      </c>
      <c r="D92" s="102">
        <v>0</v>
      </c>
      <c r="E92" s="262">
        <f t="shared" si="1"/>
        <v>5917</v>
      </c>
    </row>
    <row r="93" spans="1:5" ht="21" customHeight="1">
      <c r="A93" s="86">
        <v>90</v>
      </c>
      <c r="B93" s="86" t="s">
        <v>725</v>
      </c>
      <c r="C93" s="102">
        <v>15</v>
      </c>
      <c r="D93" s="102">
        <v>0</v>
      </c>
      <c r="E93" s="262">
        <f t="shared" si="1"/>
        <v>15</v>
      </c>
    </row>
    <row r="94" spans="1:5" ht="16.5" customHeight="1">
      <c r="A94" s="86">
        <v>91</v>
      </c>
      <c r="B94" s="86" t="s">
        <v>2647</v>
      </c>
      <c r="C94" s="102">
        <v>1805</v>
      </c>
      <c r="D94" s="102">
        <v>0</v>
      </c>
      <c r="E94" s="262">
        <f t="shared" si="1"/>
        <v>1805</v>
      </c>
    </row>
    <row r="95" spans="1:5" ht="16.5" customHeight="1">
      <c r="A95" s="86">
        <v>92</v>
      </c>
      <c r="B95" s="86" t="s">
        <v>722</v>
      </c>
      <c r="C95" s="102">
        <v>988</v>
      </c>
      <c r="D95" s="102">
        <v>0</v>
      </c>
      <c r="E95" s="262">
        <f t="shared" si="1"/>
        <v>988</v>
      </c>
    </row>
    <row r="96" spans="1:5" ht="16.5" customHeight="1">
      <c r="A96" s="86">
        <v>93</v>
      </c>
      <c r="B96" s="206" t="s">
        <v>3861</v>
      </c>
      <c r="C96" s="102">
        <v>174</v>
      </c>
      <c r="D96" s="102">
        <v>0</v>
      </c>
      <c r="E96" s="554">
        <f t="shared" si="1"/>
        <v>174</v>
      </c>
    </row>
    <row r="97" spans="1:5" ht="16.5" customHeight="1">
      <c r="A97" s="86">
        <v>94</v>
      </c>
      <c r="B97" s="206" t="s">
        <v>2799</v>
      </c>
      <c r="C97" s="102">
        <v>13</v>
      </c>
      <c r="D97" s="102">
        <v>0</v>
      </c>
      <c r="E97" s="554">
        <f t="shared" si="1"/>
        <v>13</v>
      </c>
    </row>
    <row r="98" spans="1:5" ht="16.5" customHeight="1">
      <c r="A98" s="86">
        <v>95</v>
      </c>
      <c r="B98" s="206" t="s">
        <v>4020</v>
      </c>
      <c r="C98" s="102">
        <v>2214</v>
      </c>
      <c r="D98" s="102">
        <v>0</v>
      </c>
      <c r="E98" s="539">
        <f t="shared" si="1"/>
        <v>2214</v>
      </c>
    </row>
    <row r="99" spans="1:5" ht="16.5" customHeight="1">
      <c r="A99" s="86">
        <v>96</v>
      </c>
      <c r="B99" s="206" t="s">
        <v>3689</v>
      </c>
      <c r="C99" s="102">
        <v>496</v>
      </c>
      <c r="D99" s="102">
        <v>0</v>
      </c>
      <c r="E99" s="262">
        <f t="shared" si="1"/>
        <v>496</v>
      </c>
    </row>
    <row r="100" spans="1:5" ht="24" customHeight="1">
      <c r="A100" s="86">
        <v>97</v>
      </c>
      <c r="B100" s="206" t="s">
        <v>3862</v>
      </c>
      <c r="C100" s="102">
        <v>1</v>
      </c>
      <c r="D100" s="102">
        <v>0</v>
      </c>
      <c r="E100" s="262">
        <f t="shared" si="1"/>
        <v>1</v>
      </c>
    </row>
    <row r="101" spans="1:5" ht="24" customHeight="1">
      <c r="A101" s="86">
        <v>98</v>
      </c>
      <c r="B101" s="206" t="s">
        <v>3753</v>
      </c>
      <c r="C101" s="102">
        <v>830</v>
      </c>
      <c r="D101" s="102">
        <v>0</v>
      </c>
      <c r="E101" s="539">
        <f t="shared" si="1"/>
        <v>830</v>
      </c>
    </row>
    <row r="102" spans="1:5" ht="16.5" customHeight="1">
      <c r="A102" s="86">
        <v>99</v>
      </c>
      <c r="B102" s="206" t="s">
        <v>2671</v>
      </c>
      <c r="C102" s="102">
        <v>1074</v>
      </c>
      <c r="D102" s="102">
        <v>0</v>
      </c>
      <c r="E102" s="262">
        <f t="shared" si="1"/>
        <v>1074</v>
      </c>
    </row>
    <row r="103" spans="1:5" ht="16.5" customHeight="1">
      <c r="A103" s="86">
        <v>100</v>
      </c>
      <c r="B103" s="206" t="s">
        <v>3755</v>
      </c>
      <c r="C103" s="102">
        <v>1899</v>
      </c>
      <c r="D103" s="102">
        <v>0</v>
      </c>
      <c r="E103" s="539">
        <f t="shared" si="1"/>
        <v>1899</v>
      </c>
    </row>
    <row r="104" spans="1:5" ht="16.5" customHeight="1">
      <c r="A104" s="86">
        <v>101</v>
      </c>
      <c r="B104" s="246" t="s">
        <v>3863</v>
      </c>
      <c r="C104" s="102">
        <v>2</v>
      </c>
      <c r="D104" s="102">
        <v>0</v>
      </c>
      <c r="E104" s="262">
        <f t="shared" si="1"/>
        <v>2</v>
      </c>
    </row>
    <row r="105" spans="1:5" ht="16.5" customHeight="1">
      <c r="A105" s="86">
        <v>102</v>
      </c>
      <c r="B105" s="206" t="s">
        <v>3864</v>
      </c>
      <c r="C105" s="102">
        <v>10910</v>
      </c>
      <c r="D105" s="102">
        <v>0</v>
      </c>
      <c r="E105" s="262">
        <f t="shared" si="1"/>
        <v>10910</v>
      </c>
    </row>
    <row r="106" spans="1:5" ht="16.5" customHeight="1">
      <c r="A106" s="86">
        <v>103</v>
      </c>
      <c r="B106" s="206" t="s">
        <v>3865</v>
      </c>
      <c r="C106" s="102">
        <v>1</v>
      </c>
      <c r="D106" s="102">
        <v>0</v>
      </c>
      <c r="E106" s="287">
        <f t="shared" si="1"/>
        <v>1</v>
      </c>
    </row>
    <row r="107" spans="1:5" ht="16.5" customHeight="1">
      <c r="A107" s="86">
        <v>104</v>
      </c>
      <c r="B107" s="206" t="s">
        <v>2720</v>
      </c>
      <c r="C107" s="102">
        <v>1891</v>
      </c>
      <c r="D107" s="102">
        <v>1</v>
      </c>
      <c r="E107" s="262">
        <f t="shared" si="1"/>
        <v>1892</v>
      </c>
    </row>
    <row r="108" spans="1:5" ht="16.5" customHeight="1">
      <c r="A108" s="86">
        <v>105</v>
      </c>
      <c r="B108" s="206" t="s">
        <v>3757</v>
      </c>
      <c r="C108" s="102">
        <v>708</v>
      </c>
      <c r="D108" s="102">
        <v>0</v>
      </c>
      <c r="E108" s="262">
        <f t="shared" si="1"/>
        <v>708</v>
      </c>
    </row>
    <row r="109" spans="1:5" ht="16.5" customHeight="1">
      <c r="A109" s="86">
        <v>106</v>
      </c>
      <c r="B109" s="206" t="s">
        <v>3866</v>
      </c>
      <c r="C109" s="102">
        <v>1</v>
      </c>
      <c r="D109" s="102">
        <v>0</v>
      </c>
      <c r="E109" s="262">
        <f t="shared" si="1"/>
        <v>1</v>
      </c>
    </row>
    <row r="110" spans="1:5" ht="16.5" customHeight="1">
      <c r="A110" s="86">
        <v>107</v>
      </c>
      <c r="B110" s="206" t="s">
        <v>3867</v>
      </c>
      <c r="C110" s="102">
        <v>1</v>
      </c>
      <c r="D110" s="102">
        <v>0</v>
      </c>
      <c r="E110" s="262">
        <f t="shared" si="1"/>
        <v>1</v>
      </c>
    </row>
    <row r="111" spans="1:5" ht="16.5" customHeight="1">
      <c r="A111" s="86">
        <v>108</v>
      </c>
      <c r="B111" s="206" t="s">
        <v>3868</v>
      </c>
      <c r="C111" s="102">
        <v>2</v>
      </c>
      <c r="D111" s="102">
        <v>0</v>
      </c>
      <c r="E111" s="262">
        <f t="shared" si="1"/>
        <v>2</v>
      </c>
    </row>
    <row r="112" spans="1:5" ht="16.5" customHeight="1">
      <c r="A112" s="86">
        <v>109</v>
      </c>
      <c r="B112" s="206" t="s">
        <v>2372</v>
      </c>
      <c r="C112" s="102">
        <v>1266</v>
      </c>
      <c r="D112" s="102">
        <v>0</v>
      </c>
      <c r="E112" s="262">
        <f t="shared" si="1"/>
        <v>1266</v>
      </c>
    </row>
    <row r="113" spans="1:5" ht="16.5" customHeight="1">
      <c r="A113" s="86">
        <v>110</v>
      </c>
      <c r="B113" s="206" t="s">
        <v>2798</v>
      </c>
      <c r="C113" s="102">
        <v>62</v>
      </c>
      <c r="D113" s="102">
        <v>0</v>
      </c>
      <c r="E113" s="262">
        <f t="shared" si="1"/>
        <v>62</v>
      </c>
    </row>
    <row r="114" spans="1:5" ht="16.5" customHeight="1">
      <c r="A114" s="86">
        <v>111</v>
      </c>
      <c r="B114" s="206" t="s">
        <v>2727</v>
      </c>
      <c r="C114" s="102">
        <v>1312</v>
      </c>
      <c r="D114" s="102">
        <v>0</v>
      </c>
      <c r="E114" s="262">
        <f t="shared" si="1"/>
        <v>1312</v>
      </c>
    </row>
    <row r="115" spans="1:5" ht="16.5" customHeight="1">
      <c r="A115" s="86">
        <v>112</v>
      </c>
      <c r="B115" s="206" t="s">
        <v>2672</v>
      </c>
      <c r="C115" s="102">
        <v>745</v>
      </c>
      <c r="D115" s="102">
        <v>0</v>
      </c>
      <c r="E115" s="539">
        <f t="shared" si="1"/>
        <v>745</v>
      </c>
    </row>
    <row r="116" spans="1:5" ht="16.5" customHeight="1">
      <c r="A116" s="86">
        <v>113</v>
      </c>
      <c r="B116" s="206" t="s">
        <v>3222</v>
      </c>
      <c r="C116" s="102">
        <v>10</v>
      </c>
      <c r="D116" s="102">
        <v>0</v>
      </c>
      <c r="E116" s="539">
        <f t="shared" si="1"/>
        <v>10</v>
      </c>
    </row>
    <row r="117" spans="1:5" ht="16.5" customHeight="1">
      <c r="A117" s="86">
        <v>114</v>
      </c>
      <c r="B117" s="206" t="s">
        <v>2672</v>
      </c>
      <c r="C117" s="102">
        <v>0</v>
      </c>
      <c r="D117" s="102">
        <v>454</v>
      </c>
      <c r="E117" s="539">
        <f t="shared" si="1"/>
        <v>454</v>
      </c>
    </row>
    <row r="118" spans="1:5" ht="16.5" customHeight="1">
      <c r="A118" s="86">
        <v>115</v>
      </c>
      <c r="B118" s="206" t="s">
        <v>2672</v>
      </c>
      <c r="C118" s="102">
        <v>0</v>
      </c>
      <c r="D118" s="102">
        <v>9595</v>
      </c>
      <c r="E118" s="539">
        <f t="shared" si="1"/>
        <v>9595</v>
      </c>
    </row>
    <row r="119" spans="1:5" ht="16.5" customHeight="1">
      <c r="A119" s="678" t="s">
        <v>3026</v>
      </c>
      <c r="B119" s="679"/>
      <c r="C119" s="102"/>
      <c r="D119" s="102"/>
      <c r="E119" s="262">
        <f t="shared" si="1"/>
        <v>0</v>
      </c>
    </row>
    <row r="120" spans="1:5" ht="16.5" customHeight="1">
      <c r="A120" s="86"/>
      <c r="B120" s="206"/>
      <c r="C120" s="102"/>
      <c r="D120" s="102"/>
      <c r="E120" s="294"/>
    </row>
    <row r="121" spans="1:5" ht="16.5" customHeight="1">
      <c r="A121" s="86"/>
      <c r="B121" s="206"/>
      <c r="C121" s="102"/>
      <c r="D121" s="102"/>
      <c r="E121" s="294"/>
    </row>
    <row r="122" spans="1:5" ht="16.5" customHeight="1">
      <c r="A122" s="86"/>
      <c r="B122" s="206"/>
      <c r="C122" s="102"/>
      <c r="D122" s="102"/>
      <c r="E122" s="262">
        <f t="shared" si="1"/>
        <v>0</v>
      </c>
    </row>
    <row r="123" spans="1:5" ht="43.5" customHeight="1">
      <c r="A123" s="678" t="s">
        <v>2164</v>
      </c>
      <c r="B123" s="679"/>
      <c r="C123" s="262">
        <f>SUM(C4:C122)</f>
        <v>91555</v>
      </c>
      <c r="D123" s="554">
        <f>SUM(D4:D122)</f>
        <v>415588</v>
      </c>
      <c r="E123" s="262">
        <f t="shared" si="1"/>
        <v>507143</v>
      </c>
    </row>
    <row r="124" spans="1:5" ht="15" customHeight="1">
      <c r="A124" s="114"/>
      <c r="B124" s="114"/>
      <c r="C124" s="114"/>
      <c r="D124" s="114"/>
      <c r="E124" s="106">
        <f t="shared" si="1"/>
        <v>0</v>
      </c>
    </row>
    <row r="125" spans="1:5" ht="15" customHeight="1">
      <c r="A125" s="114"/>
      <c r="B125" s="114"/>
      <c r="C125" s="114"/>
      <c r="D125" s="114"/>
      <c r="E125" s="106">
        <f t="shared" si="1"/>
        <v>0</v>
      </c>
    </row>
    <row r="126" spans="1:5">
      <c r="A126" s="114"/>
      <c r="B126" s="114"/>
      <c r="C126" s="114"/>
      <c r="D126" s="114"/>
      <c r="E126" s="106">
        <f t="shared" si="1"/>
        <v>0</v>
      </c>
    </row>
    <row r="127" spans="1:5">
      <c r="A127" s="114"/>
      <c r="B127" s="114"/>
      <c r="C127" s="114"/>
      <c r="D127" s="114"/>
      <c r="E127" s="106">
        <f t="shared" si="1"/>
        <v>0</v>
      </c>
    </row>
    <row r="128" spans="1:5" ht="45" customHeight="1">
      <c r="A128" s="680" t="s">
        <v>2186</v>
      </c>
      <c r="B128" s="681"/>
      <c r="C128" s="106">
        <f>SUM(C124:C127)</f>
        <v>0</v>
      </c>
      <c r="D128" s="106">
        <f>SUM(D124:D127)</f>
        <v>0</v>
      </c>
      <c r="E128" s="106">
        <f t="shared" si="1"/>
        <v>0</v>
      </c>
    </row>
    <row r="129" spans="1:5" ht="47.25" customHeight="1">
      <c r="A129" s="682" t="s">
        <v>2187</v>
      </c>
      <c r="B129" s="682"/>
      <c r="C129" s="262">
        <f>C123-C128</f>
        <v>91555</v>
      </c>
      <c r="D129" s="262">
        <f>D123-D128</f>
        <v>415588</v>
      </c>
      <c r="E129" s="262">
        <f t="shared" si="1"/>
        <v>507143</v>
      </c>
    </row>
    <row r="131" spans="1:5">
      <c r="C131" s="124">
        <f>'13-УСЛУГЕ-РФЗО 2021'!L4357</f>
        <v>91828</v>
      </c>
      <c r="D131" s="124">
        <f>'13-УСЛУГЕ-РФЗО 2021'!AL4357</f>
        <v>414822</v>
      </c>
    </row>
    <row r="132" spans="1:5">
      <c r="C132" s="124">
        <f>'13-УСЛУГЕ-РФЗО 2021'!M4357</f>
        <v>0</v>
      </c>
      <c r="D132" s="124">
        <f>'13-УСЛУГЕ-РФЗО 2021'!AM4357</f>
        <v>0</v>
      </c>
      <c r="E132" s="129"/>
    </row>
    <row r="133" spans="1:5">
      <c r="C133" s="124">
        <f>C129-C131-C132</f>
        <v>-273</v>
      </c>
      <c r="D133" s="124">
        <f>D129-D131-D132</f>
        <v>766</v>
      </c>
    </row>
  </sheetData>
  <mergeCells count="5">
    <mergeCell ref="A1:E1"/>
    <mergeCell ref="A119:B119"/>
    <mergeCell ref="A123:B123"/>
    <mergeCell ref="A128:B128"/>
    <mergeCell ref="A129:B12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E40"/>
  <sheetViews>
    <sheetView topLeftCell="A24" workbookViewId="0">
      <selection activeCell="B40" sqref="B40"/>
    </sheetView>
  </sheetViews>
  <sheetFormatPr defaultRowHeight="15.75"/>
  <cols>
    <col min="1" max="1" width="14" style="89" customWidth="1"/>
    <col min="2" max="2" width="71.140625" style="89" customWidth="1"/>
    <col min="3" max="5" width="17.85546875" style="89" customWidth="1"/>
    <col min="6" max="16384" width="9.140625" style="90"/>
  </cols>
  <sheetData>
    <row r="1" spans="1:5" ht="24.75" customHeight="1" thickTop="1" thickBot="1">
      <c r="A1" s="688" t="s">
        <v>3844</v>
      </c>
      <c r="B1" s="688"/>
      <c r="C1" s="688"/>
      <c r="D1" s="688"/>
      <c r="E1" s="688"/>
    </row>
    <row r="2" spans="1:5" ht="16.5" thickTop="1"/>
    <row r="3" spans="1:5" ht="30.75" customHeight="1">
      <c r="A3" s="248" t="s">
        <v>2638</v>
      </c>
      <c r="B3" s="263" t="s">
        <v>1914</v>
      </c>
      <c r="C3" s="263" t="s">
        <v>1911</v>
      </c>
      <c r="D3" s="263" t="s">
        <v>1912</v>
      </c>
      <c r="E3" s="263" t="s">
        <v>1913</v>
      </c>
    </row>
    <row r="4" spans="1:5" ht="20.25" customHeight="1">
      <c r="A4" s="111">
        <v>1</v>
      </c>
      <c r="B4" s="111" t="s">
        <v>2367</v>
      </c>
      <c r="C4" s="102">
        <v>0</v>
      </c>
      <c r="D4" s="102">
        <v>514</v>
      </c>
      <c r="E4" s="263">
        <f t="shared" ref="E4:E37" si="0">SUM(C4:D4)</f>
        <v>514</v>
      </c>
    </row>
    <row r="5" spans="1:5" ht="20.25" customHeight="1">
      <c r="A5" s="111">
        <v>2</v>
      </c>
      <c r="B5" s="111" t="s">
        <v>2368</v>
      </c>
      <c r="C5" s="102">
        <v>0</v>
      </c>
      <c r="D5" s="102">
        <v>345</v>
      </c>
      <c r="E5" s="263">
        <f t="shared" si="0"/>
        <v>345</v>
      </c>
    </row>
    <row r="6" spans="1:5" ht="20.25" customHeight="1">
      <c r="A6" s="111">
        <v>3</v>
      </c>
      <c r="B6" s="111" t="s">
        <v>2657</v>
      </c>
      <c r="C6" s="102">
        <v>0</v>
      </c>
      <c r="D6" s="102">
        <v>551</v>
      </c>
      <c r="E6" s="263">
        <f t="shared" si="0"/>
        <v>551</v>
      </c>
    </row>
    <row r="7" spans="1:5" ht="20.25" customHeight="1">
      <c r="A7" s="111">
        <v>4</v>
      </c>
      <c r="B7" s="111" t="s">
        <v>2659</v>
      </c>
      <c r="C7" s="102">
        <v>0</v>
      </c>
      <c r="D7" s="102">
        <v>444</v>
      </c>
      <c r="E7" s="263">
        <f t="shared" si="0"/>
        <v>444</v>
      </c>
    </row>
    <row r="8" spans="1:5" ht="20.25" customHeight="1">
      <c r="A8" s="111">
        <v>5</v>
      </c>
      <c r="B8" s="111" t="s">
        <v>2360</v>
      </c>
      <c r="C8" s="102">
        <v>0</v>
      </c>
      <c r="D8" s="102">
        <v>317</v>
      </c>
      <c r="E8" s="263">
        <f t="shared" si="0"/>
        <v>317</v>
      </c>
    </row>
    <row r="9" spans="1:5" ht="20.25" customHeight="1">
      <c r="A9" s="111">
        <v>6</v>
      </c>
      <c r="B9" s="111" t="s">
        <v>2894</v>
      </c>
      <c r="C9" s="102">
        <v>0</v>
      </c>
      <c r="D9" s="102">
        <v>5</v>
      </c>
      <c r="E9" s="282">
        <f t="shared" si="0"/>
        <v>5</v>
      </c>
    </row>
    <row r="10" spans="1:5" ht="20.25" customHeight="1">
      <c r="A10" s="111">
        <v>7</v>
      </c>
      <c r="B10" s="111" t="s">
        <v>2380</v>
      </c>
      <c r="C10" s="102">
        <v>0</v>
      </c>
      <c r="D10" s="102">
        <v>6459</v>
      </c>
      <c r="E10" s="263">
        <f t="shared" si="0"/>
        <v>6459</v>
      </c>
    </row>
    <row r="11" spans="1:5" ht="20.25" customHeight="1">
      <c r="A11" s="111">
        <v>8</v>
      </c>
      <c r="B11" s="111" t="s">
        <v>2369</v>
      </c>
      <c r="C11" s="102">
        <v>0</v>
      </c>
      <c r="D11" s="102">
        <v>3343</v>
      </c>
      <c r="E11" s="263">
        <f t="shared" si="0"/>
        <v>3343</v>
      </c>
    </row>
    <row r="12" spans="1:5" ht="20.25" customHeight="1">
      <c r="A12" s="111">
        <v>9</v>
      </c>
      <c r="B12" s="111" t="s">
        <v>2798</v>
      </c>
      <c r="C12" s="102">
        <v>0</v>
      </c>
      <c r="D12" s="102">
        <v>655</v>
      </c>
      <c r="E12" s="263">
        <f t="shared" si="0"/>
        <v>655</v>
      </c>
    </row>
    <row r="13" spans="1:5" ht="20.25" customHeight="1">
      <c r="A13" s="111">
        <v>10</v>
      </c>
      <c r="B13" s="111" t="s">
        <v>2719</v>
      </c>
      <c r="C13" s="102">
        <v>0</v>
      </c>
      <c r="D13" s="102">
        <v>717</v>
      </c>
      <c r="E13" s="263">
        <f t="shared" si="0"/>
        <v>717</v>
      </c>
    </row>
    <row r="14" spans="1:5" ht="20.25" customHeight="1">
      <c r="A14" s="111">
        <v>11</v>
      </c>
      <c r="B14" s="111" t="s">
        <v>3642</v>
      </c>
      <c r="C14" s="102">
        <v>0</v>
      </c>
      <c r="D14" s="102">
        <v>1130</v>
      </c>
      <c r="E14" s="263">
        <f t="shared" si="0"/>
        <v>1130</v>
      </c>
    </row>
    <row r="15" spans="1:5" ht="20.25" customHeight="1">
      <c r="A15" s="111">
        <v>12</v>
      </c>
      <c r="B15" s="111" t="s">
        <v>3223</v>
      </c>
      <c r="C15" s="102">
        <v>0</v>
      </c>
      <c r="D15" s="102">
        <v>595</v>
      </c>
      <c r="E15" s="263">
        <f t="shared" si="0"/>
        <v>595</v>
      </c>
    </row>
    <row r="16" spans="1:5" ht="20.25" customHeight="1">
      <c r="A16" s="111">
        <v>13</v>
      </c>
      <c r="B16" s="111" t="s">
        <v>2372</v>
      </c>
      <c r="C16" s="102">
        <v>0</v>
      </c>
      <c r="D16" s="102">
        <v>90</v>
      </c>
      <c r="E16" s="263">
        <f t="shared" si="0"/>
        <v>90</v>
      </c>
    </row>
    <row r="17" spans="1:5" ht="20.25" customHeight="1">
      <c r="A17" s="111">
        <v>14</v>
      </c>
      <c r="B17" s="111" t="s">
        <v>3718</v>
      </c>
      <c r="C17" s="102">
        <v>0</v>
      </c>
      <c r="D17" s="102">
        <v>2514</v>
      </c>
      <c r="E17" s="263">
        <f t="shared" si="0"/>
        <v>2514</v>
      </c>
    </row>
    <row r="18" spans="1:5" ht="20.25" customHeight="1">
      <c r="A18" s="111">
        <v>15</v>
      </c>
      <c r="B18" s="111" t="s">
        <v>2722</v>
      </c>
      <c r="C18" s="102">
        <v>0</v>
      </c>
      <c r="D18" s="102">
        <v>282</v>
      </c>
      <c r="E18" s="263">
        <f t="shared" si="0"/>
        <v>282</v>
      </c>
    </row>
    <row r="19" spans="1:5" ht="20.25" customHeight="1">
      <c r="A19" s="111">
        <v>16</v>
      </c>
      <c r="B19" s="111" t="s">
        <v>3223</v>
      </c>
      <c r="C19" s="102">
        <v>0</v>
      </c>
      <c r="D19" s="102">
        <v>3945</v>
      </c>
      <c r="E19" s="263">
        <f t="shared" si="0"/>
        <v>3945</v>
      </c>
    </row>
    <row r="20" spans="1:5" ht="20.25" customHeight="1">
      <c r="A20" s="111">
        <v>17</v>
      </c>
      <c r="B20" s="111" t="s">
        <v>2363</v>
      </c>
      <c r="C20" s="102">
        <v>0</v>
      </c>
      <c r="D20" s="102">
        <v>53</v>
      </c>
      <c r="E20" s="263">
        <f t="shared" si="0"/>
        <v>53</v>
      </c>
    </row>
    <row r="21" spans="1:5" ht="20.25" customHeight="1">
      <c r="A21" s="111">
        <v>18</v>
      </c>
      <c r="B21" s="111" t="s">
        <v>2372</v>
      </c>
      <c r="C21" s="102">
        <v>0</v>
      </c>
      <c r="D21" s="102">
        <v>139</v>
      </c>
      <c r="E21" s="263">
        <f t="shared" si="0"/>
        <v>139</v>
      </c>
    </row>
    <row r="22" spans="1:5" ht="20.25" customHeight="1">
      <c r="A22" s="111">
        <v>19</v>
      </c>
      <c r="B22" s="111" t="s">
        <v>2726</v>
      </c>
      <c r="C22" s="102">
        <v>0</v>
      </c>
      <c r="D22" s="102">
        <v>2</v>
      </c>
      <c r="E22" s="540">
        <f t="shared" si="0"/>
        <v>2</v>
      </c>
    </row>
    <row r="23" spans="1:5" ht="20.25" customHeight="1">
      <c r="A23" s="111">
        <v>20</v>
      </c>
      <c r="B23" s="111" t="s">
        <v>2726</v>
      </c>
      <c r="C23" s="102">
        <v>0</v>
      </c>
      <c r="D23" s="102">
        <v>4</v>
      </c>
      <c r="E23" s="540">
        <f t="shared" si="0"/>
        <v>4</v>
      </c>
    </row>
    <row r="24" spans="1:5" ht="20.25" customHeight="1">
      <c r="A24" s="111">
        <v>21</v>
      </c>
      <c r="B24" s="111" t="s">
        <v>2373</v>
      </c>
      <c r="C24" s="102">
        <v>0</v>
      </c>
      <c r="D24" s="102">
        <v>1501</v>
      </c>
      <c r="E24" s="540">
        <f t="shared" si="0"/>
        <v>1501</v>
      </c>
    </row>
    <row r="25" spans="1:5" ht="20.25" customHeight="1">
      <c r="A25" s="111">
        <v>22</v>
      </c>
      <c r="B25" s="111" t="s">
        <v>3869</v>
      </c>
      <c r="C25" s="102">
        <v>0</v>
      </c>
      <c r="D25" s="102">
        <v>1</v>
      </c>
      <c r="E25" s="540">
        <f t="shared" si="0"/>
        <v>1</v>
      </c>
    </row>
    <row r="26" spans="1:5" ht="20.25" customHeight="1">
      <c r="A26" s="111">
        <v>23</v>
      </c>
      <c r="B26" s="111" t="s">
        <v>2798</v>
      </c>
      <c r="C26" s="102">
        <v>0</v>
      </c>
      <c r="D26" s="102">
        <v>430</v>
      </c>
      <c r="E26" s="540">
        <f t="shared" si="0"/>
        <v>430</v>
      </c>
    </row>
    <row r="27" spans="1:5" ht="20.25" customHeight="1">
      <c r="A27" s="111">
        <v>24</v>
      </c>
      <c r="B27" s="111" t="s">
        <v>3221</v>
      </c>
      <c r="C27" s="102">
        <v>0</v>
      </c>
      <c r="D27" s="102">
        <v>5946</v>
      </c>
      <c r="E27" s="540">
        <f t="shared" si="0"/>
        <v>5946</v>
      </c>
    </row>
    <row r="28" spans="1:5" ht="20.25" customHeight="1">
      <c r="A28" s="111">
        <v>25</v>
      </c>
      <c r="B28" s="111" t="s">
        <v>3870</v>
      </c>
      <c r="C28" s="102">
        <v>0</v>
      </c>
      <c r="D28" s="102">
        <v>4</v>
      </c>
      <c r="E28" s="540">
        <f t="shared" si="0"/>
        <v>4</v>
      </c>
    </row>
    <row r="29" spans="1:5" ht="20.25" customHeight="1">
      <c r="A29" s="111">
        <v>26</v>
      </c>
      <c r="B29" s="111" t="s">
        <v>2727</v>
      </c>
      <c r="C29" s="102">
        <v>0</v>
      </c>
      <c r="D29" s="102">
        <v>3480</v>
      </c>
      <c r="E29" s="540">
        <f t="shared" si="0"/>
        <v>3480</v>
      </c>
    </row>
    <row r="30" spans="1:5" ht="20.25" customHeight="1">
      <c r="A30" s="111">
        <v>27</v>
      </c>
      <c r="B30" s="111" t="s">
        <v>3871</v>
      </c>
      <c r="C30" s="102">
        <v>0</v>
      </c>
      <c r="D30" s="102">
        <v>553</v>
      </c>
      <c r="E30" s="540">
        <f t="shared" si="0"/>
        <v>553</v>
      </c>
    </row>
    <row r="31" spans="1:5" ht="20.25" customHeight="1">
      <c r="A31" s="111">
        <v>28</v>
      </c>
      <c r="B31" s="111" t="s">
        <v>3872</v>
      </c>
      <c r="C31" s="102">
        <v>7284</v>
      </c>
      <c r="D31" s="102">
        <v>0</v>
      </c>
      <c r="E31" s="540">
        <f t="shared" si="0"/>
        <v>7284</v>
      </c>
    </row>
    <row r="32" spans="1:5" ht="20.25" customHeight="1">
      <c r="A32" s="111">
        <v>29</v>
      </c>
      <c r="B32" s="111" t="s">
        <v>3872</v>
      </c>
      <c r="C32" s="102">
        <v>3</v>
      </c>
      <c r="D32" s="102">
        <v>0</v>
      </c>
      <c r="E32" s="540">
        <f t="shared" si="0"/>
        <v>3</v>
      </c>
    </row>
    <row r="33" spans="1:5" ht="20.25" customHeight="1">
      <c r="A33" s="111">
        <v>30</v>
      </c>
      <c r="B33" s="111" t="s">
        <v>2672</v>
      </c>
      <c r="C33" s="102">
        <v>0</v>
      </c>
      <c r="D33" s="102">
        <v>919</v>
      </c>
      <c r="E33" s="263">
        <f t="shared" si="0"/>
        <v>919</v>
      </c>
    </row>
    <row r="34" spans="1:5" ht="23.25" customHeight="1">
      <c r="A34" s="686" t="s">
        <v>2164</v>
      </c>
      <c r="B34" s="687"/>
      <c r="C34" s="263">
        <f>SUM(C4:C33)</f>
        <v>7287</v>
      </c>
      <c r="D34" s="263">
        <f>SUM(D4:D33)</f>
        <v>34938</v>
      </c>
      <c r="E34" s="263">
        <f t="shared" si="0"/>
        <v>42225</v>
      </c>
    </row>
    <row r="35" spans="1:5" ht="21.75" customHeight="1">
      <c r="A35" s="113"/>
      <c r="B35" s="113"/>
      <c r="C35" s="113"/>
      <c r="D35" s="113"/>
      <c r="E35" s="112">
        <f t="shared" si="0"/>
        <v>0</v>
      </c>
    </row>
    <row r="36" spans="1:5" ht="21.75" customHeight="1">
      <c r="A36" s="683" t="s">
        <v>2186</v>
      </c>
      <c r="B36" s="684"/>
      <c r="C36" s="112">
        <f>SUM(C35:C35)</f>
        <v>0</v>
      </c>
      <c r="D36" s="112">
        <f>SUM(D35:D35)</f>
        <v>0</v>
      </c>
      <c r="E36" s="112">
        <f t="shared" si="0"/>
        <v>0</v>
      </c>
    </row>
    <row r="37" spans="1:5" ht="21.75" customHeight="1">
      <c r="A37" s="685" t="s">
        <v>2187</v>
      </c>
      <c r="B37" s="685"/>
      <c r="C37" s="263">
        <f>C34-C36</f>
        <v>7287</v>
      </c>
      <c r="D37" s="263">
        <f>D34-D36</f>
        <v>34938</v>
      </c>
      <c r="E37" s="263">
        <f t="shared" si="0"/>
        <v>42225</v>
      </c>
    </row>
    <row r="38" spans="1:5">
      <c r="C38" s="124">
        <f>'13-УСЛУГЕ-РФЗО 2021'!L4358</f>
        <v>30038</v>
      </c>
      <c r="D38" s="124">
        <f>'13-УСЛУГЕ-РФЗО 2021'!AL4358</f>
        <v>12257</v>
      </c>
    </row>
    <row r="39" spans="1:5">
      <c r="C39" s="124"/>
      <c r="D39" s="124"/>
    </row>
    <row r="40" spans="1:5" ht="53.25" customHeight="1">
      <c r="B40" s="560" t="s">
        <v>4029</v>
      </c>
      <c r="C40" s="124">
        <f>C37-C38</f>
        <v>-22751</v>
      </c>
      <c r="D40" s="124">
        <f>D37-D38</f>
        <v>22681</v>
      </c>
    </row>
  </sheetData>
  <mergeCells count="4">
    <mergeCell ref="A1:E1"/>
    <mergeCell ref="A34:B34"/>
    <mergeCell ref="A36:B36"/>
    <mergeCell ref="A37:B37"/>
  </mergeCells>
  <pageMargins left="0.7" right="0.7" top="0.75" bottom="0.75" header="0.3" footer="0.3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G106"/>
  <sheetViews>
    <sheetView topLeftCell="A91" workbookViewId="0">
      <selection activeCell="E108" sqref="E108"/>
    </sheetView>
  </sheetViews>
  <sheetFormatPr defaultRowHeight="15.75"/>
  <cols>
    <col min="1" max="1" width="14" style="89" customWidth="1"/>
    <col min="2" max="2" width="62.140625" style="89" customWidth="1"/>
    <col min="3" max="5" width="17.85546875" style="89" customWidth="1"/>
    <col min="6" max="32" width="0" style="90" hidden="1" customWidth="1"/>
    <col min="33" max="16384" width="9.140625" style="90"/>
  </cols>
  <sheetData>
    <row r="1" spans="1:5" ht="38.25" customHeight="1" thickTop="1" thickBot="1">
      <c r="A1" s="677" t="s">
        <v>3845</v>
      </c>
      <c r="B1" s="677"/>
      <c r="C1" s="677"/>
      <c r="D1" s="677"/>
      <c r="E1" s="677"/>
    </row>
    <row r="2" spans="1:5" ht="16.5" thickTop="1"/>
    <row r="3" spans="1:5" ht="30.75" customHeight="1">
      <c r="A3" s="115" t="s">
        <v>2638</v>
      </c>
      <c r="B3" s="262" t="s">
        <v>1914</v>
      </c>
      <c r="C3" s="262" t="s">
        <v>1912</v>
      </c>
      <c r="D3" s="262" t="s">
        <v>1911</v>
      </c>
      <c r="E3" s="262" t="s">
        <v>1913</v>
      </c>
    </row>
    <row r="4" spans="1:5" ht="18" customHeight="1">
      <c r="A4" s="86">
        <v>1</v>
      </c>
      <c r="B4" s="86" t="s">
        <v>2366</v>
      </c>
      <c r="C4" s="102">
        <v>0</v>
      </c>
      <c r="D4" s="102">
        <v>2226</v>
      </c>
      <c r="E4" s="262">
        <f>SUM(C4:D4)</f>
        <v>2226</v>
      </c>
    </row>
    <row r="5" spans="1:5" ht="18" customHeight="1">
      <c r="A5" s="86">
        <v>2</v>
      </c>
      <c r="B5" s="86" t="s">
        <v>2712</v>
      </c>
      <c r="C5" s="102">
        <v>447</v>
      </c>
      <c r="D5" s="102">
        <v>0</v>
      </c>
      <c r="E5" s="262">
        <f t="shared" ref="E5:E60" si="0">SUM(C5:D5)</f>
        <v>447</v>
      </c>
    </row>
    <row r="6" spans="1:5" ht="18" customHeight="1">
      <c r="A6" s="86">
        <v>3</v>
      </c>
      <c r="B6" s="86" t="s">
        <v>3732</v>
      </c>
      <c r="C6" s="102">
        <v>833</v>
      </c>
      <c r="D6" s="102">
        <v>0</v>
      </c>
      <c r="E6" s="262">
        <f t="shared" si="0"/>
        <v>833</v>
      </c>
    </row>
    <row r="7" spans="1:5" ht="18" customHeight="1">
      <c r="A7" s="86">
        <v>4</v>
      </c>
      <c r="B7" s="86" t="s">
        <v>3873</v>
      </c>
      <c r="C7" s="102">
        <v>717</v>
      </c>
      <c r="D7" s="102">
        <v>0</v>
      </c>
      <c r="E7" s="262">
        <f t="shared" si="0"/>
        <v>717</v>
      </c>
    </row>
    <row r="8" spans="1:5" ht="18" customHeight="1">
      <c r="A8" s="86">
        <v>5</v>
      </c>
      <c r="B8" s="86" t="s">
        <v>2727</v>
      </c>
      <c r="C8" s="102">
        <v>0</v>
      </c>
      <c r="D8" s="102">
        <v>2</v>
      </c>
      <c r="E8" s="262">
        <f t="shared" si="0"/>
        <v>2</v>
      </c>
    </row>
    <row r="9" spans="1:5" ht="18" customHeight="1">
      <c r="A9" s="86">
        <v>6</v>
      </c>
      <c r="B9" s="86" t="s">
        <v>2795</v>
      </c>
      <c r="C9" s="102">
        <v>0</v>
      </c>
      <c r="D9" s="102">
        <v>3</v>
      </c>
      <c r="E9" s="262">
        <f t="shared" si="0"/>
        <v>3</v>
      </c>
    </row>
    <row r="10" spans="1:5" ht="18" customHeight="1">
      <c r="A10" s="86">
        <v>7</v>
      </c>
      <c r="B10" s="86" t="s">
        <v>2795</v>
      </c>
      <c r="C10" s="102">
        <v>0</v>
      </c>
      <c r="D10" s="102">
        <v>373</v>
      </c>
      <c r="E10" s="262">
        <f t="shared" si="0"/>
        <v>373</v>
      </c>
    </row>
    <row r="11" spans="1:5" ht="18" customHeight="1">
      <c r="A11" s="86">
        <v>8</v>
      </c>
      <c r="B11" s="86" t="s">
        <v>2639</v>
      </c>
      <c r="C11" s="102">
        <v>0</v>
      </c>
      <c r="D11" s="102">
        <v>154</v>
      </c>
      <c r="E11" s="262">
        <f t="shared" si="0"/>
        <v>154</v>
      </c>
    </row>
    <row r="12" spans="1:5" ht="18" customHeight="1">
      <c r="A12" s="86">
        <v>9</v>
      </c>
      <c r="B12" s="86" t="s">
        <v>2640</v>
      </c>
      <c r="C12" s="102">
        <v>0</v>
      </c>
      <c r="D12" s="102">
        <v>3</v>
      </c>
      <c r="E12" s="262">
        <f t="shared" si="0"/>
        <v>3</v>
      </c>
    </row>
    <row r="13" spans="1:5" ht="18" customHeight="1">
      <c r="A13" s="86">
        <v>10</v>
      </c>
      <c r="B13" s="86" t="s">
        <v>2657</v>
      </c>
      <c r="C13" s="102">
        <v>0</v>
      </c>
      <c r="D13" s="102">
        <v>1776</v>
      </c>
      <c r="E13" s="262">
        <f t="shared" si="0"/>
        <v>1776</v>
      </c>
    </row>
    <row r="14" spans="1:5" ht="18" customHeight="1">
      <c r="A14" s="86">
        <v>11</v>
      </c>
      <c r="B14" s="86" t="s">
        <v>2657</v>
      </c>
      <c r="C14" s="102">
        <v>6</v>
      </c>
      <c r="D14" s="102">
        <v>0</v>
      </c>
      <c r="E14" s="262">
        <f t="shared" si="0"/>
        <v>6</v>
      </c>
    </row>
    <row r="15" spans="1:5" ht="18" customHeight="1">
      <c r="A15" s="86">
        <v>12</v>
      </c>
      <c r="B15" s="86" t="s">
        <v>2713</v>
      </c>
      <c r="C15" s="102">
        <v>0</v>
      </c>
      <c r="D15" s="102">
        <v>43</v>
      </c>
      <c r="E15" s="262">
        <f t="shared" si="0"/>
        <v>43</v>
      </c>
    </row>
    <row r="16" spans="1:5" ht="18" customHeight="1">
      <c r="A16" s="86">
        <v>13</v>
      </c>
      <c r="B16" s="86" t="s">
        <v>2714</v>
      </c>
      <c r="C16" s="102">
        <v>16</v>
      </c>
      <c r="D16" s="102">
        <v>0</v>
      </c>
      <c r="E16" s="262">
        <f t="shared" si="0"/>
        <v>16</v>
      </c>
    </row>
    <row r="17" spans="1:6" ht="18" customHeight="1">
      <c r="A17" s="86">
        <v>14</v>
      </c>
      <c r="B17" s="86" t="s">
        <v>2659</v>
      </c>
      <c r="C17" s="102">
        <v>2</v>
      </c>
      <c r="D17" s="102">
        <v>0</v>
      </c>
      <c r="E17" s="262">
        <f t="shared" si="0"/>
        <v>2</v>
      </c>
      <c r="F17" s="90" t="s">
        <v>1960</v>
      </c>
    </row>
    <row r="18" spans="1:6" ht="18" customHeight="1">
      <c r="A18" s="86">
        <v>15</v>
      </c>
      <c r="B18" s="86" t="s">
        <v>2715</v>
      </c>
      <c r="C18" s="102">
        <v>3</v>
      </c>
      <c r="D18" s="102">
        <v>0</v>
      </c>
      <c r="E18" s="262">
        <f t="shared" si="0"/>
        <v>3</v>
      </c>
    </row>
    <row r="19" spans="1:6" ht="18" customHeight="1">
      <c r="A19" s="86">
        <v>16</v>
      </c>
      <c r="B19" s="86" t="s">
        <v>3310</v>
      </c>
      <c r="C19" s="102">
        <v>0</v>
      </c>
      <c r="D19" s="102">
        <v>4</v>
      </c>
      <c r="E19" s="262">
        <f t="shared" si="0"/>
        <v>4</v>
      </c>
    </row>
    <row r="20" spans="1:6" ht="18" customHeight="1">
      <c r="A20" s="86">
        <v>17</v>
      </c>
      <c r="B20" s="86" t="s">
        <v>2716</v>
      </c>
      <c r="C20" s="102">
        <v>0</v>
      </c>
      <c r="D20" s="102">
        <v>356</v>
      </c>
      <c r="E20" s="262">
        <f t="shared" si="0"/>
        <v>356</v>
      </c>
    </row>
    <row r="21" spans="1:6" ht="18" customHeight="1">
      <c r="A21" s="86">
        <v>18</v>
      </c>
      <c r="B21" s="86" t="s">
        <v>2718</v>
      </c>
      <c r="C21" s="102">
        <v>0</v>
      </c>
      <c r="D21" s="102">
        <v>1</v>
      </c>
      <c r="E21" s="262">
        <f t="shared" si="0"/>
        <v>1</v>
      </c>
    </row>
    <row r="22" spans="1:6" ht="18" customHeight="1">
      <c r="A22" s="86">
        <v>19</v>
      </c>
      <c r="B22" s="86" t="s">
        <v>2719</v>
      </c>
      <c r="C22" s="102">
        <v>0</v>
      </c>
      <c r="D22" s="102">
        <v>1712</v>
      </c>
      <c r="E22" s="262">
        <f t="shared" si="0"/>
        <v>1712</v>
      </c>
    </row>
    <row r="23" spans="1:6" ht="18" customHeight="1">
      <c r="A23" s="86">
        <v>20</v>
      </c>
      <c r="B23" s="86" t="s">
        <v>2720</v>
      </c>
      <c r="C23" s="102">
        <v>0</v>
      </c>
      <c r="D23" s="102">
        <v>17</v>
      </c>
      <c r="E23" s="262">
        <f t="shared" si="0"/>
        <v>17</v>
      </c>
    </row>
    <row r="24" spans="1:6" ht="18" customHeight="1">
      <c r="A24" s="86">
        <v>21</v>
      </c>
      <c r="B24" s="86" t="s">
        <v>2720</v>
      </c>
      <c r="C24" s="102">
        <v>0</v>
      </c>
      <c r="D24" s="102">
        <v>3256</v>
      </c>
      <c r="E24" s="262">
        <f t="shared" si="0"/>
        <v>3256</v>
      </c>
    </row>
    <row r="25" spans="1:6" ht="18" customHeight="1">
      <c r="A25" s="86">
        <v>22</v>
      </c>
      <c r="B25" s="86" t="s">
        <v>2720</v>
      </c>
      <c r="C25" s="102">
        <v>0</v>
      </c>
      <c r="D25" s="102">
        <v>313</v>
      </c>
      <c r="E25" s="262">
        <f t="shared" si="0"/>
        <v>313</v>
      </c>
    </row>
    <row r="26" spans="1:6" ht="18" customHeight="1">
      <c r="A26" s="86">
        <v>23</v>
      </c>
      <c r="B26" s="86" t="s">
        <v>2720</v>
      </c>
      <c r="C26" s="102">
        <v>42</v>
      </c>
      <c r="D26" s="102">
        <v>0</v>
      </c>
      <c r="E26" s="281">
        <f t="shared" si="0"/>
        <v>42</v>
      </c>
    </row>
    <row r="27" spans="1:6" ht="18" customHeight="1">
      <c r="A27" s="86">
        <v>24</v>
      </c>
      <c r="B27" s="86" t="s">
        <v>2720</v>
      </c>
      <c r="C27" s="102">
        <v>109</v>
      </c>
      <c r="D27" s="102">
        <v>9</v>
      </c>
      <c r="E27" s="262">
        <f t="shared" si="0"/>
        <v>118</v>
      </c>
    </row>
    <row r="28" spans="1:6" ht="18" customHeight="1">
      <c r="A28" s="86">
        <v>25</v>
      </c>
      <c r="B28" s="86" t="s">
        <v>2720</v>
      </c>
      <c r="C28" s="102">
        <v>139</v>
      </c>
      <c r="D28" s="102">
        <v>33</v>
      </c>
      <c r="E28" s="281">
        <f t="shared" si="0"/>
        <v>172</v>
      </c>
    </row>
    <row r="29" spans="1:6" ht="18" customHeight="1">
      <c r="A29" s="86">
        <v>26</v>
      </c>
      <c r="B29" s="86" t="s">
        <v>2720</v>
      </c>
      <c r="C29" s="102">
        <v>1</v>
      </c>
      <c r="D29" s="102">
        <v>16</v>
      </c>
      <c r="E29" s="262">
        <f t="shared" si="0"/>
        <v>17</v>
      </c>
    </row>
    <row r="30" spans="1:6" ht="18" customHeight="1">
      <c r="A30" s="86">
        <v>27</v>
      </c>
      <c r="B30" s="86" t="s">
        <v>2720</v>
      </c>
      <c r="C30" s="102">
        <v>2</v>
      </c>
      <c r="D30" s="102">
        <v>0</v>
      </c>
      <c r="E30" s="262">
        <f t="shared" si="0"/>
        <v>2</v>
      </c>
    </row>
    <row r="31" spans="1:6" ht="18" customHeight="1">
      <c r="A31" s="86">
        <v>28</v>
      </c>
      <c r="B31" s="86" t="s">
        <v>2370</v>
      </c>
      <c r="C31" s="102">
        <v>987</v>
      </c>
      <c r="D31" s="102">
        <v>1842</v>
      </c>
      <c r="E31" s="262">
        <f t="shared" si="0"/>
        <v>2829</v>
      </c>
    </row>
    <row r="32" spans="1:6" ht="18" customHeight="1">
      <c r="A32" s="86">
        <v>29</v>
      </c>
      <c r="B32" s="86" t="s">
        <v>2370</v>
      </c>
      <c r="C32" s="102">
        <v>17</v>
      </c>
      <c r="D32" s="102">
        <v>5</v>
      </c>
      <c r="E32" s="262">
        <f t="shared" si="0"/>
        <v>22</v>
      </c>
    </row>
    <row r="33" spans="1:7" ht="18" customHeight="1">
      <c r="A33" s="86">
        <v>30</v>
      </c>
      <c r="B33" s="86" t="s">
        <v>2370</v>
      </c>
      <c r="C33" s="102">
        <v>5</v>
      </c>
      <c r="D33" s="102">
        <v>0</v>
      </c>
      <c r="E33" s="262">
        <f t="shared" si="0"/>
        <v>5</v>
      </c>
    </row>
    <row r="34" spans="1:7" ht="18" customHeight="1">
      <c r="A34" s="86">
        <v>31</v>
      </c>
      <c r="B34" s="86" t="s">
        <v>2370</v>
      </c>
      <c r="C34" s="102">
        <v>366</v>
      </c>
      <c r="D34" s="102">
        <v>2853</v>
      </c>
      <c r="E34" s="262">
        <f t="shared" si="0"/>
        <v>3219</v>
      </c>
      <c r="F34" s="90" t="s">
        <v>1968</v>
      </c>
    </row>
    <row r="35" spans="1:7" ht="18" customHeight="1">
      <c r="A35" s="86">
        <v>32</v>
      </c>
      <c r="B35" s="86" t="s">
        <v>2798</v>
      </c>
      <c r="C35" s="102">
        <v>0</v>
      </c>
      <c r="D35" s="102">
        <v>969</v>
      </c>
      <c r="E35" s="262">
        <f t="shared" si="0"/>
        <v>969</v>
      </c>
    </row>
    <row r="36" spans="1:7" ht="18" customHeight="1">
      <c r="A36" s="86">
        <v>33</v>
      </c>
      <c r="B36" s="86" t="s">
        <v>2719</v>
      </c>
      <c r="C36" s="102">
        <v>0</v>
      </c>
      <c r="D36" s="102">
        <v>969</v>
      </c>
      <c r="E36" s="262">
        <f t="shared" si="0"/>
        <v>969</v>
      </c>
      <c r="F36" s="90" t="s">
        <v>1966</v>
      </c>
    </row>
    <row r="37" spans="1:7" ht="18" customHeight="1">
      <c r="A37" s="86">
        <v>34</v>
      </c>
      <c r="B37" s="86" t="s">
        <v>2725</v>
      </c>
      <c r="C37" s="102">
        <v>0</v>
      </c>
      <c r="D37" s="102">
        <v>2730</v>
      </c>
      <c r="E37" s="281">
        <f t="shared" si="0"/>
        <v>2730</v>
      </c>
    </row>
    <row r="38" spans="1:7" ht="18" customHeight="1">
      <c r="A38" s="86">
        <v>35</v>
      </c>
      <c r="B38" s="86" t="s">
        <v>3642</v>
      </c>
      <c r="C38" s="102">
        <v>0</v>
      </c>
      <c r="D38" s="102">
        <v>5717</v>
      </c>
      <c r="E38" s="262">
        <f t="shared" si="0"/>
        <v>5717</v>
      </c>
    </row>
    <row r="39" spans="1:7" ht="18" customHeight="1">
      <c r="A39" s="86">
        <v>36</v>
      </c>
      <c r="B39" s="86" t="s">
        <v>3223</v>
      </c>
      <c r="C39" s="102">
        <v>0</v>
      </c>
      <c r="D39" s="102">
        <v>355</v>
      </c>
      <c r="E39" s="262">
        <f t="shared" si="0"/>
        <v>355</v>
      </c>
      <c r="F39" s="90" t="s">
        <v>1967</v>
      </c>
    </row>
    <row r="40" spans="1:7" ht="18" customHeight="1">
      <c r="A40" s="86">
        <v>37</v>
      </c>
      <c r="B40" s="86" t="s">
        <v>3643</v>
      </c>
      <c r="C40" s="102">
        <v>0</v>
      </c>
      <c r="D40" s="102">
        <v>275</v>
      </c>
      <c r="E40" s="262">
        <f t="shared" si="0"/>
        <v>275</v>
      </c>
      <c r="F40" s="90" t="s">
        <v>1966</v>
      </c>
    </row>
    <row r="41" spans="1:7" ht="18" customHeight="1">
      <c r="A41" s="86">
        <v>38</v>
      </c>
      <c r="B41" s="86" t="s">
        <v>3718</v>
      </c>
      <c r="C41" s="102">
        <v>0</v>
      </c>
      <c r="D41" s="102">
        <v>3079</v>
      </c>
      <c r="E41" s="281">
        <f t="shared" si="0"/>
        <v>3079</v>
      </c>
    </row>
    <row r="42" spans="1:7" ht="18" customHeight="1">
      <c r="A42" s="86">
        <v>39</v>
      </c>
      <c r="B42" s="86" t="s">
        <v>2672</v>
      </c>
      <c r="C42" s="102">
        <v>0</v>
      </c>
      <c r="D42" s="102">
        <v>522</v>
      </c>
      <c r="E42" s="262">
        <f t="shared" si="0"/>
        <v>522</v>
      </c>
    </row>
    <row r="43" spans="1:7" ht="18" customHeight="1">
      <c r="A43" s="86">
        <v>40</v>
      </c>
      <c r="B43" s="86" t="s">
        <v>2722</v>
      </c>
      <c r="C43" s="102">
        <v>0</v>
      </c>
      <c r="D43" s="102">
        <v>2</v>
      </c>
      <c r="E43" s="262">
        <f t="shared" si="0"/>
        <v>2</v>
      </c>
    </row>
    <row r="44" spans="1:7" ht="18" customHeight="1">
      <c r="A44" s="86">
        <v>41</v>
      </c>
      <c r="B44" s="86" t="s">
        <v>2722</v>
      </c>
      <c r="C44" s="102">
        <v>0</v>
      </c>
      <c r="D44" s="102">
        <v>901</v>
      </c>
      <c r="E44" s="262">
        <f t="shared" si="0"/>
        <v>901</v>
      </c>
    </row>
    <row r="45" spans="1:7" ht="18" customHeight="1">
      <c r="A45" s="86">
        <v>42</v>
      </c>
      <c r="B45" s="86" t="s">
        <v>2722</v>
      </c>
      <c r="C45" s="102">
        <v>9</v>
      </c>
      <c r="D45" s="102">
        <v>390</v>
      </c>
      <c r="E45" s="262">
        <f t="shared" si="0"/>
        <v>399</v>
      </c>
    </row>
    <row r="46" spans="1:7" ht="18" customHeight="1">
      <c r="A46" s="86">
        <v>43</v>
      </c>
      <c r="B46" s="86" t="s">
        <v>2722</v>
      </c>
      <c r="C46" s="102">
        <v>14</v>
      </c>
      <c r="D46" s="102">
        <v>2</v>
      </c>
      <c r="E46" s="281">
        <f t="shared" si="0"/>
        <v>16</v>
      </c>
    </row>
    <row r="47" spans="1:7" ht="18" customHeight="1">
      <c r="A47" s="86">
        <v>44</v>
      </c>
      <c r="B47" s="86" t="s">
        <v>2722</v>
      </c>
      <c r="C47" s="102">
        <v>15</v>
      </c>
      <c r="D47" s="102">
        <v>0</v>
      </c>
      <c r="E47" s="262">
        <f t="shared" si="0"/>
        <v>15</v>
      </c>
      <c r="F47" s="90" t="e">
        <f>#REF!+C36+C40+C42+#REF!+C44+C45+C47</f>
        <v>#REF!</v>
      </c>
      <c r="G47" s="90" t="e">
        <f>#REF!+D36+D40+D42+#REF!+D44+D45+D47</f>
        <v>#REF!</v>
      </c>
    </row>
    <row r="48" spans="1:7" ht="18" customHeight="1">
      <c r="A48" s="86">
        <v>45</v>
      </c>
      <c r="B48" s="86" t="s">
        <v>2371</v>
      </c>
      <c r="C48" s="102">
        <v>0</v>
      </c>
      <c r="D48" s="102">
        <v>2337</v>
      </c>
      <c r="E48" s="262">
        <f t="shared" si="0"/>
        <v>2337</v>
      </c>
    </row>
    <row r="49" spans="1:5" ht="18" customHeight="1">
      <c r="A49" s="86">
        <v>46</v>
      </c>
      <c r="B49" s="86" t="s">
        <v>3223</v>
      </c>
      <c r="C49" s="102">
        <v>0</v>
      </c>
      <c r="D49" s="102">
        <v>68</v>
      </c>
      <c r="E49" s="262">
        <f t="shared" si="0"/>
        <v>68</v>
      </c>
    </row>
    <row r="50" spans="1:5" ht="18" customHeight="1">
      <c r="A50" s="86">
        <v>47</v>
      </c>
      <c r="B50" s="86" t="s">
        <v>3221</v>
      </c>
      <c r="C50" s="102">
        <v>0</v>
      </c>
      <c r="D50" s="102">
        <v>9</v>
      </c>
      <c r="E50" s="262">
        <f t="shared" si="0"/>
        <v>9</v>
      </c>
    </row>
    <row r="51" spans="1:5" ht="18" customHeight="1">
      <c r="A51" s="86">
        <v>48</v>
      </c>
      <c r="B51" s="86" t="s">
        <v>2363</v>
      </c>
      <c r="C51" s="102">
        <v>0</v>
      </c>
      <c r="D51" s="102">
        <v>1451</v>
      </c>
      <c r="E51" s="281">
        <f t="shared" si="0"/>
        <v>1451</v>
      </c>
    </row>
    <row r="52" spans="1:5" ht="18" customHeight="1">
      <c r="A52" s="86">
        <v>49</v>
      </c>
      <c r="B52" s="86" t="s">
        <v>2363</v>
      </c>
      <c r="C52" s="102">
        <v>152</v>
      </c>
      <c r="D52" s="102">
        <v>0</v>
      </c>
      <c r="E52" s="262">
        <f t="shared" si="0"/>
        <v>152</v>
      </c>
    </row>
    <row r="53" spans="1:5" ht="18" customHeight="1">
      <c r="A53" s="86">
        <v>50</v>
      </c>
      <c r="B53" s="86" t="s">
        <v>2363</v>
      </c>
      <c r="C53" s="102">
        <v>0</v>
      </c>
      <c r="D53" s="102">
        <v>678</v>
      </c>
      <c r="E53" s="262">
        <f t="shared" si="0"/>
        <v>678</v>
      </c>
    </row>
    <row r="54" spans="1:5" ht="18" customHeight="1">
      <c r="A54" s="86">
        <v>51</v>
      </c>
      <c r="B54" s="86" t="s">
        <v>2372</v>
      </c>
      <c r="C54" s="102">
        <v>0</v>
      </c>
      <c r="D54" s="102">
        <v>39</v>
      </c>
      <c r="E54" s="262">
        <f t="shared" si="0"/>
        <v>39</v>
      </c>
    </row>
    <row r="55" spans="1:5" ht="18" customHeight="1">
      <c r="A55" s="86">
        <v>52</v>
      </c>
      <c r="B55" s="86" t="s">
        <v>2726</v>
      </c>
      <c r="C55" s="102">
        <v>0</v>
      </c>
      <c r="D55" s="102">
        <v>828</v>
      </c>
      <c r="E55" s="262">
        <f t="shared" si="0"/>
        <v>828</v>
      </c>
    </row>
    <row r="56" spans="1:5" ht="18" customHeight="1">
      <c r="A56" s="86">
        <v>53</v>
      </c>
      <c r="B56" s="86" t="s">
        <v>2726</v>
      </c>
      <c r="C56" s="102">
        <v>0</v>
      </c>
      <c r="D56" s="102">
        <v>7</v>
      </c>
      <c r="E56" s="262">
        <f t="shared" si="0"/>
        <v>7</v>
      </c>
    </row>
    <row r="57" spans="1:5" ht="18" customHeight="1">
      <c r="A57" s="86">
        <v>54</v>
      </c>
      <c r="B57" s="86" t="s">
        <v>2726</v>
      </c>
      <c r="C57" s="102">
        <v>1</v>
      </c>
      <c r="D57" s="102">
        <v>0</v>
      </c>
      <c r="E57" s="262">
        <f t="shared" si="0"/>
        <v>1</v>
      </c>
    </row>
    <row r="58" spans="1:5" ht="18" customHeight="1">
      <c r="A58" s="86">
        <v>55</v>
      </c>
      <c r="B58" s="86" t="s">
        <v>2726</v>
      </c>
      <c r="C58" s="102">
        <v>274</v>
      </c>
      <c r="D58" s="102">
        <v>0</v>
      </c>
      <c r="E58" s="262">
        <f t="shared" si="0"/>
        <v>274</v>
      </c>
    </row>
    <row r="59" spans="1:5" ht="18" customHeight="1">
      <c r="A59" s="86">
        <v>56</v>
      </c>
      <c r="B59" s="86" t="s">
        <v>2373</v>
      </c>
      <c r="C59" s="102">
        <v>0</v>
      </c>
      <c r="D59" s="102">
        <v>1715</v>
      </c>
      <c r="E59" s="262">
        <f t="shared" si="0"/>
        <v>1715</v>
      </c>
    </row>
    <row r="60" spans="1:5" ht="18" customHeight="1">
      <c r="A60" s="86">
        <v>57</v>
      </c>
      <c r="B60" s="86" t="s">
        <v>2373</v>
      </c>
      <c r="C60" s="102">
        <v>0</v>
      </c>
      <c r="D60" s="102">
        <v>1</v>
      </c>
      <c r="E60" s="262">
        <f t="shared" si="0"/>
        <v>1</v>
      </c>
    </row>
    <row r="61" spans="1:5" ht="18" customHeight="1">
      <c r="A61" s="86">
        <v>58</v>
      </c>
      <c r="B61" s="86" t="s">
        <v>3874</v>
      </c>
      <c r="C61" s="102">
        <v>1</v>
      </c>
      <c r="D61" s="102">
        <v>0</v>
      </c>
      <c r="E61" s="262">
        <f t="shared" ref="E61:E102" si="1">SUM(C61:D61)</f>
        <v>1</v>
      </c>
    </row>
    <row r="62" spans="1:5" ht="18" customHeight="1">
      <c r="A62" s="86">
        <v>59</v>
      </c>
      <c r="B62" s="86" t="s">
        <v>2798</v>
      </c>
      <c r="C62" s="102">
        <v>0</v>
      </c>
      <c r="D62" s="102">
        <v>632</v>
      </c>
      <c r="E62" s="539">
        <f t="shared" si="1"/>
        <v>632</v>
      </c>
    </row>
    <row r="63" spans="1:5" ht="18" customHeight="1">
      <c r="A63" s="86">
        <v>60</v>
      </c>
      <c r="B63" s="86" t="s">
        <v>3221</v>
      </c>
      <c r="C63" s="102">
        <v>0</v>
      </c>
      <c r="D63" s="102">
        <v>3160</v>
      </c>
      <c r="E63" s="539">
        <f t="shared" si="1"/>
        <v>3160</v>
      </c>
    </row>
    <row r="64" spans="1:5" ht="18" customHeight="1">
      <c r="A64" s="86">
        <v>61</v>
      </c>
      <c r="B64" s="86" t="s">
        <v>3875</v>
      </c>
      <c r="C64" s="102">
        <v>0</v>
      </c>
      <c r="D64" s="102">
        <v>8</v>
      </c>
      <c r="E64" s="539">
        <f t="shared" si="1"/>
        <v>8</v>
      </c>
    </row>
    <row r="65" spans="1:5" ht="18" customHeight="1">
      <c r="A65" s="86">
        <v>62</v>
      </c>
      <c r="B65" s="86" t="s">
        <v>2727</v>
      </c>
      <c r="C65" s="102">
        <v>0</v>
      </c>
      <c r="D65" s="102">
        <v>1844</v>
      </c>
      <c r="E65" s="539">
        <f t="shared" si="1"/>
        <v>1844</v>
      </c>
    </row>
    <row r="66" spans="1:5" ht="18" customHeight="1">
      <c r="A66" s="86">
        <v>63</v>
      </c>
      <c r="B66" s="86" t="s">
        <v>3221</v>
      </c>
      <c r="C66" s="102">
        <v>594</v>
      </c>
      <c r="D66" s="102">
        <v>0</v>
      </c>
      <c r="E66" s="539">
        <f t="shared" si="1"/>
        <v>594</v>
      </c>
    </row>
    <row r="67" spans="1:5" ht="18" customHeight="1">
      <c r="A67" s="86">
        <v>64</v>
      </c>
      <c r="B67" s="86" t="s">
        <v>2728</v>
      </c>
      <c r="C67" s="102">
        <v>181</v>
      </c>
      <c r="D67" s="102">
        <v>0</v>
      </c>
      <c r="E67" s="539">
        <f t="shared" si="1"/>
        <v>181</v>
      </c>
    </row>
    <row r="68" spans="1:5" ht="18" customHeight="1">
      <c r="A68" s="86">
        <v>65</v>
      </c>
      <c r="B68" s="86" t="s">
        <v>3876</v>
      </c>
      <c r="C68" s="102">
        <v>1118</v>
      </c>
      <c r="D68" s="102">
        <v>0</v>
      </c>
      <c r="E68" s="539">
        <f t="shared" si="1"/>
        <v>1118</v>
      </c>
    </row>
    <row r="69" spans="1:5" ht="18" customHeight="1">
      <c r="A69" s="86">
        <v>66</v>
      </c>
      <c r="B69" s="86" t="s">
        <v>3877</v>
      </c>
      <c r="C69" s="102">
        <v>3</v>
      </c>
      <c r="D69" s="102">
        <v>0</v>
      </c>
      <c r="E69" s="539">
        <f t="shared" si="1"/>
        <v>3</v>
      </c>
    </row>
    <row r="70" spans="1:5" ht="18" customHeight="1">
      <c r="A70" s="86">
        <v>67</v>
      </c>
      <c r="B70" s="86" t="s">
        <v>3878</v>
      </c>
      <c r="C70" s="102">
        <v>5</v>
      </c>
      <c r="D70" s="102">
        <v>0</v>
      </c>
      <c r="E70" s="539">
        <f t="shared" si="1"/>
        <v>5</v>
      </c>
    </row>
    <row r="71" spans="1:5" ht="18" customHeight="1">
      <c r="A71" s="86">
        <v>68</v>
      </c>
      <c r="B71" s="86" t="s">
        <v>3879</v>
      </c>
      <c r="C71" s="102">
        <v>2</v>
      </c>
      <c r="D71" s="102">
        <v>0</v>
      </c>
      <c r="E71" s="539">
        <f t="shared" si="1"/>
        <v>2</v>
      </c>
    </row>
    <row r="72" spans="1:5" ht="18" customHeight="1">
      <c r="A72" s="86">
        <v>69</v>
      </c>
      <c r="B72" s="86" t="s">
        <v>3880</v>
      </c>
      <c r="C72" s="102">
        <v>9</v>
      </c>
      <c r="D72" s="102">
        <v>0</v>
      </c>
      <c r="E72" s="539">
        <f t="shared" si="1"/>
        <v>9</v>
      </c>
    </row>
    <row r="73" spans="1:5" ht="18" customHeight="1">
      <c r="A73" s="86">
        <v>70</v>
      </c>
      <c r="B73" s="86" t="s">
        <v>3881</v>
      </c>
      <c r="C73" s="102">
        <v>466</v>
      </c>
      <c r="D73" s="102">
        <v>0</v>
      </c>
      <c r="E73" s="539">
        <f t="shared" si="1"/>
        <v>466</v>
      </c>
    </row>
    <row r="74" spans="1:5" ht="18" customHeight="1">
      <c r="A74" s="86">
        <v>71</v>
      </c>
      <c r="B74" s="86" t="s">
        <v>3882</v>
      </c>
      <c r="C74" s="102">
        <v>0</v>
      </c>
      <c r="D74" s="102">
        <v>6</v>
      </c>
      <c r="E74" s="539">
        <f t="shared" si="1"/>
        <v>6</v>
      </c>
    </row>
    <row r="75" spans="1:5" ht="18" customHeight="1">
      <c r="A75" s="86">
        <v>72</v>
      </c>
      <c r="B75" s="86" t="s">
        <v>2373</v>
      </c>
      <c r="C75" s="102">
        <v>880</v>
      </c>
      <c r="D75" s="102">
        <v>0</v>
      </c>
      <c r="E75" s="539">
        <f t="shared" si="1"/>
        <v>880</v>
      </c>
    </row>
    <row r="76" spans="1:5" ht="18" customHeight="1">
      <c r="A76" s="86">
        <v>73</v>
      </c>
      <c r="B76" s="86" t="s">
        <v>2799</v>
      </c>
      <c r="C76" s="102">
        <v>732</v>
      </c>
      <c r="D76" s="102">
        <v>0</v>
      </c>
      <c r="E76" s="539">
        <f t="shared" si="1"/>
        <v>732</v>
      </c>
    </row>
    <row r="77" spans="1:5" ht="18" customHeight="1">
      <c r="A77" s="86">
        <v>74</v>
      </c>
      <c r="B77" s="86" t="s">
        <v>3751</v>
      </c>
      <c r="C77" s="102">
        <v>2</v>
      </c>
      <c r="D77" s="102">
        <v>0</v>
      </c>
      <c r="E77" s="539">
        <f t="shared" si="1"/>
        <v>2</v>
      </c>
    </row>
    <row r="78" spans="1:5" ht="18" customHeight="1">
      <c r="A78" s="86">
        <v>75</v>
      </c>
      <c r="B78" s="86" t="s">
        <v>3689</v>
      </c>
      <c r="C78" s="102">
        <v>474</v>
      </c>
      <c r="D78" s="102">
        <v>0</v>
      </c>
      <c r="E78" s="539">
        <f t="shared" si="1"/>
        <v>474</v>
      </c>
    </row>
    <row r="79" spans="1:5" ht="18" customHeight="1">
      <c r="A79" s="86">
        <v>76</v>
      </c>
      <c r="B79" s="86" t="s">
        <v>2795</v>
      </c>
      <c r="C79" s="102">
        <v>1702</v>
      </c>
      <c r="D79" s="102">
        <v>0</v>
      </c>
      <c r="E79" s="539">
        <f t="shared" si="1"/>
        <v>1702</v>
      </c>
    </row>
    <row r="80" spans="1:5" ht="18" customHeight="1">
      <c r="A80" s="86">
        <v>77</v>
      </c>
      <c r="B80" s="86" t="s">
        <v>2639</v>
      </c>
      <c r="C80" s="102">
        <v>784</v>
      </c>
      <c r="D80" s="102">
        <v>0</v>
      </c>
      <c r="E80" s="539">
        <f t="shared" si="1"/>
        <v>784</v>
      </c>
    </row>
    <row r="81" spans="1:5" ht="18" customHeight="1">
      <c r="A81" s="86">
        <v>78</v>
      </c>
      <c r="B81" s="86" t="s">
        <v>2659</v>
      </c>
      <c r="C81" s="102">
        <v>1368</v>
      </c>
      <c r="D81" s="102">
        <v>0</v>
      </c>
      <c r="E81" s="539">
        <f t="shared" si="1"/>
        <v>1368</v>
      </c>
    </row>
    <row r="82" spans="1:5" ht="18" customHeight="1">
      <c r="A82" s="86">
        <v>79</v>
      </c>
      <c r="B82" s="86" t="s">
        <v>3310</v>
      </c>
      <c r="C82" s="102">
        <v>859</v>
      </c>
      <c r="D82" s="102">
        <v>0</v>
      </c>
      <c r="E82" s="539">
        <f t="shared" si="1"/>
        <v>859</v>
      </c>
    </row>
    <row r="83" spans="1:5" ht="18" customHeight="1">
      <c r="A83" s="86">
        <v>80</v>
      </c>
      <c r="B83" s="86" t="s">
        <v>2719</v>
      </c>
      <c r="C83" s="102">
        <v>2198</v>
      </c>
      <c r="D83" s="102">
        <v>0</v>
      </c>
      <c r="E83" s="539">
        <f t="shared" si="1"/>
        <v>2198</v>
      </c>
    </row>
    <row r="84" spans="1:5" ht="18" customHeight="1">
      <c r="A84" s="86">
        <v>81</v>
      </c>
      <c r="B84" s="543" t="s">
        <v>3691</v>
      </c>
      <c r="C84" s="102">
        <v>2636</v>
      </c>
      <c r="D84" s="102">
        <v>0</v>
      </c>
      <c r="E84" s="539">
        <f t="shared" si="1"/>
        <v>2636</v>
      </c>
    </row>
    <row r="85" spans="1:5" ht="18" customHeight="1">
      <c r="A85" s="86">
        <v>82</v>
      </c>
      <c r="B85" s="543" t="s">
        <v>3785</v>
      </c>
      <c r="C85" s="102">
        <v>154</v>
      </c>
      <c r="D85" s="102">
        <v>0</v>
      </c>
      <c r="E85" s="539">
        <f t="shared" si="1"/>
        <v>154</v>
      </c>
    </row>
    <row r="86" spans="1:5" ht="18" customHeight="1">
      <c r="A86" s="86">
        <v>83</v>
      </c>
      <c r="B86" s="543" t="s">
        <v>3694</v>
      </c>
      <c r="C86" s="102">
        <v>674</v>
      </c>
      <c r="D86" s="102">
        <v>0</v>
      </c>
      <c r="E86" s="539">
        <f t="shared" si="1"/>
        <v>674</v>
      </c>
    </row>
    <row r="87" spans="1:5" ht="18" customHeight="1">
      <c r="A87" s="86">
        <v>84</v>
      </c>
      <c r="B87" s="543" t="s">
        <v>3695</v>
      </c>
      <c r="C87" s="102">
        <v>238</v>
      </c>
      <c r="D87" s="102">
        <v>0</v>
      </c>
      <c r="E87" s="539">
        <f t="shared" si="1"/>
        <v>238</v>
      </c>
    </row>
    <row r="88" spans="1:5" ht="18" customHeight="1">
      <c r="A88" s="86">
        <v>85</v>
      </c>
      <c r="B88" s="543" t="s">
        <v>2720</v>
      </c>
      <c r="C88" s="102">
        <v>248</v>
      </c>
      <c r="D88" s="102">
        <v>1</v>
      </c>
      <c r="E88" s="539">
        <f t="shared" si="1"/>
        <v>249</v>
      </c>
    </row>
    <row r="89" spans="1:5" ht="18" customHeight="1">
      <c r="A89" s="86">
        <v>86</v>
      </c>
      <c r="B89" s="543" t="s">
        <v>3883</v>
      </c>
      <c r="C89" s="102">
        <v>810</v>
      </c>
      <c r="D89" s="102">
        <v>0</v>
      </c>
      <c r="E89" s="539">
        <f t="shared" si="1"/>
        <v>810</v>
      </c>
    </row>
    <row r="90" spans="1:5" ht="18" customHeight="1">
      <c r="A90" s="86">
        <v>87</v>
      </c>
      <c r="B90" s="543" t="s">
        <v>2722</v>
      </c>
      <c r="C90" s="102">
        <v>805</v>
      </c>
      <c r="D90" s="102">
        <v>0</v>
      </c>
      <c r="E90" s="539">
        <f t="shared" si="1"/>
        <v>805</v>
      </c>
    </row>
    <row r="91" spans="1:5" ht="18" customHeight="1">
      <c r="A91" s="86">
        <v>88</v>
      </c>
      <c r="B91" s="543" t="s">
        <v>3223</v>
      </c>
      <c r="C91" s="102">
        <v>887</v>
      </c>
      <c r="D91" s="102">
        <v>0</v>
      </c>
      <c r="E91" s="539">
        <f t="shared" si="1"/>
        <v>887</v>
      </c>
    </row>
    <row r="92" spans="1:5" ht="18" customHeight="1">
      <c r="A92" s="86">
        <v>89</v>
      </c>
      <c r="B92" s="543" t="s">
        <v>3221</v>
      </c>
      <c r="C92" s="102">
        <v>890</v>
      </c>
      <c r="D92" s="102">
        <v>0</v>
      </c>
      <c r="E92" s="539">
        <f t="shared" si="1"/>
        <v>890</v>
      </c>
    </row>
    <row r="93" spans="1:5" ht="18" customHeight="1">
      <c r="A93" s="86">
        <v>90</v>
      </c>
      <c r="B93" s="543" t="s">
        <v>3698</v>
      </c>
      <c r="C93" s="102">
        <v>1049</v>
      </c>
      <c r="D93" s="102">
        <v>0</v>
      </c>
      <c r="E93" s="539">
        <f t="shared" si="1"/>
        <v>1049</v>
      </c>
    </row>
    <row r="94" spans="1:5" ht="18" customHeight="1">
      <c r="A94" s="86">
        <v>91</v>
      </c>
      <c r="B94" s="543" t="s">
        <v>2798</v>
      </c>
      <c r="C94" s="102">
        <v>91</v>
      </c>
      <c r="D94" s="102">
        <v>0</v>
      </c>
      <c r="E94" s="539">
        <f t="shared" si="1"/>
        <v>91</v>
      </c>
    </row>
    <row r="95" spans="1:5" ht="18" customHeight="1">
      <c r="A95" s="86">
        <v>92</v>
      </c>
      <c r="B95" s="543" t="s">
        <v>2363</v>
      </c>
      <c r="C95" s="102">
        <v>156</v>
      </c>
      <c r="D95" s="102">
        <v>0</v>
      </c>
      <c r="E95" s="539">
        <f t="shared" si="1"/>
        <v>156</v>
      </c>
    </row>
    <row r="96" spans="1:5" ht="18" customHeight="1">
      <c r="A96" s="86">
        <v>93</v>
      </c>
      <c r="B96" s="543" t="s">
        <v>2727</v>
      </c>
      <c r="C96" s="102">
        <v>1934</v>
      </c>
      <c r="D96" s="102">
        <v>0</v>
      </c>
      <c r="E96" s="539">
        <f t="shared" si="1"/>
        <v>1934</v>
      </c>
    </row>
    <row r="97" spans="1:5" ht="18" customHeight="1">
      <c r="A97" s="86">
        <v>94</v>
      </c>
      <c r="B97" s="543" t="s">
        <v>2672</v>
      </c>
      <c r="C97" s="102">
        <v>1635</v>
      </c>
      <c r="D97" s="102">
        <v>1049</v>
      </c>
      <c r="E97" s="539">
        <f t="shared" si="1"/>
        <v>2684</v>
      </c>
    </row>
    <row r="98" spans="1:5" ht="19.5" customHeight="1">
      <c r="A98" s="678" t="s">
        <v>2164</v>
      </c>
      <c r="B98" s="679"/>
      <c r="C98" s="262">
        <f>SUM(C4:C97)</f>
        <v>27742</v>
      </c>
      <c r="D98" s="262">
        <f>SUM(D4:D97)</f>
        <v>44741</v>
      </c>
      <c r="E98" s="262">
        <f t="shared" si="1"/>
        <v>72483</v>
      </c>
    </row>
    <row r="99" spans="1:5">
      <c r="A99" s="114"/>
      <c r="B99" s="114"/>
      <c r="C99" s="114"/>
      <c r="D99" s="114"/>
      <c r="E99" s="106">
        <f t="shared" si="1"/>
        <v>0</v>
      </c>
    </row>
    <row r="100" spans="1:5">
      <c r="A100" s="114"/>
      <c r="B100" s="114"/>
      <c r="C100" s="114"/>
      <c r="D100" s="114"/>
      <c r="E100" s="106">
        <f t="shared" si="1"/>
        <v>0</v>
      </c>
    </row>
    <row r="101" spans="1:5" ht="22.5" customHeight="1">
      <c r="A101" s="680" t="s">
        <v>2186</v>
      </c>
      <c r="B101" s="681"/>
      <c r="C101" s="106">
        <f>SUM(C99:C100)</f>
        <v>0</v>
      </c>
      <c r="D101" s="106">
        <f>SUM(D99:D100)</f>
        <v>0</v>
      </c>
      <c r="E101" s="106">
        <f t="shared" si="1"/>
        <v>0</v>
      </c>
    </row>
    <row r="102" spans="1:5" ht="30.75" customHeight="1">
      <c r="A102" s="682" t="s">
        <v>2187</v>
      </c>
      <c r="B102" s="682"/>
      <c r="C102" s="262">
        <f>C98-C101</f>
        <v>27742</v>
      </c>
      <c r="D102" s="262">
        <f>D98-D101</f>
        <v>44741</v>
      </c>
      <c r="E102" s="262">
        <f t="shared" si="1"/>
        <v>72483</v>
      </c>
    </row>
    <row r="103" spans="1:5">
      <c r="C103" s="124">
        <f>'13-УСЛУГЕ-РФЗО 2021'!O4357</f>
        <v>72763</v>
      </c>
      <c r="D103" s="124">
        <f>'13-УСЛУГЕ-РФЗО 2021'!AO4357</f>
        <v>0</v>
      </c>
    </row>
    <row r="104" spans="1:5">
      <c r="C104" s="124">
        <f>C102-C103</f>
        <v>-45021</v>
      </c>
      <c r="D104" s="124"/>
      <c r="E104" s="129"/>
    </row>
    <row r="105" spans="1:5">
      <c r="C105" s="89">
        <f>C102+D102</f>
        <v>72483</v>
      </c>
      <c r="D105" s="204"/>
    </row>
    <row r="106" spans="1:5" ht="30.75" customHeight="1">
      <c r="B106" s="556" t="s">
        <v>4023</v>
      </c>
      <c r="C106" s="124">
        <f>C105-C103</f>
        <v>-280</v>
      </c>
    </row>
  </sheetData>
  <mergeCells count="4">
    <mergeCell ref="A1:E1"/>
    <mergeCell ref="A98:B98"/>
    <mergeCell ref="A101:B101"/>
    <mergeCell ref="A102:B102"/>
  </mergeCells>
  <pageMargins left="0.70866141732283472" right="0.70866141732283472" top="0.19685039370078741" bottom="0.19685039370078741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F67"/>
  <sheetViews>
    <sheetView topLeftCell="A55" workbookViewId="0">
      <selection activeCell="C66" sqref="C66"/>
    </sheetView>
  </sheetViews>
  <sheetFormatPr defaultRowHeight="15.75"/>
  <cols>
    <col min="1" max="1" width="11.5703125" style="85" customWidth="1"/>
    <col min="2" max="2" width="93.7109375" style="85" customWidth="1"/>
    <col min="3" max="4" width="12.140625" style="85" customWidth="1"/>
    <col min="5" max="5" width="11" style="85" customWidth="1"/>
    <col min="6" max="16384" width="9.140625" style="84"/>
  </cols>
  <sheetData>
    <row r="1" spans="1:6" ht="16.5" thickBot="1"/>
    <row r="2" spans="1:6" ht="38.25" customHeight="1" thickTop="1" thickBot="1">
      <c r="A2" s="676" t="s">
        <v>4039</v>
      </c>
      <c r="B2" s="676"/>
      <c r="C2" s="676"/>
      <c r="D2" s="676"/>
      <c r="E2" s="676"/>
    </row>
    <row r="3" spans="1:6" ht="16.5" thickTop="1"/>
    <row r="4" spans="1:6" ht="42.75" customHeight="1">
      <c r="A4" s="107" t="s">
        <v>2638</v>
      </c>
      <c r="B4" s="243" t="s">
        <v>1914</v>
      </c>
      <c r="C4" s="242" t="s">
        <v>1911</v>
      </c>
      <c r="D4" s="242" t="s">
        <v>1912</v>
      </c>
      <c r="E4" s="242" t="s">
        <v>1913</v>
      </c>
    </row>
    <row r="5" spans="1:6" ht="21" customHeight="1">
      <c r="A5" s="87">
        <v>1</v>
      </c>
      <c r="B5" s="87" t="s">
        <v>2356</v>
      </c>
      <c r="C5" s="102">
        <v>0</v>
      </c>
      <c r="D5" s="102">
        <v>205</v>
      </c>
      <c r="E5" s="243">
        <f>SUM(C5:D5)</f>
        <v>205</v>
      </c>
      <c r="F5" s="90"/>
    </row>
    <row r="6" spans="1:6" ht="21" customHeight="1">
      <c r="A6" s="87">
        <v>3</v>
      </c>
      <c r="B6" s="87" t="s">
        <v>2794</v>
      </c>
      <c r="C6" s="102">
        <v>0</v>
      </c>
      <c r="D6" s="102">
        <v>69</v>
      </c>
      <c r="E6" s="243">
        <f t="shared" ref="E6:E63" si="0">SUM(C6:D6)</f>
        <v>69</v>
      </c>
      <c r="F6" s="90"/>
    </row>
    <row r="7" spans="1:6" ht="21" customHeight="1">
      <c r="A7" s="87">
        <v>4</v>
      </c>
      <c r="B7" s="87" t="s">
        <v>3165</v>
      </c>
      <c r="C7" s="102">
        <v>0</v>
      </c>
      <c r="D7" s="102">
        <v>2</v>
      </c>
      <c r="E7" s="243">
        <f t="shared" si="0"/>
        <v>2</v>
      </c>
      <c r="F7" s="90"/>
    </row>
    <row r="8" spans="1:6" ht="21" customHeight="1">
      <c r="A8" s="87">
        <v>6</v>
      </c>
      <c r="B8" s="87" t="s">
        <v>2800</v>
      </c>
      <c r="C8" s="102">
        <v>0</v>
      </c>
      <c r="D8" s="102">
        <v>3</v>
      </c>
      <c r="E8" s="243">
        <f t="shared" si="0"/>
        <v>3</v>
      </c>
      <c r="F8" s="90"/>
    </row>
    <row r="9" spans="1:6" ht="21" customHeight="1">
      <c r="A9" s="87">
        <v>7</v>
      </c>
      <c r="B9" s="87" t="s">
        <v>3166</v>
      </c>
      <c r="C9" s="102">
        <v>5</v>
      </c>
      <c r="D9" s="102">
        <v>11</v>
      </c>
      <c r="E9" s="243">
        <f t="shared" si="0"/>
        <v>16</v>
      </c>
      <c r="F9" s="90"/>
    </row>
    <row r="10" spans="1:6" ht="21" customHeight="1">
      <c r="A10" s="87">
        <v>8</v>
      </c>
      <c r="B10" s="87" t="s">
        <v>2640</v>
      </c>
      <c r="C10" s="102">
        <v>0</v>
      </c>
      <c r="D10" s="102">
        <v>1</v>
      </c>
      <c r="E10" s="243">
        <f t="shared" si="0"/>
        <v>1</v>
      </c>
      <c r="F10" s="90"/>
    </row>
    <row r="11" spans="1:6" ht="21" customHeight="1">
      <c r="A11" s="87">
        <v>10</v>
      </c>
      <c r="B11" s="87" t="s">
        <v>2641</v>
      </c>
      <c r="C11" s="102">
        <v>0</v>
      </c>
      <c r="D11" s="102">
        <v>52</v>
      </c>
      <c r="E11" s="243">
        <f t="shared" si="0"/>
        <v>52</v>
      </c>
      <c r="F11" s="90"/>
    </row>
    <row r="12" spans="1:6" ht="21" customHeight="1">
      <c r="A12" s="87">
        <v>11</v>
      </c>
      <c r="B12" s="87" t="s">
        <v>2358</v>
      </c>
      <c r="C12" s="102">
        <v>0</v>
      </c>
      <c r="D12" s="102">
        <v>92</v>
      </c>
      <c r="E12" s="243">
        <f t="shared" si="0"/>
        <v>92</v>
      </c>
      <c r="F12" s="90"/>
    </row>
    <row r="13" spans="1:6" ht="21" customHeight="1">
      <c r="A13" s="87">
        <v>12</v>
      </c>
      <c r="B13" s="87" t="s">
        <v>2358</v>
      </c>
      <c r="C13" s="102">
        <v>18</v>
      </c>
      <c r="D13" s="102">
        <v>0</v>
      </c>
      <c r="E13" s="243">
        <f t="shared" si="0"/>
        <v>18</v>
      </c>
      <c r="F13" s="96"/>
    </row>
    <row r="14" spans="1:6" ht="21" customHeight="1">
      <c r="A14" s="87">
        <v>13</v>
      </c>
      <c r="B14" s="87" t="s">
        <v>2359</v>
      </c>
      <c r="C14" s="102">
        <v>15</v>
      </c>
      <c r="D14" s="102">
        <v>0</v>
      </c>
      <c r="E14" s="243">
        <f t="shared" si="0"/>
        <v>15</v>
      </c>
      <c r="F14" s="90"/>
    </row>
    <row r="15" spans="1:6" ht="21" customHeight="1">
      <c r="A15" s="87">
        <v>15</v>
      </c>
      <c r="B15" s="87" t="s">
        <v>2360</v>
      </c>
      <c r="C15" s="102">
        <v>0</v>
      </c>
      <c r="D15" s="102">
        <v>1</v>
      </c>
      <c r="E15" s="243">
        <f t="shared" si="0"/>
        <v>1</v>
      </c>
      <c r="F15" s="90"/>
    </row>
    <row r="16" spans="1:6" ht="21" customHeight="1">
      <c r="A16" s="87">
        <v>16</v>
      </c>
      <c r="B16" s="87" t="s">
        <v>2894</v>
      </c>
      <c r="C16" s="102">
        <v>0</v>
      </c>
      <c r="D16" s="102">
        <v>35</v>
      </c>
      <c r="E16" s="243">
        <f t="shared" si="0"/>
        <v>35</v>
      </c>
      <c r="F16" s="90"/>
    </row>
    <row r="17" spans="1:6" ht="21" customHeight="1">
      <c r="A17" s="87">
        <v>17</v>
      </c>
      <c r="B17" s="87" t="s">
        <v>2642</v>
      </c>
      <c r="C17" s="102">
        <v>0</v>
      </c>
      <c r="D17" s="102">
        <v>844</v>
      </c>
      <c r="E17" s="243">
        <f t="shared" si="0"/>
        <v>844</v>
      </c>
      <c r="F17" s="90"/>
    </row>
    <row r="18" spans="1:6" ht="21" customHeight="1">
      <c r="A18" s="87">
        <v>19</v>
      </c>
      <c r="B18" s="87" t="s">
        <v>2720</v>
      </c>
      <c r="C18" s="102">
        <v>0</v>
      </c>
      <c r="D18" s="102">
        <v>2</v>
      </c>
      <c r="E18" s="243">
        <f t="shared" si="0"/>
        <v>2</v>
      </c>
      <c r="F18" s="90"/>
    </row>
    <row r="19" spans="1:6" ht="21" customHeight="1">
      <c r="A19" s="87">
        <v>21</v>
      </c>
      <c r="B19" s="87" t="s">
        <v>2644</v>
      </c>
      <c r="C19" s="102">
        <v>0</v>
      </c>
      <c r="D19" s="102">
        <v>1</v>
      </c>
      <c r="E19" s="243">
        <f t="shared" si="0"/>
        <v>1</v>
      </c>
      <c r="F19" s="90"/>
    </row>
    <row r="20" spans="1:6" ht="21" customHeight="1">
      <c r="A20" s="87">
        <v>22</v>
      </c>
      <c r="B20" s="87" t="s">
        <v>3718</v>
      </c>
      <c r="C20" s="102">
        <v>0</v>
      </c>
      <c r="D20" s="102">
        <v>2</v>
      </c>
      <c r="E20" s="243">
        <f t="shared" si="0"/>
        <v>2</v>
      </c>
      <c r="F20" s="90"/>
    </row>
    <row r="21" spans="1:6" ht="21" customHeight="1">
      <c r="A21" s="87">
        <v>23</v>
      </c>
      <c r="B21" s="87" t="s">
        <v>2722</v>
      </c>
      <c r="C21" s="102">
        <v>0</v>
      </c>
      <c r="D21" s="102">
        <v>9</v>
      </c>
      <c r="E21" s="243">
        <f t="shared" si="0"/>
        <v>9</v>
      </c>
      <c r="F21" s="96"/>
    </row>
    <row r="22" spans="1:6" ht="21" customHeight="1">
      <c r="A22" s="87">
        <v>24</v>
      </c>
      <c r="B22" s="87" t="s">
        <v>2722</v>
      </c>
      <c r="C22" s="102">
        <v>2</v>
      </c>
      <c r="D22" s="102">
        <v>0</v>
      </c>
      <c r="E22" s="243">
        <f t="shared" si="0"/>
        <v>2</v>
      </c>
      <c r="F22" s="96"/>
    </row>
    <row r="23" spans="1:6" ht="21" customHeight="1">
      <c r="A23" s="87">
        <v>25</v>
      </c>
      <c r="B23" s="87" t="s">
        <v>2722</v>
      </c>
      <c r="C23" s="102">
        <v>1</v>
      </c>
      <c r="D23" s="102">
        <v>0</v>
      </c>
      <c r="E23" s="243">
        <f t="shared" si="0"/>
        <v>1</v>
      </c>
      <c r="F23" s="90"/>
    </row>
    <row r="24" spans="1:6" ht="21" customHeight="1">
      <c r="A24" s="87"/>
      <c r="B24" s="87" t="s">
        <v>3223</v>
      </c>
      <c r="C24" s="102">
        <v>0</v>
      </c>
      <c r="D24" s="102">
        <v>4</v>
      </c>
      <c r="E24" s="243">
        <f t="shared" si="0"/>
        <v>4</v>
      </c>
      <c r="F24" s="90"/>
    </row>
    <row r="25" spans="1:6" ht="21" customHeight="1">
      <c r="A25" s="87">
        <v>26</v>
      </c>
      <c r="B25" s="87" t="s">
        <v>3223</v>
      </c>
      <c r="C25" s="102">
        <v>0</v>
      </c>
      <c r="D25" s="102">
        <v>72</v>
      </c>
      <c r="E25" s="243">
        <f t="shared" si="0"/>
        <v>72</v>
      </c>
      <c r="F25" s="90"/>
    </row>
    <row r="26" spans="1:6" ht="21" customHeight="1">
      <c r="A26" s="87"/>
      <c r="B26" s="87" t="s">
        <v>4043</v>
      </c>
      <c r="C26" s="102">
        <v>0</v>
      </c>
      <c r="D26" s="102">
        <v>2</v>
      </c>
      <c r="E26" s="243">
        <f t="shared" si="0"/>
        <v>2</v>
      </c>
      <c r="F26" s="90"/>
    </row>
    <row r="27" spans="1:6" ht="21" customHeight="1">
      <c r="A27" s="87">
        <v>27</v>
      </c>
      <c r="B27" s="87" t="s">
        <v>4044</v>
      </c>
      <c r="C27" s="102">
        <v>0</v>
      </c>
      <c r="D27" s="102">
        <v>125</v>
      </c>
      <c r="E27" s="243">
        <f t="shared" si="0"/>
        <v>125</v>
      </c>
      <c r="F27" s="90"/>
    </row>
    <row r="28" spans="1:6" ht="21" customHeight="1">
      <c r="A28" s="87">
        <v>28</v>
      </c>
      <c r="B28" s="87" t="s">
        <v>2373</v>
      </c>
      <c r="C28" s="102">
        <v>0</v>
      </c>
      <c r="D28" s="102">
        <v>22</v>
      </c>
      <c r="E28" s="243">
        <f t="shared" si="0"/>
        <v>22</v>
      </c>
      <c r="F28" s="90"/>
    </row>
    <row r="29" spans="1:6" ht="21" customHeight="1">
      <c r="A29" s="87">
        <v>29</v>
      </c>
      <c r="B29" s="87" t="s">
        <v>2364</v>
      </c>
      <c r="C29" s="102">
        <v>0</v>
      </c>
      <c r="D29" s="102">
        <v>31</v>
      </c>
      <c r="E29" s="243">
        <f t="shared" si="0"/>
        <v>31</v>
      </c>
      <c r="F29" s="90"/>
    </row>
    <row r="30" spans="1:6" ht="21" customHeight="1">
      <c r="A30" s="87">
        <v>30</v>
      </c>
      <c r="B30" s="87" t="s">
        <v>2646</v>
      </c>
      <c r="C30" s="102">
        <v>0</v>
      </c>
      <c r="D30" s="102">
        <v>118</v>
      </c>
      <c r="E30" s="243">
        <f t="shared" si="0"/>
        <v>118</v>
      </c>
      <c r="F30" s="90"/>
    </row>
    <row r="31" spans="1:6" ht="21" customHeight="1">
      <c r="A31" s="87">
        <v>31</v>
      </c>
      <c r="B31" s="87" t="s">
        <v>717</v>
      </c>
      <c r="C31" s="102">
        <v>156</v>
      </c>
      <c r="D31" s="102">
        <v>0</v>
      </c>
      <c r="E31" s="243">
        <f t="shared" si="0"/>
        <v>156</v>
      </c>
      <c r="F31" s="96"/>
    </row>
    <row r="32" spans="1:6" ht="21" customHeight="1">
      <c r="A32" s="87">
        <v>32</v>
      </c>
      <c r="B32" s="87" t="s">
        <v>3860</v>
      </c>
      <c r="C32" s="102">
        <v>12</v>
      </c>
      <c r="D32" s="102">
        <v>0</v>
      </c>
      <c r="E32" s="243">
        <f t="shared" si="0"/>
        <v>12</v>
      </c>
      <c r="F32" s="96"/>
    </row>
    <row r="33" spans="1:6" ht="21" customHeight="1">
      <c r="A33" s="87">
        <v>33</v>
      </c>
      <c r="B33" s="87" t="s">
        <v>728</v>
      </c>
      <c r="C33" s="102">
        <v>16</v>
      </c>
      <c r="D33" s="102">
        <v>0</v>
      </c>
      <c r="E33" s="243">
        <f t="shared" si="0"/>
        <v>16</v>
      </c>
      <c r="F33" s="90"/>
    </row>
    <row r="34" spans="1:6" ht="21" customHeight="1">
      <c r="A34" s="87">
        <v>34</v>
      </c>
      <c r="B34" s="87" t="s">
        <v>723</v>
      </c>
      <c r="C34" s="102">
        <v>3</v>
      </c>
      <c r="D34" s="102">
        <v>0</v>
      </c>
      <c r="E34" s="243">
        <f t="shared" si="0"/>
        <v>3</v>
      </c>
      <c r="F34" s="90"/>
    </row>
    <row r="35" spans="1:6" ht="21" customHeight="1">
      <c r="A35" s="87">
        <v>35</v>
      </c>
      <c r="B35" s="87" t="s">
        <v>726</v>
      </c>
      <c r="C35" s="102">
        <v>155</v>
      </c>
      <c r="D35" s="102">
        <v>0</v>
      </c>
      <c r="E35" s="243">
        <f t="shared" si="0"/>
        <v>155</v>
      </c>
      <c r="F35" s="90"/>
    </row>
    <row r="36" spans="1:6" ht="21" customHeight="1">
      <c r="A36" s="87">
        <v>36</v>
      </c>
      <c r="B36" s="87" t="s">
        <v>2647</v>
      </c>
      <c r="C36" s="102">
        <v>39</v>
      </c>
      <c r="D36" s="102">
        <v>0</v>
      </c>
      <c r="E36" s="243">
        <f t="shared" si="0"/>
        <v>39</v>
      </c>
      <c r="F36" s="90"/>
    </row>
    <row r="37" spans="1:6" ht="21" customHeight="1">
      <c r="A37" s="87">
        <v>37</v>
      </c>
      <c r="B37" s="87" t="s">
        <v>722</v>
      </c>
      <c r="C37" s="102">
        <v>10</v>
      </c>
      <c r="D37" s="102">
        <v>0</v>
      </c>
      <c r="E37" s="243">
        <f t="shared" si="0"/>
        <v>10</v>
      </c>
      <c r="F37" s="90"/>
    </row>
    <row r="38" spans="1:6" ht="21" customHeight="1">
      <c r="A38" s="87">
        <v>38</v>
      </c>
      <c r="B38" s="87" t="s">
        <v>2648</v>
      </c>
      <c r="C38" s="102">
        <v>11</v>
      </c>
      <c r="D38" s="102">
        <v>0</v>
      </c>
      <c r="E38" s="243">
        <f t="shared" si="0"/>
        <v>11</v>
      </c>
      <c r="F38" s="90"/>
    </row>
    <row r="39" spans="1:6" ht="21" customHeight="1">
      <c r="A39" s="87">
        <v>39</v>
      </c>
      <c r="B39" s="87" t="s">
        <v>4045</v>
      </c>
      <c r="C39" s="102">
        <v>13</v>
      </c>
      <c r="D39" s="102">
        <v>0</v>
      </c>
      <c r="E39" s="243">
        <f t="shared" si="0"/>
        <v>13</v>
      </c>
      <c r="F39" s="90"/>
    </row>
    <row r="40" spans="1:6" ht="21" customHeight="1">
      <c r="A40" s="87">
        <v>40</v>
      </c>
      <c r="B40" s="87" t="s">
        <v>2649</v>
      </c>
      <c r="C40" s="102">
        <v>2</v>
      </c>
      <c r="D40" s="102">
        <v>0</v>
      </c>
      <c r="E40" s="243">
        <f t="shared" si="0"/>
        <v>2</v>
      </c>
      <c r="F40" s="90"/>
    </row>
    <row r="41" spans="1:6" ht="21" customHeight="1">
      <c r="A41" s="87">
        <v>41</v>
      </c>
      <c r="B41" s="87" t="s">
        <v>2650</v>
      </c>
      <c r="C41" s="102">
        <v>9</v>
      </c>
      <c r="D41" s="102">
        <v>0</v>
      </c>
      <c r="E41" s="243">
        <f t="shared" si="0"/>
        <v>9</v>
      </c>
      <c r="F41" s="90"/>
    </row>
    <row r="42" spans="1:6" ht="21" customHeight="1">
      <c r="A42" s="87">
        <v>42</v>
      </c>
      <c r="B42" s="87" t="s">
        <v>2365</v>
      </c>
      <c r="C42" s="102">
        <v>0</v>
      </c>
      <c r="D42" s="102">
        <v>28</v>
      </c>
      <c r="E42" s="243">
        <f t="shared" si="0"/>
        <v>28</v>
      </c>
      <c r="F42" s="90"/>
    </row>
    <row r="43" spans="1:6" ht="21" customHeight="1">
      <c r="A43" s="87">
        <v>43</v>
      </c>
      <c r="B43" s="87" t="s">
        <v>2365</v>
      </c>
      <c r="C43" s="102">
        <v>0</v>
      </c>
      <c r="D43" s="102">
        <v>114</v>
      </c>
      <c r="E43" s="243">
        <f t="shared" si="0"/>
        <v>114</v>
      </c>
      <c r="F43" s="90"/>
    </row>
    <row r="44" spans="1:6" ht="21" customHeight="1">
      <c r="A44" s="87">
        <v>44</v>
      </c>
      <c r="B44" s="87"/>
      <c r="C44" s="102"/>
      <c r="D44" s="102"/>
      <c r="E44" s="243"/>
      <c r="F44" s="90"/>
    </row>
    <row r="45" spans="1:6" ht="21" customHeight="1">
      <c r="A45" s="87">
        <v>45</v>
      </c>
      <c r="B45" s="87"/>
      <c r="C45" s="102"/>
      <c r="D45" s="102"/>
      <c r="E45" s="243"/>
      <c r="F45" s="90"/>
    </row>
    <row r="46" spans="1:6" ht="21" customHeight="1">
      <c r="A46" s="87">
        <v>46</v>
      </c>
      <c r="B46" s="87"/>
      <c r="C46" s="102"/>
      <c r="D46" s="102"/>
      <c r="E46" s="243"/>
      <c r="F46" s="90"/>
    </row>
    <row r="47" spans="1:6" ht="21" customHeight="1">
      <c r="A47" s="87">
        <v>47</v>
      </c>
      <c r="B47" s="87"/>
      <c r="C47" s="102"/>
      <c r="D47" s="102"/>
      <c r="E47" s="243"/>
      <c r="F47" s="90"/>
    </row>
    <row r="48" spans="1:6" ht="21" customHeight="1">
      <c r="A48" s="674" t="s">
        <v>2406</v>
      </c>
      <c r="B48" s="675"/>
      <c r="C48" s="126"/>
      <c r="D48" s="126"/>
      <c r="E48" s="243">
        <f t="shared" si="0"/>
        <v>0</v>
      </c>
      <c r="F48" s="90"/>
    </row>
    <row r="49" spans="1:6" ht="21" customHeight="1">
      <c r="A49" s="243"/>
      <c r="B49" s="243"/>
      <c r="C49" s="126"/>
      <c r="D49" s="126"/>
      <c r="E49" s="243">
        <f t="shared" si="0"/>
        <v>0</v>
      </c>
      <c r="F49" s="90"/>
    </row>
    <row r="50" spans="1:6" ht="21" customHeight="1">
      <c r="A50" s="243"/>
      <c r="B50" s="242"/>
      <c r="C50" s="126"/>
      <c r="D50" s="126"/>
      <c r="E50" s="243">
        <f t="shared" si="0"/>
        <v>0</v>
      </c>
      <c r="F50" s="90"/>
    </row>
    <row r="51" spans="1:6" ht="21" customHeight="1">
      <c r="A51" s="243"/>
      <c r="B51" s="243"/>
      <c r="C51" s="126"/>
      <c r="D51" s="126"/>
      <c r="E51" s="243">
        <f t="shared" si="0"/>
        <v>0</v>
      </c>
      <c r="F51" s="90"/>
    </row>
    <row r="52" spans="1:6" ht="21" customHeight="1">
      <c r="A52" s="243"/>
      <c r="B52" s="243"/>
      <c r="C52" s="126"/>
      <c r="D52" s="126"/>
      <c r="E52" s="243">
        <f t="shared" si="0"/>
        <v>0</v>
      </c>
      <c r="F52" s="90"/>
    </row>
    <row r="53" spans="1:6" ht="21" customHeight="1">
      <c r="A53" s="243"/>
      <c r="B53" s="243"/>
      <c r="C53" s="126"/>
      <c r="D53" s="126"/>
      <c r="E53" s="243">
        <f t="shared" si="0"/>
        <v>0</v>
      </c>
      <c r="F53" s="90"/>
    </row>
    <row r="54" spans="1:6" ht="21" customHeight="1">
      <c r="A54" s="243"/>
      <c r="B54" s="242"/>
      <c r="C54" s="126"/>
      <c r="D54" s="126"/>
      <c r="E54" s="243">
        <f t="shared" si="0"/>
        <v>0</v>
      </c>
      <c r="F54" s="90"/>
    </row>
    <row r="55" spans="1:6" ht="21" customHeight="1">
      <c r="A55" s="243"/>
      <c r="B55" s="243"/>
      <c r="C55" s="126"/>
      <c r="D55" s="126"/>
      <c r="E55" s="243">
        <f t="shared" si="0"/>
        <v>0</v>
      </c>
      <c r="F55" s="90"/>
    </row>
    <row r="56" spans="1:6" ht="23.25" customHeight="1">
      <c r="A56" s="243"/>
      <c r="B56" s="208"/>
      <c r="C56" s="126"/>
      <c r="D56" s="126"/>
      <c r="E56" s="243">
        <f t="shared" si="0"/>
        <v>0</v>
      </c>
      <c r="F56" s="90"/>
    </row>
    <row r="57" spans="1:6" ht="21" customHeight="1">
      <c r="A57" s="87"/>
      <c r="B57" s="87"/>
      <c r="C57" s="102"/>
      <c r="D57" s="102"/>
      <c r="E57" s="243">
        <f t="shared" si="0"/>
        <v>0</v>
      </c>
      <c r="F57" s="90"/>
    </row>
    <row r="58" spans="1:6" ht="21" customHeight="1">
      <c r="A58" s="87"/>
      <c r="B58" s="87"/>
      <c r="C58" s="102"/>
      <c r="D58" s="102"/>
      <c r="E58" s="243">
        <f t="shared" si="0"/>
        <v>0</v>
      </c>
      <c r="F58" s="90"/>
    </row>
    <row r="59" spans="1:6" ht="44.25" customHeight="1">
      <c r="A59" s="674" t="s">
        <v>2164</v>
      </c>
      <c r="B59" s="675"/>
      <c r="C59" s="243">
        <f>SUM(C5:C58)</f>
        <v>467</v>
      </c>
      <c r="D59" s="243">
        <f>SUM(D5:D58)</f>
        <v>1845</v>
      </c>
      <c r="E59" s="243">
        <f t="shared" si="0"/>
        <v>2312</v>
      </c>
      <c r="F59" s="90"/>
    </row>
    <row r="60" spans="1:6">
      <c r="A60" s="108"/>
      <c r="B60" s="108"/>
      <c r="C60" s="108"/>
      <c r="D60" s="108"/>
      <c r="E60" s="109">
        <f t="shared" si="0"/>
        <v>0</v>
      </c>
      <c r="F60" s="90"/>
    </row>
    <row r="61" spans="1:6">
      <c r="A61" s="108"/>
      <c r="B61" s="108"/>
      <c r="C61" s="108"/>
      <c r="D61" s="108"/>
      <c r="E61" s="109">
        <f t="shared" si="0"/>
        <v>0</v>
      </c>
      <c r="F61" s="90"/>
    </row>
    <row r="62" spans="1:6" ht="30.75" customHeight="1">
      <c r="A62" s="672" t="s">
        <v>2188</v>
      </c>
      <c r="B62" s="673"/>
      <c r="C62" s="109">
        <f>SUM(C60:C61)</f>
        <v>0</v>
      </c>
      <c r="D62" s="109">
        <f>SUM(D60:D61)</f>
        <v>0</v>
      </c>
      <c r="E62" s="109">
        <f t="shared" si="0"/>
        <v>0</v>
      </c>
      <c r="F62" s="90"/>
    </row>
    <row r="63" spans="1:6" ht="36.75" customHeight="1">
      <c r="A63" s="674" t="s">
        <v>2187</v>
      </c>
      <c r="B63" s="675"/>
      <c r="C63" s="243">
        <f>C59-C62</f>
        <v>467</v>
      </c>
      <c r="D63" s="243">
        <f>D59-D62</f>
        <v>1845</v>
      </c>
      <c r="E63" s="243">
        <f t="shared" si="0"/>
        <v>2312</v>
      </c>
      <c r="F63" s="90"/>
    </row>
    <row r="65" spans="2:4">
      <c r="C65" s="207">
        <f>'13-УСЛУГЕ-РФЗО 2021'!P4356</f>
        <v>467</v>
      </c>
      <c r="D65" s="207">
        <f>'13-УСЛУГЕ-РФЗО 2021'!AP4356</f>
        <v>2481</v>
      </c>
    </row>
    <row r="66" spans="2:4">
      <c r="B66" s="85" t="s">
        <v>3298</v>
      </c>
      <c r="C66" s="207">
        <f>C63-C65</f>
        <v>0</v>
      </c>
      <c r="D66" s="207">
        <f>D63-D65</f>
        <v>-636</v>
      </c>
    </row>
    <row r="67" spans="2:4">
      <c r="C67" s="207"/>
      <c r="D67" s="207"/>
    </row>
  </sheetData>
  <mergeCells count="5">
    <mergeCell ref="A2:E2"/>
    <mergeCell ref="A48:B48"/>
    <mergeCell ref="A59:B59"/>
    <mergeCell ref="A62:B62"/>
    <mergeCell ref="A63:B63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G132"/>
  <sheetViews>
    <sheetView topLeftCell="A115" workbookViewId="0">
      <selection activeCell="B131" sqref="B131"/>
    </sheetView>
  </sheetViews>
  <sheetFormatPr defaultRowHeight="15.75"/>
  <cols>
    <col min="1" max="1" width="14" style="89" customWidth="1"/>
    <col min="2" max="2" width="62.140625" style="89" customWidth="1"/>
    <col min="3" max="5" width="17.85546875" style="89" customWidth="1"/>
    <col min="6" max="32" width="0" style="90" hidden="1" customWidth="1"/>
    <col min="33" max="16384" width="9.140625" style="90"/>
  </cols>
  <sheetData>
    <row r="1" spans="1:5" ht="38.25" customHeight="1" thickTop="1" thickBot="1">
      <c r="A1" s="677" t="s">
        <v>4040</v>
      </c>
      <c r="B1" s="677"/>
      <c r="C1" s="677"/>
      <c r="D1" s="677"/>
      <c r="E1" s="677"/>
    </row>
    <row r="2" spans="1:5" ht="16.5" thickTop="1"/>
    <row r="3" spans="1:5" ht="30.75" customHeight="1">
      <c r="A3" s="115" t="s">
        <v>2638</v>
      </c>
      <c r="B3" s="262" t="s">
        <v>1914</v>
      </c>
      <c r="C3" s="262" t="s">
        <v>1912</v>
      </c>
      <c r="D3" s="262" t="s">
        <v>1911</v>
      </c>
      <c r="E3" s="262" t="s">
        <v>1913</v>
      </c>
    </row>
    <row r="4" spans="1:5" ht="16.5" customHeight="1">
      <c r="A4" s="86">
        <v>1</v>
      </c>
      <c r="B4" s="86" t="s">
        <v>2652</v>
      </c>
      <c r="C4" s="102">
        <v>0</v>
      </c>
      <c r="D4" s="102">
        <v>12627</v>
      </c>
      <c r="E4" s="262">
        <f>SUM(C4:D4)</f>
        <v>12627</v>
      </c>
    </row>
    <row r="5" spans="1:5" ht="16.5" customHeight="1">
      <c r="A5" s="86">
        <v>2</v>
      </c>
      <c r="B5" s="86" t="s">
        <v>2366</v>
      </c>
      <c r="C5" s="102">
        <v>584</v>
      </c>
      <c r="D5" s="102">
        <v>0</v>
      </c>
      <c r="E5" s="262">
        <f t="shared" ref="E5:E60" si="0">SUM(C5:D5)</f>
        <v>584</v>
      </c>
    </row>
    <row r="6" spans="1:5" ht="16.5" customHeight="1">
      <c r="A6" s="86">
        <v>3</v>
      </c>
      <c r="B6" s="86" t="s">
        <v>2894</v>
      </c>
      <c r="C6" s="102">
        <v>0</v>
      </c>
      <c r="D6" s="102">
        <v>2</v>
      </c>
      <c r="E6" s="262">
        <f t="shared" si="0"/>
        <v>2</v>
      </c>
    </row>
    <row r="7" spans="1:5" ht="16.5" customHeight="1">
      <c r="A7" s="86">
        <v>4</v>
      </c>
      <c r="B7" s="86" t="s">
        <v>3732</v>
      </c>
      <c r="C7" s="102">
        <v>68</v>
      </c>
      <c r="D7" s="102">
        <v>0</v>
      </c>
      <c r="E7" s="262">
        <f t="shared" si="0"/>
        <v>68</v>
      </c>
    </row>
    <row r="8" spans="1:5" ht="16.5" customHeight="1">
      <c r="A8" s="86">
        <v>5</v>
      </c>
      <c r="B8" s="86" t="s">
        <v>4046</v>
      </c>
      <c r="C8" s="102">
        <v>45641</v>
      </c>
      <c r="D8" s="102">
        <v>0</v>
      </c>
      <c r="E8" s="262">
        <f t="shared" si="0"/>
        <v>45641</v>
      </c>
    </row>
    <row r="9" spans="1:5" ht="16.5" customHeight="1">
      <c r="A9" s="86">
        <v>6</v>
      </c>
      <c r="B9" s="206" t="s">
        <v>2636</v>
      </c>
      <c r="C9" s="102">
        <v>0</v>
      </c>
      <c r="D9" s="102">
        <v>74</v>
      </c>
      <c r="E9" s="262">
        <f t="shared" si="0"/>
        <v>74</v>
      </c>
    </row>
    <row r="10" spans="1:5" ht="16.5" customHeight="1">
      <c r="A10" s="86">
        <v>7</v>
      </c>
      <c r="B10" s="86" t="s">
        <v>2637</v>
      </c>
      <c r="C10" s="102">
        <v>0</v>
      </c>
      <c r="D10" s="102">
        <v>26</v>
      </c>
      <c r="E10" s="262">
        <f t="shared" si="0"/>
        <v>26</v>
      </c>
    </row>
    <row r="11" spans="1:5" ht="16.5" customHeight="1">
      <c r="A11" s="86">
        <v>8</v>
      </c>
      <c r="B11" s="86" t="s">
        <v>2654</v>
      </c>
      <c r="C11" s="102">
        <v>0</v>
      </c>
      <c r="D11" s="102">
        <v>50</v>
      </c>
      <c r="E11" s="262">
        <f t="shared" si="0"/>
        <v>50</v>
      </c>
    </row>
    <row r="12" spans="1:5" ht="16.5" customHeight="1">
      <c r="A12" s="86">
        <v>9</v>
      </c>
      <c r="B12" s="86" t="s">
        <v>2655</v>
      </c>
      <c r="C12" s="102">
        <v>0</v>
      </c>
      <c r="D12" s="102">
        <v>4803</v>
      </c>
      <c r="E12" s="262">
        <f t="shared" si="0"/>
        <v>4803</v>
      </c>
    </row>
    <row r="13" spans="1:5" ht="16.5" customHeight="1">
      <c r="A13" s="86">
        <v>10</v>
      </c>
      <c r="B13" s="86" t="s">
        <v>3852</v>
      </c>
      <c r="C13" s="102">
        <v>0</v>
      </c>
      <c r="D13" s="102">
        <v>4</v>
      </c>
      <c r="E13" s="262">
        <f t="shared" si="0"/>
        <v>4</v>
      </c>
    </row>
    <row r="14" spans="1:5" ht="16.5" customHeight="1">
      <c r="A14" s="86">
        <v>11</v>
      </c>
      <c r="B14" s="86" t="s">
        <v>2656</v>
      </c>
      <c r="C14" s="102">
        <v>0</v>
      </c>
      <c r="D14" s="102">
        <v>679</v>
      </c>
      <c r="E14" s="262">
        <f t="shared" si="0"/>
        <v>679</v>
      </c>
    </row>
    <row r="15" spans="1:5" ht="16.5" customHeight="1">
      <c r="A15" s="86">
        <v>12</v>
      </c>
      <c r="B15" s="86" t="s">
        <v>3735</v>
      </c>
      <c r="C15" s="102">
        <v>0</v>
      </c>
      <c r="D15" s="102">
        <v>12231</v>
      </c>
      <c r="E15" s="262">
        <f t="shared" si="0"/>
        <v>12231</v>
      </c>
    </row>
    <row r="16" spans="1:5" ht="16.5" customHeight="1">
      <c r="A16" s="86">
        <v>13</v>
      </c>
      <c r="B16" s="86" t="s">
        <v>2640</v>
      </c>
      <c r="C16" s="102">
        <v>0</v>
      </c>
      <c r="D16" s="102">
        <v>1</v>
      </c>
      <c r="E16" s="262">
        <f t="shared" si="0"/>
        <v>1</v>
      </c>
    </row>
    <row r="17" spans="1:6" ht="16.5" customHeight="1">
      <c r="A17" s="86"/>
      <c r="B17" s="86" t="s">
        <v>2639</v>
      </c>
      <c r="C17" s="102">
        <v>76</v>
      </c>
      <c r="D17" s="102">
        <v>179</v>
      </c>
      <c r="E17" s="330">
        <f t="shared" si="0"/>
        <v>255</v>
      </c>
    </row>
    <row r="18" spans="1:6" ht="16.5" customHeight="1">
      <c r="A18" s="86">
        <v>14</v>
      </c>
      <c r="B18" s="86" t="s">
        <v>2639</v>
      </c>
      <c r="C18" s="102">
        <v>0</v>
      </c>
      <c r="D18" s="102">
        <v>176</v>
      </c>
      <c r="E18" s="262">
        <f t="shared" si="0"/>
        <v>176</v>
      </c>
      <c r="F18" s="90" t="s">
        <v>1960</v>
      </c>
    </row>
    <row r="19" spans="1:6" ht="16.5" customHeight="1">
      <c r="A19" s="86">
        <v>15</v>
      </c>
      <c r="B19" s="86" t="s">
        <v>2658</v>
      </c>
      <c r="C19" s="102">
        <v>0</v>
      </c>
      <c r="D19" s="102">
        <v>777</v>
      </c>
      <c r="E19" s="262">
        <f t="shared" si="0"/>
        <v>777</v>
      </c>
    </row>
    <row r="20" spans="1:6" ht="16.5" customHeight="1">
      <c r="A20" s="86">
        <v>16</v>
      </c>
      <c r="B20" s="86" t="s">
        <v>2641</v>
      </c>
      <c r="C20" s="102">
        <v>0</v>
      </c>
      <c r="D20" s="102">
        <v>119</v>
      </c>
      <c r="E20" s="262">
        <f t="shared" si="0"/>
        <v>119</v>
      </c>
    </row>
    <row r="21" spans="1:6" ht="16.5" customHeight="1">
      <c r="A21" s="86">
        <v>17</v>
      </c>
      <c r="B21" s="86" t="s">
        <v>2358</v>
      </c>
      <c r="C21" s="102">
        <v>0</v>
      </c>
      <c r="D21" s="102">
        <v>2942</v>
      </c>
      <c r="E21" s="262">
        <f t="shared" si="0"/>
        <v>2942</v>
      </c>
    </row>
    <row r="22" spans="1:6" ht="16.5" customHeight="1">
      <c r="A22" s="86">
        <v>18</v>
      </c>
      <c r="B22" s="86" t="s">
        <v>2659</v>
      </c>
      <c r="C22" s="102">
        <v>48</v>
      </c>
      <c r="D22" s="102">
        <v>0</v>
      </c>
      <c r="E22" s="262">
        <f t="shared" si="0"/>
        <v>48</v>
      </c>
    </row>
    <row r="23" spans="1:6" ht="16.5" customHeight="1">
      <c r="A23" s="86">
        <v>19</v>
      </c>
      <c r="B23" s="86" t="s">
        <v>2359</v>
      </c>
      <c r="C23" s="102">
        <v>410</v>
      </c>
      <c r="D23" s="102">
        <v>0</v>
      </c>
      <c r="E23" s="262">
        <f t="shared" si="0"/>
        <v>410</v>
      </c>
    </row>
    <row r="24" spans="1:6" ht="16.5" customHeight="1">
      <c r="A24" s="86">
        <v>20</v>
      </c>
      <c r="B24" s="86" t="s">
        <v>2359</v>
      </c>
      <c r="C24" s="102">
        <v>14</v>
      </c>
      <c r="D24" s="102">
        <v>0</v>
      </c>
      <c r="E24" s="262">
        <f t="shared" si="0"/>
        <v>14</v>
      </c>
    </row>
    <row r="25" spans="1:6" ht="16.5" customHeight="1">
      <c r="A25" s="86">
        <v>21</v>
      </c>
      <c r="B25" s="86" t="s">
        <v>3310</v>
      </c>
      <c r="C25" s="102">
        <v>0</v>
      </c>
      <c r="D25" s="102">
        <v>561</v>
      </c>
      <c r="E25" s="262">
        <f t="shared" si="0"/>
        <v>561</v>
      </c>
    </row>
    <row r="26" spans="1:6" ht="16.5" customHeight="1">
      <c r="A26" s="86">
        <v>22</v>
      </c>
      <c r="B26" s="86" t="s">
        <v>2660</v>
      </c>
      <c r="C26" s="102">
        <v>0</v>
      </c>
      <c r="D26" s="102">
        <v>4164</v>
      </c>
      <c r="E26" s="262">
        <f t="shared" si="0"/>
        <v>4164</v>
      </c>
    </row>
    <row r="27" spans="1:6" ht="16.5" customHeight="1">
      <c r="A27" s="86">
        <v>23</v>
      </c>
      <c r="B27" s="86" t="s">
        <v>2894</v>
      </c>
      <c r="C27" s="102">
        <v>0</v>
      </c>
      <c r="D27" s="102">
        <v>8541</v>
      </c>
      <c r="E27" s="262">
        <f t="shared" si="0"/>
        <v>8541</v>
      </c>
    </row>
    <row r="28" spans="1:6" ht="16.5" customHeight="1">
      <c r="A28" s="86">
        <v>24</v>
      </c>
      <c r="B28" s="86" t="s">
        <v>2719</v>
      </c>
      <c r="C28" s="102">
        <v>0</v>
      </c>
      <c r="D28" s="102">
        <v>70</v>
      </c>
      <c r="E28" s="262">
        <f t="shared" si="0"/>
        <v>70</v>
      </c>
    </row>
    <row r="29" spans="1:6" ht="16.5" customHeight="1">
      <c r="A29" s="86"/>
      <c r="B29" s="86" t="s">
        <v>2719</v>
      </c>
      <c r="C29" s="102">
        <v>0</v>
      </c>
      <c r="D29" s="102">
        <v>65821</v>
      </c>
      <c r="E29" s="330">
        <f t="shared" si="0"/>
        <v>65821</v>
      </c>
    </row>
    <row r="30" spans="1:6" ht="16.5" customHeight="1">
      <c r="A30" s="86">
        <v>25</v>
      </c>
      <c r="B30" s="86" t="s">
        <v>2720</v>
      </c>
      <c r="C30" s="102">
        <v>0</v>
      </c>
      <c r="D30" s="102">
        <v>46</v>
      </c>
      <c r="E30" s="262">
        <f t="shared" si="0"/>
        <v>46</v>
      </c>
    </row>
    <row r="31" spans="1:6" ht="16.5" customHeight="1">
      <c r="A31" s="86">
        <v>26</v>
      </c>
      <c r="B31" s="86" t="s">
        <v>2720</v>
      </c>
      <c r="C31" s="102">
        <v>0</v>
      </c>
      <c r="D31" s="102">
        <v>26348</v>
      </c>
      <c r="E31" s="262">
        <f t="shared" si="0"/>
        <v>26348</v>
      </c>
    </row>
    <row r="32" spans="1:6" ht="16.5" customHeight="1">
      <c r="A32" s="86">
        <v>27</v>
      </c>
      <c r="B32" s="86" t="s">
        <v>2662</v>
      </c>
      <c r="C32" s="102">
        <v>0</v>
      </c>
      <c r="D32" s="102">
        <v>3335</v>
      </c>
      <c r="E32" s="262">
        <f t="shared" si="0"/>
        <v>3335</v>
      </c>
    </row>
    <row r="33" spans="1:6" ht="16.5" customHeight="1">
      <c r="A33" s="86">
        <v>28</v>
      </c>
      <c r="B33" s="86" t="s">
        <v>2369</v>
      </c>
      <c r="C33" s="102">
        <v>78</v>
      </c>
      <c r="D33" s="102">
        <v>0</v>
      </c>
      <c r="E33" s="262">
        <f t="shared" si="0"/>
        <v>78</v>
      </c>
    </row>
    <row r="34" spans="1:6" ht="16.5" customHeight="1">
      <c r="A34" s="86">
        <v>29</v>
      </c>
      <c r="B34" s="86" t="s">
        <v>2369</v>
      </c>
      <c r="C34" s="102">
        <v>52</v>
      </c>
      <c r="D34" s="102">
        <v>7</v>
      </c>
      <c r="E34" s="262">
        <f t="shared" si="0"/>
        <v>59</v>
      </c>
      <c r="F34" s="90" t="s">
        <v>1968</v>
      </c>
    </row>
    <row r="35" spans="1:6" ht="16.5" customHeight="1">
      <c r="A35" s="86">
        <v>30</v>
      </c>
      <c r="B35" s="86" t="s">
        <v>2369</v>
      </c>
      <c r="C35" s="102">
        <v>4</v>
      </c>
      <c r="D35" s="102">
        <v>0</v>
      </c>
      <c r="E35" s="262">
        <f t="shared" si="0"/>
        <v>4</v>
      </c>
    </row>
    <row r="36" spans="1:6" ht="16.5" customHeight="1">
      <c r="A36" s="86">
        <v>31</v>
      </c>
      <c r="B36" s="86" t="s">
        <v>2369</v>
      </c>
      <c r="C36" s="102">
        <v>3</v>
      </c>
      <c r="D36" s="102">
        <v>23</v>
      </c>
      <c r="E36" s="262">
        <f t="shared" si="0"/>
        <v>26</v>
      </c>
    </row>
    <row r="37" spans="1:6" ht="16.5" customHeight="1">
      <c r="A37" s="86">
        <v>32</v>
      </c>
      <c r="B37" s="86" t="s">
        <v>2369</v>
      </c>
      <c r="C37" s="102">
        <v>1</v>
      </c>
      <c r="D37" s="102">
        <v>0</v>
      </c>
      <c r="E37" s="262">
        <f t="shared" si="0"/>
        <v>1</v>
      </c>
      <c r="F37" s="90" t="s">
        <v>1966</v>
      </c>
    </row>
    <row r="38" spans="1:6" ht="16.5" customHeight="1">
      <c r="A38" s="86">
        <v>33</v>
      </c>
      <c r="B38" s="86" t="s">
        <v>2369</v>
      </c>
      <c r="C38" s="102">
        <v>269</v>
      </c>
      <c r="D38" s="102">
        <v>0</v>
      </c>
      <c r="E38" s="262">
        <f t="shared" si="0"/>
        <v>269</v>
      </c>
      <c r="F38" s="90" t="s">
        <v>1966</v>
      </c>
    </row>
    <row r="39" spans="1:6" ht="16.5" customHeight="1">
      <c r="A39" s="86">
        <v>34</v>
      </c>
      <c r="B39" s="86" t="s">
        <v>2370</v>
      </c>
      <c r="C39" s="102">
        <v>282</v>
      </c>
      <c r="D39" s="102">
        <v>73</v>
      </c>
      <c r="E39" s="262">
        <f t="shared" si="0"/>
        <v>355</v>
      </c>
    </row>
    <row r="40" spans="1:6" ht="16.5" customHeight="1">
      <c r="A40" s="86"/>
      <c r="B40" s="86" t="s">
        <v>2370</v>
      </c>
      <c r="C40" s="102">
        <v>927</v>
      </c>
      <c r="D40" s="102">
        <v>0</v>
      </c>
      <c r="E40" s="581">
        <f t="shared" si="0"/>
        <v>927</v>
      </c>
    </row>
    <row r="41" spans="1:6" ht="16.5" customHeight="1">
      <c r="A41" s="86">
        <v>35</v>
      </c>
      <c r="B41" s="86" t="s">
        <v>2798</v>
      </c>
      <c r="C41" s="102">
        <v>0</v>
      </c>
      <c r="D41" s="102">
        <v>296</v>
      </c>
      <c r="E41" s="262">
        <f t="shared" si="0"/>
        <v>296</v>
      </c>
      <c r="F41" s="90" t="s">
        <v>1967</v>
      </c>
    </row>
    <row r="42" spans="1:6" ht="16.5" customHeight="1">
      <c r="A42" s="86">
        <v>36</v>
      </c>
      <c r="B42" s="86" t="s">
        <v>2719</v>
      </c>
      <c r="C42" s="102">
        <v>0</v>
      </c>
      <c r="D42" s="102">
        <v>325</v>
      </c>
      <c r="E42" s="262">
        <f t="shared" si="0"/>
        <v>325</v>
      </c>
      <c r="F42" s="90" t="s">
        <v>1966</v>
      </c>
    </row>
    <row r="43" spans="1:6" ht="16.5" customHeight="1">
      <c r="A43" s="86"/>
      <c r="B43" s="86" t="s">
        <v>3642</v>
      </c>
      <c r="C43" s="102">
        <v>0</v>
      </c>
      <c r="D43" s="102">
        <v>3153</v>
      </c>
      <c r="E43" s="330">
        <f t="shared" si="0"/>
        <v>3153</v>
      </c>
    </row>
    <row r="44" spans="1:6" ht="16.5" customHeight="1">
      <c r="A44" s="86"/>
      <c r="B44" s="86" t="s">
        <v>4047</v>
      </c>
      <c r="C44" s="102">
        <v>0</v>
      </c>
      <c r="D44" s="102">
        <v>939</v>
      </c>
      <c r="E44" s="330">
        <f t="shared" si="0"/>
        <v>939</v>
      </c>
    </row>
    <row r="45" spans="1:6" ht="16.5" customHeight="1">
      <c r="A45" s="86">
        <v>37</v>
      </c>
      <c r="B45" s="86" t="s">
        <v>3846</v>
      </c>
      <c r="C45" s="102">
        <v>0</v>
      </c>
      <c r="D45" s="102">
        <v>228</v>
      </c>
      <c r="E45" s="262">
        <f t="shared" si="0"/>
        <v>228</v>
      </c>
    </row>
    <row r="46" spans="1:6" ht="16.5" customHeight="1">
      <c r="A46" s="86">
        <v>38</v>
      </c>
      <c r="B46" s="86" t="s">
        <v>3718</v>
      </c>
      <c r="C46" s="102">
        <v>0</v>
      </c>
      <c r="D46" s="102">
        <v>5818</v>
      </c>
      <c r="E46" s="262">
        <f t="shared" si="0"/>
        <v>5818</v>
      </c>
    </row>
    <row r="47" spans="1:6" ht="16.5" customHeight="1">
      <c r="A47" s="86">
        <v>39</v>
      </c>
      <c r="B47" s="86" t="s">
        <v>2672</v>
      </c>
      <c r="C47" s="102">
        <v>0</v>
      </c>
      <c r="D47" s="102">
        <v>84</v>
      </c>
      <c r="E47" s="262">
        <f t="shared" si="0"/>
        <v>84</v>
      </c>
    </row>
    <row r="48" spans="1:6" ht="16.5" customHeight="1">
      <c r="A48" s="86">
        <v>40</v>
      </c>
      <c r="B48" s="86" t="s">
        <v>4048</v>
      </c>
      <c r="C48" s="102">
        <v>0</v>
      </c>
      <c r="D48" s="102">
        <v>106</v>
      </c>
      <c r="E48" s="262">
        <f t="shared" si="0"/>
        <v>106</v>
      </c>
    </row>
    <row r="49" spans="1:7" ht="16.5" customHeight="1">
      <c r="A49" s="86">
        <v>41</v>
      </c>
      <c r="B49" s="86" t="s">
        <v>2362</v>
      </c>
      <c r="C49" s="102">
        <v>0</v>
      </c>
      <c r="D49" s="102">
        <v>2828</v>
      </c>
      <c r="E49" s="262">
        <f t="shared" si="0"/>
        <v>2828</v>
      </c>
      <c r="F49" s="90">
        <f>C37+C38+C42+C45+C46+C47+C48+C49</f>
        <v>270</v>
      </c>
      <c r="G49" s="90">
        <f>D37+D38+D42+D45+D46+D47+D48+D49</f>
        <v>9389</v>
      </c>
    </row>
    <row r="50" spans="1:7" ht="16.5" customHeight="1">
      <c r="A50" s="86"/>
      <c r="B50" s="86" t="s">
        <v>2362</v>
      </c>
      <c r="C50" s="102">
        <v>2</v>
      </c>
      <c r="D50" s="102">
        <v>407</v>
      </c>
      <c r="E50" s="330">
        <f t="shared" si="0"/>
        <v>409</v>
      </c>
    </row>
    <row r="51" spans="1:7" ht="16.5" customHeight="1">
      <c r="A51" s="86">
        <v>42</v>
      </c>
      <c r="B51" s="86" t="s">
        <v>2362</v>
      </c>
      <c r="C51" s="102">
        <v>319</v>
      </c>
      <c r="D51" s="102">
        <v>0</v>
      </c>
      <c r="E51" s="262">
        <f t="shared" si="0"/>
        <v>319</v>
      </c>
    </row>
    <row r="52" spans="1:7" ht="16.5" customHeight="1">
      <c r="A52" s="86">
        <v>43</v>
      </c>
      <c r="B52" s="86" t="s">
        <v>2362</v>
      </c>
      <c r="C52" s="102">
        <v>203</v>
      </c>
      <c r="D52" s="102">
        <v>0</v>
      </c>
      <c r="E52" s="262">
        <f t="shared" si="0"/>
        <v>203</v>
      </c>
    </row>
    <row r="53" spans="1:7" ht="16.5" customHeight="1">
      <c r="A53" s="86">
        <v>44</v>
      </c>
      <c r="B53" s="86" t="s">
        <v>2371</v>
      </c>
      <c r="C53" s="102">
        <v>0</v>
      </c>
      <c r="D53" s="102">
        <v>5134</v>
      </c>
      <c r="E53" s="262">
        <f t="shared" si="0"/>
        <v>5134</v>
      </c>
    </row>
    <row r="54" spans="1:7" ht="16.5" customHeight="1">
      <c r="A54" s="86">
        <v>45</v>
      </c>
      <c r="B54" s="86" t="s">
        <v>3671</v>
      </c>
      <c r="C54" s="102">
        <v>0</v>
      </c>
      <c r="D54" s="102">
        <v>18</v>
      </c>
      <c r="E54" s="262">
        <f t="shared" si="0"/>
        <v>18</v>
      </c>
    </row>
    <row r="55" spans="1:7" ht="16.5" customHeight="1">
      <c r="A55" s="86">
        <v>48</v>
      </c>
      <c r="B55" s="86" t="s">
        <v>3671</v>
      </c>
      <c r="C55" s="102">
        <v>0</v>
      </c>
      <c r="D55" s="102">
        <v>16027</v>
      </c>
      <c r="E55" s="262">
        <f t="shared" si="0"/>
        <v>16027</v>
      </c>
    </row>
    <row r="56" spans="1:7" ht="16.5" customHeight="1">
      <c r="A56" s="86">
        <v>49</v>
      </c>
      <c r="B56" s="86" t="s">
        <v>2663</v>
      </c>
      <c r="C56" s="102">
        <v>0</v>
      </c>
      <c r="D56" s="102">
        <v>34</v>
      </c>
      <c r="E56" s="262">
        <f t="shared" si="0"/>
        <v>34</v>
      </c>
    </row>
    <row r="57" spans="1:7" ht="16.5" customHeight="1">
      <c r="A57" s="86">
        <v>50</v>
      </c>
      <c r="B57" s="86" t="s">
        <v>2363</v>
      </c>
      <c r="C57" s="102">
        <v>0</v>
      </c>
      <c r="D57" s="102">
        <v>9346</v>
      </c>
      <c r="E57" s="262">
        <f t="shared" si="0"/>
        <v>9346</v>
      </c>
    </row>
    <row r="58" spans="1:7" ht="16.5" customHeight="1">
      <c r="A58" s="86">
        <v>51</v>
      </c>
      <c r="B58" s="86" t="s">
        <v>2664</v>
      </c>
      <c r="C58" s="102">
        <v>524</v>
      </c>
      <c r="D58" s="102">
        <v>0</v>
      </c>
      <c r="E58" s="262">
        <f t="shared" si="0"/>
        <v>524</v>
      </c>
    </row>
    <row r="59" spans="1:7" ht="16.5" customHeight="1">
      <c r="A59" s="86">
        <v>52</v>
      </c>
      <c r="B59" s="86" t="s">
        <v>2664</v>
      </c>
      <c r="C59" s="102">
        <v>1</v>
      </c>
      <c r="D59" s="102">
        <v>0</v>
      </c>
      <c r="E59" s="262">
        <f t="shared" si="0"/>
        <v>1</v>
      </c>
    </row>
    <row r="60" spans="1:7" ht="16.5" customHeight="1">
      <c r="A60" s="86">
        <v>53</v>
      </c>
      <c r="B60" s="86" t="s">
        <v>2664</v>
      </c>
      <c r="C60" s="102">
        <v>0</v>
      </c>
      <c r="D60" s="102">
        <v>1691</v>
      </c>
      <c r="E60" s="262">
        <f t="shared" si="0"/>
        <v>1691</v>
      </c>
    </row>
    <row r="61" spans="1:7" ht="16.5" customHeight="1">
      <c r="A61" s="86">
        <v>54</v>
      </c>
      <c r="B61" s="86" t="s">
        <v>2372</v>
      </c>
      <c r="C61" s="102">
        <v>0</v>
      </c>
      <c r="D61" s="102">
        <v>4474</v>
      </c>
      <c r="E61" s="262">
        <f t="shared" ref="E61:E128" si="1">SUM(C61:D61)</f>
        <v>4474</v>
      </c>
    </row>
    <row r="62" spans="1:7" ht="16.5" customHeight="1">
      <c r="A62" s="86">
        <v>55</v>
      </c>
      <c r="B62" s="86" t="s">
        <v>2372</v>
      </c>
      <c r="C62" s="102">
        <v>770</v>
      </c>
      <c r="D62" s="102">
        <v>0</v>
      </c>
      <c r="E62" s="262">
        <f t="shared" si="1"/>
        <v>770</v>
      </c>
    </row>
    <row r="63" spans="1:7" ht="16.5" customHeight="1">
      <c r="A63" s="86">
        <v>56</v>
      </c>
      <c r="B63" s="86" t="s">
        <v>2726</v>
      </c>
      <c r="C63" s="102">
        <v>0</v>
      </c>
      <c r="D63" s="102">
        <v>7146</v>
      </c>
      <c r="E63" s="262">
        <f t="shared" si="1"/>
        <v>7146</v>
      </c>
    </row>
    <row r="64" spans="1:7" ht="16.5" customHeight="1">
      <c r="A64" s="86">
        <v>57</v>
      </c>
      <c r="B64" s="86" t="s">
        <v>2726</v>
      </c>
      <c r="C64" s="102">
        <v>11</v>
      </c>
      <c r="D64" s="102">
        <v>0</v>
      </c>
      <c r="E64" s="262">
        <f t="shared" si="1"/>
        <v>11</v>
      </c>
    </row>
    <row r="65" spans="1:5" ht="16.5" customHeight="1">
      <c r="A65" s="86">
        <v>58</v>
      </c>
      <c r="B65" s="86" t="s">
        <v>2726</v>
      </c>
      <c r="C65" s="102">
        <v>1877</v>
      </c>
      <c r="D65" s="102">
        <v>0</v>
      </c>
      <c r="E65" s="262">
        <f t="shared" si="1"/>
        <v>1877</v>
      </c>
    </row>
    <row r="66" spans="1:5" ht="16.5" customHeight="1">
      <c r="A66" s="86">
        <v>59</v>
      </c>
      <c r="B66" s="86" t="s">
        <v>2726</v>
      </c>
      <c r="C66" s="102">
        <v>60</v>
      </c>
      <c r="D66" s="102">
        <v>0</v>
      </c>
      <c r="E66" s="262">
        <f t="shared" si="1"/>
        <v>60</v>
      </c>
    </row>
    <row r="67" spans="1:5" ht="16.5" customHeight="1">
      <c r="A67" s="86">
        <v>60</v>
      </c>
      <c r="B67" s="86" t="s">
        <v>2373</v>
      </c>
      <c r="C67" s="102">
        <v>0</v>
      </c>
      <c r="D67" s="102">
        <v>27572</v>
      </c>
      <c r="E67" s="262">
        <f t="shared" si="1"/>
        <v>27572</v>
      </c>
    </row>
    <row r="68" spans="1:5" ht="16.5" customHeight="1">
      <c r="A68" s="86">
        <v>61</v>
      </c>
      <c r="B68" s="86" t="s">
        <v>2373</v>
      </c>
      <c r="C68" s="102">
        <v>0</v>
      </c>
      <c r="D68" s="102">
        <v>44</v>
      </c>
      <c r="E68" s="262">
        <f t="shared" si="1"/>
        <v>44</v>
      </c>
    </row>
    <row r="69" spans="1:5" ht="16.5" customHeight="1">
      <c r="A69" s="86"/>
      <c r="B69" s="86" t="s">
        <v>2373</v>
      </c>
      <c r="C69" s="102">
        <v>41</v>
      </c>
      <c r="D69" s="102">
        <v>159</v>
      </c>
      <c r="E69" s="330">
        <f t="shared" si="1"/>
        <v>200</v>
      </c>
    </row>
    <row r="70" spans="1:5" ht="16.5" customHeight="1">
      <c r="A70" s="86">
        <v>62</v>
      </c>
      <c r="B70" s="86" t="s">
        <v>2373</v>
      </c>
      <c r="C70" s="102">
        <v>0</v>
      </c>
      <c r="D70" s="102">
        <v>3</v>
      </c>
      <c r="E70" s="262">
        <f t="shared" si="1"/>
        <v>3</v>
      </c>
    </row>
    <row r="71" spans="1:5" ht="16.5" customHeight="1">
      <c r="A71" s="86">
        <v>63</v>
      </c>
      <c r="B71" s="86" t="s">
        <v>2374</v>
      </c>
      <c r="C71" s="102">
        <v>1</v>
      </c>
      <c r="D71" s="102">
        <v>3</v>
      </c>
      <c r="E71" s="262">
        <f t="shared" si="1"/>
        <v>4</v>
      </c>
    </row>
    <row r="72" spans="1:5" ht="16.5" customHeight="1">
      <c r="A72" s="86"/>
      <c r="B72" s="86" t="s">
        <v>2374</v>
      </c>
      <c r="C72" s="102">
        <v>21</v>
      </c>
      <c r="D72" s="102">
        <v>46</v>
      </c>
      <c r="E72" s="330">
        <f t="shared" si="1"/>
        <v>67</v>
      </c>
    </row>
    <row r="73" spans="1:5" ht="16.5" customHeight="1">
      <c r="A73" s="86"/>
      <c r="B73" s="86" t="s">
        <v>2798</v>
      </c>
      <c r="C73" s="102">
        <v>0</v>
      </c>
      <c r="D73" s="102">
        <v>1770</v>
      </c>
      <c r="E73" s="330">
        <f t="shared" si="1"/>
        <v>1770</v>
      </c>
    </row>
    <row r="74" spans="1:5" ht="16.5" customHeight="1">
      <c r="A74" s="86"/>
      <c r="B74" s="86" t="s">
        <v>3221</v>
      </c>
      <c r="C74" s="102">
        <v>0</v>
      </c>
      <c r="D74" s="102">
        <v>19746</v>
      </c>
      <c r="E74" s="330">
        <f t="shared" si="1"/>
        <v>19746</v>
      </c>
    </row>
    <row r="75" spans="1:5" ht="16.5" customHeight="1">
      <c r="A75" s="86">
        <v>64</v>
      </c>
      <c r="B75" s="86" t="s">
        <v>3221</v>
      </c>
      <c r="C75" s="102">
        <v>5</v>
      </c>
      <c r="D75" s="102">
        <v>0</v>
      </c>
      <c r="E75" s="262">
        <f t="shared" si="1"/>
        <v>5</v>
      </c>
    </row>
    <row r="76" spans="1:5" ht="16.5" customHeight="1">
      <c r="A76" s="86"/>
      <c r="B76" s="86" t="s">
        <v>2727</v>
      </c>
      <c r="C76" s="102">
        <v>0</v>
      </c>
      <c r="D76" s="102">
        <v>14254</v>
      </c>
      <c r="E76" s="330">
        <f t="shared" si="1"/>
        <v>14254</v>
      </c>
    </row>
    <row r="77" spans="1:5" ht="16.5" customHeight="1">
      <c r="A77" s="86">
        <v>65</v>
      </c>
      <c r="B77" s="86" t="s">
        <v>3221</v>
      </c>
      <c r="C77" s="102">
        <v>0</v>
      </c>
      <c r="D77" s="102">
        <v>278</v>
      </c>
      <c r="E77" s="262">
        <f t="shared" si="1"/>
        <v>278</v>
      </c>
    </row>
    <row r="78" spans="1:5" ht="16.5" customHeight="1">
      <c r="A78" s="86"/>
      <c r="B78" s="86" t="s">
        <v>3221</v>
      </c>
      <c r="C78" s="102">
        <v>1554</v>
      </c>
      <c r="D78" s="102">
        <v>0</v>
      </c>
      <c r="E78" s="330">
        <f t="shared" si="1"/>
        <v>1554</v>
      </c>
    </row>
    <row r="79" spans="1:5" ht="16.5" customHeight="1">
      <c r="A79" s="86">
        <v>66</v>
      </c>
      <c r="B79" s="86" t="s">
        <v>2799</v>
      </c>
      <c r="C79" s="102">
        <v>406</v>
      </c>
      <c r="D79" s="102">
        <v>0</v>
      </c>
      <c r="E79" s="262">
        <f t="shared" si="1"/>
        <v>406</v>
      </c>
    </row>
    <row r="80" spans="1:5" ht="16.5" customHeight="1">
      <c r="A80" s="86">
        <v>67</v>
      </c>
      <c r="B80" s="86" t="s">
        <v>4049</v>
      </c>
      <c r="C80" s="102">
        <v>0</v>
      </c>
      <c r="D80" s="102">
        <v>4</v>
      </c>
      <c r="E80" s="262">
        <f t="shared" si="1"/>
        <v>4</v>
      </c>
    </row>
    <row r="81" spans="1:5" ht="16.5" customHeight="1">
      <c r="A81" s="86">
        <v>68</v>
      </c>
      <c r="B81" s="86" t="s">
        <v>717</v>
      </c>
      <c r="C81" s="102">
        <v>4352</v>
      </c>
      <c r="D81" s="102">
        <v>0</v>
      </c>
      <c r="E81" s="262">
        <f t="shared" si="1"/>
        <v>4352</v>
      </c>
    </row>
    <row r="82" spans="1:5" ht="16.5" customHeight="1">
      <c r="A82" s="86">
        <v>69</v>
      </c>
      <c r="B82" s="86" t="s">
        <v>4050</v>
      </c>
      <c r="C82" s="102">
        <v>12318</v>
      </c>
      <c r="D82" s="102">
        <v>0</v>
      </c>
      <c r="E82" s="262">
        <f t="shared" si="1"/>
        <v>12318</v>
      </c>
    </row>
    <row r="83" spans="1:5" ht="16.5" customHeight="1">
      <c r="A83" s="86">
        <v>70</v>
      </c>
      <c r="B83" s="86" t="s">
        <v>728</v>
      </c>
      <c r="C83" s="102">
        <v>178</v>
      </c>
      <c r="D83" s="102">
        <v>0</v>
      </c>
      <c r="E83" s="262">
        <f t="shared" si="1"/>
        <v>178</v>
      </c>
    </row>
    <row r="84" spans="1:5" ht="16.5" customHeight="1">
      <c r="A84" s="86">
        <v>71</v>
      </c>
      <c r="B84" s="86" t="s">
        <v>723</v>
      </c>
      <c r="C84" s="102">
        <v>521</v>
      </c>
      <c r="D84" s="102">
        <v>0</v>
      </c>
      <c r="E84" s="262">
        <f t="shared" si="1"/>
        <v>521</v>
      </c>
    </row>
    <row r="85" spans="1:5" ht="16.5" customHeight="1">
      <c r="A85" s="86">
        <v>72</v>
      </c>
      <c r="B85" s="86" t="s">
        <v>726</v>
      </c>
      <c r="C85" s="102">
        <v>6336</v>
      </c>
      <c r="D85" s="102">
        <v>0</v>
      </c>
      <c r="E85" s="262">
        <f t="shared" si="1"/>
        <v>6336</v>
      </c>
    </row>
    <row r="86" spans="1:5" ht="16.5" customHeight="1">
      <c r="A86" s="86">
        <v>73</v>
      </c>
      <c r="B86" s="86" t="s">
        <v>725</v>
      </c>
      <c r="C86" s="102">
        <v>14</v>
      </c>
      <c r="D86" s="102">
        <v>0</v>
      </c>
      <c r="E86" s="262">
        <f t="shared" si="1"/>
        <v>14</v>
      </c>
    </row>
    <row r="87" spans="1:5" ht="21" customHeight="1">
      <c r="A87" s="86">
        <v>74</v>
      </c>
      <c r="B87" s="86" t="s">
        <v>2647</v>
      </c>
      <c r="C87" s="102">
        <v>2128</v>
      </c>
      <c r="D87" s="102">
        <v>0</v>
      </c>
      <c r="E87" s="262">
        <f t="shared" si="1"/>
        <v>2128</v>
      </c>
    </row>
    <row r="88" spans="1:5" ht="16.5" customHeight="1">
      <c r="A88" s="86">
        <v>75</v>
      </c>
      <c r="B88" s="86" t="s">
        <v>722</v>
      </c>
      <c r="C88" s="102">
        <v>1202</v>
      </c>
      <c r="D88" s="102">
        <v>0</v>
      </c>
      <c r="E88" s="262">
        <f t="shared" si="1"/>
        <v>1202</v>
      </c>
    </row>
    <row r="89" spans="1:5" ht="16.5" customHeight="1">
      <c r="A89" s="86">
        <v>76</v>
      </c>
      <c r="B89" s="206" t="s">
        <v>4051</v>
      </c>
      <c r="C89" s="102">
        <v>0</v>
      </c>
      <c r="D89" s="102">
        <v>4</v>
      </c>
      <c r="E89" s="262">
        <f t="shared" si="1"/>
        <v>4</v>
      </c>
    </row>
    <row r="90" spans="1:5" ht="16.5" customHeight="1">
      <c r="A90" s="86">
        <v>77</v>
      </c>
      <c r="B90" s="206" t="s">
        <v>4052</v>
      </c>
      <c r="C90" s="102">
        <v>96</v>
      </c>
      <c r="D90" s="102">
        <v>0</v>
      </c>
      <c r="E90" s="262">
        <f t="shared" si="1"/>
        <v>96</v>
      </c>
    </row>
    <row r="91" spans="1:5" ht="16.5" customHeight="1">
      <c r="A91" s="86"/>
      <c r="B91" s="206" t="s">
        <v>4053</v>
      </c>
      <c r="C91" s="102">
        <v>1</v>
      </c>
      <c r="D91" s="102">
        <v>0</v>
      </c>
      <c r="E91" s="581">
        <f t="shared" si="1"/>
        <v>1</v>
      </c>
    </row>
    <row r="92" spans="1:5" ht="16.5" customHeight="1">
      <c r="A92" s="86">
        <v>80</v>
      </c>
      <c r="B92" s="247" t="s">
        <v>3751</v>
      </c>
      <c r="C92" s="102">
        <v>13</v>
      </c>
      <c r="D92" s="102">
        <v>0</v>
      </c>
      <c r="E92" s="262">
        <f t="shared" si="1"/>
        <v>13</v>
      </c>
    </row>
    <row r="93" spans="1:5" ht="16.5" customHeight="1">
      <c r="A93" s="86">
        <v>81</v>
      </c>
      <c r="B93" s="246" t="s">
        <v>3689</v>
      </c>
      <c r="C93" s="102">
        <v>338</v>
      </c>
      <c r="D93" s="102">
        <v>0</v>
      </c>
      <c r="E93" s="262">
        <f t="shared" si="1"/>
        <v>338</v>
      </c>
    </row>
    <row r="94" spans="1:5" ht="16.5" customHeight="1">
      <c r="A94" s="86">
        <v>82</v>
      </c>
      <c r="B94" s="206" t="s">
        <v>2639</v>
      </c>
      <c r="C94" s="102">
        <v>2</v>
      </c>
      <c r="D94" s="102">
        <v>0</v>
      </c>
      <c r="E94" s="262">
        <f t="shared" si="1"/>
        <v>2</v>
      </c>
    </row>
    <row r="95" spans="1:5" ht="16.5" customHeight="1">
      <c r="A95" s="86">
        <v>83</v>
      </c>
      <c r="B95" s="206" t="s">
        <v>2659</v>
      </c>
      <c r="C95" s="102">
        <v>704</v>
      </c>
      <c r="D95" s="102">
        <v>0</v>
      </c>
      <c r="E95" s="262">
        <f t="shared" si="1"/>
        <v>704</v>
      </c>
    </row>
    <row r="96" spans="1:5" ht="16.5" customHeight="1">
      <c r="A96" s="86"/>
      <c r="B96" s="206"/>
      <c r="C96" s="102">
        <v>2</v>
      </c>
      <c r="D96" s="102">
        <v>0</v>
      </c>
      <c r="E96" s="581">
        <f t="shared" si="1"/>
        <v>2</v>
      </c>
    </row>
    <row r="97" spans="1:5" ht="16.5" customHeight="1">
      <c r="A97" s="86">
        <v>84</v>
      </c>
      <c r="B97" s="206" t="s">
        <v>2719</v>
      </c>
      <c r="C97" s="102">
        <v>889</v>
      </c>
      <c r="D97" s="102">
        <v>0</v>
      </c>
      <c r="E97" s="262">
        <f t="shared" si="1"/>
        <v>889</v>
      </c>
    </row>
    <row r="98" spans="1:5" ht="16.5" customHeight="1">
      <c r="A98" s="86">
        <v>85</v>
      </c>
      <c r="B98" s="206" t="s">
        <v>3167</v>
      </c>
      <c r="C98" s="102">
        <v>2107</v>
      </c>
      <c r="D98" s="102">
        <v>0</v>
      </c>
      <c r="E98" s="262">
        <f t="shared" si="1"/>
        <v>2107</v>
      </c>
    </row>
    <row r="99" spans="1:5" ht="16.5" customHeight="1">
      <c r="A99" s="86">
        <v>86</v>
      </c>
      <c r="B99" s="206" t="s">
        <v>4054</v>
      </c>
      <c r="C99" s="102">
        <v>9696</v>
      </c>
      <c r="D99" s="102">
        <v>0</v>
      </c>
      <c r="E99" s="262">
        <f t="shared" si="1"/>
        <v>9696</v>
      </c>
    </row>
    <row r="100" spans="1:5" ht="16.5" customHeight="1">
      <c r="A100" s="86">
        <v>87</v>
      </c>
      <c r="B100" s="206" t="s">
        <v>4055</v>
      </c>
      <c r="C100" s="102">
        <v>1000</v>
      </c>
      <c r="D100" s="102">
        <v>0</v>
      </c>
      <c r="E100" s="262">
        <f t="shared" si="1"/>
        <v>1000</v>
      </c>
    </row>
    <row r="101" spans="1:5" ht="16.5" customHeight="1">
      <c r="A101" s="86">
        <v>88</v>
      </c>
      <c r="B101" s="206" t="s">
        <v>4056</v>
      </c>
      <c r="C101" s="102">
        <v>1</v>
      </c>
      <c r="D101" s="102">
        <v>0</v>
      </c>
      <c r="E101" s="262">
        <f t="shared" si="1"/>
        <v>1</v>
      </c>
    </row>
    <row r="102" spans="1:5" ht="16.5" customHeight="1">
      <c r="A102" s="86">
        <v>89</v>
      </c>
      <c r="B102" s="206" t="s">
        <v>4057</v>
      </c>
      <c r="C102" s="102">
        <v>407</v>
      </c>
      <c r="D102" s="102">
        <v>0</v>
      </c>
      <c r="E102" s="262">
        <f t="shared" si="1"/>
        <v>407</v>
      </c>
    </row>
    <row r="103" spans="1:5" ht="16.5" customHeight="1">
      <c r="A103" s="86">
        <v>90</v>
      </c>
      <c r="B103" s="206" t="s">
        <v>4058</v>
      </c>
      <c r="C103" s="102">
        <v>8</v>
      </c>
      <c r="D103" s="102">
        <v>0</v>
      </c>
      <c r="E103" s="262">
        <f t="shared" si="1"/>
        <v>8</v>
      </c>
    </row>
    <row r="104" spans="1:5" ht="16.5" customHeight="1">
      <c r="A104" s="86"/>
      <c r="B104" s="206" t="s">
        <v>3758</v>
      </c>
      <c r="C104" s="102">
        <v>4</v>
      </c>
      <c r="D104" s="102">
        <v>0</v>
      </c>
      <c r="E104" s="262">
        <f t="shared" si="1"/>
        <v>4</v>
      </c>
    </row>
    <row r="105" spans="1:5" ht="16.5" customHeight="1">
      <c r="A105" s="86"/>
      <c r="B105" s="206" t="s">
        <v>3759</v>
      </c>
      <c r="C105" s="102">
        <v>706</v>
      </c>
      <c r="D105" s="102">
        <v>0</v>
      </c>
      <c r="E105" s="262">
        <f t="shared" si="1"/>
        <v>706</v>
      </c>
    </row>
    <row r="106" spans="1:5" ht="16.5" customHeight="1">
      <c r="A106" s="86"/>
      <c r="B106" s="206" t="s">
        <v>4059</v>
      </c>
      <c r="C106" s="102">
        <v>2</v>
      </c>
      <c r="D106" s="102">
        <v>0</v>
      </c>
      <c r="E106" s="262">
        <f t="shared" si="1"/>
        <v>2</v>
      </c>
    </row>
    <row r="107" spans="1:5" ht="16.5" customHeight="1">
      <c r="A107" s="86"/>
      <c r="B107" s="206" t="s">
        <v>4060</v>
      </c>
      <c r="C107" s="102">
        <v>2</v>
      </c>
      <c r="D107" s="102">
        <v>0</v>
      </c>
      <c r="E107" s="561">
        <f t="shared" si="1"/>
        <v>2</v>
      </c>
    </row>
    <row r="108" spans="1:5" ht="16.5" customHeight="1">
      <c r="A108" s="86"/>
      <c r="B108" s="206" t="s">
        <v>4061</v>
      </c>
      <c r="C108" s="102">
        <v>906</v>
      </c>
      <c r="D108" s="102">
        <v>0</v>
      </c>
      <c r="E108" s="561">
        <f t="shared" si="1"/>
        <v>906</v>
      </c>
    </row>
    <row r="109" spans="1:5" ht="16.5" customHeight="1">
      <c r="A109" s="86"/>
      <c r="B109" s="206" t="s">
        <v>4062</v>
      </c>
      <c r="C109" s="102">
        <v>757</v>
      </c>
      <c r="D109" s="102">
        <v>0</v>
      </c>
      <c r="E109" s="561">
        <f t="shared" si="1"/>
        <v>757</v>
      </c>
    </row>
    <row r="110" spans="1:5" ht="16.5" customHeight="1">
      <c r="A110" s="86"/>
      <c r="B110" s="206" t="s">
        <v>4063</v>
      </c>
      <c r="C110" s="102">
        <v>8</v>
      </c>
      <c r="D110" s="102">
        <v>0</v>
      </c>
      <c r="E110" s="561">
        <f t="shared" si="1"/>
        <v>8</v>
      </c>
    </row>
    <row r="111" spans="1:5" ht="16.5" customHeight="1">
      <c r="A111" s="86"/>
      <c r="B111" s="206" t="s">
        <v>2651</v>
      </c>
      <c r="C111" s="102">
        <v>0</v>
      </c>
      <c r="D111" s="102">
        <v>390</v>
      </c>
      <c r="E111" s="561">
        <f t="shared" si="1"/>
        <v>390</v>
      </c>
    </row>
    <row r="112" spans="1:5" ht="16.5" customHeight="1">
      <c r="A112" s="86"/>
      <c r="B112" s="206" t="s">
        <v>2365</v>
      </c>
      <c r="C112" s="102">
        <v>0</v>
      </c>
      <c r="D112" s="102">
        <v>9426</v>
      </c>
      <c r="E112" s="561">
        <f t="shared" si="1"/>
        <v>9426</v>
      </c>
    </row>
    <row r="113" spans="1:5" ht="16.5" customHeight="1">
      <c r="A113" s="86"/>
      <c r="B113" s="206"/>
      <c r="C113" s="102"/>
      <c r="D113" s="102"/>
      <c r="E113" s="561"/>
    </row>
    <row r="114" spans="1:5" ht="16.5" customHeight="1">
      <c r="A114" s="86"/>
      <c r="B114" s="206"/>
      <c r="C114" s="102"/>
      <c r="D114" s="102"/>
      <c r="E114" s="561"/>
    </row>
    <row r="115" spans="1:5" ht="16.5" customHeight="1">
      <c r="A115" s="86"/>
      <c r="B115" s="206"/>
      <c r="C115" s="102"/>
      <c r="D115" s="102"/>
      <c r="E115" s="561"/>
    </row>
    <row r="116" spans="1:5" ht="16.5" customHeight="1">
      <c r="A116" s="86"/>
      <c r="B116" s="206"/>
      <c r="C116" s="102"/>
      <c r="D116" s="102"/>
      <c r="E116" s="561"/>
    </row>
    <row r="117" spans="1:5" ht="16.5" customHeight="1">
      <c r="A117" s="86"/>
      <c r="B117" s="206"/>
      <c r="C117" s="102"/>
      <c r="D117" s="102"/>
      <c r="E117" s="262">
        <f t="shared" si="1"/>
        <v>0</v>
      </c>
    </row>
    <row r="118" spans="1:5" ht="16.5" customHeight="1">
      <c r="A118" s="518"/>
      <c r="B118" s="206"/>
      <c r="C118" s="102"/>
      <c r="D118" s="102"/>
      <c r="E118" s="561"/>
    </row>
    <row r="119" spans="1:5" ht="16.5" customHeight="1">
      <c r="A119" s="518"/>
      <c r="B119" s="206"/>
      <c r="C119" s="102"/>
      <c r="D119" s="102"/>
      <c r="E119" s="561"/>
    </row>
    <row r="120" spans="1:5" ht="16.5" customHeight="1">
      <c r="A120" s="518"/>
      <c r="B120" s="206"/>
      <c r="C120" s="102"/>
      <c r="D120" s="102"/>
      <c r="E120" s="561"/>
    </row>
    <row r="121" spans="1:5" ht="16.5" customHeight="1">
      <c r="A121" s="518"/>
      <c r="B121" s="206"/>
      <c r="C121" s="102"/>
      <c r="D121" s="102"/>
      <c r="E121" s="561"/>
    </row>
    <row r="122" spans="1:5" ht="43.5" customHeight="1">
      <c r="A122" s="678" t="s">
        <v>2164</v>
      </c>
      <c r="B122" s="679"/>
      <c r="C122" s="262">
        <f>SUM(C4:C117)</f>
        <v>98950</v>
      </c>
      <c r="D122" s="262">
        <f>SUM(D4:D117)</f>
        <v>275432</v>
      </c>
      <c r="E122" s="262">
        <f t="shared" si="1"/>
        <v>374382</v>
      </c>
    </row>
    <row r="123" spans="1:5" ht="15" customHeight="1">
      <c r="A123" s="114"/>
      <c r="B123" s="114"/>
      <c r="C123" s="114"/>
      <c r="D123" s="114"/>
      <c r="E123" s="106">
        <f t="shared" si="1"/>
        <v>0</v>
      </c>
    </row>
    <row r="124" spans="1:5">
      <c r="A124" s="114"/>
      <c r="B124" s="114"/>
      <c r="C124" s="114"/>
      <c r="D124" s="114"/>
      <c r="E124" s="106">
        <f t="shared" si="1"/>
        <v>0</v>
      </c>
    </row>
    <row r="125" spans="1:5">
      <c r="A125" s="114"/>
      <c r="B125" s="114"/>
      <c r="C125" s="114"/>
      <c r="D125" s="114"/>
      <c r="E125" s="106">
        <f t="shared" si="1"/>
        <v>0</v>
      </c>
    </row>
    <row r="126" spans="1:5">
      <c r="A126" s="114"/>
      <c r="B126" s="114"/>
      <c r="C126" s="114"/>
      <c r="D126" s="114"/>
      <c r="E126" s="106">
        <f t="shared" si="1"/>
        <v>0</v>
      </c>
    </row>
    <row r="127" spans="1:5" ht="45" customHeight="1">
      <c r="A127" s="680" t="s">
        <v>2186</v>
      </c>
      <c r="B127" s="681"/>
      <c r="C127" s="106">
        <f>SUM(C123:C126)</f>
        <v>0</v>
      </c>
      <c r="D127" s="106">
        <f>SUM(D123:D126)</f>
        <v>0</v>
      </c>
      <c r="E127" s="106">
        <f t="shared" si="1"/>
        <v>0</v>
      </c>
    </row>
    <row r="128" spans="1:5" ht="47.25" customHeight="1">
      <c r="A128" s="682" t="s">
        <v>2187</v>
      </c>
      <c r="B128" s="682"/>
      <c r="C128" s="262">
        <f>C122-C127</f>
        <v>98950</v>
      </c>
      <c r="D128" s="262">
        <f>D122-D127</f>
        <v>275432</v>
      </c>
      <c r="E128" s="262">
        <f t="shared" si="1"/>
        <v>374382</v>
      </c>
    </row>
    <row r="130" spans="2:5" ht="20.100000000000001" customHeight="1">
      <c r="C130" s="124">
        <f>'13-УСЛУГЕ-РФЗО 2021'!P4357</f>
        <v>101043</v>
      </c>
      <c r="D130" s="124">
        <f>'13-УСЛУГЕ-РФЗО 2021'!AP4357</f>
        <v>275365</v>
      </c>
    </row>
    <row r="131" spans="2:5">
      <c r="B131" s="89" t="s">
        <v>2549</v>
      </c>
      <c r="C131" s="124">
        <f>C128-C130</f>
        <v>-2093</v>
      </c>
      <c r="D131" s="124">
        <f>D128-D130</f>
        <v>67</v>
      </c>
      <c r="E131" s="129"/>
    </row>
    <row r="132" spans="2:5" ht="20.100000000000001" customHeight="1">
      <c r="C132" s="124"/>
      <c r="D132" s="203"/>
    </row>
  </sheetData>
  <mergeCells count="4">
    <mergeCell ref="A1:E1"/>
    <mergeCell ref="A122:B122"/>
    <mergeCell ref="A127:B127"/>
    <mergeCell ref="A128:B128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H52"/>
  <sheetViews>
    <sheetView topLeftCell="A31" workbookViewId="0">
      <selection activeCell="A52" sqref="A52:G52"/>
    </sheetView>
  </sheetViews>
  <sheetFormatPr defaultRowHeight="15.75"/>
  <cols>
    <col min="1" max="1" width="37.140625" style="202" customWidth="1"/>
    <col min="2" max="2" width="16.42578125" style="202" customWidth="1"/>
    <col min="3" max="3" width="59.5703125" style="202" customWidth="1"/>
    <col min="4" max="4" width="10.85546875" style="202" customWidth="1"/>
    <col min="5" max="5" width="15" style="202" hidden="1" customWidth="1"/>
    <col min="6" max="6" width="12.42578125" style="202" customWidth="1"/>
    <col min="7" max="7" width="11" style="202" customWidth="1"/>
    <col min="8" max="16384" width="9.140625" style="202"/>
  </cols>
  <sheetData>
    <row r="1" spans="1:8">
      <c r="A1" s="97" t="s">
        <v>3713</v>
      </c>
    </row>
    <row r="2" spans="1:8" s="97" customFormat="1">
      <c r="D2" s="202"/>
      <c r="E2" s="202"/>
      <c r="F2" s="202"/>
      <c r="G2" s="202"/>
    </row>
    <row r="3" spans="1:8" s="97" customFormat="1" ht="68.25" customHeight="1">
      <c r="A3" s="235" t="s">
        <v>2535</v>
      </c>
      <c r="B3" s="235" t="s">
        <v>2536</v>
      </c>
      <c r="C3" s="235" t="s">
        <v>2537</v>
      </c>
      <c r="D3" s="225" t="s">
        <v>4225</v>
      </c>
      <c r="E3" s="239" t="s">
        <v>2631</v>
      </c>
      <c r="F3" s="225" t="s">
        <v>4031</v>
      </c>
      <c r="G3" s="225" t="s">
        <v>3712</v>
      </c>
    </row>
    <row r="4" spans="1:8">
      <c r="A4" s="235" t="s">
        <v>2524</v>
      </c>
      <c r="B4" s="79" t="s">
        <v>2159</v>
      </c>
      <c r="C4" s="216" t="s">
        <v>372</v>
      </c>
      <c r="D4" s="235">
        <v>0</v>
      </c>
      <c r="E4" s="240">
        <f>D4/11*12</f>
        <v>0</v>
      </c>
      <c r="F4" s="212">
        <f>'13-УСЛУГЕ-РФЗО 2021'!BD619</f>
        <v>4</v>
      </c>
      <c r="G4" s="212">
        <f>'13-УСЛУГЕ-РФЗО 2021'!BE619</f>
        <v>1</v>
      </c>
    </row>
    <row r="5" spans="1:8" ht="20.25" customHeight="1">
      <c r="A5" s="594" t="s">
        <v>2525</v>
      </c>
      <c r="B5" s="37" t="s">
        <v>417</v>
      </c>
      <c r="C5" s="38" t="s">
        <v>418</v>
      </c>
      <c r="D5" s="408">
        <v>0</v>
      </c>
      <c r="E5" s="240">
        <f t="shared" ref="E5:E51" si="0">D5/11*12</f>
        <v>0</v>
      </c>
      <c r="F5" s="212">
        <f>'13-УСЛУГЕ-РФЗО 2021'!BD688</f>
        <v>0</v>
      </c>
      <c r="G5" s="212">
        <f>'13-УСЛУГЕ-РФЗО 2021'!BE688</f>
        <v>0</v>
      </c>
    </row>
    <row r="6" spans="1:8" ht="21">
      <c r="A6" s="594"/>
      <c r="B6" s="37" t="s">
        <v>421</v>
      </c>
      <c r="C6" s="199" t="s">
        <v>422</v>
      </c>
      <c r="D6" s="408">
        <v>0</v>
      </c>
      <c r="E6" s="240">
        <f t="shared" si="0"/>
        <v>0</v>
      </c>
      <c r="F6" s="212">
        <f>'13-УСЛУГЕ-РФЗО 2021'!BD689</f>
        <v>0</v>
      </c>
      <c r="G6" s="212">
        <f>'13-УСЛУГЕ-РФЗО 2021'!BE689</f>
        <v>10</v>
      </c>
    </row>
    <row r="7" spans="1:8" ht="18.75" customHeight="1">
      <c r="A7" s="594"/>
      <c r="B7" s="79" t="s">
        <v>439</v>
      </c>
      <c r="C7" s="216" t="s">
        <v>440</v>
      </c>
      <c r="D7" s="408">
        <v>34</v>
      </c>
      <c r="E7" s="240">
        <f t="shared" si="0"/>
        <v>37.090909090909093</v>
      </c>
      <c r="F7" s="212">
        <f>'13-УСЛУГЕ-РФЗО 2021'!BD719</f>
        <v>49</v>
      </c>
      <c r="G7" s="212">
        <f>'13-УСЛУГЕ-РФЗО 2021'!BE719</f>
        <v>121</v>
      </c>
    </row>
    <row r="8" spans="1:8" ht="18.75" customHeight="1">
      <c r="A8" s="594"/>
      <c r="B8" s="79" t="s">
        <v>352</v>
      </c>
      <c r="C8" s="216" t="s">
        <v>353</v>
      </c>
      <c r="D8" s="235">
        <v>10</v>
      </c>
      <c r="E8" s="240">
        <f t="shared" si="0"/>
        <v>10.909090909090908</v>
      </c>
      <c r="F8" s="212">
        <f>'13-УСЛУГЕ-РФЗО 2021'!BD733</f>
        <v>10</v>
      </c>
      <c r="G8" s="212">
        <f>'13-УСЛУГЕ-РФЗО 2021'!BE733</f>
        <v>33</v>
      </c>
    </row>
    <row r="9" spans="1:8" ht="18.75" customHeight="1">
      <c r="A9" s="596" t="s">
        <v>2526</v>
      </c>
      <c r="B9" s="79" t="s">
        <v>486</v>
      </c>
      <c r="C9" s="216" t="s">
        <v>487</v>
      </c>
      <c r="D9" s="235">
        <v>16</v>
      </c>
      <c r="E9" s="240">
        <f t="shared" si="0"/>
        <v>17.454545454545453</v>
      </c>
      <c r="F9" s="212">
        <f>'13-УСЛУГЕ-РФЗО 2021'!BD815</f>
        <v>16</v>
      </c>
      <c r="G9" s="212">
        <f>'13-УСЛУГЕ-РФЗО 2021'!BE815</f>
        <v>121</v>
      </c>
    </row>
    <row r="10" spans="1:8" ht="22.5" customHeight="1" thickBot="1">
      <c r="A10" s="597"/>
      <c r="B10" s="468" t="s">
        <v>2338</v>
      </c>
      <c r="C10" s="469" t="s">
        <v>2339</v>
      </c>
      <c r="D10" s="470">
        <v>0</v>
      </c>
      <c r="E10" s="471">
        <f t="shared" si="0"/>
        <v>0</v>
      </c>
      <c r="F10" s="472">
        <f>'13-УСЛУГЕ-РФЗО 2021'!BD819</f>
        <v>0</v>
      </c>
      <c r="G10" s="472">
        <f>'13-УСЛУГЕ-РФЗО 2021'!BE819</f>
        <v>20</v>
      </c>
    </row>
    <row r="11" spans="1:8" ht="17.25" thickTop="1" thickBot="1">
      <c r="A11" s="598" t="s">
        <v>2527</v>
      </c>
      <c r="B11" s="473" t="s">
        <v>787</v>
      </c>
      <c r="C11" s="501" t="s">
        <v>788</v>
      </c>
      <c r="D11" s="502">
        <v>734</v>
      </c>
      <c r="E11" s="474">
        <f t="shared" si="0"/>
        <v>800.72727272727275</v>
      </c>
      <c r="F11" s="475">
        <f>'13-УСЛУГЕ-РФЗО 2021'!BD1137</f>
        <v>734</v>
      </c>
      <c r="G11" s="503">
        <f>'13-УСЛУГЕ-РФЗО 2021'!BE1137</f>
        <v>2200</v>
      </c>
    </row>
    <row r="12" spans="1:8" ht="17.25" thickTop="1" thickBot="1">
      <c r="A12" s="599"/>
      <c r="B12" s="476" t="s">
        <v>791</v>
      </c>
      <c r="C12" s="477" t="s">
        <v>792</v>
      </c>
      <c r="D12" s="478">
        <v>39</v>
      </c>
      <c r="E12" s="479">
        <f t="shared" si="0"/>
        <v>42.545454545454547</v>
      </c>
      <c r="F12" s="480">
        <f>'13-УСЛУГЕ-РФЗО 2021'!BD1139</f>
        <v>39</v>
      </c>
      <c r="G12" s="480">
        <f>'13-УСЛУГЕ-РФЗО 2021'!BE1139</f>
        <v>59</v>
      </c>
      <c r="H12" s="217"/>
    </row>
    <row r="13" spans="1:8" ht="21.75" thickTop="1">
      <c r="A13" s="598"/>
      <c r="B13" s="489" t="s">
        <v>793</v>
      </c>
      <c r="C13" s="492" t="s">
        <v>794</v>
      </c>
      <c r="D13" s="508">
        <v>41</v>
      </c>
      <c r="E13" s="495">
        <f t="shared" si="0"/>
        <v>44.727272727272727</v>
      </c>
      <c r="F13" s="496">
        <f>'13-УСЛУГЕ-РФЗО 2021'!BD1140</f>
        <v>42</v>
      </c>
      <c r="G13" s="486">
        <f>'13-УСЛУГЕ-РФЗО 2021'!BE1140</f>
        <v>86</v>
      </c>
      <c r="H13" s="500">
        <f>SUM(G13:G17)</f>
        <v>1196</v>
      </c>
    </row>
    <row r="14" spans="1:8" ht="21">
      <c r="A14" s="598"/>
      <c r="B14" s="490" t="s">
        <v>795</v>
      </c>
      <c r="C14" s="493" t="s">
        <v>796</v>
      </c>
      <c r="D14" s="509">
        <v>2</v>
      </c>
      <c r="E14" s="497">
        <f t="shared" si="0"/>
        <v>2.1818181818181817</v>
      </c>
      <c r="F14" s="219">
        <f>'13-УСЛУГЕ-РФЗО 2021'!BD1141</f>
        <v>2</v>
      </c>
      <c r="G14" s="487">
        <f>'13-УСЛУГЕ-РФЗО 2021'!BE1141</f>
        <v>10</v>
      </c>
      <c r="H14" s="511">
        <f>SUM(D13:D17)</f>
        <v>379</v>
      </c>
    </row>
    <row r="15" spans="1:8" ht="21">
      <c r="A15" s="598"/>
      <c r="B15" s="490" t="s">
        <v>797</v>
      </c>
      <c r="C15" s="493" t="s">
        <v>798</v>
      </c>
      <c r="D15" s="509">
        <v>170</v>
      </c>
      <c r="E15" s="497">
        <f t="shared" si="0"/>
        <v>185.45454545454547</v>
      </c>
      <c r="F15" s="219">
        <f>'13-УСЛУГЕ-РФЗО 2021'!BD1142</f>
        <v>170</v>
      </c>
      <c r="G15" s="487">
        <f>'13-УСЛУГЕ-РФЗО 2021'!BE1142</f>
        <v>550</v>
      </c>
    </row>
    <row r="16" spans="1:8" ht="21">
      <c r="A16" s="598"/>
      <c r="B16" s="490" t="s">
        <v>799</v>
      </c>
      <c r="C16" s="493" t="s">
        <v>800</v>
      </c>
      <c r="D16" s="509">
        <v>112</v>
      </c>
      <c r="E16" s="497">
        <f t="shared" si="0"/>
        <v>122.18181818181819</v>
      </c>
      <c r="F16" s="219">
        <f>'13-УСЛУГЕ-РФЗО 2021'!BD1143</f>
        <v>112</v>
      </c>
      <c r="G16" s="487">
        <f>'13-УСЛУГЕ-РФЗО 2021'!BE1143</f>
        <v>330</v>
      </c>
    </row>
    <row r="17" spans="1:7" ht="21.75" thickBot="1">
      <c r="A17" s="598"/>
      <c r="B17" s="491" t="s">
        <v>801</v>
      </c>
      <c r="C17" s="494" t="s">
        <v>802</v>
      </c>
      <c r="D17" s="510">
        <v>54</v>
      </c>
      <c r="E17" s="498">
        <f t="shared" si="0"/>
        <v>58.909090909090907</v>
      </c>
      <c r="F17" s="499">
        <f>'13-УСЛУГЕ-РФЗО 2021'!BD1144</f>
        <v>54</v>
      </c>
      <c r="G17" s="488">
        <f>'13-УСЛУГЕ-РФЗО 2021'!BE1144</f>
        <v>220</v>
      </c>
    </row>
    <row r="18" spans="1:7" ht="21.75" thickTop="1">
      <c r="A18" s="599"/>
      <c r="B18" s="481" t="s">
        <v>803</v>
      </c>
      <c r="C18" s="482" t="s">
        <v>2346</v>
      </c>
      <c r="D18" s="483">
        <v>0</v>
      </c>
      <c r="E18" s="484">
        <f t="shared" si="0"/>
        <v>0</v>
      </c>
      <c r="F18" s="485">
        <f>'13-УСЛУГЕ-РФЗО 2021'!BD1147</f>
        <v>3</v>
      </c>
      <c r="G18" s="485">
        <f>'13-УСЛУГЕ-РФЗО 2021'!BE1147</f>
        <v>20</v>
      </c>
    </row>
    <row r="19" spans="1:7">
      <c r="A19" s="599"/>
      <c r="B19" s="136" t="s">
        <v>2342</v>
      </c>
      <c r="C19" s="138" t="s">
        <v>2343</v>
      </c>
      <c r="D19" s="260">
        <v>0</v>
      </c>
      <c r="E19" s="261">
        <f t="shared" si="0"/>
        <v>0</v>
      </c>
      <c r="F19" s="485">
        <f>'13-УСЛУГЕ-РФЗО 2021'!BD1148</f>
        <v>0</v>
      </c>
      <c r="G19" s="485">
        <f>'13-УСЛУГЕ-РФЗО 2021'!BE1148</f>
        <v>5</v>
      </c>
    </row>
    <row r="20" spans="1:7">
      <c r="A20" s="599"/>
      <c r="B20" s="136" t="s">
        <v>2340</v>
      </c>
      <c r="C20" s="139" t="s">
        <v>2341</v>
      </c>
      <c r="D20" s="260">
        <v>1</v>
      </c>
      <c r="E20" s="261">
        <f t="shared" si="0"/>
        <v>1.0909090909090908</v>
      </c>
      <c r="F20" s="485">
        <f>'13-УСЛУГЕ-РФЗО 2021'!BD1149</f>
        <v>2</v>
      </c>
      <c r="G20" s="485">
        <f>'13-УСЛУГЕ-РФЗО 2021'!BE1149</f>
        <v>15</v>
      </c>
    </row>
    <row r="21" spans="1:7">
      <c r="A21" s="599"/>
      <c r="B21" s="37" t="s">
        <v>804</v>
      </c>
      <c r="C21" s="38" t="s">
        <v>805</v>
      </c>
      <c r="D21" s="235">
        <v>8</v>
      </c>
      <c r="E21" s="240">
        <f t="shared" si="0"/>
        <v>8.7272727272727266</v>
      </c>
      <c r="F21" s="212">
        <f>'13-УСЛУГЕ-РФЗО 2021'!BD1150</f>
        <v>8</v>
      </c>
      <c r="G21" s="212">
        <f>'13-УСЛУГЕ-РФЗО 2021'!BE1150</f>
        <v>16</v>
      </c>
    </row>
    <row r="22" spans="1:7" ht="21">
      <c r="A22" s="599"/>
      <c r="B22" s="37" t="s">
        <v>808</v>
      </c>
      <c r="C22" s="39" t="s">
        <v>809</v>
      </c>
      <c r="D22" s="235">
        <v>0</v>
      </c>
      <c r="E22" s="240">
        <f t="shared" si="0"/>
        <v>0</v>
      </c>
      <c r="F22" s="212">
        <f>'13-УСЛУГЕ-РФЗО 2021'!BD1153</f>
        <v>0</v>
      </c>
      <c r="G22" s="212">
        <f>'13-УСЛУГЕ-РФЗО 2021'!BE1153</f>
        <v>5</v>
      </c>
    </row>
    <row r="23" spans="1:7" ht="31.5">
      <c r="A23" s="599"/>
      <c r="B23" s="37" t="s">
        <v>816</v>
      </c>
      <c r="C23" s="39" t="s">
        <v>817</v>
      </c>
      <c r="D23" s="235">
        <v>0</v>
      </c>
      <c r="E23" s="240">
        <f t="shared" si="0"/>
        <v>0</v>
      </c>
      <c r="F23" s="212" t="e">
        <f>'13-УСЛУГЕ-РФЗО 2021'!#REF!</f>
        <v>#REF!</v>
      </c>
      <c r="G23" s="212" t="e">
        <f>'13-УСЛУГЕ-РФЗО 2021'!#REF!</f>
        <v>#REF!</v>
      </c>
    </row>
    <row r="24" spans="1:7">
      <c r="A24" s="599"/>
      <c r="B24" s="136" t="s">
        <v>2344</v>
      </c>
      <c r="C24" s="139" t="s">
        <v>2345</v>
      </c>
      <c r="D24" s="235">
        <v>0</v>
      </c>
      <c r="E24" s="240">
        <f t="shared" si="0"/>
        <v>0</v>
      </c>
      <c r="F24" s="212">
        <f>'13-УСЛУГЕ-РФЗО 2021'!BD1165</f>
        <v>0</v>
      </c>
      <c r="G24" s="212">
        <f>'13-УСЛУГЕ-РФЗО 2021'!BE1165</f>
        <v>10</v>
      </c>
    </row>
    <row r="25" spans="1:7">
      <c r="A25" s="233" t="s">
        <v>2528</v>
      </c>
      <c r="B25" s="37" t="s">
        <v>884</v>
      </c>
      <c r="C25" s="38" t="s">
        <v>885</v>
      </c>
      <c r="D25" s="235">
        <v>15</v>
      </c>
      <c r="E25" s="240">
        <f t="shared" si="0"/>
        <v>16.363636363636363</v>
      </c>
      <c r="F25" s="212">
        <f>'13-УСЛУГЕ-РФЗО 2021'!BD1276</f>
        <v>15</v>
      </c>
      <c r="G25" s="212">
        <f>'13-УСЛУГЕ-РФЗО 2021'!BE1276</f>
        <v>224</v>
      </c>
    </row>
    <row r="26" spans="1:7">
      <c r="A26" s="600" t="s">
        <v>2529</v>
      </c>
      <c r="B26" s="37" t="s">
        <v>774</v>
      </c>
      <c r="C26" s="38" t="s">
        <v>937</v>
      </c>
      <c r="D26" s="235">
        <v>148</v>
      </c>
      <c r="E26" s="240">
        <f t="shared" si="0"/>
        <v>161.45454545454547</v>
      </c>
      <c r="F26" s="212">
        <f>'13-УСЛУГЕ-РФЗО 2021'!BD1434</f>
        <v>157</v>
      </c>
      <c r="G26" s="212">
        <f>'13-УСЛУГЕ-РФЗО 2021'!BE1434</f>
        <v>244</v>
      </c>
    </row>
    <row r="27" spans="1:7">
      <c r="A27" s="600"/>
      <c r="B27" s="37" t="s">
        <v>775</v>
      </c>
      <c r="C27" s="38" t="s">
        <v>776</v>
      </c>
      <c r="D27" s="235">
        <v>689</v>
      </c>
      <c r="E27" s="240">
        <f t="shared" si="0"/>
        <v>751.63636363636363</v>
      </c>
      <c r="F27" s="212">
        <f>'13-УСЛУГЕ-РФЗО 2021'!BD1435</f>
        <v>689</v>
      </c>
      <c r="G27" s="212">
        <f>'13-УСЛУГЕ-РФЗО 2021'!BE1435</f>
        <v>1309</v>
      </c>
    </row>
    <row r="28" spans="1:7">
      <c r="A28" s="600"/>
      <c r="B28" s="234" t="s">
        <v>777</v>
      </c>
      <c r="C28" s="101" t="s">
        <v>896</v>
      </c>
      <c r="D28" s="235">
        <v>417</v>
      </c>
      <c r="E28" s="240">
        <f t="shared" si="0"/>
        <v>454.90909090909088</v>
      </c>
      <c r="F28" s="212">
        <f>'13-УСЛУГЕ-РФЗО 2021'!BD1443</f>
        <v>417</v>
      </c>
      <c r="G28" s="212">
        <f>'13-УСЛУГЕ-РФЗО 2021'!BE1443</f>
        <v>1005</v>
      </c>
    </row>
    <row r="29" spans="1:7">
      <c r="A29" s="600"/>
      <c r="B29" s="234" t="s">
        <v>778</v>
      </c>
      <c r="C29" s="101" t="s">
        <v>779</v>
      </c>
      <c r="D29" s="235">
        <v>152</v>
      </c>
      <c r="E29" s="240">
        <f t="shared" si="0"/>
        <v>165.81818181818181</v>
      </c>
      <c r="F29" s="212">
        <f>'13-УСЛУГЕ-РФЗО 2021'!BD1444</f>
        <v>152</v>
      </c>
      <c r="G29" s="212">
        <f>'13-УСЛУГЕ-РФЗО 2021'!BE1444</f>
        <v>262</v>
      </c>
    </row>
    <row r="30" spans="1:7" ht="21">
      <c r="A30" s="600"/>
      <c r="B30" s="234" t="s">
        <v>2504</v>
      </c>
      <c r="C30" s="100" t="s">
        <v>2505</v>
      </c>
      <c r="D30" s="235">
        <v>0</v>
      </c>
      <c r="E30" s="240">
        <f t="shared" si="0"/>
        <v>0</v>
      </c>
      <c r="F30" s="212">
        <f>'13-УСЛУГЕ-РФЗО 2021'!BD1445</f>
        <v>0</v>
      </c>
      <c r="G30" s="212">
        <f>'13-УСЛУГЕ-РФЗО 2021'!BE1445</f>
        <v>4</v>
      </c>
    </row>
    <row r="31" spans="1:7">
      <c r="A31" s="600"/>
      <c r="B31" s="234" t="s">
        <v>942</v>
      </c>
      <c r="C31" s="101" t="s">
        <v>943</v>
      </c>
      <c r="D31" s="235">
        <v>59</v>
      </c>
      <c r="E31" s="240">
        <f t="shared" si="0"/>
        <v>64.36363636363636</v>
      </c>
      <c r="F31" s="212">
        <f>'13-УСЛУГЕ-РФЗО 2021'!BD1446</f>
        <v>59</v>
      </c>
      <c r="G31" s="212">
        <f>'13-УСЛУГЕ-РФЗО 2021'!BE1446</f>
        <v>152</v>
      </c>
    </row>
    <row r="32" spans="1:7">
      <c r="A32" s="594" t="s">
        <v>2530</v>
      </c>
      <c r="B32" s="37" t="s">
        <v>932</v>
      </c>
      <c r="C32" s="38" t="s">
        <v>933</v>
      </c>
      <c r="D32" s="235">
        <v>31</v>
      </c>
      <c r="E32" s="240">
        <f t="shared" si="0"/>
        <v>33.81818181818182</v>
      </c>
      <c r="F32" s="212">
        <f>'13-УСЛУГЕ-РФЗО 2021'!BD1110+'13-УСЛУГЕ-РФЗО 2021'!BD1281+'13-УСЛУГЕ-РФЗО 2021'!BD1525+'13-УСЛУГЕ-РФЗО 2021'!BD1630+'13-УСЛУГЕ-РФЗО 2021'!BD1717+'13-УСЛУГЕ-РФЗО 2021'!BD1923+'13-УСЛУГЕ-РФЗО 2021'!BD3909</f>
        <v>47</v>
      </c>
      <c r="G32" s="212">
        <f>'13-УСЛУГЕ-РФЗО 2021'!BE1110+'13-УСЛУГЕ-РФЗО 2021'!BE1281+'13-УСЛУГЕ-РФЗО 2021'!BE1525+'13-УСЛУГЕ-РФЗО 2021'!BE1630+'13-УСЛУГЕ-РФЗО 2021'!BE1717+'13-УСЛУГЕ-РФЗО 2021'!BE1923+'13-УСЛУГЕ-РФЗО 2021'!BE3909</f>
        <v>101</v>
      </c>
    </row>
    <row r="33" spans="1:7">
      <c r="A33" s="594"/>
      <c r="B33" s="37" t="s">
        <v>754</v>
      </c>
      <c r="C33" s="38" t="s">
        <v>889</v>
      </c>
      <c r="D33" s="235">
        <v>1323</v>
      </c>
      <c r="E33" s="240">
        <f t="shared" si="0"/>
        <v>1443.2727272727273</v>
      </c>
      <c r="F33" s="212">
        <f>'13-УСЛУГЕ-РФЗО 2021'!BD1112+'13-УСЛУГЕ-РФЗО 2021'!BD1284+'13-УСЛУГЕ-РФЗО 2021'!BD1421+'13-УСЛУГЕ-РФЗО 2021'!BD1528+'13-УСЛУГЕ-РФЗО 2021'!BD1631+'13-УСЛУГЕ-РФЗО 2021'!BD1719+'13-УСЛУГЕ-РФЗО 2021'!BD1826+'13-УСЛУГЕ-РФЗО 2021'!BD1925+'13-УСЛУГЕ-РФЗО 2021'!BD2030+'13-УСЛУГЕ-РФЗО 2021'!BD2178+'13-УСЛУГЕ-РФЗО 2021'!BD2400+'13-УСЛУГЕ-РФЗО 2021'!BD2615+'13-УСЛУГЕ-РФЗО 2021'!BD2643+'13-УСЛУГЕ-РФЗО 2021'!BD2794+'13-УСЛУГЕ-РФЗО 2021'!BD2939+'13-УСЛУГЕ-РФЗО 2021'!BD3120+'13-УСЛУГЕ-РФЗО 2021'!BD3194+'13-УСЛУГЕ-РФЗО 2021'!BD3411+'13-УСЛУГЕ-РФЗО 2021'!BD3658</f>
        <v>1438</v>
      </c>
      <c r="G33" s="212">
        <f>'13-УСЛУГЕ-РФЗО 2021'!BE1112+'13-УСЛУГЕ-РФЗО 2021'!BE1284+'13-УСЛУГЕ-РФЗО 2021'!BE1421+'13-УСЛУГЕ-РФЗО 2021'!BE1528+'13-УСЛУГЕ-РФЗО 2021'!BE1631+'13-УСЛУГЕ-РФЗО 2021'!BE1719+'13-УСЛУГЕ-РФЗО 2021'!BE1826+'13-УСЛУГЕ-РФЗО 2021'!BE1925+'13-УСЛУГЕ-РФЗО 2021'!BE2030+'13-УСЛУГЕ-РФЗО 2021'!BE2178+'13-УСЛУГЕ-РФЗО 2021'!BE2400+'13-УСЛУГЕ-РФЗО 2021'!BE2615+'13-УСЛУГЕ-РФЗО 2021'!BE2643+'13-УСЛУГЕ-РФЗО 2021'!BE2794+'13-УСЛУГЕ-РФЗО 2021'!BE2939+'13-УСЛУГЕ-РФЗО 2021'!BE3120+'13-УСЛУГЕ-РФЗО 2021'!BE3194+'13-УСЛУГЕ-РФЗО 2021'!BE3411+'13-УСЛУГЕ-РФЗО 2021'!BE3658</f>
        <v>1229</v>
      </c>
    </row>
    <row r="34" spans="1:7">
      <c r="A34" s="594" t="s">
        <v>2531</v>
      </c>
      <c r="B34" s="237" t="s">
        <v>354</v>
      </c>
      <c r="C34" s="238" t="s">
        <v>1907</v>
      </c>
      <c r="D34" s="235">
        <v>16</v>
      </c>
      <c r="E34" s="240">
        <f t="shared" si="0"/>
        <v>17.454545454545453</v>
      </c>
      <c r="F34" s="212">
        <f>'13-УСЛУГЕ-РФЗО 2021'!BD250</f>
        <v>16</v>
      </c>
      <c r="G34" s="212">
        <f>'13-УСЛУГЕ-РФЗО 2021'!BE250</f>
        <v>37</v>
      </c>
    </row>
    <row r="35" spans="1:7">
      <c r="A35" s="594"/>
      <c r="B35" s="37" t="s">
        <v>2066</v>
      </c>
      <c r="C35" s="38" t="s">
        <v>2296</v>
      </c>
      <c r="D35" s="235">
        <v>47</v>
      </c>
      <c r="E35" s="240">
        <f t="shared" si="0"/>
        <v>51.272727272727266</v>
      </c>
      <c r="F35" s="212">
        <f>'13-УСЛУГЕ-РФЗО 2021'!BD2239</f>
        <v>47</v>
      </c>
      <c r="G35" s="212">
        <f>'13-УСЛУГЕ-РФЗО 2021'!BE2239</f>
        <v>160</v>
      </c>
    </row>
    <row r="36" spans="1:7">
      <c r="A36" s="594"/>
      <c r="B36" s="37" t="s">
        <v>2067</v>
      </c>
      <c r="C36" s="38" t="s">
        <v>2295</v>
      </c>
      <c r="D36" s="408">
        <v>5</v>
      </c>
      <c r="E36" s="240">
        <f t="shared" si="0"/>
        <v>5.4545454545454541</v>
      </c>
      <c r="F36" s="212">
        <f>'13-УСЛУГЕ-РФЗО 2021'!BD2240+'13-УСЛУГЕ-РФЗО 2021'!BD3035</f>
        <v>5</v>
      </c>
      <c r="G36" s="212">
        <f>'13-УСЛУГЕ-РФЗО 2021'!BE2240+'13-УСЛУГЕ-РФЗО 2021'!BE3035</f>
        <v>9</v>
      </c>
    </row>
    <row r="37" spans="1:7">
      <c r="A37" s="594"/>
      <c r="B37" s="37" t="s">
        <v>1381</v>
      </c>
      <c r="C37" s="38" t="s">
        <v>2294</v>
      </c>
      <c r="D37" s="408">
        <v>0</v>
      </c>
      <c r="E37" s="240">
        <f t="shared" si="0"/>
        <v>0</v>
      </c>
      <c r="F37" s="212">
        <f>'13-УСЛУГЕ-РФЗО 2021'!BD2241</f>
        <v>0</v>
      </c>
      <c r="G37" s="212">
        <f>'13-УСЛУГЕ-РФЗО 2021'!BE2241</f>
        <v>1</v>
      </c>
    </row>
    <row r="38" spans="1:7">
      <c r="A38" s="594"/>
      <c r="B38" s="37" t="s">
        <v>1242</v>
      </c>
      <c r="C38" s="38" t="s">
        <v>1243</v>
      </c>
      <c r="D38" s="408">
        <v>5</v>
      </c>
      <c r="E38" s="240">
        <f t="shared" si="0"/>
        <v>5.4545454545454541</v>
      </c>
      <c r="F38" s="212">
        <f>'13-УСЛУГЕ-РФЗО 2021'!BD2242</f>
        <v>5</v>
      </c>
      <c r="G38" s="212">
        <f>'13-УСЛУГЕ-РФЗО 2021'!BE2242</f>
        <v>25</v>
      </c>
    </row>
    <row r="39" spans="1:7">
      <c r="A39" s="594"/>
      <c r="B39" s="37" t="s">
        <v>1382</v>
      </c>
      <c r="C39" s="38" t="s">
        <v>2068</v>
      </c>
      <c r="D39" s="408">
        <v>4</v>
      </c>
      <c r="E39" s="240">
        <f t="shared" si="0"/>
        <v>4.3636363636363633</v>
      </c>
      <c r="F39" s="212">
        <f>'13-УСЛУГЕ-РФЗО 2021'!BD2243</f>
        <v>3</v>
      </c>
      <c r="G39" s="212">
        <f>'13-УСЛУГЕ-РФЗО 2021'!BE2243</f>
        <v>2</v>
      </c>
    </row>
    <row r="40" spans="1:7">
      <c r="A40" s="594"/>
      <c r="B40" s="37" t="s">
        <v>1383</v>
      </c>
      <c r="C40" s="38" t="s">
        <v>2069</v>
      </c>
      <c r="D40" s="408">
        <v>6</v>
      </c>
      <c r="E40" s="240">
        <f t="shared" si="0"/>
        <v>6.545454545454545</v>
      </c>
      <c r="F40" s="212">
        <f>'13-УСЛУГЕ-РФЗО 2021'!BD2244</f>
        <v>5</v>
      </c>
      <c r="G40" s="212">
        <f>'13-УСЛУГЕ-РФЗО 2021'!BE2244</f>
        <v>70</v>
      </c>
    </row>
    <row r="41" spans="1:7">
      <c r="A41" s="594"/>
      <c r="B41" s="37" t="s">
        <v>2070</v>
      </c>
      <c r="C41" s="38" t="s">
        <v>2071</v>
      </c>
      <c r="D41" s="408">
        <v>3</v>
      </c>
      <c r="E41" s="240">
        <f t="shared" si="0"/>
        <v>3.2727272727272725</v>
      </c>
      <c r="F41" s="212">
        <f>'13-УСЛУГЕ-РФЗО 2021'!BD2245</f>
        <v>3</v>
      </c>
      <c r="G41" s="212">
        <f>'13-УСЛУГЕ-РФЗО 2021'!BE2245</f>
        <v>5</v>
      </c>
    </row>
    <row r="42" spans="1:7">
      <c r="A42" s="594"/>
      <c r="B42" s="37" t="s">
        <v>2072</v>
      </c>
      <c r="C42" s="38" t="s">
        <v>2073</v>
      </c>
      <c r="D42" s="408">
        <v>0</v>
      </c>
      <c r="E42" s="240">
        <f t="shared" si="0"/>
        <v>0</v>
      </c>
      <c r="F42" s="212">
        <v>0</v>
      </c>
      <c r="G42" s="212">
        <v>0</v>
      </c>
    </row>
    <row r="43" spans="1:7">
      <c r="A43" s="594" t="s">
        <v>2532</v>
      </c>
      <c r="B43" s="37" t="s">
        <v>1158</v>
      </c>
      <c r="C43" s="38" t="s">
        <v>1159</v>
      </c>
      <c r="D43" s="408">
        <v>649</v>
      </c>
      <c r="E43" s="240">
        <f t="shared" si="0"/>
        <v>708</v>
      </c>
      <c r="F43" s="212">
        <f>'13-УСЛУГЕ-РФЗО 2021'!BD1135+'13-УСЛУГЕ-РФЗО 2021'!BD1449+'13-УСЛУГЕ-РФЗО 2021'!BD1738+'13-УСЛУГЕ-РФЗО 2021'!BD2668+'13-УСЛУГЕ-РФЗО 2021'!BD3425+'13-УСЛУГЕ-РФЗО 2021'!BD3630</f>
        <v>648</v>
      </c>
      <c r="G43" s="212">
        <f>'13-УСЛУГЕ-РФЗО 2021'!BE1135+'13-УСЛУГЕ-РФЗО 2021'!BE1449+'13-УСЛУГЕ-РФЗО 2021'!BE1738+'13-УСЛУГЕ-РФЗО 2021'!BE2668+'13-УСЛУГЕ-РФЗО 2021'!BE3425+'13-УСЛУГЕ-РФЗО 2021'!BE3630</f>
        <v>1391</v>
      </c>
    </row>
    <row r="44" spans="1:7">
      <c r="A44" s="594"/>
      <c r="B44" s="37" t="s">
        <v>1411</v>
      </c>
      <c r="C44" s="38" t="s">
        <v>1412</v>
      </c>
      <c r="D44" s="408">
        <v>0</v>
      </c>
      <c r="E44" s="240">
        <f t="shared" si="0"/>
        <v>0</v>
      </c>
      <c r="F44" s="212">
        <f>'13-УСЛУГЕ-РФЗО 2021'!BD2669</f>
        <v>0</v>
      </c>
      <c r="G44" s="212">
        <f>'13-УСЛУГЕ-РФЗО 2021'!BE2669</f>
        <v>16</v>
      </c>
    </row>
    <row r="45" spans="1:7">
      <c r="A45" s="594"/>
      <c r="B45" s="37" t="s">
        <v>1310</v>
      </c>
      <c r="C45" s="38" t="s">
        <v>681</v>
      </c>
      <c r="D45" s="408">
        <v>109</v>
      </c>
      <c r="E45" s="240">
        <f t="shared" si="0"/>
        <v>118.90909090909091</v>
      </c>
      <c r="F45" s="212">
        <f>'13-УСЛУГЕ-РФЗО 2021'!BD1740+'13-УСЛУГЕ-РФЗО 2021'!BD2680+'13-УСЛУГЕ-РФЗО 2021'!BD3631</f>
        <v>107</v>
      </c>
      <c r="G45" s="212">
        <f>'13-УСЛУГЕ-РФЗО 2021'!BE1740+'13-УСЛУГЕ-РФЗО 2021'!BE2680+'13-УСЛУГЕ-РФЗО 2021'!BE3631</f>
        <v>144</v>
      </c>
    </row>
    <row r="46" spans="1:7">
      <c r="A46" s="594" t="s">
        <v>2533</v>
      </c>
      <c r="B46" s="37" t="s">
        <v>1439</v>
      </c>
      <c r="C46" s="38" t="s">
        <v>1440</v>
      </c>
      <c r="D46" s="408">
        <v>0</v>
      </c>
      <c r="E46" s="240">
        <f t="shared" si="0"/>
        <v>0</v>
      </c>
      <c r="F46" s="212">
        <f>'13-УСЛУГЕ-РФЗО 2021'!BD2815</f>
        <v>0</v>
      </c>
      <c r="G46" s="212">
        <f>'13-УСЛУГЕ-РФЗО 2021'!BE2815</f>
        <v>0</v>
      </c>
    </row>
    <row r="47" spans="1:7">
      <c r="A47" s="594"/>
      <c r="B47" s="37" t="s">
        <v>1441</v>
      </c>
      <c r="C47" s="38" t="s">
        <v>1442</v>
      </c>
      <c r="D47" s="408">
        <v>0</v>
      </c>
      <c r="E47" s="240">
        <f t="shared" si="0"/>
        <v>0</v>
      </c>
      <c r="F47" s="212">
        <f>'13-УСЛУГЕ-РФЗО 2021'!BD2816</f>
        <v>0</v>
      </c>
      <c r="G47" s="212">
        <f>'13-УСЛУГЕ-РФЗО 2021'!BE2816</f>
        <v>0</v>
      </c>
    </row>
    <row r="48" spans="1:7">
      <c r="A48" s="594"/>
      <c r="B48" s="37" t="s">
        <v>995</v>
      </c>
      <c r="C48" s="38" t="s">
        <v>996</v>
      </c>
      <c r="D48" s="408">
        <v>49</v>
      </c>
      <c r="E48" s="240">
        <f t="shared" si="0"/>
        <v>53.454545454545453</v>
      </c>
      <c r="F48" s="212">
        <f>'13-УСЛУГЕ-РФЗО 2021'!BD1306+'13-УСЛУГЕ-РФЗО 2021'!BD1548+'13-УСЛУГЕ-РФЗО 2021'!BD1932+'13-УСЛУГЕ-РФЗО 2021'!BD2820+'13-УСЛУГЕ-РФЗО 2021'!BD3664</f>
        <v>51</v>
      </c>
      <c r="G48" s="212">
        <f>'13-УСЛУГЕ-РФЗО 2021'!BE1306+'13-УСЛУГЕ-РФЗО 2021'!BE1548+'13-УСЛУГЕ-РФЗО 2021'!BE1932+'13-УСЛУГЕ-РФЗО 2021'!BE2820+'13-УСЛУГЕ-РФЗО 2021'!BE3664</f>
        <v>91</v>
      </c>
    </row>
    <row r="49" spans="1:7">
      <c r="A49" s="594"/>
      <c r="B49" s="37" t="s">
        <v>1448</v>
      </c>
      <c r="C49" s="38" t="s">
        <v>1449</v>
      </c>
      <c r="D49" s="408">
        <v>0</v>
      </c>
      <c r="E49" s="240">
        <f t="shared" si="0"/>
        <v>0</v>
      </c>
      <c r="F49" s="212">
        <f>'13-УСЛУГЕ-РФЗО 2021'!BD738</f>
        <v>0</v>
      </c>
      <c r="G49" s="212">
        <f>'13-УСЛУГЕ-РФЗО 2021'!BE738</f>
        <v>0</v>
      </c>
    </row>
    <row r="50" spans="1:7">
      <c r="A50" s="337" t="s">
        <v>2534</v>
      </c>
      <c r="B50" s="37" t="s">
        <v>970</v>
      </c>
      <c r="C50" s="38" t="s">
        <v>2337</v>
      </c>
      <c r="D50" s="408">
        <v>1155</v>
      </c>
      <c r="E50" s="240">
        <f t="shared" si="0"/>
        <v>1260</v>
      </c>
      <c r="F50" s="212">
        <f>'13-УСЛУГЕ-РФЗО 2021'!BD1780+'13-УСЛУГЕ-РФЗО 2021'!BD1869+'13-УСЛУГЕ-РФЗО 2021'!BD2581+'13-УСЛУГЕ-РФЗО 2021'!BD3147</f>
        <v>1155</v>
      </c>
      <c r="G50" s="212">
        <f>'13-УСЛУГЕ-РФЗО 2021'!BE1780+'13-УСЛУГЕ-РФЗО 2021'!BE1869+'13-УСЛУГЕ-РФЗО 2021'!BE2581+'13-УСЛУГЕ-РФЗО 2021'!BE3147</f>
        <v>6397</v>
      </c>
    </row>
    <row r="51" spans="1:7" ht="42" customHeight="1">
      <c r="A51" s="213" t="s">
        <v>2355</v>
      </c>
      <c r="B51" s="235" t="s">
        <v>2538</v>
      </c>
      <c r="C51" s="222" t="s">
        <v>2539</v>
      </c>
      <c r="D51" s="408">
        <v>0</v>
      </c>
      <c r="E51" s="240">
        <f t="shared" si="0"/>
        <v>0</v>
      </c>
      <c r="F51" s="235">
        <v>0</v>
      </c>
      <c r="G51" s="235">
        <v>0</v>
      </c>
    </row>
    <row r="52" spans="1:7" ht="33" customHeight="1">
      <c r="A52" s="595" t="s">
        <v>2632</v>
      </c>
      <c r="B52" s="595"/>
      <c r="C52" s="595"/>
      <c r="D52" s="595"/>
      <c r="E52" s="595"/>
      <c r="F52" s="595"/>
      <c r="G52" s="595"/>
    </row>
  </sheetData>
  <mergeCells count="9">
    <mergeCell ref="A43:A45"/>
    <mergeCell ref="A46:A49"/>
    <mergeCell ref="A52:G52"/>
    <mergeCell ref="A5:A8"/>
    <mergeCell ref="A9:A10"/>
    <mergeCell ref="A11:A24"/>
    <mergeCell ref="A26:A31"/>
    <mergeCell ref="A32:A33"/>
    <mergeCell ref="A34:A42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FF"/>
  </sheetPr>
  <dimension ref="A1:E38"/>
  <sheetViews>
    <sheetView topLeftCell="A24" workbookViewId="0">
      <selection activeCell="D29" sqref="D29"/>
    </sheetView>
  </sheetViews>
  <sheetFormatPr defaultRowHeight="15.75"/>
  <cols>
    <col min="1" max="1" width="14" style="89" customWidth="1"/>
    <col min="2" max="2" width="71.140625" style="89" customWidth="1"/>
    <col min="3" max="5" width="17.85546875" style="89" customWidth="1"/>
    <col min="6" max="16384" width="9.140625" style="90"/>
  </cols>
  <sheetData>
    <row r="1" spans="1:5" ht="24.75" customHeight="1" thickTop="1" thickBot="1">
      <c r="A1" s="688" t="s">
        <v>4041</v>
      </c>
      <c r="B1" s="688"/>
      <c r="C1" s="688"/>
      <c r="D1" s="688"/>
      <c r="E1" s="688"/>
    </row>
    <row r="2" spans="1:5" ht="16.5" thickTop="1"/>
    <row r="3" spans="1:5" ht="30.75" customHeight="1">
      <c r="A3" s="248" t="s">
        <v>2638</v>
      </c>
      <c r="B3" s="263" t="s">
        <v>1914</v>
      </c>
      <c r="C3" s="263" t="s">
        <v>1911</v>
      </c>
      <c r="D3" s="263" t="s">
        <v>1912</v>
      </c>
      <c r="E3" s="263" t="s">
        <v>1913</v>
      </c>
    </row>
    <row r="4" spans="1:5" ht="20.25" customHeight="1">
      <c r="A4" s="111">
        <v>1</v>
      </c>
      <c r="B4" s="111" t="s">
        <v>2379</v>
      </c>
      <c r="C4" s="102">
        <v>0</v>
      </c>
      <c r="D4" s="102">
        <v>2</v>
      </c>
      <c r="E4" s="263">
        <f>SUM(C4:D4)</f>
        <v>2</v>
      </c>
    </row>
    <row r="5" spans="1:5" ht="20.25" customHeight="1">
      <c r="A5" s="111">
        <v>2</v>
      </c>
      <c r="B5" s="111" t="s">
        <v>2367</v>
      </c>
      <c r="C5" s="102">
        <v>0</v>
      </c>
      <c r="D5" s="102">
        <v>4</v>
      </c>
      <c r="E5" s="263">
        <f t="shared" ref="E5:E35" si="0">SUM(C5:D5)</f>
        <v>4</v>
      </c>
    </row>
    <row r="6" spans="1:5" ht="20.25" customHeight="1">
      <c r="A6" s="111">
        <v>3</v>
      </c>
      <c r="B6" s="111" t="s">
        <v>2659</v>
      </c>
      <c r="C6" s="102">
        <v>0</v>
      </c>
      <c r="D6" s="102">
        <v>266</v>
      </c>
      <c r="E6" s="263">
        <f t="shared" si="0"/>
        <v>266</v>
      </c>
    </row>
    <row r="7" spans="1:5" ht="20.25" customHeight="1">
      <c r="A7" s="111">
        <v>4</v>
      </c>
      <c r="B7" s="111" t="s">
        <v>4064</v>
      </c>
      <c r="C7" s="102">
        <v>0</v>
      </c>
      <c r="D7" s="102">
        <v>404</v>
      </c>
      <c r="E7" s="263">
        <f t="shared" si="0"/>
        <v>404</v>
      </c>
    </row>
    <row r="8" spans="1:5" ht="20.25" customHeight="1">
      <c r="A8" s="111">
        <v>5</v>
      </c>
      <c r="B8" s="111" t="s">
        <v>2894</v>
      </c>
      <c r="C8" s="102">
        <v>0</v>
      </c>
      <c r="D8" s="102">
        <v>3</v>
      </c>
      <c r="E8" s="263">
        <f t="shared" si="0"/>
        <v>3</v>
      </c>
    </row>
    <row r="9" spans="1:5" ht="20.25" customHeight="1">
      <c r="A9" s="111">
        <v>6</v>
      </c>
      <c r="B9" s="111" t="s">
        <v>2361</v>
      </c>
      <c r="C9" s="102">
        <v>0</v>
      </c>
      <c r="D9" s="102">
        <v>6160</v>
      </c>
      <c r="E9" s="263">
        <f t="shared" si="0"/>
        <v>6160</v>
      </c>
    </row>
    <row r="10" spans="1:5" ht="20.25" customHeight="1">
      <c r="A10" s="111">
        <v>7</v>
      </c>
      <c r="B10" s="111" t="s">
        <v>4065</v>
      </c>
      <c r="C10" s="102">
        <v>0</v>
      </c>
      <c r="D10" s="102">
        <v>2762</v>
      </c>
      <c r="E10" s="263">
        <f t="shared" si="0"/>
        <v>2762</v>
      </c>
    </row>
    <row r="11" spans="1:5" ht="20.25" customHeight="1">
      <c r="A11" s="111">
        <v>8</v>
      </c>
      <c r="B11" s="111" t="s">
        <v>2798</v>
      </c>
      <c r="C11" s="102">
        <v>0</v>
      </c>
      <c r="D11" s="102">
        <v>12</v>
      </c>
      <c r="E11" s="263">
        <f t="shared" si="0"/>
        <v>12</v>
      </c>
    </row>
    <row r="12" spans="1:5" ht="20.25" customHeight="1">
      <c r="A12" s="111">
        <v>9</v>
      </c>
      <c r="B12" s="111" t="s">
        <v>3642</v>
      </c>
      <c r="C12" s="102">
        <v>0</v>
      </c>
      <c r="D12" s="102">
        <v>173</v>
      </c>
      <c r="E12" s="263">
        <f t="shared" si="0"/>
        <v>173</v>
      </c>
    </row>
    <row r="13" spans="1:5" ht="20.25" customHeight="1">
      <c r="A13" s="111">
        <v>10</v>
      </c>
      <c r="B13" s="111" t="s">
        <v>2381</v>
      </c>
      <c r="C13" s="102">
        <v>0</v>
      </c>
      <c r="D13" s="102">
        <v>80</v>
      </c>
      <c r="E13" s="263">
        <f t="shared" si="0"/>
        <v>80</v>
      </c>
    </row>
    <row r="14" spans="1:5" ht="20.25" customHeight="1">
      <c r="A14" s="111">
        <v>11</v>
      </c>
      <c r="B14" s="111" t="s">
        <v>3718</v>
      </c>
      <c r="C14" s="102">
        <v>0</v>
      </c>
      <c r="D14" s="102">
        <v>199</v>
      </c>
      <c r="E14" s="263">
        <f t="shared" si="0"/>
        <v>199</v>
      </c>
    </row>
    <row r="15" spans="1:5" ht="20.25" customHeight="1">
      <c r="A15" s="111">
        <v>12</v>
      </c>
      <c r="B15" s="111" t="s">
        <v>2722</v>
      </c>
      <c r="C15" s="102">
        <v>0</v>
      </c>
      <c r="D15" s="102">
        <v>139</v>
      </c>
      <c r="E15" s="263">
        <f t="shared" si="0"/>
        <v>139</v>
      </c>
    </row>
    <row r="16" spans="1:5" ht="20.25" customHeight="1">
      <c r="A16" s="111"/>
      <c r="B16" s="111" t="s">
        <v>4066</v>
      </c>
      <c r="C16" s="102">
        <v>0</v>
      </c>
      <c r="D16" s="102">
        <v>2341</v>
      </c>
      <c r="E16" s="263">
        <f t="shared" si="0"/>
        <v>2341</v>
      </c>
    </row>
    <row r="17" spans="1:5" ht="20.25" customHeight="1">
      <c r="A17" s="111">
        <v>14</v>
      </c>
      <c r="B17" s="111" t="s">
        <v>2363</v>
      </c>
      <c r="C17" s="102">
        <v>0</v>
      </c>
      <c r="D17" s="102">
        <v>20</v>
      </c>
      <c r="E17" s="263">
        <f t="shared" si="0"/>
        <v>20</v>
      </c>
    </row>
    <row r="18" spans="1:5" ht="20.25" customHeight="1">
      <c r="A18" s="111">
        <v>15</v>
      </c>
      <c r="B18" s="111" t="s">
        <v>2372</v>
      </c>
      <c r="C18" s="102">
        <v>0</v>
      </c>
      <c r="D18" s="102">
        <v>13</v>
      </c>
      <c r="E18" s="263">
        <f t="shared" si="0"/>
        <v>13</v>
      </c>
    </row>
    <row r="19" spans="1:5" ht="20.25" customHeight="1">
      <c r="A19" s="111">
        <v>16</v>
      </c>
      <c r="B19" s="111" t="s">
        <v>2726</v>
      </c>
      <c r="C19" s="102">
        <v>0</v>
      </c>
      <c r="D19" s="102">
        <v>21</v>
      </c>
      <c r="E19" s="263">
        <f t="shared" si="0"/>
        <v>21</v>
      </c>
    </row>
    <row r="20" spans="1:5" ht="20.25" customHeight="1">
      <c r="A20" s="111">
        <v>17</v>
      </c>
      <c r="B20" s="111" t="s">
        <v>2373</v>
      </c>
      <c r="C20" s="102">
        <v>0</v>
      </c>
      <c r="D20" s="102">
        <v>692</v>
      </c>
      <c r="E20" s="263">
        <f t="shared" si="0"/>
        <v>692</v>
      </c>
    </row>
    <row r="21" spans="1:5" ht="20.25" customHeight="1">
      <c r="A21" s="111">
        <v>18</v>
      </c>
      <c r="B21" s="111" t="s">
        <v>2798</v>
      </c>
      <c r="C21" s="102">
        <v>0</v>
      </c>
      <c r="D21" s="102">
        <v>164</v>
      </c>
      <c r="E21" s="263">
        <f t="shared" si="0"/>
        <v>164</v>
      </c>
    </row>
    <row r="22" spans="1:5" ht="20.25" customHeight="1">
      <c r="A22" s="111">
        <v>19</v>
      </c>
      <c r="B22" s="111" t="s">
        <v>3221</v>
      </c>
      <c r="C22" s="102">
        <v>0</v>
      </c>
      <c r="D22" s="102">
        <v>6186</v>
      </c>
      <c r="E22" s="263">
        <f t="shared" si="0"/>
        <v>6186</v>
      </c>
    </row>
    <row r="23" spans="1:5" ht="20.25" customHeight="1">
      <c r="A23" s="111"/>
      <c r="B23" s="111" t="s">
        <v>2727</v>
      </c>
      <c r="C23" s="102">
        <v>0</v>
      </c>
      <c r="D23" s="102">
        <v>3532</v>
      </c>
      <c r="E23" s="331">
        <f t="shared" si="0"/>
        <v>3532</v>
      </c>
    </row>
    <row r="24" spans="1:5" ht="20.25" customHeight="1">
      <c r="A24" s="111"/>
      <c r="B24" s="111" t="s">
        <v>3221</v>
      </c>
      <c r="C24" s="102">
        <v>0</v>
      </c>
      <c r="D24" s="102">
        <v>55</v>
      </c>
      <c r="E24" s="331">
        <f t="shared" si="0"/>
        <v>55</v>
      </c>
    </row>
    <row r="25" spans="1:5" ht="20.25" customHeight="1">
      <c r="A25" s="111"/>
      <c r="B25" s="111" t="s">
        <v>2665</v>
      </c>
      <c r="C25" s="102">
        <v>0</v>
      </c>
      <c r="D25" s="102">
        <v>271</v>
      </c>
      <c r="E25" s="331">
        <f t="shared" si="0"/>
        <v>271</v>
      </c>
    </row>
    <row r="26" spans="1:5" ht="20.25" customHeight="1">
      <c r="A26" s="111"/>
      <c r="B26" s="111" t="s">
        <v>4067</v>
      </c>
      <c r="C26" s="102">
        <v>4861</v>
      </c>
      <c r="D26" s="102">
        <v>0</v>
      </c>
      <c r="E26" s="331">
        <f t="shared" si="0"/>
        <v>4861</v>
      </c>
    </row>
    <row r="27" spans="1:5" ht="20.25" customHeight="1">
      <c r="A27" s="111">
        <v>20</v>
      </c>
      <c r="B27" s="111" t="s">
        <v>4068</v>
      </c>
      <c r="C27" s="102">
        <v>0</v>
      </c>
      <c r="D27" s="102">
        <v>13</v>
      </c>
      <c r="E27" s="263">
        <f t="shared" si="0"/>
        <v>13</v>
      </c>
    </row>
    <row r="28" spans="1:5" ht="20.25" customHeight="1">
      <c r="A28" s="519"/>
      <c r="B28" s="111" t="s">
        <v>2378</v>
      </c>
      <c r="C28" s="102">
        <v>0</v>
      </c>
      <c r="D28" s="102">
        <v>555</v>
      </c>
      <c r="E28" s="563">
        <f t="shared" si="0"/>
        <v>555</v>
      </c>
    </row>
    <row r="29" spans="1:5" ht="20.25" customHeight="1">
      <c r="A29" s="519"/>
      <c r="B29" s="111"/>
      <c r="C29" s="102"/>
      <c r="D29" s="102"/>
      <c r="E29" s="563"/>
    </row>
    <row r="30" spans="1:5" ht="20.25" customHeight="1">
      <c r="A30" s="519"/>
      <c r="B30" s="111"/>
      <c r="C30" s="102"/>
      <c r="D30" s="102"/>
      <c r="E30" s="563"/>
    </row>
    <row r="31" spans="1:5" ht="20.25" customHeight="1">
      <c r="A31" s="519"/>
      <c r="B31" s="111"/>
      <c r="C31" s="102"/>
      <c r="D31" s="102"/>
      <c r="E31" s="563"/>
    </row>
    <row r="32" spans="1:5" ht="23.25" customHeight="1">
      <c r="A32" s="686" t="s">
        <v>2164</v>
      </c>
      <c r="B32" s="687"/>
      <c r="C32" s="263">
        <f>SUM(C4:C28)</f>
        <v>4861</v>
      </c>
      <c r="D32" s="263">
        <f>SUM(D4:D28)</f>
        <v>24067</v>
      </c>
      <c r="E32" s="263">
        <f t="shared" si="0"/>
        <v>28928</v>
      </c>
    </row>
    <row r="33" spans="1:5" ht="21.75" customHeight="1">
      <c r="A33" s="113"/>
      <c r="B33" s="113"/>
      <c r="C33" s="113"/>
      <c r="D33" s="113"/>
      <c r="E33" s="112">
        <f t="shared" si="0"/>
        <v>0</v>
      </c>
    </row>
    <row r="34" spans="1:5" ht="21.75" customHeight="1">
      <c r="A34" s="683" t="s">
        <v>2186</v>
      </c>
      <c r="B34" s="684"/>
      <c r="C34" s="112">
        <f>SUM(C33:C33)</f>
        <v>0</v>
      </c>
      <c r="D34" s="112">
        <f>SUM(D33:D33)</f>
        <v>0</v>
      </c>
      <c r="E34" s="112">
        <f t="shared" si="0"/>
        <v>0</v>
      </c>
    </row>
    <row r="35" spans="1:5" ht="21.75" customHeight="1">
      <c r="A35" s="685" t="s">
        <v>2187</v>
      </c>
      <c r="B35" s="685"/>
      <c r="C35" s="263">
        <f>C32-C34</f>
        <v>4861</v>
      </c>
      <c r="D35" s="263">
        <f>D32-D34</f>
        <v>24067</v>
      </c>
      <c r="E35" s="263">
        <f t="shared" si="0"/>
        <v>28928</v>
      </c>
    </row>
    <row r="36" spans="1:5">
      <c r="C36" s="124"/>
      <c r="D36" s="124"/>
    </row>
    <row r="37" spans="1:5">
      <c r="C37" s="124">
        <f>'13-УСЛУГЕ-РФЗО 2021'!P4358</f>
        <v>20395</v>
      </c>
      <c r="D37" s="124">
        <f>'13-УСЛУГЕ-РФЗО 2021'!AP4358</f>
        <v>8877</v>
      </c>
    </row>
    <row r="38" spans="1:5">
      <c r="C38" s="124">
        <f>C35-C37</f>
        <v>-15534</v>
      </c>
      <c r="D38" s="124">
        <f>D35-D37</f>
        <v>15190</v>
      </c>
    </row>
  </sheetData>
  <mergeCells count="4">
    <mergeCell ref="A1:E1"/>
    <mergeCell ref="A32:B32"/>
    <mergeCell ref="A34:B34"/>
    <mergeCell ref="A35:B35"/>
  </mergeCells>
  <pageMargins left="0.7" right="0.7" top="0.75" bottom="0.75" header="0.3" footer="0.3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G104"/>
  <sheetViews>
    <sheetView topLeftCell="A89" workbookViewId="0">
      <selection activeCell="B107" sqref="B107"/>
    </sheetView>
  </sheetViews>
  <sheetFormatPr defaultRowHeight="15.75"/>
  <cols>
    <col min="1" max="1" width="14" style="89" customWidth="1"/>
    <col min="2" max="2" width="62.140625" style="89" customWidth="1"/>
    <col min="3" max="5" width="17.85546875" style="89" customWidth="1"/>
    <col min="6" max="32" width="0" style="90" hidden="1" customWidth="1"/>
    <col min="33" max="16384" width="9.140625" style="90"/>
  </cols>
  <sheetData>
    <row r="1" spans="1:5" ht="38.25" customHeight="1" thickTop="1" thickBot="1">
      <c r="A1" s="677" t="s">
        <v>4042</v>
      </c>
      <c r="B1" s="677"/>
      <c r="C1" s="677"/>
      <c r="D1" s="677"/>
      <c r="E1" s="677"/>
    </row>
    <row r="2" spans="1:5" ht="16.5" thickTop="1"/>
    <row r="3" spans="1:5" ht="30.75" customHeight="1">
      <c r="A3" s="115" t="s">
        <v>2638</v>
      </c>
      <c r="B3" s="262" t="s">
        <v>1914</v>
      </c>
      <c r="C3" s="262" t="s">
        <v>1912</v>
      </c>
      <c r="D3" s="262" t="s">
        <v>1911</v>
      </c>
      <c r="E3" s="262" t="s">
        <v>1913</v>
      </c>
    </row>
    <row r="4" spans="1:5" ht="22.5" customHeight="1">
      <c r="A4" s="86">
        <v>1</v>
      </c>
      <c r="B4" s="86" t="s">
        <v>2366</v>
      </c>
      <c r="C4" s="102">
        <v>0</v>
      </c>
      <c r="D4" s="102">
        <v>1982</v>
      </c>
      <c r="E4" s="262">
        <f>SUM(C4:D4)</f>
        <v>1982</v>
      </c>
    </row>
    <row r="5" spans="1:5" ht="22.5" customHeight="1">
      <c r="A5" s="86">
        <v>2</v>
      </c>
      <c r="B5" s="86" t="s">
        <v>2712</v>
      </c>
      <c r="C5" s="102">
        <v>240</v>
      </c>
      <c r="D5" s="102">
        <v>0</v>
      </c>
      <c r="E5" s="262">
        <f t="shared" ref="E5:E65" si="0">SUM(C5:D5)</f>
        <v>240</v>
      </c>
    </row>
    <row r="6" spans="1:5" ht="22.5" customHeight="1">
      <c r="A6" s="86">
        <v>3</v>
      </c>
      <c r="B6" s="86" t="s">
        <v>2718</v>
      </c>
      <c r="C6" s="102">
        <v>0</v>
      </c>
      <c r="D6" s="102">
        <v>2</v>
      </c>
      <c r="E6" s="262">
        <f t="shared" si="0"/>
        <v>2</v>
      </c>
    </row>
    <row r="7" spans="1:5" ht="22.5" customHeight="1">
      <c r="A7" s="86">
        <v>4</v>
      </c>
      <c r="B7" s="86" t="s">
        <v>3732</v>
      </c>
      <c r="C7" s="102">
        <v>4</v>
      </c>
      <c r="D7" s="102">
        <v>0</v>
      </c>
      <c r="E7" s="262">
        <f t="shared" si="0"/>
        <v>4</v>
      </c>
    </row>
    <row r="8" spans="1:5" ht="22.5" customHeight="1">
      <c r="A8" s="86">
        <v>5</v>
      </c>
      <c r="B8" s="86" t="s">
        <v>4069</v>
      </c>
      <c r="C8" s="102">
        <v>1390</v>
      </c>
      <c r="D8" s="102">
        <v>0</v>
      </c>
      <c r="E8" s="262">
        <f t="shared" si="0"/>
        <v>1390</v>
      </c>
    </row>
    <row r="9" spans="1:5" ht="22.5" customHeight="1">
      <c r="A9" s="86">
        <v>6</v>
      </c>
      <c r="B9" s="86" t="s">
        <v>2637</v>
      </c>
      <c r="C9" s="102">
        <v>0</v>
      </c>
      <c r="D9" s="102">
        <v>1</v>
      </c>
      <c r="E9" s="262">
        <f t="shared" si="0"/>
        <v>1</v>
      </c>
    </row>
    <row r="10" spans="1:5" ht="22.5" customHeight="1">
      <c r="A10" s="86">
        <v>7</v>
      </c>
      <c r="B10" s="86" t="s">
        <v>2795</v>
      </c>
      <c r="C10" s="102">
        <v>0</v>
      </c>
      <c r="D10" s="102">
        <v>1</v>
      </c>
      <c r="E10" s="262">
        <f t="shared" si="0"/>
        <v>1</v>
      </c>
    </row>
    <row r="11" spans="1:5" ht="22.5" customHeight="1">
      <c r="A11" s="86">
        <v>8</v>
      </c>
      <c r="B11" s="86" t="s">
        <v>2795</v>
      </c>
      <c r="C11" s="102">
        <v>0</v>
      </c>
      <c r="D11" s="102">
        <v>196</v>
      </c>
      <c r="E11" s="262">
        <f t="shared" si="0"/>
        <v>196</v>
      </c>
    </row>
    <row r="12" spans="1:5" ht="22.5" customHeight="1">
      <c r="A12" s="86">
        <v>9</v>
      </c>
      <c r="B12" s="86" t="s">
        <v>2639</v>
      </c>
      <c r="C12" s="102">
        <v>0</v>
      </c>
      <c r="D12" s="102">
        <v>208</v>
      </c>
      <c r="E12" s="262">
        <f t="shared" si="0"/>
        <v>208</v>
      </c>
    </row>
    <row r="13" spans="1:5" ht="22.5" customHeight="1">
      <c r="A13" s="86">
        <v>10</v>
      </c>
      <c r="B13" s="86" t="s">
        <v>2657</v>
      </c>
      <c r="C13" s="102">
        <v>0</v>
      </c>
      <c r="D13" s="102">
        <v>71</v>
      </c>
      <c r="E13" s="262">
        <f t="shared" si="0"/>
        <v>71</v>
      </c>
    </row>
    <row r="14" spans="1:5" ht="22.5" customHeight="1">
      <c r="A14" s="86">
        <v>11</v>
      </c>
      <c r="B14" s="86" t="s">
        <v>2659</v>
      </c>
      <c r="C14" s="102">
        <v>0</v>
      </c>
      <c r="D14" s="102">
        <v>6</v>
      </c>
      <c r="E14" s="262">
        <f t="shared" si="0"/>
        <v>6</v>
      </c>
    </row>
    <row r="15" spans="1:5" ht="22.5" customHeight="1">
      <c r="A15" s="86">
        <v>12</v>
      </c>
      <c r="B15" s="86" t="s">
        <v>2713</v>
      </c>
      <c r="C15" s="102">
        <v>0</v>
      </c>
      <c r="D15" s="102">
        <v>33</v>
      </c>
      <c r="E15" s="262">
        <f t="shared" si="0"/>
        <v>33</v>
      </c>
    </row>
    <row r="16" spans="1:5" ht="22.5" customHeight="1">
      <c r="A16" s="86">
        <v>13</v>
      </c>
      <c r="B16" s="86" t="s">
        <v>2714</v>
      </c>
      <c r="C16" s="102">
        <v>9</v>
      </c>
      <c r="D16" s="102">
        <v>0</v>
      </c>
      <c r="E16" s="262">
        <f t="shared" si="0"/>
        <v>9</v>
      </c>
    </row>
    <row r="17" spans="1:6" ht="22.5" customHeight="1">
      <c r="A17" s="86">
        <v>14</v>
      </c>
      <c r="B17" s="86" t="s">
        <v>2659</v>
      </c>
      <c r="C17" s="102">
        <v>2</v>
      </c>
      <c r="D17" s="102">
        <v>0</v>
      </c>
      <c r="E17" s="262">
        <f t="shared" si="0"/>
        <v>2</v>
      </c>
      <c r="F17" s="90" t="s">
        <v>1960</v>
      </c>
    </row>
    <row r="18" spans="1:6" ht="22.5" customHeight="1">
      <c r="A18" s="86">
        <v>15</v>
      </c>
      <c r="B18" s="86" t="s">
        <v>3310</v>
      </c>
      <c r="C18" s="102">
        <v>0</v>
      </c>
      <c r="D18" s="102">
        <v>8</v>
      </c>
      <c r="E18" s="262">
        <f t="shared" si="0"/>
        <v>8</v>
      </c>
    </row>
    <row r="19" spans="1:6" ht="22.5" customHeight="1">
      <c r="A19" s="86">
        <v>16</v>
      </c>
      <c r="B19" s="86" t="s">
        <v>3310</v>
      </c>
      <c r="C19" s="102">
        <v>0</v>
      </c>
      <c r="D19" s="102">
        <v>550</v>
      </c>
      <c r="E19" s="262">
        <f t="shared" si="0"/>
        <v>550</v>
      </c>
    </row>
    <row r="20" spans="1:6" ht="22.5" customHeight="1">
      <c r="A20" s="86">
        <v>17</v>
      </c>
      <c r="B20" s="86" t="s">
        <v>2718</v>
      </c>
      <c r="C20" s="102">
        <v>0</v>
      </c>
      <c r="D20" s="102">
        <v>3131</v>
      </c>
      <c r="E20" s="262">
        <f t="shared" si="0"/>
        <v>3131</v>
      </c>
    </row>
    <row r="21" spans="1:6" ht="22.5" customHeight="1">
      <c r="A21" s="86">
        <v>18</v>
      </c>
      <c r="B21" s="86" t="s">
        <v>2719</v>
      </c>
      <c r="C21" s="102">
        <v>0</v>
      </c>
      <c r="D21" s="102">
        <v>1648</v>
      </c>
      <c r="E21" s="262">
        <f t="shared" si="0"/>
        <v>1648</v>
      </c>
    </row>
    <row r="22" spans="1:6" ht="22.5" customHeight="1">
      <c r="A22" s="86">
        <v>19</v>
      </c>
      <c r="B22" s="86" t="s">
        <v>2720</v>
      </c>
      <c r="C22" s="102">
        <v>0</v>
      </c>
      <c r="D22" s="102">
        <v>3949</v>
      </c>
      <c r="E22" s="262">
        <f t="shared" si="0"/>
        <v>3949</v>
      </c>
    </row>
    <row r="23" spans="1:6" ht="22.5" customHeight="1">
      <c r="A23" s="86">
        <v>20</v>
      </c>
      <c r="B23" s="86" t="s">
        <v>2720</v>
      </c>
      <c r="C23" s="102">
        <v>0</v>
      </c>
      <c r="D23" s="102">
        <v>342</v>
      </c>
      <c r="E23" s="262">
        <f t="shared" si="0"/>
        <v>342</v>
      </c>
    </row>
    <row r="24" spans="1:6" ht="22.5" customHeight="1">
      <c r="A24" s="86">
        <v>21</v>
      </c>
      <c r="B24" s="86" t="s">
        <v>2720</v>
      </c>
      <c r="C24" s="102">
        <v>39</v>
      </c>
      <c r="D24" s="102">
        <v>0</v>
      </c>
      <c r="E24" s="262">
        <f t="shared" si="0"/>
        <v>39</v>
      </c>
    </row>
    <row r="25" spans="1:6" ht="22.5" customHeight="1">
      <c r="A25" s="86">
        <v>22</v>
      </c>
      <c r="B25" s="86" t="s">
        <v>2720</v>
      </c>
      <c r="C25" s="102">
        <v>53</v>
      </c>
      <c r="D25" s="102">
        <v>7</v>
      </c>
      <c r="E25" s="330">
        <f t="shared" si="0"/>
        <v>60</v>
      </c>
    </row>
    <row r="26" spans="1:6" ht="22.5" customHeight="1">
      <c r="A26" s="86">
        <v>23</v>
      </c>
      <c r="B26" s="86" t="s">
        <v>2720</v>
      </c>
      <c r="C26" s="102">
        <v>181</v>
      </c>
      <c r="D26" s="102">
        <v>36</v>
      </c>
      <c r="E26" s="262">
        <f t="shared" si="0"/>
        <v>217</v>
      </c>
    </row>
    <row r="27" spans="1:6" ht="22.5" customHeight="1">
      <c r="A27" s="86">
        <v>24</v>
      </c>
      <c r="B27" s="86" t="s">
        <v>2720</v>
      </c>
      <c r="C27" s="102">
        <v>1</v>
      </c>
      <c r="D27" s="102">
        <v>19</v>
      </c>
      <c r="E27" s="330">
        <f t="shared" si="0"/>
        <v>20</v>
      </c>
    </row>
    <row r="28" spans="1:6" ht="22.5" customHeight="1">
      <c r="A28" s="86">
        <v>25</v>
      </c>
      <c r="B28" s="86" t="s">
        <v>2720</v>
      </c>
      <c r="C28" s="102">
        <v>1</v>
      </c>
      <c r="D28" s="102">
        <v>0</v>
      </c>
      <c r="E28" s="330">
        <f t="shared" si="0"/>
        <v>1</v>
      </c>
    </row>
    <row r="29" spans="1:6" ht="22.5" customHeight="1">
      <c r="A29" s="86">
        <v>26</v>
      </c>
      <c r="B29" s="86" t="s">
        <v>2370</v>
      </c>
      <c r="C29" s="102">
        <v>206</v>
      </c>
      <c r="D29" s="102">
        <v>659</v>
      </c>
      <c r="E29" s="262">
        <f t="shared" si="0"/>
        <v>865</v>
      </c>
    </row>
    <row r="30" spans="1:6" ht="22.5" customHeight="1">
      <c r="A30" s="86">
        <v>27</v>
      </c>
      <c r="B30" s="86" t="s">
        <v>2370</v>
      </c>
      <c r="C30" s="102">
        <v>6</v>
      </c>
      <c r="D30" s="102">
        <v>0</v>
      </c>
      <c r="E30" s="262">
        <f t="shared" si="0"/>
        <v>6</v>
      </c>
    </row>
    <row r="31" spans="1:6" ht="22.5" customHeight="1">
      <c r="A31" s="86">
        <v>28</v>
      </c>
      <c r="B31" s="86" t="s">
        <v>2370</v>
      </c>
      <c r="C31" s="102">
        <v>1299</v>
      </c>
      <c r="D31" s="102">
        <v>2931</v>
      </c>
      <c r="E31" s="262">
        <f t="shared" si="0"/>
        <v>4230</v>
      </c>
    </row>
    <row r="32" spans="1:6" ht="22.5" customHeight="1">
      <c r="A32" s="86">
        <v>29</v>
      </c>
      <c r="B32" s="86" t="s">
        <v>2798</v>
      </c>
      <c r="C32" s="102">
        <v>0</v>
      </c>
      <c r="D32" s="102">
        <v>24</v>
      </c>
      <c r="E32" s="262">
        <f t="shared" si="0"/>
        <v>24</v>
      </c>
    </row>
    <row r="33" spans="1:7" ht="22.5" customHeight="1">
      <c r="A33" s="86">
        <v>30</v>
      </c>
      <c r="B33" s="86" t="s">
        <v>3641</v>
      </c>
      <c r="C33" s="102">
        <v>0</v>
      </c>
      <c r="D33" s="102">
        <v>68</v>
      </c>
      <c r="E33" s="262">
        <f t="shared" si="0"/>
        <v>68</v>
      </c>
    </row>
    <row r="34" spans="1:7" ht="22.5" customHeight="1">
      <c r="A34" s="86">
        <v>31</v>
      </c>
      <c r="B34" s="86" t="s">
        <v>3642</v>
      </c>
      <c r="C34" s="102">
        <v>0</v>
      </c>
      <c r="D34" s="102">
        <v>401</v>
      </c>
      <c r="E34" s="262">
        <f t="shared" si="0"/>
        <v>401</v>
      </c>
    </row>
    <row r="35" spans="1:7" ht="22.5" customHeight="1">
      <c r="A35" s="86">
        <v>32</v>
      </c>
      <c r="B35" s="86" t="s">
        <v>4047</v>
      </c>
      <c r="C35" s="102">
        <v>0</v>
      </c>
      <c r="D35" s="102">
        <v>30</v>
      </c>
      <c r="E35" s="262">
        <f t="shared" si="0"/>
        <v>30</v>
      </c>
      <c r="F35" s="90" t="s">
        <v>1968</v>
      </c>
    </row>
    <row r="36" spans="1:7" ht="22.5" customHeight="1">
      <c r="A36" s="86">
        <v>33</v>
      </c>
      <c r="B36" s="86" t="s">
        <v>3643</v>
      </c>
      <c r="C36" s="102">
        <v>0</v>
      </c>
      <c r="D36" s="102">
        <v>24</v>
      </c>
      <c r="E36" s="262">
        <f t="shared" si="0"/>
        <v>24</v>
      </c>
    </row>
    <row r="37" spans="1:7" ht="22.5" customHeight="1">
      <c r="A37" s="86">
        <v>34</v>
      </c>
      <c r="B37" s="86" t="s">
        <v>3718</v>
      </c>
      <c r="C37" s="102">
        <v>0</v>
      </c>
      <c r="D37" s="102">
        <v>306</v>
      </c>
      <c r="E37" s="262">
        <f t="shared" si="0"/>
        <v>306</v>
      </c>
    </row>
    <row r="38" spans="1:7" ht="22.5" customHeight="1">
      <c r="A38" s="86">
        <v>35</v>
      </c>
      <c r="B38" s="86" t="s">
        <v>4070</v>
      </c>
      <c r="C38" s="102">
        <v>0</v>
      </c>
      <c r="D38" s="102">
        <v>21</v>
      </c>
      <c r="E38" s="262">
        <f t="shared" si="0"/>
        <v>21</v>
      </c>
      <c r="F38" s="90" t="s">
        <v>1966</v>
      </c>
    </row>
    <row r="39" spans="1:7" ht="22.5" customHeight="1">
      <c r="A39" s="86">
        <v>36</v>
      </c>
      <c r="B39" s="86" t="s">
        <v>2722</v>
      </c>
      <c r="C39" s="102">
        <v>0</v>
      </c>
      <c r="D39" s="102">
        <v>499</v>
      </c>
      <c r="E39" s="262">
        <f t="shared" si="0"/>
        <v>499</v>
      </c>
      <c r="F39" s="90" t="s">
        <v>1966</v>
      </c>
    </row>
    <row r="40" spans="1:7" ht="22.5" customHeight="1">
      <c r="A40" s="86">
        <v>37</v>
      </c>
      <c r="B40" s="86" t="s">
        <v>2722</v>
      </c>
      <c r="C40" s="102">
        <v>1</v>
      </c>
      <c r="D40" s="102">
        <v>261</v>
      </c>
      <c r="E40" s="262">
        <f t="shared" si="0"/>
        <v>262</v>
      </c>
    </row>
    <row r="41" spans="1:7" ht="22.5" customHeight="1">
      <c r="A41" s="86">
        <v>38</v>
      </c>
      <c r="B41" s="86" t="s">
        <v>2722</v>
      </c>
      <c r="C41" s="102">
        <v>63</v>
      </c>
      <c r="D41" s="102">
        <v>0</v>
      </c>
      <c r="E41" s="262">
        <f t="shared" si="0"/>
        <v>63</v>
      </c>
      <c r="F41" s="90" t="s">
        <v>1967</v>
      </c>
    </row>
    <row r="42" spans="1:7" ht="22.5" customHeight="1">
      <c r="A42" s="86">
        <v>39</v>
      </c>
      <c r="B42" s="86" t="s">
        <v>2722</v>
      </c>
      <c r="C42" s="102">
        <v>19</v>
      </c>
      <c r="D42" s="102">
        <v>0</v>
      </c>
      <c r="E42" s="262">
        <f t="shared" si="0"/>
        <v>19</v>
      </c>
      <c r="F42" s="90" t="s">
        <v>1966</v>
      </c>
    </row>
    <row r="43" spans="1:7" ht="22.5" customHeight="1">
      <c r="A43" s="86">
        <v>40</v>
      </c>
      <c r="B43" s="86" t="s">
        <v>2371</v>
      </c>
      <c r="C43" s="102">
        <v>0</v>
      </c>
      <c r="D43" s="102">
        <v>2160</v>
      </c>
      <c r="E43" s="262">
        <f t="shared" si="0"/>
        <v>2160</v>
      </c>
    </row>
    <row r="44" spans="1:7" ht="22.5" customHeight="1">
      <c r="A44" s="86">
        <v>41</v>
      </c>
      <c r="B44" s="86" t="s">
        <v>3671</v>
      </c>
      <c r="C44" s="102">
        <v>0</v>
      </c>
      <c r="D44" s="102">
        <v>68</v>
      </c>
      <c r="E44" s="262">
        <f t="shared" si="0"/>
        <v>68</v>
      </c>
    </row>
    <row r="45" spans="1:7" ht="22.5" customHeight="1">
      <c r="A45" s="86">
        <v>42</v>
      </c>
      <c r="B45" s="86" t="s">
        <v>3221</v>
      </c>
      <c r="C45" s="102">
        <v>0</v>
      </c>
      <c r="D45" s="102">
        <v>2</v>
      </c>
      <c r="E45" s="262">
        <f t="shared" si="0"/>
        <v>2</v>
      </c>
    </row>
    <row r="46" spans="1:7" ht="22.5" customHeight="1">
      <c r="A46" s="86">
        <v>43</v>
      </c>
      <c r="B46" s="86" t="s">
        <v>2664</v>
      </c>
      <c r="C46" s="102">
        <v>0</v>
      </c>
      <c r="D46" s="102">
        <v>3173</v>
      </c>
      <c r="E46" s="262">
        <f t="shared" si="0"/>
        <v>3173</v>
      </c>
    </row>
    <row r="47" spans="1:7" ht="22.5" customHeight="1">
      <c r="A47" s="86">
        <v>44</v>
      </c>
      <c r="B47" s="86" t="s">
        <v>4071</v>
      </c>
      <c r="C47" s="102">
        <v>247</v>
      </c>
      <c r="D47" s="102">
        <v>0</v>
      </c>
      <c r="E47" s="262">
        <f t="shared" si="0"/>
        <v>247</v>
      </c>
      <c r="F47" s="90" t="e">
        <f>C38+C39+C42+C43+#REF!+C45+C46+C47</f>
        <v>#REF!</v>
      </c>
      <c r="G47" s="90" t="e">
        <f>D38+D39+D42+D43+#REF!+D45+D46+D47</f>
        <v>#REF!</v>
      </c>
    </row>
    <row r="48" spans="1:7" ht="22.5" customHeight="1">
      <c r="A48" s="86">
        <v>45</v>
      </c>
      <c r="B48" s="86" t="s">
        <v>4071</v>
      </c>
      <c r="C48" s="102">
        <v>1</v>
      </c>
      <c r="D48" s="102">
        <v>0</v>
      </c>
      <c r="E48" s="262">
        <f t="shared" si="0"/>
        <v>1</v>
      </c>
    </row>
    <row r="49" spans="1:5" ht="22.5" customHeight="1">
      <c r="A49" s="86">
        <v>46</v>
      </c>
      <c r="B49" s="86" t="s">
        <v>2363</v>
      </c>
      <c r="C49" s="102">
        <v>0</v>
      </c>
      <c r="D49" s="102">
        <v>919</v>
      </c>
      <c r="E49" s="330">
        <f t="shared" si="0"/>
        <v>919</v>
      </c>
    </row>
    <row r="50" spans="1:5" ht="22.5" customHeight="1">
      <c r="A50" s="86">
        <v>47</v>
      </c>
      <c r="B50" s="86" t="s">
        <v>3765</v>
      </c>
      <c r="C50" s="102">
        <v>0</v>
      </c>
      <c r="D50" s="102">
        <v>26</v>
      </c>
      <c r="E50" s="330">
        <f t="shared" si="0"/>
        <v>26</v>
      </c>
    </row>
    <row r="51" spans="1:5" ht="22.5" customHeight="1">
      <c r="A51" s="86">
        <v>48</v>
      </c>
      <c r="B51" s="86" t="s">
        <v>2726</v>
      </c>
      <c r="C51" s="102">
        <v>0</v>
      </c>
      <c r="D51" s="102">
        <v>869</v>
      </c>
      <c r="E51" s="330">
        <f t="shared" si="0"/>
        <v>869</v>
      </c>
    </row>
    <row r="52" spans="1:5" ht="22.5" customHeight="1">
      <c r="A52" s="86">
        <v>49</v>
      </c>
      <c r="B52" s="86" t="s">
        <v>4072</v>
      </c>
      <c r="C52" s="102">
        <v>0</v>
      </c>
      <c r="D52" s="102">
        <v>2</v>
      </c>
      <c r="E52" s="330">
        <f t="shared" si="0"/>
        <v>2</v>
      </c>
    </row>
    <row r="53" spans="1:5" ht="22.5" customHeight="1">
      <c r="A53" s="86">
        <v>50</v>
      </c>
      <c r="B53" s="86" t="s">
        <v>4073</v>
      </c>
      <c r="C53" s="102">
        <v>2</v>
      </c>
      <c r="D53" s="102">
        <v>0</v>
      </c>
      <c r="E53" s="330">
        <f t="shared" si="0"/>
        <v>2</v>
      </c>
    </row>
    <row r="54" spans="1:5" ht="22.5" customHeight="1">
      <c r="A54" s="86">
        <v>51</v>
      </c>
      <c r="B54" s="86" t="s">
        <v>2726</v>
      </c>
      <c r="C54" s="102">
        <v>338</v>
      </c>
      <c r="D54" s="102">
        <v>0</v>
      </c>
      <c r="E54" s="330">
        <f t="shared" si="0"/>
        <v>338</v>
      </c>
    </row>
    <row r="55" spans="1:5" ht="22.5" customHeight="1">
      <c r="A55" s="86">
        <v>52</v>
      </c>
      <c r="B55" s="86" t="s">
        <v>2373</v>
      </c>
      <c r="C55" s="102">
        <v>0</v>
      </c>
      <c r="D55" s="102">
        <v>2782</v>
      </c>
      <c r="E55" s="330">
        <f t="shared" si="0"/>
        <v>2782</v>
      </c>
    </row>
    <row r="56" spans="1:5" ht="22.5" customHeight="1">
      <c r="A56" s="86">
        <v>53</v>
      </c>
      <c r="B56" s="86" t="s">
        <v>2798</v>
      </c>
      <c r="C56" s="102">
        <v>0</v>
      </c>
      <c r="D56" s="102">
        <v>3628</v>
      </c>
      <c r="E56" s="262">
        <f t="shared" si="0"/>
        <v>3628</v>
      </c>
    </row>
    <row r="57" spans="1:5" ht="22.5" customHeight="1">
      <c r="A57" s="86">
        <v>54</v>
      </c>
      <c r="B57" s="86" t="s">
        <v>2727</v>
      </c>
      <c r="C57" s="126">
        <v>0</v>
      </c>
      <c r="D57" s="126">
        <v>2288</v>
      </c>
      <c r="E57" s="262">
        <f t="shared" si="0"/>
        <v>2288</v>
      </c>
    </row>
    <row r="58" spans="1:5" ht="22.5" customHeight="1">
      <c r="A58" s="86">
        <v>55</v>
      </c>
      <c r="B58" s="86" t="s">
        <v>3221</v>
      </c>
      <c r="C58" s="126">
        <v>0</v>
      </c>
      <c r="D58" s="126">
        <v>61</v>
      </c>
      <c r="E58" s="262">
        <f t="shared" si="0"/>
        <v>61</v>
      </c>
    </row>
    <row r="59" spans="1:5" ht="22.5" customHeight="1">
      <c r="A59" s="86">
        <v>56</v>
      </c>
      <c r="B59" s="86" t="s">
        <v>4074</v>
      </c>
      <c r="C59" s="102">
        <v>527</v>
      </c>
      <c r="D59" s="102">
        <v>0</v>
      </c>
      <c r="E59" s="262">
        <f t="shared" si="0"/>
        <v>527</v>
      </c>
    </row>
    <row r="60" spans="1:5" ht="22.5" customHeight="1">
      <c r="A60" s="86">
        <v>57</v>
      </c>
      <c r="B60" s="86" t="s">
        <v>4075</v>
      </c>
      <c r="C60" s="102">
        <v>184</v>
      </c>
      <c r="D60" s="102">
        <v>0</v>
      </c>
      <c r="E60" s="262">
        <f t="shared" si="0"/>
        <v>184</v>
      </c>
    </row>
    <row r="61" spans="1:5" ht="22.5" customHeight="1">
      <c r="A61" s="86">
        <v>58</v>
      </c>
      <c r="B61" s="86" t="s">
        <v>4076</v>
      </c>
      <c r="C61" s="102">
        <v>1469</v>
      </c>
      <c r="D61" s="102">
        <v>0</v>
      </c>
      <c r="E61" s="262">
        <f t="shared" si="0"/>
        <v>1469</v>
      </c>
    </row>
    <row r="62" spans="1:5" ht="22.5" customHeight="1">
      <c r="A62" s="86">
        <v>59</v>
      </c>
      <c r="B62" s="86" t="s">
        <v>728</v>
      </c>
      <c r="C62" s="102">
        <v>1</v>
      </c>
      <c r="D62" s="102">
        <v>0</v>
      </c>
      <c r="E62" s="262">
        <f t="shared" si="0"/>
        <v>1</v>
      </c>
    </row>
    <row r="63" spans="1:5" ht="22.5" customHeight="1">
      <c r="A63" s="86">
        <v>60</v>
      </c>
      <c r="B63" s="86" t="s">
        <v>723</v>
      </c>
      <c r="C63" s="102">
        <v>2</v>
      </c>
      <c r="D63" s="102">
        <v>0</v>
      </c>
      <c r="E63" s="262">
        <f t="shared" si="0"/>
        <v>2</v>
      </c>
    </row>
    <row r="64" spans="1:5" ht="22.5" customHeight="1">
      <c r="A64" s="86">
        <v>61</v>
      </c>
      <c r="B64" s="86" t="s">
        <v>726</v>
      </c>
      <c r="C64" s="102">
        <v>6</v>
      </c>
      <c r="D64" s="102">
        <v>0</v>
      </c>
      <c r="E64" s="262">
        <f t="shared" si="0"/>
        <v>6</v>
      </c>
    </row>
    <row r="65" spans="1:5" ht="22.5" customHeight="1">
      <c r="A65" s="86">
        <v>62</v>
      </c>
      <c r="B65" s="86" t="s">
        <v>725</v>
      </c>
      <c r="C65" s="102">
        <v>1</v>
      </c>
      <c r="D65" s="102">
        <v>0</v>
      </c>
      <c r="E65" s="262">
        <f t="shared" si="0"/>
        <v>1</v>
      </c>
    </row>
    <row r="66" spans="1:5" ht="22.5" customHeight="1">
      <c r="A66" s="86">
        <v>63</v>
      </c>
      <c r="B66" s="86" t="s">
        <v>2647</v>
      </c>
      <c r="C66" s="102">
        <v>6</v>
      </c>
      <c r="D66" s="102">
        <v>0</v>
      </c>
      <c r="E66" s="262">
        <f t="shared" ref="E66:E100" si="1">SUM(C66:D66)</f>
        <v>6</v>
      </c>
    </row>
    <row r="67" spans="1:5" ht="22.5" customHeight="1">
      <c r="A67" s="86">
        <v>64</v>
      </c>
      <c r="B67" s="86" t="s">
        <v>722</v>
      </c>
      <c r="C67" s="102">
        <v>514</v>
      </c>
      <c r="D67" s="102">
        <v>0</v>
      </c>
      <c r="E67" s="262">
        <f t="shared" si="1"/>
        <v>514</v>
      </c>
    </row>
    <row r="68" spans="1:5" ht="22.5" customHeight="1">
      <c r="A68" s="86">
        <v>65</v>
      </c>
      <c r="B68" s="86" t="s">
        <v>4077</v>
      </c>
      <c r="C68" s="102">
        <v>0</v>
      </c>
      <c r="D68" s="102">
        <v>7</v>
      </c>
      <c r="E68" s="562">
        <f t="shared" si="1"/>
        <v>7</v>
      </c>
    </row>
    <row r="69" spans="1:5" ht="22.5" customHeight="1">
      <c r="A69" s="86">
        <v>66</v>
      </c>
      <c r="B69" s="86" t="s">
        <v>4078</v>
      </c>
      <c r="C69" s="102">
        <v>929</v>
      </c>
      <c r="D69" s="102">
        <v>0</v>
      </c>
      <c r="E69" s="562">
        <f t="shared" si="1"/>
        <v>929</v>
      </c>
    </row>
    <row r="70" spans="1:5" ht="22.5" customHeight="1">
      <c r="A70" s="86">
        <v>67</v>
      </c>
      <c r="B70" s="86" t="s">
        <v>4079</v>
      </c>
      <c r="C70" s="102">
        <v>514</v>
      </c>
      <c r="D70" s="102">
        <v>0</v>
      </c>
      <c r="E70" s="562">
        <f t="shared" si="1"/>
        <v>514</v>
      </c>
    </row>
    <row r="71" spans="1:5" ht="22.5" customHeight="1">
      <c r="A71" s="86">
        <v>68</v>
      </c>
      <c r="B71" s="86" t="s">
        <v>3751</v>
      </c>
      <c r="C71" s="102">
        <v>1</v>
      </c>
      <c r="D71" s="102">
        <v>0</v>
      </c>
      <c r="E71" s="562">
        <f t="shared" si="1"/>
        <v>1</v>
      </c>
    </row>
    <row r="72" spans="1:5" ht="22.5" customHeight="1">
      <c r="A72" s="86">
        <v>69</v>
      </c>
      <c r="B72" s="86" t="s">
        <v>4080</v>
      </c>
      <c r="C72" s="102">
        <v>343</v>
      </c>
      <c r="D72" s="102">
        <v>0</v>
      </c>
      <c r="E72" s="562">
        <f t="shared" si="1"/>
        <v>343</v>
      </c>
    </row>
    <row r="73" spans="1:5" ht="22.5" customHeight="1">
      <c r="A73" s="86">
        <v>70</v>
      </c>
      <c r="B73" s="86" t="s">
        <v>4081</v>
      </c>
      <c r="C73" s="102">
        <v>1344</v>
      </c>
      <c r="D73" s="102">
        <v>0</v>
      </c>
      <c r="E73" s="562">
        <f t="shared" si="1"/>
        <v>1344</v>
      </c>
    </row>
    <row r="74" spans="1:5" ht="22.5" customHeight="1">
      <c r="A74" s="86">
        <v>71</v>
      </c>
      <c r="B74" s="86" t="s">
        <v>2639</v>
      </c>
      <c r="C74" s="102">
        <v>1021</v>
      </c>
      <c r="D74" s="102">
        <v>0</v>
      </c>
      <c r="E74" s="562">
        <f t="shared" si="1"/>
        <v>1021</v>
      </c>
    </row>
    <row r="75" spans="1:5" ht="22.5" customHeight="1">
      <c r="A75" s="86">
        <v>72</v>
      </c>
      <c r="B75" s="86" t="s">
        <v>2659</v>
      </c>
      <c r="C75" s="102">
        <v>657</v>
      </c>
      <c r="D75" s="102">
        <v>0</v>
      </c>
      <c r="E75" s="562">
        <f t="shared" si="1"/>
        <v>657</v>
      </c>
    </row>
    <row r="76" spans="1:5" ht="22.5" customHeight="1">
      <c r="A76" s="86">
        <v>73</v>
      </c>
      <c r="B76" s="86" t="s">
        <v>4082</v>
      </c>
      <c r="C76" s="102">
        <v>883</v>
      </c>
      <c r="D76" s="102">
        <v>0</v>
      </c>
      <c r="E76" s="562">
        <f t="shared" si="1"/>
        <v>883</v>
      </c>
    </row>
    <row r="77" spans="1:5" ht="22.5" customHeight="1">
      <c r="A77" s="86">
        <v>74</v>
      </c>
      <c r="B77" s="86" t="s">
        <v>4083</v>
      </c>
      <c r="C77" s="102">
        <v>1603</v>
      </c>
      <c r="D77" s="102">
        <v>0</v>
      </c>
      <c r="E77" s="562">
        <f t="shared" si="1"/>
        <v>1603</v>
      </c>
    </row>
    <row r="78" spans="1:5" ht="22.5" customHeight="1">
      <c r="A78" s="86">
        <v>75</v>
      </c>
      <c r="B78" s="86" t="s">
        <v>4084</v>
      </c>
      <c r="C78" s="102">
        <v>1381</v>
      </c>
      <c r="D78" s="102">
        <v>0</v>
      </c>
      <c r="E78" s="562">
        <f t="shared" si="1"/>
        <v>1381</v>
      </c>
    </row>
    <row r="79" spans="1:5" ht="22.5" customHeight="1">
      <c r="A79" s="86">
        <v>76</v>
      </c>
      <c r="B79" s="86" t="s">
        <v>4085</v>
      </c>
      <c r="C79" s="102">
        <v>230</v>
      </c>
      <c r="D79" s="102">
        <v>0</v>
      </c>
      <c r="E79" s="562">
        <f t="shared" si="1"/>
        <v>230</v>
      </c>
    </row>
    <row r="80" spans="1:5" ht="22.5" customHeight="1">
      <c r="A80" s="86">
        <v>77</v>
      </c>
      <c r="B80" s="86" t="s">
        <v>4054</v>
      </c>
      <c r="C80" s="102">
        <v>543</v>
      </c>
      <c r="D80" s="102">
        <v>0</v>
      </c>
      <c r="E80" s="562">
        <f t="shared" si="1"/>
        <v>543</v>
      </c>
    </row>
    <row r="81" spans="1:5" ht="22.5" customHeight="1">
      <c r="A81" s="86">
        <v>78</v>
      </c>
      <c r="B81" s="86" t="s">
        <v>3695</v>
      </c>
      <c r="C81" s="102">
        <v>191</v>
      </c>
      <c r="D81" s="102">
        <v>0</v>
      </c>
      <c r="E81" s="562">
        <f t="shared" si="1"/>
        <v>191</v>
      </c>
    </row>
    <row r="82" spans="1:5" ht="22.5" customHeight="1">
      <c r="A82" s="86">
        <v>79</v>
      </c>
      <c r="B82" s="86" t="s">
        <v>4086</v>
      </c>
      <c r="C82" s="102">
        <v>0</v>
      </c>
      <c r="D82" s="102">
        <v>1</v>
      </c>
      <c r="E82" s="562">
        <f t="shared" si="1"/>
        <v>1</v>
      </c>
    </row>
    <row r="83" spans="1:5" ht="22.5" customHeight="1">
      <c r="A83" s="86">
        <v>80</v>
      </c>
      <c r="B83" s="86" t="s">
        <v>4087</v>
      </c>
      <c r="C83" s="102">
        <v>84</v>
      </c>
      <c r="D83" s="102">
        <v>0</v>
      </c>
      <c r="E83" s="562">
        <f t="shared" si="1"/>
        <v>84</v>
      </c>
    </row>
    <row r="84" spans="1:5" ht="22.5" customHeight="1">
      <c r="A84" s="86">
        <v>81</v>
      </c>
      <c r="B84" s="86" t="s">
        <v>4088</v>
      </c>
      <c r="C84" s="102">
        <v>637</v>
      </c>
      <c r="D84" s="102">
        <v>0</v>
      </c>
      <c r="E84" s="562">
        <f t="shared" si="1"/>
        <v>637</v>
      </c>
    </row>
    <row r="85" spans="1:5" ht="22.5" customHeight="1">
      <c r="A85" s="86">
        <v>82</v>
      </c>
      <c r="B85" s="86" t="s">
        <v>4058</v>
      </c>
      <c r="C85" s="102">
        <v>750</v>
      </c>
      <c r="D85" s="102">
        <v>0</v>
      </c>
      <c r="E85" s="562">
        <f t="shared" si="1"/>
        <v>750</v>
      </c>
    </row>
    <row r="86" spans="1:5" ht="22.5" customHeight="1">
      <c r="A86" s="86">
        <v>83</v>
      </c>
      <c r="B86" s="86" t="s">
        <v>4089</v>
      </c>
      <c r="C86" s="102">
        <v>624</v>
      </c>
      <c r="D86" s="102">
        <v>0</v>
      </c>
      <c r="E86" s="562">
        <f t="shared" si="1"/>
        <v>624</v>
      </c>
    </row>
    <row r="87" spans="1:5" ht="22.5" customHeight="1">
      <c r="A87" s="86">
        <v>84</v>
      </c>
      <c r="B87" s="86" t="s">
        <v>4090</v>
      </c>
      <c r="C87" s="102">
        <v>674</v>
      </c>
      <c r="D87" s="102">
        <v>0</v>
      </c>
      <c r="E87" s="562">
        <f t="shared" si="1"/>
        <v>674</v>
      </c>
    </row>
    <row r="88" spans="1:5" ht="22.5" customHeight="1">
      <c r="A88" s="86">
        <v>85</v>
      </c>
      <c r="B88" s="86" t="s">
        <v>3759</v>
      </c>
      <c r="C88" s="102">
        <v>718</v>
      </c>
      <c r="D88" s="102">
        <v>0</v>
      </c>
      <c r="E88" s="562">
        <f t="shared" si="1"/>
        <v>718</v>
      </c>
    </row>
    <row r="89" spans="1:5" ht="22.5" customHeight="1">
      <c r="A89" s="86">
        <v>86</v>
      </c>
      <c r="B89" s="86" t="s">
        <v>4091</v>
      </c>
      <c r="C89" s="102">
        <v>3</v>
      </c>
      <c r="D89" s="102">
        <v>0</v>
      </c>
      <c r="E89" s="562">
        <f t="shared" si="1"/>
        <v>3</v>
      </c>
    </row>
    <row r="90" spans="1:5" ht="22.5" customHeight="1">
      <c r="A90" s="86">
        <v>87</v>
      </c>
      <c r="B90" s="86" t="s">
        <v>4092</v>
      </c>
      <c r="C90" s="102">
        <v>104</v>
      </c>
      <c r="D90" s="102">
        <v>0</v>
      </c>
      <c r="E90" s="562">
        <f t="shared" si="1"/>
        <v>104</v>
      </c>
    </row>
    <row r="91" spans="1:5" ht="22.5" customHeight="1">
      <c r="A91" s="86">
        <v>88</v>
      </c>
      <c r="B91" s="86" t="s">
        <v>4093</v>
      </c>
      <c r="C91" s="102">
        <v>1800</v>
      </c>
      <c r="D91" s="102">
        <v>0</v>
      </c>
      <c r="E91" s="562">
        <f t="shared" si="1"/>
        <v>1800</v>
      </c>
    </row>
    <row r="92" spans="1:5" ht="22.5" customHeight="1">
      <c r="A92" s="86">
        <v>89</v>
      </c>
      <c r="B92" s="86" t="s">
        <v>4094</v>
      </c>
      <c r="C92" s="102">
        <v>1136</v>
      </c>
      <c r="D92" s="102">
        <v>0</v>
      </c>
      <c r="E92" s="562">
        <f t="shared" si="1"/>
        <v>1136</v>
      </c>
    </row>
    <row r="93" spans="1:5" ht="22.5" customHeight="1">
      <c r="A93" s="86">
        <v>90</v>
      </c>
      <c r="B93" s="86" t="s">
        <v>4094</v>
      </c>
      <c r="C93" s="102">
        <v>0</v>
      </c>
      <c r="D93" s="102">
        <v>918</v>
      </c>
      <c r="E93" s="562">
        <f t="shared" si="1"/>
        <v>918</v>
      </c>
    </row>
    <row r="94" spans="1:5" ht="43.5" customHeight="1">
      <c r="A94" s="678" t="s">
        <v>2164</v>
      </c>
      <c r="B94" s="679"/>
      <c r="C94" s="262">
        <f>SUM(C4:C93)</f>
        <v>22982</v>
      </c>
      <c r="D94" s="262">
        <f>SUM(D4:D93)</f>
        <v>34318</v>
      </c>
      <c r="E94" s="262">
        <f t="shared" si="1"/>
        <v>57300</v>
      </c>
    </row>
    <row r="95" spans="1:5" ht="15" customHeight="1">
      <c r="A95" s="114"/>
      <c r="B95" s="114"/>
      <c r="C95" s="114"/>
      <c r="D95" s="114"/>
      <c r="E95" s="106">
        <f t="shared" si="1"/>
        <v>0</v>
      </c>
    </row>
    <row r="96" spans="1:5">
      <c r="A96" s="114"/>
      <c r="B96" s="114"/>
      <c r="C96" s="114"/>
      <c r="D96" s="114"/>
      <c r="E96" s="106">
        <f t="shared" si="1"/>
        <v>0</v>
      </c>
    </row>
    <row r="97" spans="1:5">
      <c r="A97" s="114"/>
      <c r="B97" s="114"/>
      <c r="C97" s="114"/>
      <c r="D97" s="114"/>
      <c r="E97" s="106">
        <f t="shared" si="1"/>
        <v>0</v>
      </c>
    </row>
    <row r="98" spans="1:5">
      <c r="A98" s="114"/>
      <c r="B98" s="114"/>
      <c r="C98" s="114"/>
      <c r="D98" s="114"/>
      <c r="E98" s="106">
        <f t="shared" si="1"/>
        <v>0</v>
      </c>
    </row>
    <row r="99" spans="1:5" ht="45" customHeight="1">
      <c r="A99" s="680" t="s">
        <v>2186</v>
      </c>
      <c r="B99" s="681"/>
      <c r="C99" s="106">
        <f>SUM(C95:C98)</f>
        <v>0</v>
      </c>
      <c r="D99" s="106">
        <f>SUM(D95:D98)</f>
        <v>0</v>
      </c>
      <c r="E99" s="106">
        <f t="shared" si="1"/>
        <v>0</v>
      </c>
    </row>
    <row r="100" spans="1:5" ht="47.25" customHeight="1">
      <c r="A100" s="682" t="s">
        <v>2187</v>
      </c>
      <c r="B100" s="682"/>
      <c r="C100" s="262">
        <f>C94-C99</f>
        <v>22982</v>
      </c>
      <c r="D100" s="262">
        <f>D94-D99</f>
        <v>34318</v>
      </c>
      <c r="E100" s="262">
        <f t="shared" si="1"/>
        <v>57300</v>
      </c>
    </row>
    <row r="102" spans="1:5">
      <c r="C102" s="124">
        <f>'13-УСЛУГЕ-РФЗО 2021'!S4357</f>
        <v>54409</v>
      </c>
      <c r="D102" s="124">
        <f>'13-УСЛУГЕ-РФЗО 2021'!AS4357</f>
        <v>0</v>
      </c>
    </row>
    <row r="103" spans="1:5">
      <c r="C103" s="124">
        <f>C100-C102</f>
        <v>-31427</v>
      </c>
      <c r="D103" s="124">
        <f>D100-D102</f>
        <v>34318</v>
      </c>
      <c r="E103" s="129"/>
    </row>
    <row r="104" spans="1:5">
      <c r="D104" s="204"/>
    </row>
  </sheetData>
  <mergeCells count="4">
    <mergeCell ref="A1:E1"/>
    <mergeCell ref="A94:B94"/>
    <mergeCell ref="A99:B99"/>
    <mergeCell ref="A100:B100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I15"/>
  <sheetViews>
    <sheetView workbookViewId="0">
      <selection activeCell="A14" sqref="A14:C14"/>
    </sheetView>
  </sheetViews>
  <sheetFormatPr defaultRowHeight="15.75"/>
  <cols>
    <col min="1" max="1" width="26.28515625" style="202" customWidth="1"/>
    <col min="2" max="2" width="12.28515625" style="202" customWidth="1"/>
    <col min="3" max="3" width="62.140625" style="202" customWidth="1"/>
    <col min="4" max="4" width="10.85546875" style="202" hidden="1" customWidth="1"/>
    <col min="5" max="6" width="19.42578125" style="202" customWidth="1"/>
    <col min="7" max="8" width="7" style="202" hidden="1" customWidth="1"/>
    <col min="9" max="9" width="12.85546875" style="202" customWidth="1"/>
    <col min="10" max="16384" width="9.140625" style="202"/>
  </cols>
  <sheetData>
    <row r="2" spans="1:9" ht="32.25" customHeight="1">
      <c r="A2" s="97" t="s">
        <v>3363</v>
      </c>
    </row>
    <row r="5" spans="1:9" ht="16.5" thickBot="1"/>
    <row r="6" spans="1:9" ht="43.5" customHeight="1" thickTop="1" thickBot="1">
      <c r="A6" s="345" t="s">
        <v>3365</v>
      </c>
      <c r="B6" s="345" t="s">
        <v>3364</v>
      </c>
      <c r="C6" s="345" t="s">
        <v>2537</v>
      </c>
      <c r="D6" s="345" t="s">
        <v>3362</v>
      </c>
      <c r="E6" s="345" t="s">
        <v>3361</v>
      </c>
      <c r="F6" s="345" t="s">
        <v>3372</v>
      </c>
      <c r="G6" s="345" t="s">
        <v>3366</v>
      </c>
      <c r="H6" s="345" t="s">
        <v>3367</v>
      </c>
      <c r="I6" s="346" t="s">
        <v>3368</v>
      </c>
    </row>
    <row r="7" spans="1:9" ht="15.75" customHeight="1" thickTop="1" thickBot="1">
      <c r="A7" s="347">
        <v>0</v>
      </c>
      <c r="B7" s="347">
        <v>1</v>
      </c>
      <c r="C7" s="347">
        <v>2</v>
      </c>
      <c r="D7" s="347"/>
      <c r="E7" s="347">
        <v>3</v>
      </c>
      <c r="F7" s="347">
        <v>4</v>
      </c>
      <c r="G7" s="347"/>
      <c r="H7" s="347"/>
      <c r="I7" s="347">
        <v>5</v>
      </c>
    </row>
    <row r="8" spans="1:9" ht="33.75" customHeight="1" thickTop="1" thickBot="1">
      <c r="A8" s="692" t="s">
        <v>3360</v>
      </c>
      <c r="B8" s="348" t="s">
        <v>787</v>
      </c>
      <c r="C8" s="349" t="s">
        <v>788</v>
      </c>
      <c r="D8" s="350">
        <v>1805</v>
      </c>
      <c r="E8" s="351">
        <f>'13-УСЛУГЕ-РФЗО 2021'!BD1141</f>
        <v>2</v>
      </c>
      <c r="F8" s="352">
        <f>'13-УСЛУГЕ-РФЗО 2021'!BE1141</f>
        <v>10</v>
      </c>
      <c r="G8" s="353">
        <f>E8</f>
        <v>2</v>
      </c>
      <c r="H8" s="353">
        <f>F8</f>
        <v>10</v>
      </c>
      <c r="I8" s="354">
        <f>F8/E8*100</f>
        <v>500</v>
      </c>
    </row>
    <row r="9" spans="1:9" ht="27.75" customHeight="1" thickTop="1" thickBot="1">
      <c r="A9" s="692"/>
      <c r="B9" s="355" t="s">
        <v>793</v>
      </c>
      <c r="C9" s="356" t="s">
        <v>794</v>
      </c>
      <c r="D9" s="345">
        <v>69</v>
      </c>
      <c r="E9" s="353">
        <f>'13-УСЛУГЕ-РФЗО 2021'!BD1144</f>
        <v>54</v>
      </c>
      <c r="F9" s="357">
        <f>'13-УСЛУГЕ-РФЗО 2021'!BE1144</f>
        <v>220</v>
      </c>
      <c r="G9" s="691">
        <f>SUM(E9:E13)</f>
        <v>67</v>
      </c>
      <c r="H9" s="689">
        <f>SUM(F9:F13)</f>
        <v>276</v>
      </c>
      <c r="I9" s="354">
        <f t="shared" ref="I9:I14" si="0">F9/E9*100</f>
        <v>407.40740740740745</v>
      </c>
    </row>
    <row r="10" spans="1:9" ht="27.75" customHeight="1" thickTop="1" thickBot="1">
      <c r="A10" s="692"/>
      <c r="B10" s="355" t="s">
        <v>795</v>
      </c>
      <c r="C10" s="356" t="s">
        <v>796</v>
      </c>
      <c r="D10" s="345">
        <v>2</v>
      </c>
      <c r="E10" s="353">
        <f>'13-УСЛУГЕ-РФЗО 2021'!BD1147</f>
        <v>3</v>
      </c>
      <c r="F10" s="357">
        <f>'13-УСЛУГЕ-РФЗО 2021'!BE1147</f>
        <v>20</v>
      </c>
      <c r="G10" s="691"/>
      <c r="H10" s="690"/>
      <c r="I10" s="354">
        <f t="shared" si="0"/>
        <v>666.66666666666674</v>
      </c>
    </row>
    <row r="11" spans="1:9" ht="27.75" customHeight="1" thickTop="1" thickBot="1">
      <c r="A11" s="692"/>
      <c r="B11" s="355" t="s">
        <v>797</v>
      </c>
      <c r="C11" s="356" t="s">
        <v>798</v>
      </c>
      <c r="D11" s="345">
        <v>545</v>
      </c>
      <c r="E11" s="353">
        <f>'13-УСЛУГЕ-РФЗО 2021'!BD1148</f>
        <v>0</v>
      </c>
      <c r="F11" s="357">
        <f>'13-УСЛУГЕ-РФЗО 2021'!BE1148</f>
        <v>5</v>
      </c>
      <c r="G11" s="691"/>
      <c r="H11" s="690"/>
      <c r="I11" s="354" t="e">
        <f t="shared" si="0"/>
        <v>#DIV/0!</v>
      </c>
    </row>
    <row r="12" spans="1:9" ht="27.75" customHeight="1" thickTop="1" thickBot="1">
      <c r="A12" s="692"/>
      <c r="B12" s="355" t="s">
        <v>799</v>
      </c>
      <c r="C12" s="356" t="s">
        <v>800</v>
      </c>
      <c r="D12" s="345">
        <f>7+319</f>
        <v>326</v>
      </c>
      <c r="E12" s="353">
        <f>'13-УСЛУГЕ-РФЗО 2021'!BD1149</f>
        <v>2</v>
      </c>
      <c r="F12" s="357">
        <f>'13-УСЛУГЕ-РФЗО 2021'!BE1149</f>
        <v>15</v>
      </c>
      <c r="G12" s="691"/>
      <c r="H12" s="690"/>
      <c r="I12" s="354">
        <f t="shared" si="0"/>
        <v>750</v>
      </c>
    </row>
    <row r="13" spans="1:9" ht="27.75" customHeight="1" thickTop="1" thickBot="1">
      <c r="A13" s="692"/>
      <c r="B13" s="355" t="s">
        <v>801</v>
      </c>
      <c r="C13" s="356" t="s">
        <v>802</v>
      </c>
      <c r="D13" s="345">
        <v>162</v>
      </c>
      <c r="E13" s="353">
        <f>'13-УСЛУГЕ-РФЗО 2021'!BD1150</f>
        <v>8</v>
      </c>
      <c r="F13" s="357">
        <f>'13-УСЛУГЕ-РФЗО 2021'!BE1150</f>
        <v>16</v>
      </c>
      <c r="G13" s="691"/>
      <c r="H13" s="690"/>
      <c r="I13" s="354">
        <f t="shared" si="0"/>
        <v>200</v>
      </c>
    </row>
    <row r="14" spans="1:9" ht="28.5" customHeight="1" thickTop="1" thickBot="1">
      <c r="A14" s="690" t="s">
        <v>1913</v>
      </c>
      <c r="B14" s="690"/>
      <c r="C14" s="690"/>
      <c r="D14" s="345"/>
      <c r="E14" s="353">
        <f>SUM(E8:E13)</f>
        <v>69</v>
      </c>
      <c r="F14" s="353">
        <f>SUM(F8:F13)</f>
        <v>286</v>
      </c>
      <c r="G14" s="345"/>
      <c r="H14" s="345"/>
      <c r="I14" s="354">
        <f t="shared" si="0"/>
        <v>414.49275362318838</v>
      </c>
    </row>
    <row r="15" spans="1:9" ht="16.5" thickTop="1">
      <c r="D15" s="202">
        <f>SUM(D9:D13)</f>
        <v>1104</v>
      </c>
      <c r="E15" s="217"/>
    </row>
  </sheetData>
  <mergeCells count="4">
    <mergeCell ref="H9:H13"/>
    <mergeCell ref="G9:G13"/>
    <mergeCell ref="A14:C14"/>
    <mergeCell ref="A8:A13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K4479"/>
  <sheetViews>
    <sheetView tabSelected="1" topLeftCell="B1" zoomScaleNormal="100" zoomScaleSheetLayoutView="100" workbookViewId="0">
      <pane ySplit="9" topLeftCell="A10" activePane="bottomLeft" state="frozen"/>
      <selection pane="bottomLeft" activeCell="BE4371" sqref="BE4371"/>
    </sheetView>
  </sheetViews>
  <sheetFormatPr defaultColWidth="12.7109375" defaultRowHeight="15.75"/>
  <cols>
    <col min="1" max="1" width="5.42578125" style="7" customWidth="1"/>
    <col min="2" max="2" width="11.28515625" style="7" customWidth="1"/>
    <col min="3" max="3" width="56.28515625" style="7" customWidth="1"/>
    <col min="4" max="19" width="6.7109375" style="3" hidden="1" customWidth="1"/>
    <col min="20" max="27" width="3.7109375" style="3" hidden="1" customWidth="1"/>
    <col min="28" max="28" width="10.85546875" style="3" customWidth="1"/>
    <col min="29" max="29" width="10.42578125" style="3" customWidth="1"/>
    <col min="30" max="45" width="6.7109375" style="8" hidden="1" customWidth="1"/>
    <col min="46" max="53" width="5" style="8" hidden="1" customWidth="1"/>
    <col min="54" max="54" width="10.85546875" style="8" customWidth="1"/>
    <col min="55" max="55" width="11.28515625" style="8" customWidth="1"/>
    <col min="56" max="56" width="10.5703125" style="2" customWidth="1"/>
    <col min="57" max="57" width="11.5703125" style="2" customWidth="1"/>
    <col min="58" max="58" width="8.85546875" style="2" customWidth="1"/>
    <col min="59" max="59" width="11" style="371" hidden="1" customWidth="1"/>
    <col min="60" max="60" width="14.7109375" style="7" hidden="1" customWidth="1"/>
    <col min="61" max="62" width="19.28515625" style="7" hidden="1" customWidth="1"/>
    <col min="63" max="64" width="0" style="7" hidden="1" customWidth="1"/>
    <col min="65" max="98" width="12.7109375" style="7"/>
    <col min="99" max="99" width="5.42578125" style="7" customWidth="1"/>
    <col min="100" max="100" width="12.7109375" style="7" customWidth="1"/>
    <col min="101" max="101" width="51.5703125" style="7" customWidth="1"/>
    <col min="102" max="103" width="12.7109375" style="7" customWidth="1"/>
    <col min="104" max="105" width="7.7109375" style="7" customWidth="1"/>
    <col min="106" max="107" width="12.7109375" style="7" customWidth="1"/>
    <col min="108" max="109" width="6.7109375" style="7" customWidth="1"/>
    <col min="110" max="111" width="12.7109375" style="7" customWidth="1"/>
    <col min="112" max="113" width="6.7109375" style="7" customWidth="1"/>
    <col min="114" max="354" width="12.7109375" style="7"/>
    <col min="355" max="355" width="5.42578125" style="7" customWidth="1"/>
    <col min="356" max="356" width="12.7109375" style="7" customWidth="1"/>
    <col min="357" max="357" width="51.5703125" style="7" customWidth="1"/>
    <col min="358" max="359" width="12.7109375" style="7" customWidth="1"/>
    <col min="360" max="361" width="7.7109375" style="7" customWidth="1"/>
    <col min="362" max="363" width="12.7109375" style="7" customWidth="1"/>
    <col min="364" max="365" width="6.7109375" style="7" customWidth="1"/>
    <col min="366" max="367" width="12.7109375" style="7" customWidth="1"/>
    <col min="368" max="369" width="6.7109375" style="7" customWidth="1"/>
    <col min="370" max="610" width="12.7109375" style="7"/>
    <col min="611" max="611" width="5.42578125" style="7" customWidth="1"/>
    <col min="612" max="612" width="12.7109375" style="7" customWidth="1"/>
    <col min="613" max="613" width="51.5703125" style="7" customWidth="1"/>
    <col min="614" max="615" width="12.7109375" style="7" customWidth="1"/>
    <col min="616" max="617" width="7.7109375" style="7" customWidth="1"/>
    <col min="618" max="619" width="12.7109375" style="7" customWidth="1"/>
    <col min="620" max="621" width="6.7109375" style="7" customWidth="1"/>
    <col min="622" max="623" width="12.7109375" style="7" customWidth="1"/>
    <col min="624" max="625" width="6.7109375" style="7" customWidth="1"/>
    <col min="626" max="866" width="12.7109375" style="7"/>
    <col min="867" max="867" width="5.42578125" style="7" customWidth="1"/>
    <col min="868" max="868" width="12.7109375" style="7" customWidth="1"/>
    <col min="869" max="869" width="51.5703125" style="7" customWidth="1"/>
    <col min="870" max="871" width="12.7109375" style="7" customWidth="1"/>
    <col min="872" max="873" width="7.7109375" style="7" customWidth="1"/>
    <col min="874" max="875" width="12.7109375" style="7" customWidth="1"/>
    <col min="876" max="877" width="6.7109375" style="7" customWidth="1"/>
    <col min="878" max="879" width="12.7109375" style="7" customWidth="1"/>
    <col min="880" max="881" width="6.7109375" style="7" customWidth="1"/>
    <col min="882" max="1122" width="12.7109375" style="7"/>
    <col min="1123" max="1123" width="5.42578125" style="7" customWidth="1"/>
    <col min="1124" max="1124" width="12.7109375" style="7" customWidth="1"/>
    <col min="1125" max="1125" width="51.5703125" style="7" customWidth="1"/>
    <col min="1126" max="1127" width="12.7109375" style="7" customWidth="1"/>
    <col min="1128" max="1129" width="7.7109375" style="7" customWidth="1"/>
    <col min="1130" max="1131" width="12.7109375" style="7" customWidth="1"/>
    <col min="1132" max="1133" width="6.7109375" style="7" customWidth="1"/>
    <col min="1134" max="1135" width="12.7109375" style="7" customWidth="1"/>
    <col min="1136" max="1137" width="6.7109375" style="7" customWidth="1"/>
    <col min="1138" max="1378" width="12.7109375" style="7"/>
    <col min="1379" max="1379" width="5.42578125" style="7" customWidth="1"/>
    <col min="1380" max="1380" width="12.7109375" style="7" customWidth="1"/>
    <col min="1381" max="1381" width="51.5703125" style="7" customWidth="1"/>
    <col min="1382" max="1383" width="12.7109375" style="7" customWidth="1"/>
    <col min="1384" max="1385" width="7.7109375" style="7" customWidth="1"/>
    <col min="1386" max="1387" width="12.7109375" style="7" customWidth="1"/>
    <col min="1388" max="1389" width="6.7109375" style="7" customWidth="1"/>
    <col min="1390" max="1391" width="12.7109375" style="7" customWidth="1"/>
    <col min="1392" max="1393" width="6.7109375" style="7" customWidth="1"/>
    <col min="1394" max="1634" width="12.7109375" style="7"/>
    <col min="1635" max="1635" width="5.42578125" style="7" customWidth="1"/>
    <col min="1636" max="1636" width="12.7109375" style="7" customWidth="1"/>
    <col min="1637" max="1637" width="51.5703125" style="7" customWidth="1"/>
    <col min="1638" max="1639" width="12.7109375" style="7" customWidth="1"/>
    <col min="1640" max="1641" width="7.7109375" style="7" customWidth="1"/>
    <col min="1642" max="1643" width="12.7109375" style="7" customWidth="1"/>
    <col min="1644" max="1645" width="6.7109375" style="7" customWidth="1"/>
    <col min="1646" max="1647" width="12.7109375" style="7" customWidth="1"/>
    <col min="1648" max="1649" width="6.7109375" style="7" customWidth="1"/>
    <col min="1650" max="1890" width="12.7109375" style="7"/>
    <col min="1891" max="1891" width="5.42578125" style="7" customWidth="1"/>
    <col min="1892" max="1892" width="12.7109375" style="7" customWidth="1"/>
    <col min="1893" max="1893" width="51.5703125" style="7" customWidth="1"/>
    <col min="1894" max="1895" width="12.7109375" style="7" customWidth="1"/>
    <col min="1896" max="1897" width="7.7109375" style="7" customWidth="1"/>
    <col min="1898" max="1899" width="12.7109375" style="7" customWidth="1"/>
    <col min="1900" max="1901" width="6.7109375" style="7" customWidth="1"/>
    <col min="1902" max="1903" width="12.7109375" style="7" customWidth="1"/>
    <col min="1904" max="1905" width="6.7109375" style="7" customWidth="1"/>
    <col min="1906" max="2146" width="12.7109375" style="7"/>
    <col min="2147" max="2147" width="5.42578125" style="7" customWidth="1"/>
    <col min="2148" max="2148" width="12.7109375" style="7" customWidth="1"/>
    <col min="2149" max="2149" width="51.5703125" style="7" customWidth="1"/>
    <col min="2150" max="2151" width="12.7109375" style="7" customWidth="1"/>
    <col min="2152" max="2153" width="7.7109375" style="7" customWidth="1"/>
    <col min="2154" max="2155" width="12.7109375" style="7" customWidth="1"/>
    <col min="2156" max="2157" width="6.7109375" style="7" customWidth="1"/>
    <col min="2158" max="2159" width="12.7109375" style="7" customWidth="1"/>
    <col min="2160" max="2161" width="6.7109375" style="7" customWidth="1"/>
    <col min="2162" max="2402" width="12.7109375" style="7"/>
    <col min="2403" max="2403" width="5.42578125" style="7" customWidth="1"/>
    <col min="2404" max="2404" width="12.7109375" style="7" customWidth="1"/>
    <col min="2405" max="2405" width="51.5703125" style="7" customWidth="1"/>
    <col min="2406" max="2407" width="12.7109375" style="7" customWidth="1"/>
    <col min="2408" max="2409" width="7.7109375" style="7" customWidth="1"/>
    <col min="2410" max="2411" width="12.7109375" style="7" customWidth="1"/>
    <col min="2412" max="2413" width="6.7109375" style="7" customWidth="1"/>
    <col min="2414" max="2415" width="12.7109375" style="7" customWidth="1"/>
    <col min="2416" max="2417" width="6.7109375" style="7" customWidth="1"/>
    <col min="2418" max="2658" width="12.7109375" style="7"/>
    <col min="2659" max="2659" width="5.42578125" style="7" customWidth="1"/>
    <col min="2660" max="2660" width="12.7109375" style="7" customWidth="1"/>
    <col min="2661" max="2661" width="51.5703125" style="7" customWidth="1"/>
    <col min="2662" max="2663" width="12.7109375" style="7" customWidth="1"/>
    <col min="2664" max="2665" width="7.7109375" style="7" customWidth="1"/>
    <col min="2666" max="2667" width="12.7109375" style="7" customWidth="1"/>
    <col min="2668" max="2669" width="6.7109375" style="7" customWidth="1"/>
    <col min="2670" max="2671" width="12.7109375" style="7" customWidth="1"/>
    <col min="2672" max="2673" width="6.7109375" style="7" customWidth="1"/>
    <col min="2674" max="2914" width="12.7109375" style="7"/>
    <col min="2915" max="2915" width="5.42578125" style="7" customWidth="1"/>
    <col min="2916" max="2916" width="12.7109375" style="7" customWidth="1"/>
    <col min="2917" max="2917" width="51.5703125" style="7" customWidth="1"/>
    <col min="2918" max="2919" width="12.7109375" style="7" customWidth="1"/>
    <col min="2920" max="2921" width="7.7109375" style="7" customWidth="1"/>
    <col min="2922" max="2923" width="12.7109375" style="7" customWidth="1"/>
    <col min="2924" max="2925" width="6.7109375" style="7" customWidth="1"/>
    <col min="2926" max="2927" width="12.7109375" style="7" customWidth="1"/>
    <col min="2928" max="2929" width="6.7109375" style="7" customWidth="1"/>
    <col min="2930" max="3170" width="12.7109375" style="7"/>
    <col min="3171" max="3171" width="5.42578125" style="7" customWidth="1"/>
    <col min="3172" max="3172" width="12.7109375" style="7" customWidth="1"/>
    <col min="3173" max="3173" width="51.5703125" style="7" customWidth="1"/>
    <col min="3174" max="3175" width="12.7109375" style="7" customWidth="1"/>
    <col min="3176" max="3177" width="7.7109375" style="7" customWidth="1"/>
    <col min="3178" max="3179" width="12.7109375" style="7" customWidth="1"/>
    <col min="3180" max="3181" width="6.7109375" style="7" customWidth="1"/>
    <col min="3182" max="3183" width="12.7109375" style="7" customWidth="1"/>
    <col min="3184" max="3185" width="6.7109375" style="7" customWidth="1"/>
    <col min="3186" max="3426" width="12.7109375" style="7"/>
    <col min="3427" max="3427" width="5.42578125" style="7" customWidth="1"/>
    <col min="3428" max="3428" width="12.7109375" style="7" customWidth="1"/>
    <col min="3429" max="3429" width="51.5703125" style="7" customWidth="1"/>
    <col min="3430" max="3431" width="12.7109375" style="7" customWidth="1"/>
    <col min="3432" max="3433" width="7.7109375" style="7" customWidth="1"/>
    <col min="3434" max="3435" width="12.7109375" style="7" customWidth="1"/>
    <col min="3436" max="3437" width="6.7109375" style="7" customWidth="1"/>
    <col min="3438" max="3439" width="12.7109375" style="7" customWidth="1"/>
    <col min="3440" max="3441" width="6.7109375" style="7" customWidth="1"/>
    <col min="3442" max="3682" width="12.7109375" style="7"/>
    <col min="3683" max="3683" width="5.42578125" style="7" customWidth="1"/>
    <col min="3684" max="3684" width="12.7109375" style="7" customWidth="1"/>
    <col min="3685" max="3685" width="51.5703125" style="7" customWidth="1"/>
    <col min="3686" max="3687" width="12.7109375" style="7" customWidth="1"/>
    <col min="3688" max="3689" width="7.7109375" style="7" customWidth="1"/>
    <col min="3690" max="3691" width="12.7109375" style="7" customWidth="1"/>
    <col min="3692" max="3693" width="6.7109375" style="7" customWidth="1"/>
    <col min="3694" max="3695" width="12.7109375" style="7" customWidth="1"/>
    <col min="3696" max="3697" width="6.7109375" style="7" customWidth="1"/>
    <col min="3698" max="3938" width="12.7109375" style="7"/>
    <col min="3939" max="3939" width="5.42578125" style="7" customWidth="1"/>
    <col min="3940" max="3940" width="12.7109375" style="7" customWidth="1"/>
    <col min="3941" max="3941" width="51.5703125" style="7" customWidth="1"/>
    <col min="3942" max="3943" width="12.7109375" style="7" customWidth="1"/>
    <col min="3944" max="3945" width="7.7109375" style="7" customWidth="1"/>
    <col min="3946" max="3947" width="12.7109375" style="7" customWidth="1"/>
    <col min="3948" max="3949" width="6.7109375" style="7" customWidth="1"/>
    <col min="3950" max="3951" width="12.7109375" style="7" customWidth="1"/>
    <col min="3952" max="3953" width="6.7109375" style="7" customWidth="1"/>
    <col min="3954" max="4194" width="12.7109375" style="7"/>
    <col min="4195" max="4195" width="5.42578125" style="7" customWidth="1"/>
    <col min="4196" max="4196" width="12.7109375" style="7" customWidth="1"/>
    <col min="4197" max="4197" width="51.5703125" style="7" customWidth="1"/>
    <col min="4198" max="4199" width="12.7109375" style="7" customWidth="1"/>
    <col min="4200" max="4201" width="7.7109375" style="7" customWidth="1"/>
    <col min="4202" max="4203" width="12.7109375" style="7" customWidth="1"/>
    <col min="4204" max="4205" width="6.7109375" style="7" customWidth="1"/>
    <col min="4206" max="4207" width="12.7109375" style="7" customWidth="1"/>
    <col min="4208" max="4209" width="6.7109375" style="7" customWidth="1"/>
    <col min="4210" max="4450" width="12.7109375" style="7"/>
    <col min="4451" max="4451" width="5.42578125" style="7" customWidth="1"/>
    <col min="4452" max="4452" width="12.7109375" style="7" customWidth="1"/>
    <col min="4453" max="4453" width="51.5703125" style="7" customWidth="1"/>
    <col min="4454" max="4455" width="12.7109375" style="7" customWidth="1"/>
    <col min="4456" max="4457" width="7.7109375" style="7" customWidth="1"/>
    <col min="4458" max="4459" width="12.7109375" style="7" customWidth="1"/>
    <col min="4460" max="4461" width="6.7109375" style="7" customWidth="1"/>
    <col min="4462" max="4463" width="12.7109375" style="7" customWidth="1"/>
    <col min="4464" max="4465" width="6.7109375" style="7" customWidth="1"/>
    <col min="4466" max="4706" width="12.7109375" style="7"/>
    <col min="4707" max="4707" width="5.42578125" style="7" customWidth="1"/>
    <col min="4708" max="4708" width="12.7109375" style="7" customWidth="1"/>
    <col min="4709" max="4709" width="51.5703125" style="7" customWidth="1"/>
    <col min="4710" max="4711" width="12.7109375" style="7" customWidth="1"/>
    <col min="4712" max="4713" width="7.7109375" style="7" customWidth="1"/>
    <col min="4714" max="4715" width="12.7109375" style="7" customWidth="1"/>
    <col min="4716" max="4717" width="6.7109375" style="7" customWidth="1"/>
    <col min="4718" max="4719" width="12.7109375" style="7" customWidth="1"/>
    <col min="4720" max="4721" width="6.7109375" style="7" customWidth="1"/>
    <col min="4722" max="4962" width="12.7109375" style="7"/>
    <col min="4963" max="4963" width="5.42578125" style="7" customWidth="1"/>
    <col min="4964" max="4964" width="12.7109375" style="7" customWidth="1"/>
    <col min="4965" max="4965" width="51.5703125" style="7" customWidth="1"/>
    <col min="4966" max="4967" width="12.7109375" style="7" customWidth="1"/>
    <col min="4968" max="4969" width="7.7109375" style="7" customWidth="1"/>
    <col min="4970" max="4971" width="12.7109375" style="7" customWidth="1"/>
    <col min="4972" max="4973" width="6.7109375" style="7" customWidth="1"/>
    <col min="4974" max="4975" width="12.7109375" style="7" customWidth="1"/>
    <col min="4976" max="4977" width="6.7109375" style="7" customWidth="1"/>
    <col min="4978" max="5218" width="12.7109375" style="7"/>
    <col min="5219" max="5219" width="5.42578125" style="7" customWidth="1"/>
    <col min="5220" max="5220" width="12.7109375" style="7" customWidth="1"/>
    <col min="5221" max="5221" width="51.5703125" style="7" customWidth="1"/>
    <col min="5222" max="5223" width="12.7109375" style="7" customWidth="1"/>
    <col min="5224" max="5225" width="7.7109375" style="7" customWidth="1"/>
    <col min="5226" max="5227" width="12.7109375" style="7" customWidth="1"/>
    <col min="5228" max="5229" width="6.7109375" style="7" customWidth="1"/>
    <col min="5230" max="5231" width="12.7109375" style="7" customWidth="1"/>
    <col min="5232" max="5233" width="6.7109375" style="7" customWidth="1"/>
    <col min="5234" max="5474" width="12.7109375" style="7"/>
    <col min="5475" max="5475" width="5.42578125" style="7" customWidth="1"/>
    <col min="5476" max="5476" width="12.7109375" style="7" customWidth="1"/>
    <col min="5477" max="5477" width="51.5703125" style="7" customWidth="1"/>
    <col min="5478" max="5479" width="12.7109375" style="7" customWidth="1"/>
    <col min="5480" max="5481" width="7.7109375" style="7" customWidth="1"/>
    <col min="5482" max="5483" width="12.7109375" style="7" customWidth="1"/>
    <col min="5484" max="5485" width="6.7109375" style="7" customWidth="1"/>
    <col min="5486" max="5487" width="12.7109375" style="7" customWidth="1"/>
    <col min="5488" max="5489" width="6.7109375" style="7" customWidth="1"/>
    <col min="5490" max="5730" width="12.7109375" style="7"/>
    <col min="5731" max="5731" width="5.42578125" style="7" customWidth="1"/>
    <col min="5732" max="5732" width="12.7109375" style="7" customWidth="1"/>
    <col min="5733" max="5733" width="51.5703125" style="7" customWidth="1"/>
    <col min="5734" max="5735" width="12.7109375" style="7" customWidth="1"/>
    <col min="5736" max="5737" width="7.7109375" style="7" customWidth="1"/>
    <col min="5738" max="5739" width="12.7109375" style="7" customWidth="1"/>
    <col min="5740" max="5741" width="6.7109375" style="7" customWidth="1"/>
    <col min="5742" max="5743" width="12.7109375" style="7" customWidth="1"/>
    <col min="5744" max="5745" width="6.7109375" style="7" customWidth="1"/>
    <col min="5746" max="5986" width="12.7109375" style="7"/>
    <col min="5987" max="5987" width="5.42578125" style="7" customWidth="1"/>
    <col min="5988" max="5988" width="12.7109375" style="7" customWidth="1"/>
    <col min="5989" max="5989" width="51.5703125" style="7" customWidth="1"/>
    <col min="5990" max="5991" width="12.7109375" style="7" customWidth="1"/>
    <col min="5992" max="5993" width="7.7109375" style="7" customWidth="1"/>
    <col min="5994" max="5995" width="12.7109375" style="7" customWidth="1"/>
    <col min="5996" max="5997" width="6.7109375" style="7" customWidth="1"/>
    <col min="5998" max="5999" width="12.7109375" style="7" customWidth="1"/>
    <col min="6000" max="6001" width="6.7109375" style="7" customWidth="1"/>
    <col min="6002" max="6242" width="12.7109375" style="7"/>
    <col min="6243" max="6243" width="5.42578125" style="7" customWidth="1"/>
    <col min="6244" max="6244" width="12.7109375" style="7" customWidth="1"/>
    <col min="6245" max="6245" width="51.5703125" style="7" customWidth="1"/>
    <col min="6246" max="6247" width="12.7109375" style="7" customWidth="1"/>
    <col min="6248" max="6249" width="7.7109375" style="7" customWidth="1"/>
    <col min="6250" max="6251" width="12.7109375" style="7" customWidth="1"/>
    <col min="6252" max="6253" width="6.7109375" style="7" customWidth="1"/>
    <col min="6254" max="6255" width="12.7109375" style="7" customWidth="1"/>
    <col min="6256" max="6257" width="6.7109375" style="7" customWidth="1"/>
    <col min="6258" max="6498" width="12.7109375" style="7"/>
    <col min="6499" max="6499" width="5.42578125" style="7" customWidth="1"/>
    <col min="6500" max="6500" width="12.7109375" style="7" customWidth="1"/>
    <col min="6501" max="6501" width="51.5703125" style="7" customWidth="1"/>
    <col min="6502" max="6503" width="12.7109375" style="7" customWidth="1"/>
    <col min="6504" max="6505" width="7.7109375" style="7" customWidth="1"/>
    <col min="6506" max="6507" width="12.7109375" style="7" customWidth="1"/>
    <col min="6508" max="6509" width="6.7109375" style="7" customWidth="1"/>
    <col min="6510" max="6511" width="12.7109375" style="7" customWidth="1"/>
    <col min="6512" max="6513" width="6.7109375" style="7" customWidth="1"/>
    <col min="6514" max="6754" width="12.7109375" style="7"/>
    <col min="6755" max="6755" width="5.42578125" style="7" customWidth="1"/>
    <col min="6756" max="6756" width="12.7109375" style="7" customWidth="1"/>
    <col min="6757" max="6757" width="51.5703125" style="7" customWidth="1"/>
    <col min="6758" max="6759" width="12.7109375" style="7" customWidth="1"/>
    <col min="6760" max="6761" width="7.7109375" style="7" customWidth="1"/>
    <col min="6762" max="6763" width="12.7109375" style="7" customWidth="1"/>
    <col min="6764" max="6765" width="6.7109375" style="7" customWidth="1"/>
    <col min="6766" max="6767" width="12.7109375" style="7" customWidth="1"/>
    <col min="6768" max="6769" width="6.7109375" style="7" customWidth="1"/>
    <col min="6770" max="7010" width="12.7109375" style="7"/>
    <col min="7011" max="7011" width="5.42578125" style="7" customWidth="1"/>
    <col min="7012" max="7012" width="12.7109375" style="7" customWidth="1"/>
    <col min="7013" max="7013" width="51.5703125" style="7" customWidth="1"/>
    <col min="7014" max="7015" width="12.7109375" style="7" customWidth="1"/>
    <col min="7016" max="7017" width="7.7109375" style="7" customWidth="1"/>
    <col min="7018" max="7019" width="12.7109375" style="7" customWidth="1"/>
    <col min="7020" max="7021" width="6.7109375" style="7" customWidth="1"/>
    <col min="7022" max="7023" width="12.7109375" style="7" customWidth="1"/>
    <col min="7024" max="7025" width="6.7109375" style="7" customWidth="1"/>
    <col min="7026" max="7266" width="12.7109375" style="7"/>
    <col min="7267" max="7267" width="5.42578125" style="7" customWidth="1"/>
    <col min="7268" max="7268" width="12.7109375" style="7" customWidth="1"/>
    <col min="7269" max="7269" width="51.5703125" style="7" customWidth="1"/>
    <col min="7270" max="7271" width="12.7109375" style="7" customWidth="1"/>
    <col min="7272" max="7273" width="7.7109375" style="7" customWidth="1"/>
    <col min="7274" max="7275" width="12.7109375" style="7" customWidth="1"/>
    <col min="7276" max="7277" width="6.7109375" style="7" customWidth="1"/>
    <col min="7278" max="7279" width="12.7109375" style="7" customWidth="1"/>
    <col min="7280" max="7281" width="6.7109375" style="7" customWidth="1"/>
    <col min="7282" max="7522" width="12.7109375" style="7"/>
    <col min="7523" max="7523" width="5.42578125" style="7" customWidth="1"/>
    <col min="7524" max="7524" width="12.7109375" style="7" customWidth="1"/>
    <col min="7525" max="7525" width="51.5703125" style="7" customWidth="1"/>
    <col min="7526" max="7527" width="12.7109375" style="7" customWidth="1"/>
    <col min="7528" max="7529" width="7.7109375" style="7" customWidth="1"/>
    <col min="7530" max="7531" width="12.7109375" style="7" customWidth="1"/>
    <col min="7532" max="7533" width="6.7109375" style="7" customWidth="1"/>
    <col min="7534" max="7535" width="12.7109375" style="7" customWidth="1"/>
    <col min="7536" max="7537" width="6.7109375" style="7" customWidth="1"/>
    <col min="7538" max="7778" width="12.7109375" style="7"/>
    <col min="7779" max="7779" width="5.42578125" style="7" customWidth="1"/>
    <col min="7780" max="7780" width="12.7109375" style="7" customWidth="1"/>
    <col min="7781" max="7781" width="51.5703125" style="7" customWidth="1"/>
    <col min="7782" max="7783" width="12.7109375" style="7" customWidth="1"/>
    <col min="7784" max="7785" width="7.7109375" style="7" customWidth="1"/>
    <col min="7786" max="7787" width="12.7109375" style="7" customWidth="1"/>
    <col min="7788" max="7789" width="6.7109375" style="7" customWidth="1"/>
    <col min="7790" max="7791" width="12.7109375" style="7" customWidth="1"/>
    <col min="7792" max="7793" width="6.7109375" style="7" customWidth="1"/>
    <col min="7794" max="8034" width="12.7109375" style="7"/>
    <col min="8035" max="8035" width="5.42578125" style="7" customWidth="1"/>
    <col min="8036" max="8036" width="12.7109375" style="7" customWidth="1"/>
    <col min="8037" max="8037" width="51.5703125" style="7" customWidth="1"/>
    <col min="8038" max="8039" width="12.7109375" style="7" customWidth="1"/>
    <col min="8040" max="8041" width="7.7109375" style="7" customWidth="1"/>
    <col min="8042" max="8043" width="12.7109375" style="7" customWidth="1"/>
    <col min="8044" max="8045" width="6.7109375" style="7" customWidth="1"/>
    <col min="8046" max="8047" width="12.7109375" style="7" customWidth="1"/>
    <col min="8048" max="8049" width="6.7109375" style="7" customWidth="1"/>
    <col min="8050" max="8290" width="12.7109375" style="7"/>
    <col min="8291" max="8291" width="5.42578125" style="7" customWidth="1"/>
    <col min="8292" max="8292" width="12.7109375" style="7" customWidth="1"/>
    <col min="8293" max="8293" width="51.5703125" style="7" customWidth="1"/>
    <col min="8294" max="8295" width="12.7109375" style="7" customWidth="1"/>
    <col min="8296" max="8297" width="7.7109375" style="7" customWidth="1"/>
    <col min="8298" max="8299" width="12.7109375" style="7" customWidth="1"/>
    <col min="8300" max="8301" width="6.7109375" style="7" customWidth="1"/>
    <col min="8302" max="8303" width="12.7109375" style="7" customWidth="1"/>
    <col min="8304" max="8305" width="6.7109375" style="7" customWidth="1"/>
    <col min="8306" max="8546" width="12.7109375" style="7"/>
    <col min="8547" max="8547" width="5.42578125" style="7" customWidth="1"/>
    <col min="8548" max="8548" width="12.7109375" style="7" customWidth="1"/>
    <col min="8549" max="8549" width="51.5703125" style="7" customWidth="1"/>
    <col min="8550" max="8551" width="12.7109375" style="7" customWidth="1"/>
    <col min="8552" max="8553" width="7.7109375" style="7" customWidth="1"/>
    <col min="8554" max="8555" width="12.7109375" style="7" customWidth="1"/>
    <col min="8556" max="8557" width="6.7109375" style="7" customWidth="1"/>
    <col min="8558" max="8559" width="12.7109375" style="7" customWidth="1"/>
    <col min="8560" max="8561" width="6.7109375" style="7" customWidth="1"/>
    <col min="8562" max="8802" width="12.7109375" style="7"/>
    <col min="8803" max="8803" width="5.42578125" style="7" customWidth="1"/>
    <col min="8804" max="8804" width="12.7109375" style="7" customWidth="1"/>
    <col min="8805" max="8805" width="51.5703125" style="7" customWidth="1"/>
    <col min="8806" max="8807" width="12.7109375" style="7" customWidth="1"/>
    <col min="8808" max="8809" width="7.7109375" style="7" customWidth="1"/>
    <col min="8810" max="8811" width="12.7109375" style="7" customWidth="1"/>
    <col min="8812" max="8813" width="6.7109375" style="7" customWidth="1"/>
    <col min="8814" max="8815" width="12.7109375" style="7" customWidth="1"/>
    <col min="8816" max="8817" width="6.7109375" style="7" customWidth="1"/>
    <col min="8818" max="9058" width="12.7109375" style="7"/>
    <col min="9059" max="9059" width="5.42578125" style="7" customWidth="1"/>
    <col min="9060" max="9060" width="12.7109375" style="7" customWidth="1"/>
    <col min="9061" max="9061" width="51.5703125" style="7" customWidth="1"/>
    <col min="9062" max="9063" width="12.7109375" style="7" customWidth="1"/>
    <col min="9064" max="9065" width="7.7109375" style="7" customWidth="1"/>
    <col min="9066" max="9067" width="12.7109375" style="7" customWidth="1"/>
    <col min="9068" max="9069" width="6.7109375" style="7" customWidth="1"/>
    <col min="9070" max="9071" width="12.7109375" style="7" customWidth="1"/>
    <col min="9072" max="9073" width="6.7109375" style="7" customWidth="1"/>
    <col min="9074" max="9314" width="12.7109375" style="7"/>
    <col min="9315" max="9315" width="5.42578125" style="7" customWidth="1"/>
    <col min="9316" max="9316" width="12.7109375" style="7" customWidth="1"/>
    <col min="9317" max="9317" width="51.5703125" style="7" customWidth="1"/>
    <col min="9318" max="9319" width="12.7109375" style="7" customWidth="1"/>
    <col min="9320" max="9321" width="7.7109375" style="7" customWidth="1"/>
    <col min="9322" max="9323" width="12.7109375" style="7" customWidth="1"/>
    <col min="9324" max="9325" width="6.7109375" style="7" customWidth="1"/>
    <col min="9326" max="9327" width="12.7109375" style="7" customWidth="1"/>
    <col min="9328" max="9329" width="6.7109375" style="7" customWidth="1"/>
    <col min="9330" max="9570" width="12.7109375" style="7"/>
    <col min="9571" max="9571" width="5.42578125" style="7" customWidth="1"/>
    <col min="9572" max="9572" width="12.7109375" style="7" customWidth="1"/>
    <col min="9573" max="9573" width="51.5703125" style="7" customWidth="1"/>
    <col min="9574" max="9575" width="12.7109375" style="7" customWidth="1"/>
    <col min="9576" max="9577" width="7.7109375" style="7" customWidth="1"/>
    <col min="9578" max="9579" width="12.7109375" style="7" customWidth="1"/>
    <col min="9580" max="9581" width="6.7109375" style="7" customWidth="1"/>
    <col min="9582" max="9583" width="12.7109375" style="7" customWidth="1"/>
    <col min="9584" max="9585" width="6.7109375" style="7" customWidth="1"/>
    <col min="9586" max="9826" width="12.7109375" style="7"/>
    <col min="9827" max="9827" width="5.42578125" style="7" customWidth="1"/>
    <col min="9828" max="9828" width="12.7109375" style="7" customWidth="1"/>
    <col min="9829" max="9829" width="51.5703125" style="7" customWidth="1"/>
    <col min="9830" max="9831" width="12.7109375" style="7" customWidth="1"/>
    <col min="9832" max="9833" width="7.7109375" style="7" customWidth="1"/>
    <col min="9834" max="9835" width="12.7109375" style="7" customWidth="1"/>
    <col min="9836" max="9837" width="6.7109375" style="7" customWidth="1"/>
    <col min="9838" max="9839" width="12.7109375" style="7" customWidth="1"/>
    <col min="9840" max="9841" width="6.7109375" style="7" customWidth="1"/>
    <col min="9842" max="10082" width="12.7109375" style="7"/>
    <col min="10083" max="10083" width="5.42578125" style="7" customWidth="1"/>
    <col min="10084" max="10084" width="12.7109375" style="7" customWidth="1"/>
    <col min="10085" max="10085" width="51.5703125" style="7" customWidth="1"/>
    <col min="10086" max="10087" width="12.7109375" style="7" customWidth="1"/>
    <col min="10088" max="10089" width="7.7109375" style="7" customWidth="1"/>
    <col min="10090" max="10091" width="12.7109375" style="7" customWidth="1"/>
    <col min="10092" max="10093" width="6.7109375" style="7" customWidth="1"/>
    <col min="10094" max="10095" width="12.7109375" style="7" customWidth="1"/>
    <col min="10096" max="10097" width="6.7109375" style="7" customWidth="1"/>
    <col min="10098" max="10338" width="12.7109375" style="7"/>
    <col min="10339" max="10339" width="5.42578125" style="7" customWidth="1"/>
    <col min="10340" max="10340" width="12.7109375" style="7" customWidth="1"/>
    <col min="10341" max="10341" width="51.5703125" style="7" customWidth="1"/>
    <col min="10342" max="10343" width="12.7109375" style="7" customWidth="1"/>
    <col min="10344" max="10345" width="7.7109375" style="7" customWidth="1"/>
    <col min="10346" max="10347" width="12.7109375" style="7" customWidth="1"/>
    <col min="10348" max="10349" width="6.7109375" style="7" customWidth="1"/>
    <col min="10350" max="10351" width="12.7109375" style="7" customWidth="1"/>
    <col min="10352" max="10353" width="6.7109375" style="7" customWidth="1"/>
    <col min="10354" max="10594" width="12.7109375" style="7"/>
    <col min="10595" max="10595" width="5.42578125" style="7" customWidth="1"/>
    <col min="10596" max="10596" width="12.7109375" style="7" customWidth="1"/>
    <col min="10597" max="10597" width="51.5703125" style="7" customWidth="1"/>
    <col min="10598" max="10599" width="12.7109375" style="7" customWidth="1"/>
    <col min="10600" max="10601" width="7.7109375" style="7" customWidth="1"/>
    <col min="10602" max="10603" width="12.7109375" style="7" customWidth="1"/>
    <col min="10604" max="10605" width="6.7109375" style="7" customWidth="1"/>
    <col min="10606" max="10607" width="12.7109375" style="7" customWidth="1"/>
    <col min="10608" max="10609" width="6.7109375" style="7" customWidth="1"/>
    <col min="10610" max="10850" width="12.7109375" style="7"/>
    <col min="10851" max="10851" width="5.42578125" style="7" customWidth="1"/>
    <col min="10852" max="10852" width="12.7109375" style="7" customWidth="1"/>
    <col min="10853" max="10853" width="51.5703125" style="7" customWidth="1"/>
    <col min="10854" max="10855" width="12.7109375" style="7" customWidth="1"/>
    <col min="10856" max="10857" width="7.7109375" style="7" customWidth="1"/>
    <col min="10858" max="10859" width="12.7109375" style="7" customWidth="1"/>
    <col min="10860" max="10861" width="6.7109375" style="7" customWidth="1"/>
    <col min="10862" max="10863" width="12.7109375" style="7" customWidth="1"/>
    <col min="10864" max="10865" width="6.7109375" style="7" customWidth="1"/>
    <col min="10866" max="11106" width="12.7109375" style="7"/>
    <col min="11107" max="11107" width="5.42578125" style="7" customWidth="1"/>
    <col min="11108" max="11108" width="12.7109375" style="7" customWidth="1"/>
    <col min="11109" max="11109" width="51.5703125" style="7" customWidth="1"/>
    <col min="11110" max="11111" width="12.7109375" style="7" customWidth="1"/>
    <col min="11112" max="11113" width="7.7109375" style="7" customWidth="1"/>
    <col min="11114" max="11115" width="12.7109375" style="7" customWidth="1"/>
    <col min="11116" max="11117" width="6.7109375" style="7" customWidth="1"/>
    <col min="11118" max="11119" width="12.7109375" style="7" customWidth="1"/>
    <col min="11120" max="11121" width="6.7109375" style="7" customWidth="1"/>
    <col min="11122" max="11362" width="12.7109375" style="7"/>
    <col min="11363" max="11363" width="5.42578125" style="7" customWidth="1"/>
    <col min="11364" max="11364" width="12.7109375" style="7" customWidth="1"/>
    <col min="11365" max="11365" width="51.5703125" style="7" customWidth="1"/>
    <col min="11366" max="11367" width="12.7109375" style="7" customWidth="1"/>
    <col min="11368" max="11369" width="7.7109375" style="7" customWidth="1"/>
    <col min="11370" max="11371" width="12.7109375" style="7" customWidth="1"/>
    <col min="11372" max="11373" width="6.7109375" style="7" customWidth="1"/>
    <col min="11374" max="11375" width="12.7109375" style="7" customWidth="1"/>
    <col min="11376" max="11377" width="6.7109375" style="7" customWidth="1"/>
    <col min="11378" max="11618" width="12.7109375" style="7"/>
    <col min="11619" max="11619" width="5.42578125" style="7" customWidth="1"/>
    <col min="11620" max="11620" width="12.7109375" style="7" customWidth="1"/>
    <col min="11621" max="11621" width="51.5703125" style="7" customWidth="1"/>
    <col min="11622" max="11623" width="12.7109375" style="7" customWidth="1"/>
    <col min="11624" max="11625" width="7.7109375" style="7" customWidth="1"/>
    <col min="11626" max="11627" width="12.7109375" style="7" customWidth="1"/>
    <col min="11628" max="11629" width="6.7109375" style="7" customWidth="1"/>
    <col min="11630" max="11631" width="12.7109375" style="7" customWidth="1"/>
    <col min="11632" max="11633" width="6.7109375" style="7" customWidth="1"/>
    <col min="11634" max="11874" width="12.7109375" style="7"/>
    <col min="11875" max="11875" width="5.42578125" style="7" customWidth="1"/>
    <col min="11876" max="11876" width="12.7109375" style="7" customWidth="1"/>
    <col min="11877" max="11877" width="51.5703125" style="7" customWidth="1"/>
    <col min="11878" max="11879" width="12.7109375" style="7" customWidth="1"/>
    <col min="11880" max="11881" width="7.7109375" style="7" customWidth="1"/>
    <col min="11882" max="11883" width="12.7109375" style="7" customWidth="1"/>
    <col min="11884" max="11885" width="6.7109375" style="7" customWidth="1"/>
    <col min="11886" max="11887" width="12.7109375" style="7" customWidth="1"/>
    <col min="11888" max="11889" width="6.7109375" style="7" customWidth="1"/>
    <col min="11890" max="12130" width="12.7109375" style="7"/>
    <col min="12131" max="12131" width="5.42578125" style="7" customWidth="1"/>
    <col min="12132" max="12132" width="12.7109375" style="7" customWidth="1"/>
    <col min="12133" max="12133" width="51.5703125" style="7" customWidth="1"/>
    <col min="12134" max="12135" width="12.7109375" style="7" customWidth="1"/>
    <col min="12136" max="12137" width="7.7109375" style="7" customWidth="1"/>
    <col min="12138" max="12139" width="12.7109375" style="7" customWidth="1"/>
    <col min="12140" max="12141" width="6.7109375" style="7" customWidth="1"/>
    <col min="12142" max="12143" width="12.7109375" style="7" customWidth="1"/>
    <col min="12144" max="12145" width="6.7109375" style="7" customWidth="1"/>
    <col min="12146" max="12386" width="12.7109375" style="7"/>
    <col min="12387" max="12387" width="5.42578125" style="7" customWidth="1"/>
    <col min="12388" max="12388" width="12.7109375" style="7" customWidth="1"/>
    <col min="12389" max="12389" width="51.5703125" style="7" customWidth="1"/>
    <col min="12390" max="12391" width="12.7109375" style="7" customWidth="1"/>
    <col min="12392" max="12393" width="7.7109375" style="7" customWidth="1"/>
    <col min="12394" max="12395" width="12.7109375" style="7" customWidth="1"/>
    <col min="12396" max="12397" width="6.7109375" style="7" customWidth="1"/>
    <col min="12398" max="12399" width="12.7109375" style="7" customWidth="1"/>
    <col min="12400" max="12401" width="6.7109375" style="7" customWidth="1"/>
    <col min="12402" max="12642" width="12.7109375" style="7"/>
    <col min="12643" max="12643" width="5.42578125" style="7" customWidth="1"/>
    <col min="12644" max="12644" width="12.7109375" style="7" customWidth="1"/>
    <col min="12645" max="12645" width="51.5703125" style="7" customWidth="1"/>
    <col min="12646" max="12647" width="12.7109375" style="7" customWidth="1"/>
    <col min="12648" max="12649" width="7.7109375" style="7" customWidth="1"/>
    <col min="12650" max="12651" width="12.7109375" style="7" customWidth="1"/>
    <col min="12652" max="12653" width="6.7109375" style="7" customWidth="1"/>
    <col min="12654" max="12655" width="12.7109375" style="7" customWidth="1"/>
    <col min="12656" max="12657" width="6.7109375" style="7" customWidth="1"/>
    <col min="12658" max="12898" width="12.7109375" style="7"/>
    <col min="12899" max="12899" width="5.42578125" style="7" customWidth="1"/>
    <col min="12900" max="12900" width="12.7109375" style="7" customWidth="1"/>
    <col min="12901" max="12901" width="51.5703125" style="7" customWidth="1"/>
    <col min="12902" max="12903" width="12.7109375" style="7" customWidth="1"/>
    <col min="12904" max="12905" width="7.7109375" style="7" customWidth="1"/>
    <col min="12906" max="12907" width="12.7109375" style="7" customWidth="1"/>
    <col min="12908" max="12909" width="6.7109375" style="7" customWidth="1"/>
    <col min="12910" max="12911" width="12.7109375" style="7" customWidth="1"/>
    <col min="12912" max="12913" width="6.7109375" style="7" customWidth="1"/>
    <col min="12914" max="13154" width="12.7109375" style="7"/>
    <col min="13155" max="13155" width="5.42578125" style="7" customWidth="1"/>
    <col min="13156" max="13156" width="12.7109375" style="7" customWidth="1"/>
    <col min="13157" max="13157" width="51.5703125" style="7" customWidth="1"/>
    <col min="13158" max="13159" width="12.7109375" style="7" customWidth="1"/>
    <col min="13160" max="13161" width="7.7109375" style="7" customWidth="1"/>
    <col min="13162" max="13163" width="12.7109375" style="7" customWidth="1"/>
    <col min="13164" max="13165" width="6.7109375" style="7" customWidth="1"/>
    <col min="13166" max="13167" width="12.7109375" style="7" customWidth="1"/>
    <col min="13168" max="13169" width="6.7109375" style="7" customWidth="1"/>
    <col min="13170" max="13410" width="12.7109375" style="7"/>
    <col min="13411" max="13411" width="5.42578125" style="7" customWidth="1"/>
    <col min="13412" max="13412" width="12.7109375" style="7" customWidth="1"/>
    <col min="13413" max="13413" width="51.5703125" style="7" customWidth="1"/>
    <col min="13414" max="13415" width="12.7109375" style="7" customWidth="1"/>
    <col min="13416" max="13417" width="7.7109375" style="7" customWidth="1"/>
    <col min="13418" max="13419" width="12.7109375" style="7" customWidth="1"/>
    <col min="13420" max="13421" width="6.7109375" style="7" customWidth="1"/>
    <col min="13422" max="13423" width="12.7109375" style="7" customWidth="1"/>
    <col min="13424" max="13425" width="6.7109375" style="7" customWidth="1"/>
    <col min="13426" max="13666" width="12.7109375" style="7"/>
    <col min="13667" max="13667" width="5.42578125" style="7" customWidth="1"/>
    <col min="13668" max="13668" width="12.7109375" style="7" customWidth="1"/>
    <col min="13669" max="13669" width="51.5703125" style="7" customWidth="1"/>
    <col min="13670" max="13671" width="12.7109375" style="7" customWidth="1"/>
    <col min="13672" max="13673" width="7.7109375" style="7" customWidth="1"/>
    <col min="13674" max="13675" width="12.7109375" style="7" customWidth="1"/>
    <col min="13676" max="13677" width="6.7109375" style="7" customWidth="1"/>
    <col min="13678" max="13679" width="12.7109375" style="7" customWidth="1"/>
    <col min="13680" max="13681" width="6.7109375" style="7" customWidth="1"/>
    <col min="13682" max="13922" width="12.7109375" style="7"/>
    <col min="13923" max="13923" width="5.42578125" style="7" customWidth="1"/>
    <col min="13924" max="13924" width="12.7109375" style="7" customWidth="1"/>
    <col min="13925" max="13925" width="51.5703125" style="7" customWidth="1"/>
    <col min="13926" max="13927" width="12.7109375" style="7" customWidth="1"/>
    <col min="13928" max="13929" width="7.7109375" style="7" customWidth="1"/>
    <col min="13930" max="13931" width="12.7109375" style="7" customWidth="1"/>
    <col min="13932" max="13933" width="6.7109375" style="7" customWidth="1"/>
    <col min="13934" max="13935" width="12.7109375" style="7" customWidth="1"/>
    <col min="13936" max="13937" width="6.7109375" style="7" customWidth="1"/>
    <col min="13938" max="14178" width="12.7109375" style="7"/>
    <col min="14179" max="14179" width="5.42578125" style="7" customWidth="1"/>
    <col min="14180" max="14180" width="12.7109375" style="7" customWidth="1"/>
    <col min="14181" max="14181" width="51.5703125" style="7" customWidth="1"/>
    <col min="14182" max="14183" width="12.7109375" style="7" customWidth="1"/>
    <col min="14184" max="14185" width="7.7109375" style="7" customWidth="1"/>
    <col min="14186" max="14187" width="12.7109375" style="7" customWidth="1"/>
    <col min="14188" max="14189" width="6.7109375" style="7" customWidth="1"/>
    <col min="14190" max="14191" width="12.7109375" style="7" customWidth="1"/>
    <col min="14192" max="14193" width="6.7109375" style="7" customWidth="1"/>
    <col min="14194" max="14434" width="12.7109375" style="7"/>
    <col min="14435" max="14435" width="5.42578125" style="7" customWidth="1"/>
    <col min="14436" max="14436" width="12.7109375" style="7" customWidth="1"/>
    <col min="14437" max="14437" width="51.5703125" style="7" customWidth="1"/>
    <col min="14438" max="14439" width="12.7109375" style="7" customWidth="1"/>
    <col min="14440" max="14441" width="7.7109375" style="7" customWidth="1"/>
    <col min="14442" max="14443" width="12.7109375" style="7" customWidth="1"/>
    <col min="14444" max="14445" width="6.7109375" style="7" customWidth="1"/>
    <col min="14446" max="14447" width="12.7109375" style="7" customWidth="1"/>
    <col min="14448" max="14449" width="6.7109375" style="7" customWidth="1"/>
    <col min="14450" max="14690" width="12.7109375" style="7"/>
    <col min="14691" max="14691" width="5.42578125" style="7" customWidth="1"/>
    <col min="14692" max="14692" width="12.7109375" style="7" customWidth="1"/>
    <col min="14693" max="14693" width="51.5703125" style="7" customWidth="1"/>
    <col min="14694" max="14695" width="12.7109375" style="7" customWidth="1"/>
    <col min="14696" max="14697" width="7.7109375" style="7" customWidth="1"/>
    <col min="14698" max="14699" width="12.7109375" style="7" customWidth="1"/>
    <col min="14700" max="14701" width="6.7109375" style="7" customWidth="1"/>
    <col min="14702" max="14703" width="12.7109375" style="7" customWidth="1"/>
    <col min="14704" max="14705" width="6.7109375" style="7" customWidth="1"/>
    <col min="14706" max="14946" width="12.7109375" style="7"/>
    <col min="14947" max="14947" width="5.42578125" style="7" customWidth="1"/>
    <col min="14948" max="14948" width="12.7109375" style="7" customWidth="1"/>
    <col min="14949" max="14949" width="51.5703125" style="7" customWidth="1"/>
    <col min="14950" max="14951" width="12.7109375" style="7" customWidth="1"/>
    <col min="14952" max="14953" width="7.7109375" style="7" customWidth="1"/>
    <col min="14954" max="14955" width="12.7109375" style="7" customWidth="1"/>
    <col min="14956" max="14957" width="6.7109375" style="7" customWidth="1"/>
    <col min="14958" max="14959" width="12.7109375" style="7" customWidth="1"/>
    <col min="14960" max="14961" width="6.7109375" style="7" customWidth="1"/>
    <col min="14962" max="15202" width="12.7109375" style="7"/>
    <col min="15203" max="15203" width="5.42578125" style="7" customWidth="1"/>
    <col min="15204" max="15204" width="12.7109375" style="7" customWidth="1"/>
    <col min="15205" max="15205" width="51.5703125" style="7" customWidth="1"/>
    <col min="15206" max="15207" width="12.7109375" style="7" customWidth="1"/>
    <col min="15208" max="15209" width="7.7109375" style="7" customWidth="1"/>
    <col min="15210" max="15211" width="12.7109375" style="7" customWidth="1"/>
    <col min="15212" max="15213" width="6.7109375" style="7" customWidth="1"/>
    <col min="15214" max="15215" width="12.7109375" style="7" customWidth="1"/>
    <col min="15216" max="15217" width="6.7109375" style="7" customWidth="1"/>
    <col min="15218" max="15458" width="12.7109375" style="7"/>
    <col min="15459" max="15459" width="5.42578125" style="7" customWidth="1"/>
    <col min="15460" max="15460" width="12.7109375" style="7" customWidth="1"/>
    <col min="15461" max="15461" width="51.5703125" style="7" customWidth="1"/>
    <col min="15462" max="15463" width="12.7109375" style="7" customWidth="1"/>
    <col min="15464" max="15465" width="7.7109375" style="7" customWidth="1"/>
    <col min="15466" max="15467" width="12.7109375" style="7" customWidth="1"/>
    <col min="15468" max="15469" width="6.7109375" style="7" customWidth="1"/>
    <col min="15470" max="15471" width="12.7109375" style="7" customWidth="1"/>
    <col min="15472" max="15473" width="6.7109375" style="7" customWidth="1"/>
    <col min="15474" max="15714" width="12.7109375" style="7"/>
    <col min="15715" max="15715" width="5.42578125" style="7" customWidth="1"/>
    <col min="15716" max="15716" width="12.7109375" style="7" customWidth="1"/>
    <col min="15717" max="15717" width="51.5703125" style="7" customWidth="1"/>
    <col min="15718" max="15719" width="12.7109375" style="7" customWidth="1"/>
    <col min="15720" max="15721" width="7.7109375" style="7" customWidth="1"/>
    <col min="15722" max="15723" width="12.7109375" style="7" customWidth="1"/>
    <col min="15724" max="15725" width="6.7109375" style="7" customWidth="1"/>
    <col min="15726" max="15727" width="12.7109375" style="7" customWidth="1"/>
    <col min="15728" max="15729" width="6.7109375" style="7" customWidth="1"/>
    <col min="15730" max="15970" width="12.7109375" style="7"/>
    <col min="15971" max="15971" width="5.42578125" style="7" customWidth="1"/>
    <col min="15972" max="15972" width="12.7109375" style="7" customWidth="1"/>
    <col min="15973" max="15973" width="51.5703125" style="7" customWidth="1"/>
    <col min="15974" max="15975" width="12.7109375" style="7" customWidth="1"/>
    <col min="15976" max="15977" width="7.7109375" style="7" customWidth="1"/>
    <col min="15978" max="15979" width="12.7109375" style="7" customWidth="1"/>
    <col min="15980" max="15981" width="6.7109375" style="7" customWidth="1"/>
    <col min="15982" max="15983" width="12.7109375" style="7" customWidth="1"/>
    <col min="15984" max="15985" width="6.7109375" style="7" customWidth="1"/>
    <col min="15986" max="16384" width="12.7109375" style="7"/>
  </cols>
  <sheetData>
    <row r="1" spans="1:60" s="2" customFormat="1">
      <c r="A1" s="1" t="s">
        <v>2351</v>
      </c>
      <c r="B1" s="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4"/>
    </row>
    <row r="2" spans="1:60" s="2" customFormat="1">
      <c r="A2" s="4" t="s">
        <v>0</v>
      </c>
      <c r="B2" s="4"/>
      <c r="C2" s="4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140"/>
      <c r="BF2" s="6"/>
      <c r="BG2" s="4"/>
    </row>
    <row r="3" spans="1:60" ht="36" customHeight="1">
      <c r="A3" s="125" t="s">
        <v>1</v>
      </c>
      <c r="B3" s="125"/>
      <c r="C3" s="544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P3" s="8" t="s">
        <v>2549</v>
      </c>
      <c r="BD3" s="8"/>
      <c r="BF3" s="8"/>
      <c r="BH3" s="654"/>
    </row>
    <row r="4" spans="1:60" ht="15.75" customHeight="1" thickBot="1">
      <c r="A4" s="200" t="s">
        <v>4032</v>
      </c>
      <c r="B4" s="200"/>
      <c r="C4" s="200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31" t="s">
        <v>2347</v>
      </c>
      <c r="BF4" s="131"/>
      <c r="BH4" s="654"/>
    </row>
    <row r="5" spans="1:60" s="21" customFormat="1" ht="18.75" customHeight="1" thickTop="1">
      <c r="A5" s="626" t="s">
        <v>2</v>
      </c>
      <c r="B5" s="628" t="s">
        <v>3</v>
      </c>
      <c r="C5" s="630" t="s">
        <v>4</v>
      </c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610" t="s">
        <v>611</v>
      </c>
      <c r="AC5" s="611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614" t="s">
        <v>610</v>
      </c>
      <c r="BC5" s="615"/>
      <c r="BD5" s="618" t="s">
        <v>609</v>
      </c>
      <c r="BE5" s="619"/>
      <c r="BF5" s="601" t="s">
        <v>2348</v>
      </c>
      <c r="BG5" s="372"/>
    </row>
    <row r="6" spans="1:60" s="21" customFormat="1" ht="3" customHeight="1">
      <c r="A6" s="627"/>
      <c r="B6" s="629"/>
      <c r="C6" s="631"/>
      <c r="D6" s="143" t="s">
        <v>2293</v>
      </c>
      <c r="E6" s="143"/>
      <c r="F6" s="143"/>
      <c r="G6" s="143" t="s">
        <v>2228</v>
      </c>
      <c r="H6" s="143" t="s">
        <v>2293</v>
      </c>
      <c r="I6" s="143"/>
      <c r="J6" s="143"/>
      <c r="K6" s="143" t="s">
        <v>2228</v>
      </c>
      <c r="L6" s="143" t="s">
        <v>2293</v>
      </c>
      <c r="M6" s="232"/>
      <c r="N6" s="143"/>
      <c r="O6" s="143" t="s">
        <v>2228</v>
      </c>
      <c r="P6" s="143" t="s">
        <v>2293</v>
      </c>
      <c r="Q6" s="143"/>
      <c r="R6" s="143"/>
      <c r="S6" s="143" t="s">
        <v>2228</v>
      </c>
      <c r="T6" s="143" t="s">
        <v>2293</v>
      </c>
      <c r="U6" s="144"/>
      <c r="V6" s="143"/>
      <c r="W6" s="143" t="s">
        <v>2228</v>
      </c>
      <c r="X6" s="143" t="s">
        <v>2293</v>
      </c>
      <c r="Y6" s="232"/>
      <c r="Z6" s="232"/>
      <c r="AA6" s="406"/>
      <c r="AB6" s="612"/>
      <c r="AC6" s="613"/>
      <c r="AD6" s="143" t="s">
        <v>2293</v>
      </c>
      <c r="AE6" s="143"/>
      <c r="AF6" s="143"/>
      <c r="AG6" s="143" t="s">
        <v>2228</v>
      </c>
      <c r="AH6" s="143" t="s">
        <v>2293</v>
      </c>
      <c r="AI6" s="143"/>
      <c r="AJ6" s="143"/>
      <c r="AK6" s="143" t="s">
        <v>2228</v>
      </c>
      <c r="AL6" s="143" t="s">
        <v>2293</v>
      </c>
      <c r="AM6" s="232"/>
      <c r="AN6" s="143"/>
      <c r="AO6" s="143" t="s">
        <v>2228</v>
      </c>
      <c r="AP6" s="143" t="s">
        <v>2293</v>
      </c>
      <c r="AQ6" s="143"/>
      <c r="AR6" s="143"/>
      <c r="AS6" s="143" t="s">
        <v>2228</v>
      </c>
      <c r="AT6" s="143" t="s">
        <v>2293</v>
      </c>
      <c r="AU6" s="143"/>
      <c r="AV6" s="143"/>
      <c r="AW6" s="143" t="s">
        <v>2228</v>
      </c>
      <c r="AX6" s="143" t="s">
        <v>2293</v>
      </c>
      <c r="AY6" s="143"/>
      <c r="AZ6" s="143"/>
      <c r="BA6" s="143" t="s">
        <v>3370</v>
      </c>
      <c r="BB6" s="616"/>
      <c r="BC6" s="617"/>
      <c r="BD6" s="620"/>
      <c r="BE6" s="621"/>
      <c r="BF6" s="602"/>
      <c r="BG6" s="372"/>
    </row>
    <row r="7" spans="1:60" s="21" customFormat="1" ht="16.5" customHeight="1">
      <c r="A7" s="627"/>
      <c r="B7" s="629"/>
      <c r="C7" s="631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603" t="s">
        <v>5</v>
      </c>
      <c r="AC7" s="603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604" t="s">
        <v>5</v>
      </c>
      <c r="BC7" s="604"/>
      <c r="BD7" s="605" t="s">
        <v>5</v>
      </c>
      <c r="BE7" s="605"/>
      <c r="BF7" s="602"/>
      <c r="BG7" s="372"/>
    </row>
    <row r="8" spans="1:60" s="21" customFormat="1" ht="46.5" customHeight="1">
      <c r="A8" s="627"/>
      <c r="B8" s="629"/>
      <c r="C8" s="631"/>
      <c r="D8" s="606" t="s">
        <v>3617</v>
      </c>
      <c r="E8" s="607"/>
      <c r="F8" s="607"/>
      <c r="G8" s="608"/>
      <c r="H8" s="604" t="s">
        <v>3618</v>
      </c>
      <c r="I8" s="604"/>
      <c r="J8" s="604"/>
      <c r="K8" s="604"/>
      <c r="L8" s="604" t="s">
        <v>3619</v>
      </c>
      <c r="M8" s="604"/>
      <c r="N8" s="604"/>
      <c r="O8" s="604"/>
      <c r="P8" s="604" t="s">
        <v>3620</v>
      </c>
      <c r="Q8" s="604"/>
      <c r="R8" s="604"/>
      <c r="S8" s="604"/>
      <c r="T8" s="604"/>
      <c r="U8" s="604"/>
      <c r="V8" s="604"/>
      <c r="W8" s="604"/>
      <c r="X8" s="609"/>
      <c r="Y8" s="609"/>
      <c r="Z8" s="609"/>
      <c r="AA8" s="609"/>
      <c r="AB8" s="147" t="s">
        <v>4037</v>
      </c>
      <c r="AC8" s="148" t="s">
        <v>3369</v>
      </c>
      <c r="AD8" s="606" t="s">
        <v>3617</v>
      </c>
      <c r="AE8" s="607"/>
      <c r="AF8" s="607"/>
      <c r="AG8" s="608"/>
      <c r="AH8" s="604" t="s">
        <v>3618</v>
      </c>
      <c r="AI8" s="604"/>
      <c r="AJ8" s="604"/>
      <c r="AK8" s="604"/>
      <c r="AL8" s="604" t="s">
        <v>3619</v>
      </c>
      <c r="AM8" s="604"/>
      <c r="AN8" s="604"/>
      <c r="AO8" s="604"/>
      <c r="AP8" s="604" t="s">
        <v>3620</v>
      </c>
      <c r="AQ8" s="604"/>
      <c r="AR8" s="604"/>
      <c r="AS8" s="604"/>
      <c r="AT8" s="604"/>
      <c r="AU8" s="604"/>
      <c r="AV8" s="604"/>
      <c r="AW8" s="604"/>
      <c r="AX8" s="609"/>
      <c r="AY8" s="609"/>
      <c r="AZ8" s="609"/>
      <c r="BA8" s="609"/>
      <c r="BB8" s="147" t="s">
        <v>4037</v>
      </c>
      <c r="BC8" s="148" t="s">
        <v>3369</v>
      </c>
      <c r="BD8" s="147" t="s">
        <v>4037</v>
      </c>
      <c r="BE8" s="149" t="s">
        <v>3369</v>
      </c>
      <c r="BF8" s="602"/>
      <c r="BG8" s="377" t="s">
        <v>3629</v>
      </c>
    </row>
    <row r="9" spans="1:60" s="21" customFormat="1" ht="15.95" customHeight="1">
      <c r="A9" s="150">
        <v>0</v>
      </c>
      <c r="B9" s="151">
        <v>1</v>
      </c>
      <c r="C9" s="151">
        <v>2</v>
      </c>
      <c r="D9" s="152" t="s">
        <v>612</v>
      </c>
      <c r="E9" s="152" t="s">
        <v>612</v>
      </c>
      <c r="F9" s="152" t="s">
        <v>612</v>
      </c>
      <c r="G9" s="152" t="s">
        <v>612</v>
      </c>
      <c r="H9" s="152" t="s">
        <v>612</v>
      </c>
      <c r="I9" s="152" t="s">
        <v>612</v>
      </c>
      <c r="J9" s="152" t="s">
        <v>612</v>
      </c>
      <c r="K9" s="152" t="s">
        <v>612</v>
      </c>
      <c r="L9" s="152" t="s">
        <v>612</v>
      </c>
      <c r="M9" s="152" t="s">
        <v>612</v>
      </c>
      <c r="N9" s="152" t="s">
        <v>612</v>
      </c>
      <c r="O9" s="152" t="s">
        <v>612</v>
      </c>
      <c r="P9" s="152" t="s">
        <v>612</v>
      </c>
      <c r="Q9" s="152" t="s">
        <v>612</v>
      </c>
      <c r="R9" s="152" t="s">
        <v>612</v>
      </c>
      <c r="S9" s="152" t="s">
        <v>612</v>
      </c>
      <c r="T9" s="152" t="s">
        <v>612</v>
      </c>
      <c r="U9" s="152" t="s">
        <v>612</v>
      </c>
      <c r="V9" s="152" t="s">
        <v>612</v>
      </c>
      <c r="W9" s="152" t="s">
        <v>612</v>
      </c>
      <c r="X9" s="152" t="s">
        <v>612</v>
      </c>
      <c r="Y9" s="152" t="s">
        <v>612</v>
      </c>
      <c r="Z9" s="152" t="s">
        <v>612</v>
      </c>
      <c r="AA9" s="152" t="s">
        <v>612</v>
      </c>
      <c r="AB9" s="153">
        <v>3</v>
      </c>
      <c r="AC9" s="154">
        <v>4</v>
      </c>
      <c r="AD9" s="152" t="s">
        <v>612</v>
      </c>
      <c r="AE9" s="152" t="s">
        <v>612</v>
      </c>
      <c r="AF9" s="152" t="s">
        <v>612</v>
      </c>
      <c r="AG9" s="152" t="s">
        <v>612</v>
      </c>
      <c r="AH9" s="152" t="s">
        <v>612</v>
      </c>
      <c r="AI9" s="152" t="s">
        <v>612</v>
      </c>
      <c r="AJ9" s="152" t="s">
        <v>612</v>
      </c>
      <c r="AK9" s="152" t="s">
        <v>612</v>
      </c>
      <c r="AL9" s="152" t="s">
        <v>612</v>
      </c>
      <c r="AM9" s="152" t="s">
        <v>612</v>
      </c>
      <c r="AN9" s="152" t="s">
        <v>612</v>
      </c>
      <c r="AO9" s="152" t="s">
        <v>612</v>
      </c>
      <c r="AP9" s="152" t="s">
        <v>612</v>
      </c>
      <c r="AQ9" s="152" t="s">
        <v>612</v>
      </c>
      <c r="AR9" s="152" t="s">
        <v>612</v>
      </c>
      <c r="AS9" s="152" t="s">
        <v>612</v>
      </c>
      <c r="AT9" s="152" t="s">
        <v>612</v>
      </c>
      <c r="AU9" s="152" t="s">
        <v>612</v>
      </c>
      <c r="AV9" s="152" t="s">
        <v>612</v>
      </c>
      <c r="AW9" s="152" t="s">
        <v>612</v>
      </c>
      <c r="AX9" s="152" t="s">
        <v>612</v>
      </c>
      <c r="AY9" s="152" t="s">
        <v>612</v>
      </c>
      <c r="AZ9" s="152" t="s">
        <v>612</v>
      </c>
      <c r="BA9" s="152" t="s">
        <v>612</v>
      </c>
      <c r="BB9" s="155">
        <v>5</v>
      </c>
      <c r="BC9" s="156">
        <v>6</v>
      </c>
      <c r="BD9" s="157">
        <v>7</v>
      </c>
      <c r="BE9" s="157">
        <v>8</v>
      </c>
      <c r="BF9" s="158">
        <v>9</v>
      </c>
      <c r="BG9" s="372"/>
    </row>
    <row r="10" spans="1:60" s="21" customFormat="1" ht="15.95" customHeight="1">
      <c r="A10" s="625" t="s">
        <v>6</v>
      </c>
      <c r="B10" s="622"/>
      <c r="C10" s="622"/>
      <c r="D10" s="159">
        <f t="shared" ref="D10:AI10" si="0">SUM(D11:D21)</f>
        <v>0</v>
      </c>
      <c r="E10" s="159">
        <f t="shared" si="0"/>
        <v>0</v>
      </c>
      <c r="F10" s="159">
        <f t="shared" si="0"/>
        <v>0</v>
      </c>
      <c r="G10" s="159">
        <f t="shared" si="0"/>
        <v>0</v>
      </c>
      <c r="H10" s="159">
        <f t="shared" si="0"/>
        <v>0</v>
      </c>
      <c r="I10" s="159">
        <f t="shared" si="0"/>
        <v>0</v>
      </c>
      <c r="J10" s="159">
        <f t="shared" si="0"/>
        <v>0</v>
      </c>
      <c r="K10" s="159">
        <f t="shared" si="0"/>
        <v>0</v>
      </c>
      <c r="L10" s="159">
        <f t="shared" si="0"/>
        <v>0</v>
      </c>
      <c r="M10" s="159">
        <f t="shared" si="0"/>
        <v>0</v>
      </c>
      <c r="N10" s="159">
        <f t="shared" si="0"/>
        <v>0</v>
      </c>
      <c r="O10" s="159">
        <f t="shared" si="0"/>
        <v>0</v>
      </c>
      <c r="P10" s="159">
        <f t="shared" si="0"/>
        <v>0</v>
      </c>
      <c r="Q10" s="159">
        <f t="shared" si="0"/>
        <v>0</v>
      </c>
      <c r="R10" s="159">
        <f t="shared" si="0"/>
        <v>0</v>
      </c>
      <c r="S10" s="159">
        <f t="shared" si="0"/>
        <v>0</v>
      </c>
      <c r="T10" s="159">
        <f t="shared" si="0"/>
        <v>0</v>
      </c>
      <c r="U10" s="159">
        <f t="shared" si="0"/>
        <v>0</v>
      </c>
      <c r="V10" s="159">
        <f t="shared" si="0"/>
        <v>0</v>
      </c>
      <c r="W10" s="159">
        <f t="shared" si="0"/>
        <v>0</v>
      </c>
      <c r="X10" s="159">
        <f t="shared" si="0"/>
        <v>0</v>
      </c>
      <c r="Y10" s="159">
        <f t="shared" si="0"/>
        <v>0</v>
      </c>
      <c r="Z10" s="159">
        <f t="shared" si="0"/>
        <v>0</v>
      </c>
      <c r="AA10" s="159">
        <f t="shared" si="0"/>
        <v>0</v>
      </c>
      <c r="AB10" s="160">
        <f t="shared" si="0"/>
        <v>0</v>
      </c>
      <c r="AC10" s="359">
        <f t="shared" si="0"/>
        <v>0</v>
      </c>
      <c r="AD10" s="160">
        <f t="shared" si="0"/>
        <v>0</v>
      </c>
      <c r="AE10" s="160">
        <f t="shared" si="0"/>
        <v>0</v>
      </c>
      <c r="AF10" s="160">
        <f t="shared" si="0"/>
        <v>0</v>
      </c>
      <c r="AG10" s="160">
        <f t="shared" si="0"/>
        <v>0</v>
      </c>
      <c r="AH10" s="160">
        <f t="shared" si="0"/>
        <v>0</v>
      </c>
      <c r="AI10" s="160">
        <f t="shared" si="0"/>
        <v>0</v>
      </c>
      <c r="AJ10" s="160">
        <f t="shared" ref="AJ10:BC10" si="1">SUM(AJ11:AJ21)</f>
        <v>0</v>
      </c>
      <c r="AK10" s="160">
        <f t="shared" si="1"/>
        <v>0</v>
      </c>
      <c r="AL10" s="160">
        <f t="shared" si="1"/>
        <v>2</v>
      </c>
      <c r="AM10" s="160">
        <f t="shared" si="1"/>
        <v>0</v>
      </c>
      <c r="AN10" s="160">
        <f t="shared" si="1"/>
        <v>0</v>
      </c>
      <c r="AO10" s="160">
        <f t="shared" si="1"/>
        <v>0</v>
      </c>
      <c r="AP10" s="160">
        <f t="shared" si="1"/>
        <v>2</v>
      </c>
      <c r="AQ10" s="160">
        <f t="shared" si="1"/>
        <v>0</v>
      </c>
      <c r="AR10" s="160">
        <f t="shared" si="1"/>
        <v>0</v>
      </c>
      <c r="AS10" s="160">
        <f t="shared" si="1"/>
        <v>0</v>
      </c>
      <c r="AT10" s="160">
        <f t="shared" si="1"/>
        <v>0</v>
      </c>
      <c r="AU10" s="160">
        <f t="shared" si="1"/>
        <v>0</v>
      </c>
      <c r="AV10" s="160">
        <f t="shared" si="1"/>
        <v>0</v>
      </c>
      <c r="AW10" s="160">
        <f t="shared" si="1"/>
        <v>0</v>
      </c>
      <c r="AX10" s="160">
        <f t="shared" si="1"/>
        <v>0</v>
      </c>
      <c r="AY10" s="160">
        <f t="shared" si="1"/>
        <v>0</v>
      </c>
      <c r="AZ10" s="160">
        <f t="shared" si="1"/>
        <v>0</v>
      </c>
      <c r="BA10" s="160">
        <f t="shared" si="1"/>
        <v>0</v>
      </c>
      <c r="BB10" s="162">
        <f t="shared" si="1"/>
        <v>4</v>
      </c>
      <c r="BC10" s="160">
        <f t="shared" si="1"/>
        <v>8</v>
      </c>
      <c r="BD10" s="130">
        <f t="shared" ref="BD10:BE10" si="2">AB10+BB10</f>
        <v>4</v>
      </c>
      <c r="BE10" s="130">
        <f t="shared" si="2"/>
        <v>8</v>
      </c>
      <c r="BF10" s="195">
        <f t="shared" ref="BF10" si="3">BD10/BE10*100</f>
        <v>50</v>
      </c>
      <c r="BG10" s="374">
        <f t="shared" ref="BG10" si="4">BE10-BD10</f>
        <v>4</v>
      </c>
    </row>
    <row r="11" spans="1:60" s="21" customFormat="1" ht="15.95" customHeight="1">
      <c r="A11" s="163">
        <v>1</v>
      </c>
      <c r="B11" s="9" t="s">
        <v>619</v>
      </c>
      <c r="C11" s="11" t="s">
        <v>620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22">
        <f t="shared" ref="AB11:AB21" si="5">SUM(D11:AA11)</f>
        <v>0</v>
      </c>
      <c r="AC11" s="25">
        <v>0</v>
      </c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2">
        <f t="shared" ref="BB11:BB21" si="6">SUM(AD11:BA11)</f>
        <v>0</v>
      </c>
      <c r="BC11" s="23">
        <v>1</v>
      </c>
      <c r="BD11" s="130">
        <f t="shared" ref="BD11:BE14" si="7">AB11+BB11</f>
        <v>0</v>
      </c>
      <c r="BE11" s="130">
        <f t="shared" si="7"/>
        <v>1</v>
      </c>
      <c r="BF11" s="195">
        <f t="shared" ref="BF11:BF21" si="8">BD11/BE11*100</f>
        <v>0</v>
      </c>
      <c r="BG11" s="373">
        <f>BE11-BD11</f>
        <v>1</v>
      </c>
    </row>
    <row r="12" spans="1:60" s="21" customFormat="1" ht="15.95" customHeight="1">
      <c r="A12" s="163">
        <v>2</v>
      </c>
      <c r="B12" s="9" t="s">
        <v>19</v>
      </c>
      <c r="C12" s="11" t="s">
        <v>20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22">
        <f t="shared" si="5"/>
        <v>0</v>
      </c>
      <c r="AC12" s="25">
        <v>0</v>
      </c>
      <c r="AD12" s="24"/>
      <c r="AE12" s="24"/>
      <c r="AF12" s="24"/>
      <c r="AG12" s="24"/>
      <c r="AH12" s="24"/>
      <c r="AI12" s="24"/>
      <c r="AJ12" s="24"/>
      <c r="AK12" s="24"/>
      <c r="AL12" s="24">
        <v>1</v>
      </c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2">
        <f t="shared" si="6"/>
        <v>1</v>
      </c>
      <c r="BC12" s="23">
        <v>0</v>
      </c>
      <c r="BD12" s="130">
        <f t="shared" si="7"/>
        <v>1</v>
      </c>
      <c r="BE12" s="130">
        <f t="shared" si="7"/>
        <v>0</v>
      </c>
      <c r="BF12" s="195" t="e">
        <f t="shared" si="8"/>
        <v>#DIV/0!</v>
      </c>
      <c r="BG12" s="373"/>
    </row>
    <row r="13" spans="1:60" s="21" customFormat="1" ht="15.95" customHeight="1">
      <c r="A13" s="163">
        <v>3</v>
      </c>
      <c r="B13" s="9" t="s">
        <v>3410</v>
      </c>
      <c r="C13" s="11" t="s">
        <v>4113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22">
        <f t="shared" si="5"/>
        <v>0</v>
      </c>
      <c r="AC13" s="25">
        <v>0</v>
      </c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>
        <v>1</v>
      </c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2">
        <f t="shared" si="6"/>
        <v>1</v>
      </c>
      <c r="BC13" s="23">
        <v>0</v>
      </c>
      <c r="BD13" s="130">
        <f t="shared" si="7"/>
        <v>1</v>
      </c>
      <c r="BE13" s="130">
        <f t="shared" si="7"/>
        <v>0</v>
      </c>
      <c r="BF13" s="195" t="e">
        <f t="shared" si="8"/>
        <v>#DIV/0!</v>
      </c>
      <c r="BG13" s="373"/>
    </row>
    <row r="14" spans="1:60" s="21" customFormat="1" ht="15.95" customHeight="1">
      <c r="A14" s="163">
        <v>4</v>
      </c>
      <c r="B14" s="9" t="s">
        <v>2586</v>
      </c>
      <c r="C14" s="11" t="s">
        <v>2587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22">
        <f t="shared" si="5"/>
        <v>0</v>
      </c>
      <c r="AC14" s="25">
        <v>0</v>
      </c>
      <c r="AD14" s="24"/>
      <c r="AE14" s="24"/>
      <c r="AF14" s="24"/>
      <c r="AG14" s="24"/>
      <c r="AH14" s="24"/>
      <c r="AI14" s="24"/>
      <c r="AJ14" s="24"/>
      <c r="AK14" s="24"/>
      <c r="AL14" s="24">
        <v>1</v>
      </c>
      <c r="AM14" s="24"/>
      <c r="AN14" s="24"/>
      <c r="AO14" s="24"/>
      <c r="AP14" s="24">
        <v>1</v>
      </c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2">
        <f t="shared" si="6"/>
        <v>2</v>
      </c>
      <c r="BC14" s="23">
        <v>0</v>
      </c>
      <c r="BD14" s="130">
        <f t="shared" si="7"/>
        <v>2</v>
      </c>
      <c r="BE14" s="130">
        <f t="shared" si="7"/>
        <v>0</v>
      </c>
      <c r="BF14" s="195" t="e">
        <f t="shared" si="8"/>
        <v>#DIV/0!</v>
      </c>
      <c r="BG14" s="373"/>
    </row>
    <row r="15" spans="1:60" s="21" customFormat="1" ht="15.95" customHeight="1">
      <c r="A15" s="163">
        <v>5</v>
      </c>
      <c r="B15" s="9" t="s">
        <v>21</v>
      </c>
      <c r="C15" s="10" t="s">
        <v>22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22">
        <f t="shared" si="5"/>
        <v>0</v>
      </c>
      <c r="AC15" s="25">
        <v>0</v>
      </c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2">
        <f t="shared" si="6"/>
        <v>0</v>
      </c>
      <c r="BC15" s="23">
        <v>1</v>
      </c>
      <c r="BD15" s="130">
        <f t="shared" ref="BD15:BD21" si="9">AB15+BB15</f>
        <v>0</v>
      </c>
      <c r="BE15" s="130">
        <v>1</v>
      </c>
      <c r="BF15" s="195">
        <f t="shared" si="8"/>
        <v>0</v>
      </c>
      <c r="BG15" s="373">
        <f t="shared" ref="BG15:BG21" si="10">BE15-BD15</f>
        <v>1</v>
      </c>
    </row>
    <row r="16" spans="1:60" s="21" customFormat="1" ht="15.95" customHeight="1">
      <c r="A16" s="163">
        <v>6</v>
      </c>
      <c r="B16" s="9" t="s">
        <v>3274</v>
      </c>
      <c r="C16" s="10" t="s">
        <v>3275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22">
        <f t="shared" si="5"/>
        <v>0</v>
      </c>
      <c r="AC16" s="25">
        <v>0</v>
      </c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2">
        <f t="shared" si="6"/>
        <v>0</v>
      </c>
      <c r="BC16" s="23">
        <v>1</v>
      </c>
      <c r="BD16" s="130">
        <f t="shared" si="9"/>
        <v>0</v>
      </c>
      <c r="BE16" s="130">
        <v>1</v>
      </c>
      <c r="BF16" s="195">
        <f t="shared" si="8"/>
        <v>0</v>
      </c>
      <c r="BG16" s="373">
        <f t="shared" si="10"/>
        <v>1</v>
      </c>
    </row>
    <row r="17" spans="1:59" s="21" customFormat="1" ht="15.95" customHeight="1">
      <c r="A17" s="163">
        <v>7</v>
      </c>
      <c r="B17" s="9" t="s">
        <v>8</v>
      </c>
      <c r="C17" s="11" t="s">
        <v>9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22">
        <f t="shared" si="5"/>
        <v>0</v>
      </c>
      <c r="AC17" s="25">
        <v>0</v>
      </c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2">
        <f t="shared" si="6"/>
        <v>0</v>
      </c>
      <c r="BC17" s="23">
        <v>1</v>
      </c>
      <c r="BD17" s="130">
        <f t="shared" si="9"/>
        <v>0</v>
      </c>
      <c r="BE17" s="130">
        <v>1</v>
      </c>
      <c r="BF17" s="195">
        <f t="shared" si="8"/>
        <v>0</v>
      </c>
      <c r="BG17" s="373">
        <f t="shared" si="10"/>
        <v>1</v>
      </c>
    </row>
    <row r="18" spans="1:59" s="21" customFormat="1" ht="15.95" customHeight="1">
      <c r="A18" s="163">
        <v>8</v>
      </c>
      <c r="B18" s="9" t="s">
        <v>34</v>
      </c>
      <c r="C18" s="11" t="s">
        <v>1930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22">
        <f t="shared" si="5"/>
        <v>0</v>
      </c>
      <c r="AC18" s="25">
        <v>0</v>
      </c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2">
        <f t="shared" si="6"/>
        <v>0</v>
      </c>
      <c r="BC18" s="23">
        <v>1</v>
      </c>
      <c r="BD18" s="130">
        <f t="shared" si="9"/>
        <v>0</v>
      </c>
      <c r="BE18" s="130">
        <v>2</v>
      </c>
      <c r="BF18" s="195">
        <f t="shared" si="8"/>
        <v>0</v>
      </c>
      <c r="BG18" s="373">
        <f t="shared" si="10"/>
        <v>2</v>
      </c>
    </row>
    <row r="19" spans="1:59" s="21" customFormat="1" ht="15.95" customHeight="1">
      <c r="A19" s="163">
        <v>9</v>
      </c>
      <c r="B19" s="9" t="s">
        <v>319</v>
      </c>
      <c r="C19" s="11" t="s">
        <v>320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22">
        <f t="shared" si="5"/>
        <v>0</v>
      </c>
      <c r="AC19" s="25">
        <v>0</v>
      </c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2">
        <f t="shared" si="6"/>
        <v>0</v>
      </c>
      <c r="BC19" s="23">
        <v>1</v>
      </c>
      <c r="BD19" s="130">
        <f t="shared" si="9"/>
        <v>0</v>
      </c>
      <c r="BE19" s="130">
        <v>2</v>
      </c>
      <c r="BF19" s="195">
        <f t="shared" si="8"/>
        <v>0</v>
      </c>
      <c r="BG19" s="373">
        <f t="shared" si="10"/>
        <v>2</v>
      </c>
    </row>
    <row r="20" spans="1:59" s="21" customFormat="1" ht="15.95" customHeight="1">
      <c r="A20" s="163">
        <v>10</v>
      </c>
      <c r="B20" s="9" t="s">
        <v>1316</v>
      </c>
      <c r="C20" s="11" t="s">
        <v>2120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22">
        <f t="shared" si="5"/>
        <v>0</v>
      </c>
      <c r="AC20" s="25">
        <v>0</v>
      </c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2">
        <f t="shared" si="6"/>
        <v>0</v>
      </c>
      <c r="BC20" s="23">
        <v>1</v>
      </c>
      <c r="BD20" s="130">
        <f t="shared" si="9"/>
        <v>0</v>
      </c>
      <c r="BE20" s="130">
        <v>1</v>
      </c>
      <c r="BF20" s="195">
        <f t="shared" si="8"/>
        <v>0</v>
      </c>
      <c r="BG20" s="373">
        <f t="shared" si="10"/>
        <v>1</v>
      </c>
    </row>
    <row r="21" spans="1:59" s="21" customFormat="1" ht="15.95" customHeight="1">
      <c r="A21" s="163">
        <v>11</v>
      </c>
      <c r="B21" s="9" t="s">
        <v>2773</v>
      </c>
      <c r="C21" s="11" t="s">
        <v>2774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22">
        <f t="shared" si="5"/>
        <v>0</v>
      </c>
      <c r="AC21" s="25">
        <v>0</v>
      </c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2">
        <f t="shared" si="6"/>
        <v>0</v>
      </c>
      <c r="BC21" s="23">
        <v>1</v>
      </c>
      <c r="BD21" s="130">
        <f t="shared" si="9"/>
        <v>0</v>
      </c>
      <c r="BE21" s="130">
        <v>2</v>
      </c>
      <c r="BF21" s="195">
        <f t="shared" si="8"/>
        <v>0</v>
      </c>
      <c r="BG21" s="373">
        <f t="shared" si="10"/>
        <v>2</v>
      </c>
    </row>
    <row r="22" spans="1:59" s="21" customFormat="1" ht="15.95" customHeight="1">
      <c r="A22" s="625" t="s">
        <v>12</v>
      </c>
      <c r="B22" s="622"/>
      <c r="C22" s="622"/>
      <c r="D22" s="159">
        <f t="shared" ref="D22:AI22" si="11">SUM(D23:D32)</f>
        <v>0</v>
      </c>
      <c r="E22" s="159">
        <f t="shared" si="11"/>
        <v>0</v>
      </c>
      <c r="F22" s="159">
        <f t="shared" si="11"/>
        <v>0</v>
      </c>
      <c r="G22" s="159">
        <f t="shared" si="11"/>
        <v>0</v>
      </c>
      <c r="H22" s="159">
        <f t="shared" si="11"/>
        <v>0</v>
      </c>
      <c r="I22" s="159">
        <f t="shared" si="11"/>
        <v>0</v>
      </c>
      <c r="J22" s="159">
        <f t="shared" si="11"/>
        <v>0</v>
      </c>
      <c r="K22" s="159">
        <f t="shared" si="11"/>
        <v>0</v>
      </c>
      <c r="L22" s="159">
        <f t="shared" si="11"/>
        <v>0</v>
      </c>
      <c r="M22" s="159">
        <f t="shared" si="11"/>
        <v>0</v>
      </c>
      <c r="N22" s="159">
        <f t="shared" si="11"/>
        <v>0</v>
      </c>
      <c r="O22" s="159">
        <f t="shared" si="11"/>
        <v>0</v>
      </c>
      <c r="P22" s="159">
        <f t="shared" si="11"/>
        <v>0</v>
      </c>
      <c r="Q22" s="159">
        <f t="shared" si="11"/>
        <v>0</v>
      </c>
      <c r="R22" s="159">
        <f t="shared" si="11"/>
        <v>0</v>
      </c>
      <c r="S22" s="159">
        <f t="shared" si="11"/>
        <v>0</v>
      </c>
      <c r="T22" s="159">
        <f t="shared" si="11"/>
        <v>0</v>
      </c>
      <c r="U22" s="159">
        <f t="shared" si="11"/>
        <v>0</v>
      </c>
      <c r="V22" s="159">
        <f t="shared" si="11"/>
        <v>0</v>
      </c>
      <c r="W22" s="159">
        <f t="shared" si="11"/>
        <v>0</v>
      </c>
      <c r="X22" s="159">
        <f t="shared" si="11"/>
        <v>0</v>
      </c>
      <c r="Y22" s="159">
        <f t="shared" si="11"/>
        <v>0</v>
      </c>
      <c r="Z22" s="159">
        <f t="shared" si="11"/>
        <v>0</v>
      </c>
      <c r="AA22" s="159">
        <f t="shared" si="11"/>
        <v>0</v>
      </c>
      <c r="AB22" s="159">
        <f t="shared" si="11"/>
        <v>0</v>
      </c>
      <c r="AC22" s="359">
        <f t="shared" si="11"/>
        <v>0</v>
      </c>
      <c r="AD22" s="162">
        <f t="shared" si="11"/>
        <v>0</v>
      </c>
      <c r="AE22" s="162">
        <f t="shared" si="11"/>
        <v>0</v>
      </c>
      <c r="AF22" s="162">
        <f t="shared" si="11"/>
        <v>0</v>
      </c>
      <c r="AG22" s="162">
        <f t="shared" si="11"/>
        <v>0</v>
      </c>
      <c r="AH22" s="162">
        <f t="shared" si="11"/>
        <v>0</v>
      </c>
      <c r="AI22" s="162">
        <f t="shared" si="11"/>
        <v>0</v>
      </c>
      <c r="AJ22" s="162">
        <f t="shared" ref="AJ22:BC22" si="12">SUM(AJ23:AJ32)</f>
        <v>0</v>
      </c>
      <c r="AK22" s="162">
        <f t="shared" si="12"/>
        <v>0</v>
      </c>
      <c r="AL22" s="162">
        <f t="shared" si="12"/>
        <v>3</v>
      </c>
      <c r="AM22" s="162">
        <f t="shared" si="12"/>
        <v>0</v>
      </c>
      <c r="AN22" s="162">
        <f t="shared" si="12"/>
        <v>0</v>
      </c>
      <c r="AO22" s="162">
        <f t="shared" si="12"/>
        <v>0</v>
      </c>
      <c r="AP22" s="162">
        <f t="shared" si="12"/>
        <v>22</v>
      </c>
      <c r="AQ22" s="162">
        <f t="shared" si="12"/>
        <v>0</v>
      </c>
      <c r="AR22" s="162">
        <f t="shared" si="12"/>
        <v>0</v>
      </c>
      <c r="AS22" s="162">
        <f t="shared" si="12"/>
        <v>0</v>
      </c>
      <c r="AT22" s="162">
        <f t="shared" si="12"/>
        <v>0</v>
      </c>
      <c r="AU22" s="162">
        <f t="shared" si="12"/>
        <v>0</v>
      </c>
      <c r="AV22" s="162">
        <f t="shared" si="12"/>
        <v>0</v>
      </c>
      <c r="AW22" s="162">
        <f t="shared" si="12"/>
        <v>0</v>
      </c>
      <c r="AX22" s="162">
        <f t="shared" si="12"/>
        <v>0</v>
      </c>
      <c r="AY22" s="162">
        <f t="shared" si="12"/>
        <v>0</v>
      </c>
      <c r="AZ22" s="162">
        <f t="shared" si="12"/>
        <v>0</v>
      </c>
      <c r="BA22" s="162">
        <f t="shared" si="12"/>
        <v>0</v>
      </c>
      <c r="BB22" s="162">
        <f t="shared" si="12"/>
        <v>25</v>
      </c>
      <c r="BC22" s="160">
        <f t="shared" si="12"/>
        <v>12</v>
      </c>
      <c r="BD22" s="130">
        <f t="shared" ref="BD22:BE55" si="13">AB22+BB22</f>
        <v>25</v>
      </c>
      <c r="BE22" s="130">
        <f t="shared" si="13"/>
        <v>12</v>
      </c>
      <c r="BF22" s="195">
        <f t="shared" ref="BF22:BF82" si="14">BD22/BE22*100</f>
        <v>208.33333333333334</v>
      </c>
      <c r="BG22" s="374">
        <f t="shared" ref="BG22:BG82" si="15">BE22-BD22</f>
        <v>-13</v>
      </c>
    </row>
    <row r="23" spans="1:59" s="21" customFormat="1" ht="15.95" customHeight="1">
      <c r="A23" s="163">
        <v>1</v>
      </c>
      <c r="B23" s="12" t="s">
        <v>641</v>
      </c>
      <c r="C23" s="13" t="s">
        <v>642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22">
        <f t="shared" ref="AB23:AB32" si="16">SUM(D23:AA23)</f>
        <v>0</v>
      </c>
      <c r="AC23" s="25">
        <v>0</v>
      </c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2">
        <f t="shared" ref="BB23:BB32" si="17">SUM(AD23:BA23)</f>
        <v>0</v>
      </c>
      <c r="BC23" s="23">
        <v>1</v>
      </c>
      <c r="BD23" s="130">
        <f t="shared" ref="BD23" si="18">AB23+BB23</f>
        <v>0</v>
      </c>
      <c r="BE23" s="130">
        <f t="shared" si="13"/>
        <v>1</v>
      </c>
      <c r="BF23" s="195">
        <f t="shared" ref="BF23:BF32" si="19">BD23/BE23*100</f>
        <v>0</v>
      </c>
      <c r="BG23" s="373">
        <f>BE23-BD23</f>
        <v>1</v>
      </c>
    </row>
    <row r="24" spans="1:59" s="21" customFormat="1" ht="15.95" customHeight="1">
      <c r="A24" s="163">
        <v>2</v>
      </c>
      <c r="B24" s="12" t="s">
        <v>32</v>
      </c>
      <c r="C24" s="13" t="s">
        <v>2871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22">
        <f t="shared" si="16"/>
        <v>0</v>
      </c>
      <c r="AC24" s="25">
        <v>0</v>
      </c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2">
        <f t="shared" si="17"/>
        <v>0</v>
      </c>
      <c r="BC24" s="23">
        <v>1</v>
      </c>
      <c r="BD24" s="130">
        <f t="shared" si="13"/>
        <v>0</v>
      </c>
      <c r="BE24" s="130">
        <f t="shared" si="13"/>
        <v>1</v>
      </c>
      <c r="BF24" s="195">
        <f t="shared" si="19"/>
        <v>0</v>
      </c>
      <c r="BG24" s="373">
        <f>BE24-BD24</f>
        <v>1</v>
      </c>
    </row>
    <row r="25" spans="1:59" s="21" customFormat="1" ht="15.95" customHeight="1">
      <c r="A25" s="163">
        <v>3</v>
      </c>
      <c r="B25" s="12" t="s">
        <v>617</v>
      </c>
      <c r="C25" s="13" t="s">
        <v>618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22">
        <f t="shared" si="16"/>
        <v>0</v>
      </c>
      <c r="AC25" s="25">
        <v>0</v>
      </c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2">
        <f t="shared" si="17"/>
        <v>0</v>
      </c>
      <c r="BC25" s="23">
        <v>2</v>
      </c>
      <c r="BD25" s="130">
        <f t="shared" si="13"/>
        <v>0</v>
      </c>
      <c r="BE25" s="130">
        <f t="shared" si="13"/>
        <v>2</v>
      </c>
      <c r="BF25" s="195">
        <f t="shared" si="19"/>
        <v>0</v>
      </c>
      <c r="BG25" s="373">
        <f>BE25-BD25</f>
        <v>2</v>
      </c>
    </row>
    <row r="26" spans="1:59" s="21" customFormat="1" ht="15.95" customHeight="1">
      <c r="A26" s="163">
        <v>4</v>
      </c>
      <c r="B26" s="12" t="s">
        <v>3926</v>
      </c>
      <c r="C26" s="13" t="s">
        <v>2876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22">
        <f t="shared" si="16"/>
        <v>0</v>
      </c>
      <c r="AC26" s="25">
        <v>0</v>
      </c>
      <c r="AD26" s="24"/>
      <c r="AE26" s="24"/>
      <c r="AF26" s="24"/>
      <c r="AG26" s="24"/>
      <c r="AH26" s="24"/>
      <c r="AI26" s="24"/>
      <c r="AJ26" s="24"/>
      <c r="AK26" s="24"/>
      <c r="AL26" s="24">
        <v>1</v>
      </c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2">
        <f t="shared" si="17"/>
        <v>1</v>
      </c>
      <c r="BC26" s="23">
        <v>0</v>
      </c>
      <c r="BD26" s="130">
        <f t="shared" si="13"/>
        <v>1</v>
      </c>
      <c r="BE26" s="130">
        <f t="shared" si="13"/>
        <v>0</v>
      </c>
      <c r="BF26" s="195" t="e">
        <f t="shared" si="19"/>
        <v>#DIV/0!</v>
      </c>
      <c r="BG26" s="373"/>
    </row>
    <row r="27" spans="1:59" s="21" customFormat="1" ht="15.95" customHeight="1">
      <c r="A27" s="163">
        <v>5</v>
      </c>
      <c r="B27" s="12" t="s">
        <v>19</v>
      </c>
      <c r="C27" s="13" t="s">
        <v>20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22">
        <f t="shared" si="16"/>
        <v>0</v>
      </c>
      <c r="AC27" s="25">
        <v>0</v>
      </c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2">
        <f t="shared" si="17"/>
        <v>0</v>
      </c>
      <c r="BC27" s="23">
        <v>5</v>
      </c>
      <c r="BD27" s="130">
        <f t="shared" si="13"/>
        <v>0</v>
      </c>
      <c r="BE27" s="130">
        <f t="shared" si="13"/>
        <v>5</v>
      </c>
      <c r="BF27" s="195">
        <f t="shared" si="19"/>
        <v>0</v>
      </c>
      <c r="BG27" s="373">
        <f>BE27-BD27</f>
        <v>5</v>
      </c>
    </row>
    <row r="28" spans="1:59" s="21" customFormat="1" ht="15.95" customHeight="1">
      <c r="A28" s="163">
        <v>6</v>
      </c>
      <c r="B28" s="12" t="s">
        <v>574</v>
      </c>
      <c r="C28" s="13" t="s">
        <v>2272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22">
        <f t="shared" si="16"/>
        <v>0</v>
      </c>
      <c r="AC28" s="25">
        <v>0</v>
      </c>
      <c r="AD28" s="24"/>
      <c r="AE28" s="24"/>
      <c r="AF28" s="24"/>
      <c r="AG28" s="24"/>
      <c r="AH28" s="24"/>
      <c r="AI28" s="24"/>
      <c r="AJ28" s="24"/>
      <c r="AK28" s="24"/>
      <c r="AL28" s="24">
        <v>1</v>
      </c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2">
        <f t="shared" si="17"/>
        <v>1</v>
      </c>
      <c r="BC28" s="23">
        <v>0</v>
      </c>
      <c r="BD28" s="130">
        <f t="shared" si="13"/>
        <v>1</v>
      </c>
      <c r="BE28" s="130">
        <f t="shared" si="13"/>
        <v>0</v>
      </c>
      <c r="BF28" s="195" t="e">
        <f t="shared" si="19"/>
        <v>#DIV/0!</v>
      </c>
      <c r="BG28" s="373"/>
    </row>
    <row r="29" spans="1:59" s="21" customFormat="1" ht="15.95" customHeight="1">
      <c r="A29" s="163">
        <v>7</v>
      </c>
      <c r="B29" s="12" t="s">
        <v>8</v>
      </c>
      <c r="C29" s="13" t="s">
        <v>2273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22">
        <f t="shared" si="16"/>
        <v>0</v>
      </c>
      <c r="AC29" s="25">
        <v>0</v>
      </c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>
        <v>1</v>
      </c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2">
        <f t="shared" si="17"/>
        <v>1</v>
      </c>
      <c r="BC29" s="23">
        <v>1</v>
      </c>
      <c r="BD29" s="130">
        <f t="shared" si="13"/>
        <v>1</v>
      </c>
      <c r="BE29" s="130">
        <f t="shared" si="13"/>
        <v>1</v>
      </c>
      <c r="BF29" s="195">
        <f t="shared" si="19"/>
        <v>100</v>
      </c>
      <c r="BG29" s="373">
        <f>BE29-BD29</f>
        <v>0</v>
      </c>
    </row>
    <row r="30" spans="1:59" s="21" customFormat="1" ht="15.95" customHeight="1">
      <c r="A30" s="163">
        <v>8</v>
      </c>
      <c r="B30" s="12" t="s">
        <v>34</v>
      </c>
      <c r="C30" s="13" t="s">
        <v>1930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22">
        <f t="shared" si="16"/>
        <v>0</v>
      </c>
      <c r="AC30" s="25">
        <v>0</v>
      </c>
      <c r="AD30" s="24"/>
      <c r="AE30" s="24"/>
      <c r="AF30" s="24"/>
      <c r="AG30" s="24"/>
      <c r="AH30" s="24"/>
      <c r="AI30" s="24"/>
      <c r="AJ30" s="24"/>
      <c r="AK30" s="24"/>
      <c r="AL30" s="24">
        <v>1</v>
      </c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2">
        <f t="shared" si="17"/>
        <v>1</v>
      </c>
      <c r="BC30" s="23">
        <v>2</v>
      </c>
      <c r="BD30" s="130">
        <f t="shared" si="13"/>
        <v>1</v>
      </c>
      <c r="BE30" s="130">
        <f t="shared" si="13"/>
        <v>2</v>
      </c>
      <c r="BF30" s="195">
        <f t="shared" si="19"/>
        <v>50</v>
      </c>
      <c r="BG30" s="373">
        <f>BE30-BD30</f>
        <v>1</v>
      </c>
    </row>
    <row r="31" spans="1:59" s="21" customFormat="1" ht="15.95" customHeight="1">
      <c r="A31" s="163">
        <v>9</v>
      </c>
      <c r="B31" s="12" t="s">
        <v>319</v>
      </c>
      <c r="C31" s="13" t="s">
        <v>320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22">
        <f t="shared" si="16"/>
        <v>0</v>
      </c>
      <c r="AC31" s="25">
        <v>0</v>
      </c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>
        <v>1</v>
      </c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2">
        <f t="shared" si="17"/>
        <v>1</v>
      </c>
      <c r="BC31" s="23">
        <v>0</v>
      </c>
      <c r="BD31" s="130">
        <f t="shared" si="13"/>
        <v>1</v>
      </c>
      <c r="BE31" s="130">
        <f t="shared" si="13"/>
        <v>0</v>
      </c>
      <c r="BF31" s="195" t="e">
        <f t="shared" si="19"/>
        <v>#DIV/0!</v>
      </c>
      <c r="BG31" s="373"/>
    </row>
    <row r="32" spans="1:59" s="21" customFormat="1" ht="15.95" customHeight="1">
      <c r="A32" s="163">
        <v>10</v>
      </c>
      <c r="B32" s="12" t="s">
        <v>2312</v>
      </c>
      <c r="C32" s="13" t="s">
        <v>2687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22">
        <f t="shared" si="16"/>
        <v>0</v>
      </c>
      <c r="AC32" s="25">
        <v>0</v>
      </c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>
        <v>20</v>
      </c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2">
        <f t="shared" si="17"/>
        <v>20</v>
      </c>
      <c r="BC32" s="23">
        <v>0</v>
      </c>
      <c r="BD32" s="130">
        <f t="shared" si="13"/>
        <v>20</v>
      </c>
      <c r="BE32" s="130">
        <f t="shared" si="13"/>
        <v>0</v>
      </c>
      <c r="BF32" s="195" t="e">
        <f t="shared" si="19"/>
        <v>#DIV/0!</v>
      </c>
      <c r="BG32" s="373"/>
    </row>
    <row r="33" spans="1:59" s="21" customFormat="1" ht="15.95" customHeight="1">
      <c r="A33" s="164"/>
      <c r="B33" s="622" t="s">
        <v>13</v>
      </c>
      <c r="C33" s="622"/>
      <c r="D33" s="159">
        <f t="shared" ref="D33:AI33" si="20">SUM(D34:D46)</f>
        <v>0</v>
      </c>
      <c r="E33" s="159">
        <f t="shared" si="20"/>
        <v>0</v>
      </c>
      <c r="F33" s="159">
        <f t="shared" si="20"/>
        <v>0</v>
      </c>
      <c r="G33" s="159">
        <f t="shared" si="20"/>
        <v>0</v>
      </c>
      <c r="H33" s="159">
        <f t="shared" si="20"/>
        <v>0</v>
      </c>
      <c r="I33" s="159">
        <f t="shared" si="20"/>
        <v>0</v>
      </c>
      <c r="J33" s="159">
        <f t="shared" si="20"/>
        <v>0</v>
      </c>
      <c r="K33" s="159">
        <f t="shared" si="20"/>
        <v>0</v>
      </c>
      <c r="L33" s="159">
        <f t="shared" si="20"/>
        <v>2</v>
      </c>
      <c r="M33" s="159">
        <f t="shared" si="20"/>
        <v>0</v>
      </c>
      <c r="N33" s="159">
        <f t="shared" si="20"/>
        <v>0</v>
      </c>
      <c r="O33" s="159">
        <f t="shared" si="20"/>
        <v>0</v>
      </c>
      <c r="P33" s="159">
        <f t="shared" si="20"/>
        <v>5</v>
      </c>
      <c r="Q33" s="159">
        <f t="shared" si="20"/>
        <v>0</v>
      </c>
      <c r="R33" s="159">
        <f t="shared" si="20"/>
        <v>0</v>
      </c>
      <c r="S33" s="159">
        <f t="shared" si="20"/>
        <v>0</v>
      </c>
      <c r="T33" s="159">
        <f t="shared" si="20"/>
        <v>0</v>
      </c>
      <c r="U33" s="159">
        <f t="shared" si="20"/>
        <v>0</v>
      </c>
      <c r="V33" s="159">
        <f t="shared" si="20"/>
        <v>0</v>
      </c>
      <c r="W33" s="159">
        <f t="shared" si="20"/>
        <v>0</v>
      </c>
      <c r="X33" s="159">
        <f t="shared" si="20"/>
        <v>0</v>
      </c>
      <c r="Y33" s="159">
        <f t="shared" si="20"/>
        <v>0</v>
      </c>
      <c r="Z33" s="159">
        <f t="shared" si="20"/>
        <v>0</v>
      </c>
      <c r="AA33" s="159">
        <f t="shared" si="20"/>
        <v>0</v>
      </c>
      <c r="AB33" s="159">
        <f t="shared" si="20"/>
        <v>7</v>
      </c>
      <c r="AC33" s="359">
        <f t="shared" si="20"/>
        <v>10</v>
      </c>
      <c r="AD33" s="160">
        <f t="shared" si="20"/>
        <v>5</v>
      </c>
      <c r="AE33" s="160">
        <f t="shared" si="20"/>
        <v>0</v>
      </c>
      <c r="AF33" s="160">
        <f t="shared" si="20"/>
        <v>0</v>
      </c>
      <c r="AG33" s="160">
        <f t="shared" si="20"/>
        <v>0</v>
      </c>
      <c r="AH33" s="160">
        <f t="shared" si="20"/>
        <v>1</v>
      </c>
      <c r="AI33" s="160">
        <f t="shared" si="20"/>
        <v>0</v>
      </c>
      <c r="AJ33" s="160">
        <f t="shared" ref="AJ33:BC33" si="21">SUM(AJ34:AJ46)</f>
        <v>0</v>
      </c>
      <c r="AK33" s="160">
        <f t="shared" si="21"/>
        <v>0</v>
      </c>
      <c r="AL33" s="160">
        <f t="shared" si="21"/>
        <v>16</v>
      </c>
      <c r="AM33" s="160">
        <f t="shared" si="21"/>
        <v>0</v>
      </c>
      <c r="AN33" s="160">
        <f t="shared" si="21"/>
        <v>0</v>
      </c>
      <c r="AO33" s="160">
        <f t="shared" si="21"/>
        <v>0</v>
      </c>
      <c r="AP33" s="160">
        <f t="shared" si="21"/>
        <v>15</v>
      </c>
      <c r="AQ33" s="160">
        <f t="shared" si="21"/>
        <v>0</v>
      </c>
      <c r="AR33" s="160">
        <f t="shared" si="21"/>
        <v>0</v>
      </c>
      <c r="AS33" s="160">
        <f t="shared" si="21"/>
        <v>0</v>
      </c>
      <c r="AT33" s="160">
        <f t="shared" si="21"/>
        <v>0</v>
      </c>
      <c r="AU33" s="160">
        <f t="shared" si="21"/>
        <v>0</v>
      </c>
      <c r="AV33" s="160">
        <f t="shared" si="21"/>
        <v>0</v>
      </c>
      <c r="AW33" s="160">
        <f t="shared" si="21"/>
        <v>0</v>
      </c>
      <c r="AX33" s="160">
        <f t="shared" si="21"/>
        <v>0</v>
      </c>
      <c r="AY33" s="160">
        <f t="shared" si="21"/>
        <v>0</v>
      </c>
      <c r="AZ33" s="160">
        <f t="shared" si="21"/>
        <v>0</v>
      </c>
      <c r="BA33" s="160">
        <f t="shared" si="21"/>
        <v>0</v>
      </c>
      <c r="BB33" s="160">
        <f t="shared" si="21"/>
        <v>37</v>
      </c>
      <c r="BC33" s="160">
        <f t="shared" si="21"/>
        <v>71</v>
      </c>
      <c r="BD33" s="130">
        <f t="shared" si="13"/>
        <v>44</v>
      </c>
      <c r="BE33" s="130">
        <f t="shared" ref="BE33:BE55" si="22">AC33+BC33</f>
        <v>81</v>
      </c>
      <c r="BF33" s="195">
        <f t="shared" si="14"/>
        <v>54.320987654320987</v>
      </c>
      <c r="BG33" s="374">
        <f t="shared" si="15"/>
        <v>37</v>
      </c>
    </row>
    <row r="34" spans="1:59" s="21" customFormat="1" ht="15.95" customHeight="1">
      <c r="A34" s="163">
        <v>1</v>
      </c>
      <c r="B34" s="9" t="s">
        <v>718</v>
      </c>
      <c r="C34" s="11" t="s">
        <v>3375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22">
        <f t="shared" ref="AB34:AB46" si="23">SUM(D34:AA34)</f>
        <v>0</v>
      </c>
      <c r="AC34" s="25">
        <v>0</v>
      </c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2">
        <f t="shared" ref="BB34:BB46" si="24">SUM(AD34:BA34)</f>
        <v>0</v>
      </c>
      <c r="BC34" s="23">
        <v>1</v>
      </c>
      <c r="BD34" s="130">
        <f t="shared" ref="BD34:BD46" si="25">AB34+BB34</f>
        <v>0</v>
      </c>
      <c r="BE34" s="130">
        <f t="shared" si="22"/>
        <v>1</v>
      </c>
      <c r="BF34" s="195">
        <f t="shared" ref="BF34:BF46" si="26">BD34/BE34*100</f>
        <v>0</v>
      </c>
      <c r="BG34" s="373">
        <f>BE34-BD34</f>
        <v>1</v>
      </c>
    </row>
    <row r="35" spans="1:59" s="21" customFormat="1" ht="15.95" customHeight="1">
      <c r="A35" s="163">
        <v>2</v>
      </c>
      <c r="B35" s="9" t="s">
        <v>619</v>
      </c>
      <c r="C35" s="11" t="s">
        <v>620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22">
        <f t="shared" si="23"/>
        <v>0</v>
      </c>
      <c r="AC35" s="25">
        <v>0</v>
      </c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>
        <v>1</v>
      </c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2">
        <f t="shared" si="24"/>
        <v>1</v>
      </c>
      <c r="BC35" s="23">
        <v>0</v>
      </c>
      <c r="BD35" s="130">
        <f t="shared" si="25"/>
        <v>1</v>
      </c>
      <c r="BE35" s="130">
        <f t="shared" si="22"/>
        <v>0</v>
      </c>
      <c r="BF35" s="195" t="e">
        <f t="shared" si="26"/>
        <v>#DIV/0!</v>
      </c>
      <c r="BG35" s="373"/>
    </row>
    <row r="36" spans="1:59" s="21" customFormat="1" ht="15.95" customHeight="1">
      <c r="A36" s="163">
        <v>3</v>
      </c>
      <c r="B36" s="9" t="s">
        <v>615</v>
      </c>
      <c r="C36" s="11" t="s">
        <v>616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22">
        <f t="shared" si="23"/>
        <v>0</v>
      </c>
      <c r="AC36" s="25">
        <v>0</v>
      </c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2">
        <f t="shared" si="24"/>
        <v>0</v>
      </c>
      <c r="BC36" s="23">
        <v>1</v>
      </c>
      <c r="BD36" s="130">
        <f t="shared" si="25"/>
        <v>0</v>
      </c>
      <c r="BE36" s="130">
        <f t="shared" si="22"/>
        <v>1</v>
      </c>
      <c r="BF36" s="195">
        <f t="shared" si="26"/>
        <v>0</v>
      </c>
      <c r="BG36" s="373">
        <f>BE36-BD36</f>
        <v>1</v>
      </c>
    </row>
    <row r="37" spans="1:59" s="21" customFormat="1" ht="15.95" customHeight="1">
      <c r="A37" s="163">
        <v>4</v>
      </c>
      <c r="B37" s="9" t="s">
        <v>987</v>
      </c>
      <c r="C37" s="11" t="s">
        <v>3897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22">
        <f t="shared" si="23"/>
        <v>0</v>
      </c>
      <c r="AC37" s="25">
        <v>0</v>
      </c>
      <c r="AD37" s="24"/>
      <c r="AE37" s="24"/>
      <c r="AF37" s="24"/>
      <c r="AG37" s="24"/>
      <c r="AH37" s="24"/>
      <c r="AI37" s="24"/>
      <c r="AJ37" s="24"/>
      <c r="AK37" s="24"/>
      <c r="AL37" s="24">
        <v>1</v>
      </c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2">
        <f t="shared" si="24"/>
        <v>1</v>
      </c>
      <c r="BC37" s="23">
        <v>0</v>
      </c>
      <c r="BD37" s="130">
        <f t="shared" si="25"/>
        <v>1</v>
      </c>
      <c r="BE37" s="130">
        <f t="shared" si="22"/>
        <v>0</v>
      </c>
      <c r="BF37" s="195" t="e">
        <f t="shared" si="26"/>
        <v>#DIV/0!</v>
      </c>
      <c r="BG37" s="373"/>
    </row>
    <row r="38" spans="1:59" s="21" customFormat="1" ht="15.95" customHeight="1">
      <c r="A38" s="163">
        <v>5</v>
      </c>
      <c r="B38" s="9" t="s">
        <v>624</v>
      </c>
      <c r="C38" s="11" t="s">
        <v>3117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22">
        <f t="shared" si="23"/>
        <v>0</v>
      </c>
      <c r="AC38" s="25">
        <v>0</v>
      </c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2">
        <f t="shared" si="24"/>
        <v>0</v>
      </c>
      <c r="BC38" s="23">
        <v>2</v>
      </c>
      <c r="BD38" s="130">
        <f t="shared" si="25"/>
        <v>0</v>
      </c>
      <c r="BE38" s="130">
        <f t="shared" si="22"/>
        <v>2</v>
      </c>
      <c r="BF38" s="195">
        <f t="shared" si="26"/>
        <v>0</v>
      </c>
      <c r="BG38" s="373">
        <f t="shared" ref="BG38:BG46" si="27">BE38-BD38</f>
        <v>2</v>
      </c>
    </row>
    <row r="39" spans="1:59" s="21" customFormat="1" ht="15.95" customHeight="1">
      <c r="A39" s="163">
        <v>6</v>
      </c>
      <c r="B39" s="9" t="s">
        <v>617</v>
      </c>
      <c r="C39" s="11" t="s">
        <v>618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22">
        <f t="shared" si="23"/>
        <v>0</v>
      </c>
      <c r="AC39" s="25">
        <v>0</v>
      </c>
      <c r="AD39" s="24"/>
      <c r="AE39" s="24"/>
      <c r="AF39" s="24"/>
      <c r="AG39" s="24"/>
      <c r="AH39" s="24">
        <v>1</v>
      </c>
      <c r="AI39" s="24"/>
      <c r="AJ39" s="24"/>
      <c r="AK39" s="24"/>
      <c r="AL39" s="24">
        <f>4+2</f>
        <v>6</v>
      </c>
      <c r="AM39" s="24"/>
      <c r="AN39" s="24"/>
      <c r="AO39" s="24"/>
      <c r="AP39" s="24">
        <f>2+1</f>
        <v>3</v>
      </c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2">
        <f t="shared" si="24"/>
        <v>10</v>
      </c>
      <c r="BC39" s="23">
        <v>51</v>
      </c>
      <c r="BD39" s="130">
        <f t="shared" si="25"/>
        <v>10</v>
      </c>
      <c r="BE39" s="130">
        <f t="shared" si="22"/>
        <v>51</v>
      </c>
      <c r="BF39" s="195">
        <f t="shared" si="26"/>
        <v>19.607843137254903</v>
      </c>
      <c r="BG39" s="373">
        <f t="shared" si="27"/>
        <v>41</v>
      </c>
    </row>
    <row r="40" spans="1:59" s="21" customFormat="1" ht="15.95" customHeight="1">
      <c r="A40" s="163">
        <v>7</v>
      </c>
      <c r="B40" s="9" t="s">
        <v>3299</v>
      </c>
      <c r="C40" s="11" t="s">
        <v>3300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22">
        <f t="shared" si="23"/>
        <v>0</v>
      </c>
      <c r="AC40" s="25">
        <v>0</v>
      </c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2">
        <f t="shared" si="24"/>
        <v>0</v>
      </c>
      <c r="BC40" s="23">
        <v>1</v>
      </c>
      <c r="BD40" s="130">
        <f t="shared" si="25"/>
        <v>0</v>
      </c>
      <c r="BE40" s="130">
        <f t="shared" si="22"/>
        <v>1</v>
      </c>
      <c r="BF40" s="195">
        <f t="shared" si="26"/>
        <v>0</v>
      </c>
      <c r="BG40" s="373">
        <f t="shared" si="27"/>
        <v>1</v>
      </c>
    </row>
    <row r="41" spans="1:59" s="21" customFormat="1" ht="15.95" customHeight="1">
      <c r="A41" s="163">
        <v>8</v>
      </c>
      <c r="B41" s="9" t="s">
        <v>7</v>
      </c>
      <c r="C41" s="11" t="s">
        <v>16</v>
      </c>
      <c r="D41" s="14"/>
      <c r="E41" s="14"/>
      <c r="F41" s="14"/>
      <c r="G41" s="14"/>
      <c r="H41" s="14"/>
      <c r="I41" s="14"/>
      <c r="J41" s="14"/>
      <c r="K41" s="14"/>
      <c r="L41" s="14">
        <v>2</v>
      </c>
      <c r="M41" s="14"/>
      <c r="N41" s="14"/>
      <c r="O41" s="14"/>
      <c r="P41" s="14">
        <v>5</v>
      </c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22">
        <f t="shared" si="23"/>
        <v>7</v>
      </c>
      <c r="AC41" s="25">
        <v>10</v>
      </c>
      <c r="AD41" s="24">
        <v>5</v>
      </c>
      <c r="AE41" s="24"/>
      <c r="AF41" s="24"/>
      <c r="AG41" s="24"/>
      <c r="AH41" s="24"/>
      <c r="AI41" s="24"/>
      <c r="AJ41" s="24"/>
      <c r="AK41" s="24"/>
      <c r="AL41" s="24">
        <v>6</v>
      </c>
      <c r="AM41" s="24"/>
      <c r="AN41" s="24"/>
      <c r="AO41" s="24"/>
      <c r="AP41" s="24">
        <v>11</v>
      </c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2">
        <f t="shared" si="24"/>
        <v>22</v>
      </c>
      <c r="BC41" s="23">
        <v>10</v>
      </c>
      <c r="BD41" s="130">
        <f t="shared" si="25"/>
        <v>29</v>
      </c>
      <c r="BE41" s="130">
        <f t="shared" si="22"/>
        <v>20</v>
      </c>
      <c r="BF41" s="195">
        <f t="shared" si="26"/>
        <v>145</v>
      </c>
      <c r="BG41" s="373">
        <f t="shared" si="27"/>
        <v>-9</v>
      </c>
    </row>
    <row r="42" spans="1:59" s="21" customFormat="1" ht="15.95" customHeight="1">
      <c r="A42" s="163">
        <v>9</v>
      </c>
      <c r="B42" s="9" t="s">
        <v>2540</v>
      </c>
      <c r="C42" s="11" t="s">
        <v>2541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22">
        <f t="shared" si="23"/>
        <v>0</v>
      </c>
      <c r="AC42" s="25">
        <v>0</v>
      </c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2">
        <f t="shared" si="24"/>
        <v>0</v>
      </c>
      <c r="BC42" s="23">
        <v>1</v>
      </c>
      <c r="BD42" s="130">
        <f t="shared" si="25"/>
        <v>0</v>
      </c>
      <c r="BE42" s="130">
        <f t="shared" si="22"/>
        <v>1</v>
      </c>
      <c r="BF42" s="195">
        <f t="shared" si="26"/>
        <v>0</v>
      </c>
      <c r="BG42" s="373">
        <f t="shared" si="27"/>
        <v>1</v>
      </c>
    </row>
    <row r="43" spans="1:59" s="21" customFormat="1" ht="15.95" customHeight="1">
      <c r="A43" s="163">
        <v>10</v>
      </c>
      <c r="B43" s="9" t="s">
        <v>268</v>
      </c>
      <c r="C43" s="11" t="s">
        <v>3118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22">
        <f t="shared" si="23"/>
        <v>0</v>
      </c>
      <c r="AC43" s="25">
        <v>0</v>
      </c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2">
        <f t="shared" si="24"/>
        <v>0</v>
      </c>
      <c r="BC43" s="23">
        <v>1</v>
      </c>
      <c r="BD43" s="130">
        <f t="shared" si="25"/>
        <v>0</v>
      </c>
      <c r="BE43" s="130">
        <f t="shared" si="22"/>
        <v>1</v>
      </c>
      <c r="BF43" s="195">
        <f t="shared" si="26"/>
        <v>0</v>
      </c>
      <c r="BG43" s="373">
        <f t="shared" si="27"/>
        <v>1</v>
      </c>
    </row>
    <row r="44" spans="1:59" s="21" customFormat="1" ht="15.95" customHeight="1">
      <c r="A44" s="163">
        <v>11</v>
      </c>
      <c r="B44" s="9" t="s">
        <v>62</v>
      </c>
      <c r="C44" s="11" t="s">
        <v>63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22">
        <f t="shared" si="23"/>
        <v>0</v>
      </c>
      <c r="AC44" s="25">
        <v>0</v>
      </c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2">
        <f t="shared" si="24"/>
        <v>0</v>
      </c>
      <c r="BC44" s="23">
        <v>1</v>
      </c>
      <c r="BD44" s="130">
        <f t="shared" si="25"/>
        <v>0</v>
      </c>
      <c r="BE44" s="130">
        <f t="shared" si="22"/>
        <v>1</v>
      </c>
      <c r="BF44" s="195">
        <f t="shared" si="26"/>
        <v>0</v>
      </c>
      <c r="BG44" s="373">
        <f t="shared" si="27"/>
        <v>1</v>
      </c>
    </row>
    <row r="45" spans="1:59" s="21" customFormat="1" ht="15.95" customHeight="1">
      <c r="A45" s="163">
        <v>12</v>
      </c>
      <c r="B45" s="9" t="s">
        <v>28</v>
      </c>
      <c r="C45" s="11" t="s">
        <v>29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22">
        <f t="shared" si="23"/>
        <v>0</v>
      </c>
      <c r="AC45" s="25">
        <v>0</v>
      </c>
      <c r="AD45" s="24"/>
      <c r="AE45" s="24"/>
      <c r="AF45" s="24"/>
      <c r="AG45" s="24"/>
      <c r="AH45" s="24"/>
      <c r="AI45" s="24"/>
      <c r="AJ45" s="24"/>
      <c r="AK45" s="24"/>
      <c r="AL45" s="24">
        <v>3</v>
      </c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2">
        <f t="shared" si="24"/>
        <v>3</v>
      </c>
      <c r="BC45" s="23">
        <v>1</v>
      </c>
      <c r="BD45" s="130">
        <f t="shared" si="25"/>
        <v>3</v>
      </c>
      <c r="BE45" s="130">
        <f t="shared" si="22"/>
        <v>1</v>
      </c>
      <c r="BF45" s="195">
        <f t="shared" si="26"/>
        <v>300</v>
      </c>
      <c r="BG45" s="373">
        <f t="shared" si="27"/>
        <v>-2</v>
      </c>
    </row>
    <row r="46" spans="1:59" s="21" customFormat="1" ht="15.95" customHeight="1">
      <c r="A46" s="163">
        <v>13</v>
      </c>
      <c r="B46" s="9" t="s">
        <v>3376</v>
      </c>
      <c r="C46" s="11" t="s">
        <v>3377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22">
        <f t="shared" si="23"/>
        <v>0</v>
      </c>
      <c r="AC46" s="25">
        <v>0</v>
      </c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2">
        <f t="shared" si="24"/>
        <v>0</v>
      </c>
      <c r="BC46" s="23">
        <v>1</v>
      </c>
      <c r="BD46" s="130">
        <f t="shared" si="25"/>
        <v>0</v>
      </c>
      <c r="BE46" s="130">
        <f t="shared" si="22"/>
        <v>1</v>
      </c>
      <c r="BF46" s="195">
        <f t="shared" si="26"/>
        <v>0</v>
      </c>
      <c r="BG46" s="373">
        <f t="shared" si="27"/>
        <v>1</v>
      </c>
    </row>
    <row r="47" spans="1:59" s="21" customFormat="1" ht="15.95" customHeight="1">
      <c r="A47" s="625" t="s">
        <v>18</v>
      </c>
      <c r="B47" s="622"/>
      <c r="C47" s="622"/>
      <c r="D47" s="159">
        <f t="shared" ref="D47:AI47" si="28">SUM(D48:D51)</f>
        <v>0</v>
      </c>
      <c r="E47" s="159">
        <f t="shared" si="28"/>
        <v>0</v>
      </c>
      <c r="F47" s="159">
        <f t="shared" si="28"/>
        <v>0</v>
      </c>
      <c r="G47" s="159">
        <f t="shared" si="28"/>
        <v>0</v>
      </c>
      <c r="H47" s="159">
        <f t="shared" si="28"/>
        <v>0</v>
      </c>
      <c r="I47" s="159">
        <f t="shared" si="28"/>
        <v>0</v>
      </c>
      <c r="J47" s="159">
        <f t="shared" si="28"/>
        <v>0</v>
      </c>
      <c r="K47" s="159">
        <f t="shared" si="28"/>
        <v>0</v>
      </c>
      <c r="L47" s="159">
        <f t="shared" si="28"/>
        <v>0</v>
      </c>
      <c r="M47" s="159">
        <f t="shared" si="28"/>
        <v>0</v>
      </c>
      <c r="N47" s="159">
        <f t="shared" si="28"/>
        <v>0</v>
      </c>
      <c r="O47" s="159">
        <f t="shared" si="28"/>
        <v>0</v>
      </c>
      <c r="P47" s="159">
        <f t="shared" si="28"/>
        <v>0</v>
      </c>
      <c r="Q47" s="159">
        <f t="shared" si="28"/>
        <v>0</v>
      </c>
      <c r="R47" s="159">
        <f t="shared" si="28"/>
        <v>0</v>
      </c>
      <c r="S47" s="159">
        <f t="shared" si="28"/>
        <v>0</v>
      </c>
      <c r="T47" s="159">
        <f t="shared" si="28"/>
        <v>0</v>
      </c>
      <c r="U47" s="159">
        <f t="shared" si="28"/>
        <v>0</v>
      </c>
      <c r="V47" s="159">
        <f t="shared" si="28"/>
        <v>0</v>
      </c>
      <c r="W47" s="159">
        <f t="shared" si="28"/>
        <v>0</v>
      </c>
      <c r="X47" s="159">
        <f t="shared" si="28"/>
        <v>0</v>
      </c>
      <c r="Y47" s="159">
        <f t="shared" si="28"/>
        <v>0</v>
      </c>
      <c r="Z47" s="159">
        <f t="shared" si="28"/>
        <v>0</v>
      </c>
      <c r="AA47" s="159">
        <f t="shared" si="28"/>
        <v>0</v>
      </c>
      <c r="AB47" s="159">
        <f t="shared" si="28"/>
        <v>0</v>
      </c>
      <c r="AC47" s="359">
        <f t="shared" si="28"/>
        <v>0</v>
      </c>
      <c r="AD47" s="160">
        <f t="shared" si="28"/>
        <v>0</v>
      </c>
      <c r="AE47" s="160">
        <f t="shared" si="28"/>
        <v>0</v>
      </c>
      <c r="AF47" s="160">
        <f t="shared" si="28"/>
        <v>0</v>
      </c>
      <c r="AG47" s="160">
        <f t="shared" si="28"/>
        <v>0</v>
      </c>
      <c r="AH47" s="160">
        <f t="shared" si="28"/>
        <v>1</v>
      </c>
      <c r="AI47" s="160">
        <f t="shared" si="28"/>
        <v>0</v>
      </c>
      <c r="AJ47" s="160">
        <f t="shared" ref="AJ47:BC47" si="29">SUM(AJ48:AJ51)</f>
        <v>0</v>
      </c>
      <c r="AK47" s="160">
        <f t="shared" si="29"/>
        <v>0</v>
      </c>
      <c r="AL47" s="160">
        <f t="shared" si="29"/>
        <v>2</v>
      </c>
      <c r="AM47" s="160">
        <f t="shared" si="29"/>
        <v>0</v>
      </c>
      <c r="AN47" s="160">
        <f t="shared" si="29"/>
        <v>0</v>
      </c>
      <c r="AO47" s="160">
        <f t="shared" si="29"/>
        <v>0</v>
      </c>
      <c r="AP47" s="160">
        <f t="shared" si="29"/>
        <v>1</v>
      </c>
      <c r="AQ47" s="160">
        <f t="shared" si="29"/>
        <v>0</v>
      </c>
      <c r="AR47" s="160">
        <f t="shared" si="29"/>
        <v>0</v>
      </c>
      <c r="AS47" s="160">
        <f t="shared" si="29"/>
        <v>0</v>
      </c>
      <c r="AT47" s="160">
        <f t="shared" si="29"/>
        <v>0</v>
      </c>
      <c r="AU47" s="160">
        <f t="shared" si="29"/>
        <v>0</v>
      </c>
      <c r="AV47" s="160">
        <f t="shared" si="29"/>
        <v>0</v>
      </c>
      <c r="AW47" s="160">
        <f t="shared" si="29"/>
        <v>0</v>
      </c>
      <c r="AX47" s="160">
        <f t="shared" si="29"/>
        <v>0</v>
      </c>
      <c r="AY47" s="160">
        <f t="shared" si="29"/>
        <v>0</v>
      </c>
      <c r="AZ47" s="160">
        <f t="shared" si="29"/>
        <v>0</v>
      </c>
      <c r="BA47" s="160">
        <f t="shared" si="29"/>
        <v>0</v>
      </c>
      <c r="BB47" s="160">
        <f t="shared" si="29"/>
        <v>4</v>
      </c>
      <c r="BC47" s="160">
        <f t="shared" si="29"/>
        <v>17</v>
      </c>
      <c r="BD47" s="130">
        <f t="shared" si="13"/>
        <v>4</v>
      </c>
      <c r="BE47" s="130">
        <f t="shared" si="22"/>
        <v>17</v>
      </c>
      <c r="BF47" s="195">
        <f t="shared" si="14"/>
        <v>23.52941176470588</v>
      </c>
      <c r="BG47" s="374">
        <f t="shared" si="15"/>
        <v>13</v>
      </c>
    </row>
    <row r="48" spans="1:59" s="21" customFormat="1" ht="15.95" customHeight="1">
      <c r="A48" s="163">
        <v>1</v>
      </c>
      <c r="B48" s="9" t="s">
        <v>619</v>
      </c>
      <c r="C48" s="11" t="s">
        <v>620</v>
      </c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22">
        <f>SUM(D48:AA48)</f>
        <v>0</v>
      </c>
      <c r="AC48" s="25">
        <v>0</v>
      </c>
      <c r="AD48" s="24"/>
      <c r="AE48" s="24"/>
      <c r="AF48" s="24"/>
      <c r="AG48" s="24"/>
      <c r="AH48" s="24"/>
      <c r="AI48" s="24"/>
      <c r="AJ48" s="24"/>
      <c r="AK48" s="24"/>
      <c r="AL48" s="24">
        <v>1</v>
      </c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2">
        <f>SUM(AD48:BA48)</f>
        <v>1</v>
      </c>
      <c r="BC48" s="23">
        <v>9</v>
      </c>
      <c r="BD48" s="130">
        <f t="shared" ref="BD48:BE51" si="30">AB48+BB48</f>
        <v>1</v>
      </c>
      <c r="BE48" s="130">
        <f t="shared" si="30"/>
        <v>9</v>
      </c>
      <c r="BF48" s="195">
        <f>BD48/BE48*100</f>
        <v>11.111111111111111</v>
      </c>
      <c r="BG48" s="373">
        <f>BE48-BD48</f>
        <v>8</v>
      </c>
    </row>
    <row r="49" spans="1:59" s="21" customFormat="1" ht="15.95" customHeight="1">
      <c r="A49" s="163">
        <v>2</v>
      </c>
      <c r="B49" s="9" t="s">
        <v>987</v>
      </c>
      <c r="C49" s="11" t="s">
        <v>988</v>
      </c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22">
        <f>SUM(D49:AA49)</f>
        <v>0</v>
      </c>
      <c r="AC49" s="25">
        <v>0</v>
      </c>
      <c r="AD49" s="24"/>
      <c r="AE49" s="24"/>
      <c r="AF49" s="24"/>
      <c r="AG49" s="24"/>
      <c r="AH49" s="24"/>
      <c r="AI49" s="24"/>
      <c r="AJ49" s="24"/>
      <c r="AK49" s="24"/>
      <c r="AL49" s="24">
        <v>1</v>
      </c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2">
        <f>SUM(AD49:BA49)</f>
        <v>1</v>
      </c>
      <c r="BC49" s="23">
        <v>0</v>
      </c>
      <c r="BD49" s="130">
        <f t="shared" si="30"/>
        <v>1</v>
      </c>
      <c r="BE49" s="130">
        <f t="shared" si="30"/>
        <v>0</v>
      </c>
      <c r="BF49" s="195" t="e">
        <f>BD49/BE49*100</f>
        <v>#DIV/0!</v>
      </c>
      <c r="BG49" s="373"/>
    </row>
    <row r="50" spans="1:59" s="21" customFormat="1" ht="15.95" customHeight="1">
      <c r="A50" s="163">
        <v>3</v>
      </c>
      <c r="B50" s="9" t="s">
        <v>243</v>
      </c>
      <c r="C50" s="11" t="s">
        <v>2876</v>
      </c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22">
        <f>SUM(D50:AA50)</f>
        <v>0</v>
      </c>
      <c r="AC50" s="25">
        <v>0</v>
      </c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2">
        <f>SUM(AD50:BA50)</f>
        <v>0</v>
      </c>
      <c r="BC50" s="23">
        <v>1</v>
      </c>
      <c r="BD50" s="130">
        <f t="shared" si="30"/>
        <v>0</v>
      </c>
      <c r="BE50" s="130">
        <f t="shared" si="30"/>
        <v>1</v>
      </c>
      <c r="BF50" s="195">
        <f>BD50/BE50*100</f>
        <v>0</v>
      </c>
      <c r="BG50" s="373">
        <f>BE50-BD50</f>
        <v>1</v>
      </c>
    </row>
    <row r="51" spans="1:59" s="21" customFormat="1" ht="15.95" customHeight="1">
      <c r="A51" s="163">
        <v>4</v>
      </c>
      <c r="B51" s="9" t="s">
        <v>19</v>
      </c>
      <c r="C51" s="11" t="s">
        <v>20</v>
      </c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22">
        <f>SUM(D51:AA51)</f>
        <v>0</v>
      </c>
      <c r="AC51" s="25">
        <v>0</v>
      </c>
      <c r="AD51" s="24"/>
      <c r="AE51" s="24"/>
      <c r="AF51" s="24"/>
      <c r="AG51" s="24"/>
      <c r="AH51" s="24">
        <v>1</v>
      </c>
      <c r="AI51" s="24"/>
      <c r="AJ51" s="24"/>
      <c r="AK51" s="24"/>
      <c r="AL51" s="24"/>
      <c r="AM51" s="24"/>
      <c r="AN51" s="24"/>
      <c r="AO51" s="24"/>
      <c r="AP51" s="24">
        <v>1</v>
      </c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2">
        <f>SUM(AD51:BA51)</f>
        <v>2</v>
      </c>
      <c r="BC51" s="23">
        <v>7</v>
      </c>
      <c r="BD51" s="130">
        <f t="shared" si="30"/>
        <v>2</v>
      </c>
      <c r="BE51" s="130">
        <f t="shared" si="30"/>
        <v>7</v>
      </c>
      <c r="BF51" s="195">
        <f>BD51/BE51*100</f>
        <v>28.571428571428569</v>
      </c>
      <c r="BG51" s="373">
        <f>BE51-BD51</f>
        <v>5</v>
      </c>
    </row>
    <row r="52" spans="1:59" s="21" customFormat="1" ht="15.95" customHeight="1">
      <c r="A52" s="164"/>
      <c r="B52" s="622" t="s">
        <v>23</v>
      </c>
      <c r="C52" s="622"/>
      <c r="D52" s="159">
        <f t="shared" ref="D52:BC52" si="31">SUM(D53:D54)</f>
        <v>0</v>
      </c>
      <c r="E52" s="159">
        <f t="shared" si="31"/>
        <v>0</v>
      </c>
      <c r="F52" s="159">
        <f t="shared" si="31"/>
        <v>0</v>
      </c>
      <c r="G52" s="159">
        <f t="shared" si="31"/>
        <v>0</v>
      </c>
      <c r="H52" s="159">
        <f t="shared" si="31"/>
        <v>0</v>
      </c>
      <c r="I52" s="159">
        <f t="shared" si="31"/>
        <v>0</v>
      </c>
      <c r="J52" s="159">
        <f t="shared" si="31"/>
        <v>0</v>
      </c>
      <c r="K52" s="159">
        <f t="shared" si="31"/>
        <v>0</v>
      </c>
      <c r="L52" s="159">
        <f t="shared" si="31"/>
        <v>0</v>
      </c>
      <c r="M52" s="159">
        <f t="shared" si="31"/>
        <v>0</v>
      </c>
      <c r="N52" s="159">
        <f t="shared" si="31"/>
        <v>0</v>
      </c>
      <c r="O52" s="159">
        <f t="shared" si="31"/>
        <v>0</v>
      </c>
      <c r="P52" s="159">
        <f t="shared" si="31"/>
        <v>0</v>
      </c>
      <c r="Q52" s="159">
        <f t="shared" si="31"/>
        <v>0</v>
      </c>
      <c r="R52" s="159">
        <f t="shared" si="31"/>
        <v>0</v>
      </c>
      <c r="S52" s="159">
        <f t="shared" si="31"/>
        <v>0</v>
      </c>
      <c r="T52" s="159">
        <f t="shared" si="31"/>
        <v>0</v>
      </c>
      <c r="U52" s="159">
        <f t="shared" si="31"/>
        <v>0</v>
      </c>
      <c r="V52" s="159">
        <f t="shared" si="31"/>
        <v>0</v>
      </c>
      <c r="W52" s="159">
        <f t="shared" si="31"/>
        <v>0</v>
      </c>
      <c r="X52" s="159">
        <f t="shared" si="31"/>
        <v>0</v>
      </c>
      <c r="Y52" s="159">
        <f t="shared" ref="Y52:Z52" si="32">SUM(Y53:Y54)</f>
        <v>0</v>
      </c>
      <c r="Z52" s="159">
        <f t="shared" si="32"/>
        <v>0</v>
      </c>
      <c r="AA52" s="159">
        <f t="shared" si="31"/>
        <v>0</v>
      </c>
      <c r="AB52" s="159">
        <f t="shared" si="31"/>
        <v>0</v>
      </c>
      <c r="AC52" s="359">
        <f t="shared" si="31"/>
        <v>0</v>
      </c>
      <c r="AD52" s="160">
        <f t="shared" si="31"/>
        <v>0</v>
      </c>
      <c r="AE52" s="160">
        <f t="shared" si="31"/>
        <v>0</v>
      </c>
      <c r="AF52" s="160">
        <f t="shared" si="31"/>
        <v>0</v>
      </c>
      <c r="AG52" s="160">
        <f t="shared" si="31"/>
        <v>0</v>
      </c>
      <c r="AH52" s="160">
        <f t="shared" si="31"/>
        <v>0</v>
      </c>
      <c r="AI52" s="160">
        <f t="shared" si="31"/>
        <v>0</v>
      </c>
      <c r="AJ52" s="160">
        <f t="shared" si="31"/>
        <v>0</v>
      </c>
      <c r="AK52" s="160">
        <f t="shared" si="31"/>
        <v>0</v>
      </c>
      <c r="AL52" s="160">
        <f t="shared" si="31"/>
        <v>0</v>
      </c>
      <c r="AM52" s="160">
        <f t="shared" si="31"/>
        <v>0</v>
      </c>
      <c r="AN52" s="160">
        <f t="shared" si="31"/>
        <v>0</v>
      </c>
      <c r="AO52" s="160">
        <f t="shared" si="31"/>
        <v>0</v>
      </c>
      <c r="AP52" s="160">
        <f t="shared" si="31"/>
        <v>0</v>
      </c>
      <c r="AQ52" s="160">
        <f t="shared" si="31"/>
        <v>0</v>
      </c>
      <c r="AR52" s="160">
        <f t="shared" si="31"/>
        <v>0</v>
      </c>
      <c r="AS52" s="160">
        <f t="shared" si="31"/>
        <v>0</v>
      </c>
      <c r="AT52" s="160">
        <f t="shared" si="31"/>
        <v>0</v>
      </c>
      <c r="AU52" s="160">
        <f t="shared" si="31"/>
        <v>0</v>
      </c>
      <c r="AV52" s="160">
        <f t="shared" si="31"/>
        <v>0</v>
      </c>
      <c r="AW52" s="160">
        <f t="shared" si="31"/>
        <v>0</v>
      </c>
      <c r="AX52" s="160">
        <f t="shared" si="31"/>
        <v>0</v>
      </c>
      <c r="AY52" s="160">
        <f t="shared" ref="AY52:AZ52" si="33">SUM(AY53:AY54)</f>
        <v>0</v>
      </c>
      <c r="AZ52" s="160">
        <f t="shared" si="33"/>
        <v>0</v>
      </c>
      <c r="BA52" s="160">
        <f t="shared" si="31"/>
        <v>0</v>
      </c>
      <c r="BB52" s="160">
        <f t="shared" si="31"/>
        <v>0</v>
      </c>
      <c r="BC52" s="160">
        <f t="shared" si="31"/>
        <v>0</v>
      </c>
      <c r="BD52" s="130">
        <f t="shared" si="13"/>
        <v>0</v>
      </c>
      <c r="BE52" s="130">
        <f t="shared" si="22"/>
        <v>0</v>
      </c>
      <c r="BF52" s="195" t="e">
        <f t="shared" si="14"/>
        <v>#DIV/0!</v>
      </c>
      <c r="BG52" s="374">
        <f t="shared" si="15"/>
        <v>0</v>
      </c>
    </row>
    <row r="53" spans="1:59" s="21" customFormat="1" ht="15.95" customHeight="1">
      <c r="A53" s="163">
        <v>1</v>
      </c>
      <c r="B53" s="9"/>
      <c r="C53" s="11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22">
        <f>SUM(D53:AA53)</f>
        <v>0</v>
      </c>
      <c r="AC53" s="25">
        <v>0</v>
      </c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2">
        <f>SUM(AD53:BA53)</f>
        <v>0</v>
      </c>
      <c r="BC53" s="23">
        <v>0</v>
      </c>
      <c r="BD53" s="130">
        <f t="shared" si="13"/>
        <v>0</v>
      </c>
      <c r="BE53" s="130">
        <f t="shared" si="22"/>
        <v>0</v>
      </c>
      <c r="BF53" s="195" t="e">
        <f t="shared" si="14"/>
        <v>#DIV/0!</v>
      </c>
      <c r="BG53" s="373">
        <f t="shared" si="15"/>
        <v>0</v>
      </c>
    </row>
    <row r="54" spans="1:59" s="21" customFormat="1" ht="15.95" customHeight="1">
      <c r="A54" s="163">
        <v>2</v>
      </c>
      <c r="B54" s="9"/>
      <c r="C54" s="11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22">
        <f>SUM(D54:AA54)</f>
        <v>0</v>
      </c>
      <c r="AC54" s="25">
        <v>0</v>
      </c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2">
        <f>SUM(AD54:BA54)</f>
        <v>0</v>
      </c>
      <c r="BC54" s="23">
        <v>0</v>
      </c>
      <c r="BD54" s="130">
        <f t="shared" si="13"/>
        <v>0</v>
      </c>
      <c r="BE54" s="130">
        <f t="shared" si="22"/>
        <v>0</v>
      </c>
      <c r="BF54" s="195" t="e">
        <f t="shared" si="14"/>
        <v>#DIV/0!</v>
      </c>
      <c r="BG54" s="373">
        <f t="shared" si="15"/>
        <v>0</v>
      </c>
    </row>
    <row r="55" spans="1:59" s="21" customFormat="1" ht="15.95" customHeight="1">
      <c r="A55" s="164"/>
      <c r="B55" s="622" t="s">
        <v>26</v>
      </c>
      <c r="C55" s="622"/>
      <c r="D55" s="159">
        <f t="shared" ref="D55:AI55" si="34">SUM(D56:D74)</f>
        <v>0</v>
      </c>
      <c r="E55" s="159">
        <f t="shared" si="34"/>
        <v>0</v>
      </c>
      <c r="F55" s="159">
        <f t="shared" si="34"/>
        <v>0</v>
      </c>
      <c r="G55" s="159">
        <f t="shared" si="34"/>
        <v>0</v>
      </c>
      <c r="H55" s="159">
        <f t="shared" si="34"/>
        <v>0</v>
      </c>
      <c r="I55" s="159">
        <f t="shared" si="34"/>
        <v>0</v>
      </c>
      <c r="J55" s="159">
        <f t="shared" si="34"/>
        <v>0</v>
      </c>
      <c r="K55" s="159">
        <f t="shared" si="34"/>
        <v>0</v>
      </c>
      <c r="L55" s="159">
        <f t="shared" si="34"/>
        <v>51</v>
      </c>
      <c r="M55" s="159">
        <f t="shared" si="34"/>
        <v>0</v>
      </c>
      <c r="N55" s="159">
        <f t="shared" si="34"/>
        <v>0</v>
      </c>
      <c r="O55" s="159">
        <f t="shared" si="34"/>
        <v>0</v>
      </c>
      <c r="P55" s="159">
        <f t="shared" si="34"/>
        <v>3</v>
      </c>
      <c r="Q55" s="159">
        <f t="shared" si="34"/>
        <v>0</v>
      </c>
      <c r="R55" s="159">
        <f t="shared" si="34"/>
        <v>0</v>
      </c>
      <c r="S55" s="159">
        <f t="shared" si="34"/>
        <v>0</v>
      </c>
      <c r="T55" s="159">
        <f t="shared" si="34"/>
        <v>0</v>
      </c>
      <c r="U55" s="159">
        <f t="shared" si="34"/>
        <v>0</v>
      </c>
      <c r="V55" s="159">
        <f t="shared" si="34"/>
        <v>0</v>
      </c>
      <c r="W55" s="159">
        <f t="shared" si="34"/>
        <v>0</v>
      </c>
      <c r="X55" s="159">
        <f t="shared" si="34"/>
        <v>0</v>
      </c>
      <c r="Y55" s="159">
        <f t="shared" si="34"/>
        <v>0</v>
      </c>
      <c r="Z55" s="159">
        <f t="shared" si="34"/>
        <v>0</v>
      </c>
      <c r="AA55" s="159">
        <f t="shared" si="34"/>
        <v>0</v>
      </c>
      <c r="AB55" s="159">
        <f t="shared" si="34"/>
        <v>54</v>
      </c>
      <c r="AC55" s="359">
        <f t="shared" si="34"/>
        <v>0</v>
      </c>
      <c r="AD55" s="160">
        <f t="shared" si="34"/>
        <v>0</v>
      </c>
      <c r="AE55" s="160">
        <f t="shared" si="34"/>
        <v>0</v>
      </c>
      <c r="AF55" s="160">
        <f t="shared" si="34"/>
        <v>0</v>
      </c>
      <c r="AG55" s="160">
        <f t="shared" si="34"/>
        <v>0</v>
      </c>
      <c r="AH55" s="160">
        <f t="shared" si="34"/>
        <v>3</v>
      </c>
      <c r="AI55" s="160">
        <f t="shared" si="34"/>
        <v>0</v>
      </c>
      <c r="AJ55" s="160">
        <f t="shared" ref="AJ55:BC55" si="35">SUM(AJ56:AJ74)</f>
        <v>0</v>
      </c>
      <c r="AK55" s="160">
        <f t="shared" si="35"/>
        <v>0</v>
      </c>
      <c r="AL55" s="160">
        <f t="shared" si="35"/>
        <v>13</v>
      </c>
      <c r="AM55" s="160">
        <f t="shared" si="35"/>
        <v>0</v>
      </c>
      <c r="AN55" s="160">
        <f t="shared" si="35"/>
        <v>0</v>
      </c>
      <c r="AO55" s="160">
        <f t="shared" si="35"/>
        <v>0</v>
      </c>
      <c r="AP55" s="160">
        <f t="shared" si="35"/>
        <v>9</v>
      </c>
      <c r="AQ55" s="160">
        <f t="shared" si="35"/>
        <v>0</v>
      </c>
      <c r="AR55" s="160">
        <f t="shared" si="35"/>
        <v>0</v>
      </c>
      <c r="AS55" s="160">
        <f t="shared" si="35"/>
        <v>0</v>
      </c>
      <c r="AT55" s="160">
        <f t="shared" si="35"/>
        <v>0</v>
      </c>
      <c r="AU55" s="160">
        <f t="shared" si="35"/>
        <v>0</v>
      </c>
      <c r="AV55" s="160">
        <f t="shared" si="35"/>
        <v>0</v>
      </c>
      <c r="AW55" s="160">
        <f t="shared" si="35"/>
        <v>0</v>
      </c>
      <c r="AX55" s="160">
        <f t="shared" si="35"/>
        <v>0</v>
      </c>
      <c r="AY55" s="160">
        <f t="shared" si="35"/>
        <v>0</v>
      </c>
      <c r="AZ55" s="160">
        <f t="shared" si="35"/>
        <v>0</v>
      </c>
      <c r="BA55" s="160">
        <f t="shared" si="35"/>
        <v>0</v>
      </c>
      <c r="BB55" s="160">
        <f t="shared" si="35"/>
        <v>25</v>
      </c>
      <c r="BC55" s="160">
        <f t="shared" si="35"/>
        <v>113</v>
      </c>
      <c r="BD55" s="130">
        <f t="shared" si="13"/>
        <v>79</v>
      </c>
      <c r="BE55" s="130">
        <f t="shared" si="22"/>
        <v>113</v>
      </c>
      <c r="BF55" s="195">
        <f t="shared" si="14"/>
        <v>69.911504424778755</v>
      </c>
      <c r="BG55" s="374">
        <f t="shared" si="15"/>
        <v>34</v>
      </c>
    </row>
    <row r="56" spans="1:59" s="21" customFormat="1" ht="15.95" customHeight="1">
      <c r="A56" s="163">
        <v>1</v>
      </c>
      <c r="B56" s="9" t="s">
        <v>2288</v>
      </c>
      <c r="C56" s="11" t="s">
        <v>2289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22">
        <f t="shared" ref="AB56:AB74" si="36">SUM(D56:AA56)</f>
        <v>0</v>
      </c>
      <c r="AC56" s="25">
        <v>0</v>
      </c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2">
        <f t="shared" ref="BB56:BB74" si="37">SUM(AD56:BA56)</f>
        <v>0</v>
      </c>
      <c r="BC56" s="23">
        <v>1</v>
      </c>
      <c r="BD56" s="130">
        <f t="shared" ref="BD56:BD74" si="38">AB56+BB56</f>
        <v>0</v>
      </c>
      <c r="BE56" s="130">
        <f t="shared" ref="BE56:BE74" si="39">AC56+BC56</f>
        <v>1</v>
      </c>
      <c r="BF56" s="195">
        <f t="shared" ref="BF56:BF74" si="40">BD56/BE56*100</f>
        <v>0</v>
      </c>
      <c r="BG56" s="373">
        <f t="shared" ref="BG56:BG67" si="41">BE56-BD56</f>
        <v>1</v>
      </c>
    </row>
    <row r="57" spans="1:59" s="21" customFormat="1" ht="15.95" customHeight="1">
      <c r="A57" s="163">
        <v>2</v>
      </c>
      <c r="B57" s="9" t="s">
        <v>641</v>
      </c>
      <c r="C57" s="11" t="s">
        <v>642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22">
        <f t="shared" si="36"/>
        <v>0</v>
      </c>
      <c r="AC57" s="25">
        <v>0</v>
      </c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2">
        <f t="shared" si="37"/>
        <v>0</v>
      </c>
      <c r="BC57" s="23">
        <v>1</v>
      </c>
      <c r="BD57" s="130">
        <f t="shared" si="38"/>
        <v>0</v>
      </c>
      <c r="BE57" s="130">
        <f t="shared" si="39"/>
        <v>1</v>
      </c>
      <c r="BF57" s="195">
        <f t="shared" si="40"/>
        <v>0</v>
      </c>
      <c r="BG57" s="373">
        <f t="shared" si="41"/>
        <v>1</v>
      </c>
    </row>
    <row r="58" spans="1:59" s="21" customFormat="1" ht="15.95" customHeight="1">
      <c r="A58" s="163">
        <v>3</v>
      </c>
      <c r="B58" s="9" t="s">
        <v>1910</v>
      </c>
      <c r="C58" s="11" t="s">
        <v>3450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22">
        <f t="shared" si="36"/>
        <v>0</v>
      </c>
      <c r="AC58" s="25">
        <v>0</v>
      </c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2">
        <f t="shared" si="37"/>
        <v>0</v>
      </c>
      <c r="BC58" s="23">
        <v>1</v>
      </c>
      <c r="BD58" s="130">
        <f t="shared" si="38"/>
        <v>0</v>
      </c>
      <c r="BE58" s="130">
        <f t="shared" si="39"/>
        <v>1</v>
      </c>
      <c r="BF58" s="195">
        <f t="shared" si="40"/>
        <v>0</v>
      </c>
      <c r="BG58" s="373">
        <f t="shared" si="41"/>
        <v>1</v>
      </c>
    </row>
    <row r="59" spans="1:59" s="21" customFormat="1" ht="15.95" customHeight="1">
      <c r="A59" s="163">
        <v>4</v>
      </c>
      <c r="B59" s="9" t="s">
        <v>615</v>
      </c>
      <c r="C59" s="11" t="s">
        <v>2588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22">
        <f t="shared" si="36"/>
        <v>0</v>
      </c>
      <c r="AC59" s="25">
        <v>0</v>
      </c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2">
        <f t="shared" si="37"/>
        <v>0</v>
      </c>
      <c r="BC59" s="23">
        <v>1</v>
      </c>
      <c r="BD59" s="130">
        <f t="shared" si="38"/>
        <v>0</v>
      </c>
      <c r="BE59" s="130">
        <f t="shared" si="39"/>
        <v>1</v>
      </c>
      <c r="BF59" s="195">
        <f t="shared" si="40"/>
        <v>0</v>
      </c>
      <c r="BG59" s="373">
        <f t="shared" si="41"/>
        <v>1</v>
      </c>
    </row>
    <row r="60" spans="1:59" s="21" customFormat="1" ht="15.95" customHeight="1">
      <c r="A60" s="163">
        <v>5</v>
      </c>
      <c r="B60" s="9" t="s">
        <v>624</v>
      </c>
      <c r="C60" s="11" t="s">
        <v>2238</v>
      </c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22">
        <f t="shared" si="36"/>
        <v>0</v>
      </c>
      <c r="AC60" s="25">
        <v>0</v>
      </c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2">
        <f t="shared" si="37"/>
        <v>0</v>
      </c>
      <c r="BC60" s="23">
        <v>3</v>
      </c>
      <c r="BD60" s="130">
        <f t="shared" si="38"/>
        <v>0</v>
      </c>
      <c r="BE60" s="130">
        <f t="shared" si="39"/>
        <v>3</v>
      </c>
      <c r="BF60" s="195">
        <f t="shared" si="40"/>
        <v>0</v>
      </c>
      <c r="BG60" s="373">
        <f t="shared" si="41"/>
        <v>3</v>
      </c>
    </row>
    <row r="61" spans="1:59" s="21" customFormat="1" ht="15.95" customHeight="1">
      <c r="A61" s="163">
        <v>6</v>
      </c>
      <c r="B61" s="9" t="s">
        <v>222</v>
      </c>
      <c r="C61" s="11" t="s">
        <v>3124</v>
      </c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22">
        <f t="shared" si="36"/>
        <v>0</v>
      </c>
      <c r="AC61" s="25">
        <v>0</v>
      </c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2">
        <f t="shared" si="37"/>
        <v>0</v>
      </c>
      <c r="BC61" s="23">
        <v>1</v>
      </c>
      <c r="BD61" s="130">
        <f t="shared" si="38"/>
        <v>0</v>
      </c>
      <c r="BE61" s="130">
        <f t="shared" si="39"/>
        <v>1</v>
      </c>
      <c r="BF61" s="195">
        <f t="shared" si="40"/>
        <v>0</v>
      </c>
      <c r="BG61" s="373">
        <f t="shared" si="41"/>
        <v>1</v>
      </c>
    </row>
    <row r="62" spans="1:59" s="21" customFormat="1" ht="15.95" customHeight="1">
      <c r="A62" s="163">
        <v>7</v>
      </c>
      <c r="B62" s="9" t="s">
        <v>2286</v>
      </c>
      <c r="C62" s="11" t="s">
        <v>2862</v>
      </c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22">
        <f t="shared" si="36"/>
        <v>0</v>
      </c>
      <c r="AC62" s="25">
        <v>0</v>
      </c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2">
        <f t="shared" si="37"/>
        <v>0</v>
      </c>
      <c r="BC62" s="23">
        <v>1</v>
      </c>
      <c r="BD62" s="130">
        <f t="shared" si="38"/>
        <v>0</v>
      </c>
      <c r="BE62" s="130">
        <f t="shared" si="39"/>
        <v>1</v>
      </c>
      <c r="BF62" s="195">
        <f t="shared" si="40"/>
        <v>0</v>
      </c>
      <c r="BG62" s="373">
        <f t="shared" si="41"/>
        <v>1</v>
      </c>
    </row>
    <row r="63" spans="1:59" s="21" customFormat="1" ht="15.95" customHeight="1">
      <c r="A63" s="163">
        <v>8</v>
      </c>
      <c r="B63" s="9" t="s">
        <v>3378</v>
      </c>
      <c r="C63" s="11" t="s">
        <v>3379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22">
        <f t="shared" si="36"/>
        <v>0</v>
      </c>
      <c r="AC63" s="25">
        <v>0</v>
      </c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2">
        <f t="shared" si="37"/>
        <v>0</v>
      </c>
      <c r="BC63" s="23">
        <v>1</v>
      </c>
      <c r="BD63" s="130">
        <f t="shared" si="38"/>
        <v>0</v>
      </c>
      <c r="BE63" s="130">
        <f t="shared" si="39"/>
        <v>1</v>
      </c>
      <c r="BF63" s="195">
        <f t="shared" si="40"/>
        <v>0</v>
      </c>
      <c r="BG63" s="373">
        <f t="shared" si="41"/>
        <v>1</v>
      </c>
    </row>
    <row r="64" spans="1:59" s="21" customFormat="1" ht="15.95" customHeight="1">
      <c r="A64" s="163">
        <v>9</v>
      </c>
      <c r="B64" s="9" t="s">
        <v>2494</v>
      </c>
      <c r="C64" s="11" t="s">
        <v>2495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22">
        <f t="shared" si="36"/>
        <v>0</v>
      </c>
      <c r="AC64" s="25">
        <v>0</v>
      </c>
      <c r="AD64" s="24"/>
      <c r="AE64" s="24"/>
      <c r="AF64" s="24"/>
      <c r="AG64" s="24"/>
      <c r="AH64" s="24">
        <v>3</v>
      </c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2">
        <f t="shared" si="37"/>
        <v>3</v>
      </c>
      <c r="BC64" s="23">
        <v>35</v>
      </c>
      <c r="BD64" s="130">
        <f t="shared" si="38"/>
        <v>3</v>
      </c>
      <c r="BE64" s="130">
        <f t="shared" si="39"/>
        <v>35</v>
      </c>
      <c r="BF64" s="195">
        <f t="shared" si="40"/>
        <v>8.5714285714285712</v>
      </c>
      <c r="BG64" s="373">
        <f t="shared" si="41"/>
        <v>32</v>
      </c>
    </row>
    <row r="65" spans="1:59" s="21" customFormat="1" ht="15.95" customHeight="1">
      <c r="A65" s="163">
        <v>10</v>
      </c>
      <c r="B65" s="9" t="s">
        <v>27</v>
      </c>
      <c r="C65" s="11" t="s">
        <v>300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22">
        <f t="shared" si="36"/>
        <v>0</v>
      </c>
      <c r="AC65" s="25">
        <v>0</v>
      </c>
      <c r="AD65" s="24"/>
      <c r="AE65" s="24"/>
      <c r="AF65" s="24"/>
      <c r="AG65" s="24"/>
      <c r="AH65" s="24"/>
      <c r="AI65" s="24"/>
      <c r="AJ65" s="24"/>
      <c r="AK65" s="24"/>
      <c r="AL65" s="24">
        <v>5</v>
      </c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2">
        <f t="shared" si="37"/>
        <v>5</v>
      </c>
      <c r="BC65" s="23">
        <v>40</v>
      </c>
      <c r="BD65" s="130">
        <f t="shared" si="38"/>
        <v>5</v>
      </c>
      <c r="BE65" s="130">
        <f t="shared" si="39"/>
        <v>40</v>
      </c>
      <c r="BF65" s="195">
        <f t="shared" si="40"/>
        <v>12.5</v>
      </c>
      <c r="BG65" s="373">
        <f t="shared" si="41"/>
        <v>35</v>
      </c>
    </row>
    <row r="66" spans="1:59" s="21" customFormat="1" ht="15.95" customHeight="1">
      <c r="A66" s="163">
        <v>11</v>
      </c>
      <c r="B66" s="9" t="s">
        <v>3380</v>
      </c>
      <c r="C66" s="11" t="s">
        <v>3381</v>
      </c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22">
        <f t="shared" si="36"/>
        <v>0</v>
      </c>
      <c r="AC66" s="25">
        <v>0</v>
      </c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2">
        <f t="shared" si="37"/>
        <v>0</v>
      </c>
      <c r="BC66" s="23">
        <v>1</v>
      </c>
      <c r="BD66" s="130">
        <f t="shared" si="38"/>
        <v>0</v>
      </c>
      <c r="BE66" s="130">
        <f t="shared" si="39"/>
        <v>1</v>
      </c>
      <c r="BF66" s="195">
        <f t="shared" si="40"/>
        <v>0</v>
      </c>
      <c r="BG66" s="373">
        <f t="shared" si="41"/>
        <v>1</v>
      </c>
    </row>
    <row r="67" spans="1:59" s="21" customFormat="1" ht="15.95" customHeight="1">
      <c r="A67" s="163">
        <v>12</v>
      </c>
      <c r="B67" s="9" t="s">
        <v>301</v>
      </c>
      <c r="C67" s="11" t="s">
        <v>302</v>
      </c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22">
        <f t="shared" si="36"/>
        <v>0</v>
      </c>
      <c r="AC67" s="25">
        <v>0</v>
      </c>
      <c r="AD67" s="24"/>
      <c r="AE67" s="24"/>
      <c r="AF67" s="24"/>
      <c r="AG67" s="24"/>
      <c r="AH67" s="24"/>
      <c r="AI67" s="24"/>
      <c r="AJ67" s="24"/>
      <c r="AK67" s="24"/>
      <c r="AL67" s="24">
        <v>4</v>
      </c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2">
        <f t="shared" si="37"/>
        <v>4</v>
      </c>
      <c r="BC67" s="23">
        <v>9</v>
      </c>
      <c r="BD67" s="130">
        <f t="shared" si="38"/>
        <v>4</v>
      </c>
      <c r="BE67" s="130">
        <f t="shared" si="39"/>
        <v>9</v>
      </c>
      <c r="BF67" s="195">
        <f t="shared" si="40"/>
        <v>44.444444444444443</v>
      </c>
      <c r="BG67" s="373">
        <f t="shared" si="41"/>
        <v>5</v>
      </c>
    </row>
    <row r="68" spans="1:59" s="21" customFormat="1" ht="15.95" customHeight="1">
      <c r="A68" s="163">
        <v>13</v>
      </c>
      <c r="B68" s="9" t="s">
        <v>66</v>
      </c>
      <c r="C68" s="11" t="s">
        <v>67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22">
        <f t="shared" si="36"/>
        <v>0</v>
      </c>
      <c r="AC68" s="25">
        <v>0</v>
      </c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>
        <v>2</v>
      </c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2">
        <f t="shared" si="37"/>
        <v>2</v>
      </c>
      <c r="BC68" s="23">
        <v>0</v>
      </c>
      <c r="BD68" s="130">
        <f t="shared" si="38"/>
        <v>2</v>
      </c>
      <c r="BE68" s="130">
        <f t="shared" si="39"/>
        <v>0</v>
      </c>
      <c r="BF68" s="195" t="e">
        <f t="shared" si="40"/>
        <v>#DIV/0!</v>
      </c>
      <c r="BG68" s="373"/>
    </row>
    <row r="69" spans="1:59" s="21" customFormat="1" ht="15.95" customHeight="1">
      <c r="A69" s="163">
        <v>14</v>
      </c>
      <c r="B69" s="9" t="s">
        <v>28</v>
      </c>
      <c r="C69" s="11" t="s">
        <v>29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22">
        <f t="shared" si="36"/>
        <v>0</v>
      </c>
      <c r="AC69" s="25">
        <v>0</v>
      </c>
      <c r="AD69" s="24"/>
      <c r="AE69" s="24"/>
      <c r="AF69" s="24"/>
      <c r="AG69" s="24"/>
      <c r="AH69" s="24"/>
      <c r="AI69" s="24"/>
      <c r="AJ69" s="24"/>
      <c r="AK69" s="24"/>
      <c r="AL69" s="24">
        <v>4</v>
      </c>
      <c r="AM69" s="24"/>
      <c r="AN69" s="24"/>
      <c r="AO69" s="24"/>
      <c r="AP69" s="24">
        <v>1</v>
      </c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2">
        <f t="shared" si="37"/>
        <v>5</v>
      </c>
      <c r="BC69" s="23">
        <v>15</v>
      </c>
      <c r="BD69" s="130">
        <f t="shared" si="38"/>
        <v>5</v>
      </c>
      <c r="BE69" s="130">
        <f t="shared" si="39"/>
        <v>15</v>
      </c>
      <c r="BF69" s="195">
        <f t="shared" si="40"/>
        <v>33.333333333333329</v>
      </c>
      <c r="BG69" s="373">
        <f>BE69-BD69</f>
        <v>10</v>
      </c>
    </row>
    <row r="70" spans="1:59" s="21" customFormat="1" ht="15.95" customHeight="1">
      <c r="A70" s="163">
        <v>15</v>
      </c>
      <c r="B70" s="9" t="s">
        <v>21</v>
      </c>
      <c r="C70" s="11" t="s">
        <v>22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22">
        <f t="shared" si="36"/>
        <v>0</v>
      </c>
      <c r="AC70" s="25">
        <v>0</v>
      </c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2">
        <f t="shared" si="37"/>
        <v>0</v>
      </c>
      <c r="BC70" s="23">
        <v>1</v>
      </c>
      <c r="BD70" s="130">
        <f t="shared" si="38"/>
        <v>0</v>
      </c>
      <c r="BE70" s="130">
        <f t="shared" si="39"/>
        <v>1</v>
      </c>
      <c r="BF70" s="195">
        <f t="shared" si="40"/>
        <v>0</v>
      </c>
      <c r="BG70" s="373">
        <f>BE70-BD70</f>
        <v>1</v>
      </c>
    </row>
    <row r="71" spans="1:59" s="21" customFormat="1" ht="15.95" customHeight="1">
      <c r="A71" s="163">
        <v>16</v>
      </c>
      <c r="B71" s="9" t="s">
        <v>574</v>
      </c>
      <c r="C71" s="11" t="s">
        <v>2272</v>
      </c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22">
        <f t="shared" si="36"/>
        <v>0</v>
      </c>
      <c r="AC71" s="25">
        <v>0</v>
      </c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2">
        <f t="shared" si="37"/>
        <v>0</v>
      </c>
      <c r="BC71" s="23">
        <v>1</v>
      </c>
      <c r="BD71" s="130">
        <f t="shared" si="38"/>
        <v>0</v>
      </c>
      <c r="BE71" s="130">
        <f t="shared" si="39"/>
        <v>1</v>
      </c>
      <c r="BF71" s="195">
        <f t="shared" si="40"/>
        <v>0</v>
      </c>
      <c r="BG71" s="373">
        <f>BE71-BD71</f>
        <v>1</v>
      </c>
    </row>
    <row r="72" spans="1:59" s="21" customFormat="1" ht="15.95" customHeight="1">
      <c r="A72" s="163">
        <v>17</v>
      </c>
      <c r="B72" s="9" t="s">
        <v>4116</v>
      </c>
      <c r="C72" s="11" t="s">
        <v>4117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22">
        <f t="shared" si="36"/>
        <v>0</v>
      </c>
      <c r="AC72" s="25">
        <v>0</v>
      </c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>
        <v>6</v>
      </c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2">
        <f t="shared" si="37"/>
        <v>6</v>
      </c>
      <c r="BC72" s="23">
        <v>0</v>
      </c>
      <c r="BD72" s="130">
        <f t="shared" si="38"/>
        <v>6</v>
      </c>
      <c r="BE72" s="130">
        <f t="shared" si="39"/>
        <v>0</v>
      </c>
      <c r="BF72" s="195" t="e">
        <f t="shared" si="40"/>
        <v>#DIV/0!</v>
      </c>
      <c r="BG72" s="373"/>
    </row>
    <row r="73" spans="1:59" s="21" customFormat="1" ht="15.95" customHeight="1">
      <c r="A73" s="163">
        <v>18</v>
      </c>
      <c r="B73" s="9" t="s">
        <v>3382</v>
      </c>
      <c r="C73" s="11" t="s">
        <v>3383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22">
        <f t="shared" si="36"/>
        <v>0</v>
      </c>
      <c r="AC73" s="25">
        <v>0</v>
      </c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2">
        <f t="shared" si="37"/>
        <v>0</v>
      </c>
      <c r="BC73" s="23">
        <v>1</v>
      </c>
      <c r="BD73" s="130">
        <f t="shared" si="38"/>
        <v>0</v>
      </c>
      <c r="BE73" s="130">
        <f t="shared" si="39"/>
        <v>1</v>
      </c>
      <c r="BF73" s="195">
        <f t="shared" si="40"/>
        <v>0</v>
      </c>
      <c r="BG73" s="373">
        <f>BE73-BD73</f>
        <v>1</v>
      </c>
    </row>
    <row r="74" spans="1:59" s="21" customFormat="1" ht="15.95" customHeight="1">
      <c r="A74" s="163">
        <v>19</v>
      </c>
      <c r="B74" s="9" t="s">
        <v>2312</v>
      </c>
      <c r="C74" s="11" t="s">
        <v>2687</v>
      </c>
      <c r="D74" s="14"/>
      <c r="E74" s="14"/>
      <c r="F74" s="14"/>
      <c r="G74" s="14"/>
      <c r="H74" s="14"/>
      <c r="I74" s="14"/>
      <c r="J74" s="14"/>
      <c r="K74" s="14"/>
      <c r="L74" s="14">
        <f>29+22</f>
        <v>51</v>
      </c>
      <c r="M74" s="14"/>
      <c r="N74" s="14"/>
      <c r="O74" s="14"/>
      <c r="P74" s="14">
        <f>2+1</f>
        <v>3</v>
      </c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22">
        <f t="shared" si="36"/>
        <v>54</v>
      </c>
      <c r="AC74" s="25">
        <v>0</v>
      </c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2">
        <f t="shared" si="37"/>
        <v>0</v>
      </c>
      <c r="BC74" s="23">
        <v>0</v>
      </c>
      <c r="BD74" s="130">
        <f t="shared" si="38"/>
        <v>54</v>
      </c>
      <c r="BE74" s="130">
        <f t="shared" si="39"/>
        <v>0</v>
      </c>
      <c r="BF74" s="195" t="e">
        <f t="shared" si="40"/>
        <v>#DIV/0!</v>
      </c>
      <c r="BG74" s="373"/>
    </row>
    <row r="75" spans="1:59" s="21" customFormat="1" ht="15.95" customHeight="1">
      <c r="A75" s="623" t="s">
        <v>30</v>
      </c>
      <c r="B75" s="624"/>
      <c r="C75" s="624"/>
      <c r="D75" s="159">
        <f t="shared" ref="D75:AB75" si="42">SUM(D76:D77)</f>
        <v>0</v>
      </c>
      <c r="E75" s="159">
        <f t="shared" si="42"/>
        <v>0</v>
      </c>
      <c r="F75" s="159">
        <f t="shared" si="42"/>
        <v>0</v>
      </c>
      <c r="G75" s="159">
        <f t="shared" si="42"/>
        <v>0</v>
      </c>
      <c r="H75" s="159">
        <f t="shared" si="42"/>
        <v>0</v>
      </c>
      <c r="I75" s="159">
        <f t="shared" si="42"/>
        <v>0</v>
      </c>
      <c r="J75" s="159">
        <f t="shared" si="42"/>
        <v>0</v>
      </c>
      <c r="K75" s="159">
        <f t="shared" si="42"/>
        <v>0</v>
      </c>
      <c r="L75" s="159">
        <f t="shared" si="42"/>
        <v>0</v>
      </c>
      <c r="M75" s="159">
        <f t="shared" si="42"/>
        <v>0</v>
      </c>
      <c r="N75" s="159">
        <f t="shared" si="42"/>
        <v>0</v>
      </c>
      <c r="O75" s="159">
        <f t="shared" si="42"/>
        <v>0</v>
      </c>
      <c r="P75" s="159">
        <f t="shared" si="42"/>
        <v>0</v>
      </c>
      <c r="Q75" s="159">
        <f t="shared" si="42"/>
        <v>0</v>
      </c>
      <c r="R75" s="159">
        <f t="shared" si="42"/>
        <v>0</v>
      </c>
      <c r="S75" s="159">
        <f t="shared" si="42"/>
        <v>0</v>
      </c>
      <c r="T75" s="159">
        <f t="shared" si="42"/>
        <v>0</v>
      </c>
      <c r="U75" s="159">
        <f t="shared" si="42"/>
        <v>0</v>
      </c>
      <c r="V75" s="159">
        <f t="shared" si="42"/>
        <v>0</v>
      </c>
      <c r="W75" s="159">
        <f t="shared" si="42"/>
        <v>0</v>
      </c>
      <c r="X75" s="159">
        <f t="shared" ref="X75:AA75" si="43">SUM(X76:X77)</f>
        <v>0</v>
      </c>
      <c r="Y75" s="159">
        <f t="shared" ref="Y75:Z75" si="44">SUM(Y76:Y77)</f>
        <v>0</v>
      </c>
      <c r="Z75" s="159">
        <f t="shared" si="44"/>
        <v>0</v>
      </c>
      <c r="AA75" s="159">
        <f t="shared" si="43"/>
        <v>0</v>
      </c>
      <c r="AB75" s="159">
        <f t="shared" si="42"/>
        <v>0</v>
      </c>
      <c r="AC75" s="360">
        <f t="shared" ref="AC75:BC75" si="45">SUM(AC76:AC77)</f>
        <v>0</v>
      </c>
      <c r="AD75" s="162">
        <f t="shared" si="45"/>
        <v>0</v>
      </c>
      <c r="AE75" s="162">
        <f t="shared" si="45"/>
        <v>0</v>
      </c>
      <c r="AF75" s="162">
        <f t="shared" si="45"/>
        <v>0</v>
      </c>
      <c r="AG75" s="162">
        <f t="shared" si="45"/>
        <v>0</v>
      </c>
      <c r="AH75" s="162">
        <f t="shared" si="45"/>
        <v>0</v>
      </c>
      <c r="AI75" s="162">
        <f t="shared" si="45"/>
        <v>0</v>
      </c>
      <c r="AJ75" s="162">
        <f t="shared" si="45"/>
        <v>0</v>
      </c>
      <c r="AK75" s="162">
        <f t="shared" si="45"/>
        <v>0</v>
      </c>
      <c r="AL75" s="162">
        <f t="shared" si="45"/>
        <v>0</v>
      </c>
      <c r="AM75" s="162">
        <f t="shared" si="45"/>
        <v>0</v>
      </c>
      <c r="AN75" s="162">
        <f t="shared" si="45"/>
        <v>0</v>
      </c>
      <c r="AO75" s="162">
        <f t="shared" si="45"/>
        <v>0</v>
      </c>
      <c r="AP75" s="162">
        <f t="shared" si="45"/>
        <v>0</v>
      </c>
      <c r="AQ75" s="162">
        <f t="shared" si="45"/>
        <v>0</v>
      </c>
      <c r="AR75" s="162">
        <f t="shared" si="45"/>
        <v>0</v>
      </c>
      <c r="AS75" s="162">
        <f t="shared" si="45"/>
        <v>0</v>
      </c>
      <c r="AT75" s="162">
        <f t="shared" si="45"/>
        <v>0</v>
      </c>
      <c r="AU75" s="162">
        <f t="shared" si="45"/>
        <v>0</v>
      </c>
      <c r="AV75" s="162">
        <f t="shared" si="45"/>
        <v>0</v>
      </c>
      <c r="AW75" s="162">
        <f t="shared" si="45"/>
        <v>0</v>
      </c>
      <c r="AX75" s="162">
        <f t="shared" si="45"/>
        <v>0</v>
      </c>
      <c r="AY75" s="162">
        <f t="shared" ref="AY75:AZ75" si="46">SUM(AY76:AY77)</f>
        <v>0</v>
      </c>
      <c r="AZ75" s="162">
        <f t="shared" si="46"/>
        <v>0</v>
      </c>
      <c r="BA75" s="162">
        <f t="shared" si="45"/>
        <v>0</v>
      </c>
      <c r="BB75" s="162">
        <f t="shared" si="45"/>
        <v>0</v>
      </c>
      <c r="BC75" s="162">
        <f t="shared" si="45"/>
        <v>0</v>
      </c>
      <c r="BD75" s="130">
        <f t="shared" ref="BD75:BD82" si="47">AB75+BB75</f>
        <v>0</v>
      </c>
      <c r="BE75" s="130">
        <f t="shared" ref="BE75:BE82" si="48">AC75+BC75</f>
        <v>0</v>
      </c>
      <c r="BF75" s="195" t="e">
        <f t="shared" si="14"/>
        <v>#DIV/0!</v>
      </c>
      <c r="BG75" s="374">
        <f t="shared" si="15"/>
        <v>0</v>
      </c>
    </row>
    <row r="76" spans="1:59" s="21" customFormat="1" ht="15.95" customHeight="1">
      <c r="A76" s="163">
        <v>1</v>
      </c>
      <c r="B76" s="9"/>
      <c r="C76" s="11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22">
        <f>SUM(D76:AA76)</f>
        <v>0</v>
      </c>
      <c r="AC76" s="25">
        <v>0</v>
      </c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2">
        <f>SUM(AD76:BA76)</f>
        <v>0</v>
      </c>
      <c r="BC76" s="23">
        <v>0</v>
      </c>
      <c r="BD76" s="130">
        <f t="shared" si="47"/>
        <v>0</v>
      </c>
      <c r="BE76" s="130">
        <f t="shared" si="48"/>
        <v>0</v>
      </c>
      <c r="BF76" s="195" t="e">
        <f t="shared" si="14"/>
        <v>#DIV/0!</v>
      </c>
      <c r="BG76" s="373">
        <f t="shared" si="15"/>
        <v>0</v>
      </c>
    </row>
    <row r="77" spans="1:59" s="21" customFormat="1" ht="15.95" customHeight="1">
      <c r="A77" s="163">
        <v>2</v>
      </c>
      <c r="B77" s="12"/>
      <c r="C77" s="165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22">
        <f>SUM(D77:AA77)</f>
        <v>0</v>
      </c>
      <c r="AC77" s="25">
        <v>0</v>
      </c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2">
        <f>SUM(AD77:BA77)</f>
        <v>0</v>
      </c>
      <c r="BC77" s="23">
        <v>0</v>
      </c>
      <c r="BD77" s="130">
        <f t="shared" si="47"/>
        <v>0</v>
      </c>
      <c r="BE77" s="130">
        <f t="shared" si="48"/>
        <v>0</v>
      </c>
      <c r="BF77" s="195" t="e">
        <f t="shared" si="14"/>
        <v>#DIV/0!</v>
      </c>
      <c r="BG77" s="373">
        <f t="shared" si="15"/>
        <v>0</v>
      </c>
    </row>
    <row r="78" spans="1:59" s="21" customFormat="1" ht="15.95" customHeight="1">
      <c r="A78" s="358"/>
      <c r="B78" s="622" t="s">
        <v>31</v>
      </c>
      <c r="C78" s="622"/>
      <c r="D78" s="159">
        <f t="shared" ref="D78:AI78" si="49">SUM(D79:D79)</f>
        <v>0</v>
      </c>
      <c r="E78" s="159">
        <f t="shared" si="49"/>
        <v>0</v>
      </c>
      <c r="F78" s="159">
        <f t="shared" si="49"/>
        <v>0</v>
      </c>
      <c r="G78" s="159">
        <f t="shared" si="49"/>
        <v>0</v>
      </c>
      <c r="H78" s="159">
        <f t="shared" si="49"/>
        <v>0</v>
      </c>
      <c r="I78" s="159">
        <f t="shared" si="49"/>
        <v>0</v>
      </c>
      <c r="J78" s="159">
        <f t="shared" si="49"/>
        <v>0</v>
      </c>
      <c r="K78" s="159">
        <f t="shared" si="49"/>
        <v>0</v>
      </c>
      <c r="L78" s="159">
        <f t="shared" si="49"/>
        <v>0</v>
      </c>
      <c r="M78" s="159">
        <f t="shared" si="49"/>
        <v>0</v>
      </c>
      <c r="N78" s="159">
        <f t="shared" si="49"/>
        <v>0</v>
      </c>
      <c r="O78" s="159">
        <f t="shared" si="49"/>
        <v>0</v>
      </c>
      <c r="P78" s="159">
        <f t="shared" si="49"/>
        <v>0</v>
      </c>
      <c r="Q78" s="159">
        <f t="shared" si="49"/>
        <v>0</v>
      </c>
      <c r="R78" s="159">
        <f t="shared" si="49"/>
        <v>0</v>
      </c>
      <c r="S78" s="159">
        <f t="shared" si="49"/>
        <v>0</v>
      </c>
      <c r="T78" s="159">
        <f t="shared" si="49"/>
        <v>0</v>
      </c>
      <c r="U78" s="159">
        <f t="shared" si="49"/>
        <v>0</v>
      </c>
      <c r="V78" s="159">
        <f t="shared" si="49"/>
        <v>0</v>
      </c>
      <c r="W78" s="159">
        <f t="shared" si="49"/>
        <v>0</v>
      </c>
      <c r="X78" s="159">
        <f t="shared" si="49"/>
        <v>0</v>
      </c>
      <c r="Y78" s="159">
        <f t="shared" si="49"/>
        <v>0</v>
      </c>
      <c r="Z78" s="159">
        <f t="shared" si="49"/>
        <v>0</v>
      </c>
      <c r="AA78" s="159">
        <f t="shared" si="49"/>
        <v>0</v>
      </c>
      <c r="AB78" s="159">
        <f t="shared" si="49"/>
        <v>0</v>
      </c>
      <c r="AC78" s="359">
        <f t="shared" si="49"/>
        <v>0</v>
      </c>
      <c r="AD78" s="160">
        <f t="shared" si="49"/>
        <v>0</v>
      </c>
      <c r="AE78" s="160">
        <f t="shared" si="49"/>
        <v>0</v>
      </c>
      <c r="AF78" s="160">
        <f t="shared" si="49"/>
        <v>0</v>
      </c>
      <c r="AG78" s="160">
        <f t="shared" si="49"/>
        <v>0</v>
      </c>
      <c r="AH78" s="160">
        <f t="shared" si="49"/>
        <v>0</v>
      </c>
      <c r="AI78" s="160">
        <f t="shared" si="49"/>
        <v>0</v>
      </c>
      <c r="AJ78" s="160">
        <f t="shared" ref="AJ78:BC78" si="50">SUM(AJ79:AJ79)</f>
        <v>0</v>
      </c>
      <c r="AK78" s="160">
        <f t="shared" si="50"/>
        <v>0</v>
      </c>
      <c r="AL78" s="160">
        <f t="shared" si="50"/>
        <v>0</v>
      </c>
      <c r="AM78" s="160">
        <f t="shared" si="50"/>
        <v>0</v>
      </c>
      <c r="AN78" s="160">
        <f t="shared" si="50"/>
        <v>0</v>
      </c>
      <c r="AO78" s="160">
        <f t="shared" si="50"/>
        <v>0</v>
      </c>
      <c r="AP78" s="160">
        <f t="shared" si="50"/>
        <v>0</v>
      </c>
      <c r="AQ78" s="160">
        <f t="shared" si="50"/>
        <v>0</v>
      </c>
      <c r="AR78" s="160">
        <f t="shared" si="50"/>
        <v>0</v>
      </c>
      <c r="AS78" s="160">
        <f t="shared" si="50"/>
        <v>0</v>
      </c>
      <c r="AT78" s="160">
        <f t="shared" si="50"/>
        <v>0</v>
      </c>
      <c r="AU78" s="160">
        <f t="shared" si="50"/>
        <v>0</v>
      </c>
      <c r="AV78" s="160">
        <f t="shared" si="50"/>
        <v>0</v>
      </c>
      <c r="AW78" s="160">
        <f t="shared" si="50"/>
        <v>0</v>
      </c>
      <c r="AX78" s="160">
        <f t="shared" si="50"/>
        <v>0</v>
      </c>
      <c r="AY78" s="160">
        <f t="shared" si="50"/>
        <v>0</v>
      </c>
      <c r="AZ78" s="160">
        <f t="shared" si="50"/>
        <v>0</v>
      </c>
      <c r="BA78" s="160">
        <f t="shared" si="50"/>
        <v>0</v>
      </c>
      <c r="BB78" s="160">
        <f t="shared" si="50"/>
        <v>0</v>
      </c>
      <c r="BC78" s="160">
        <f t="shared" si="50"/>
        <v>1</v>
      </c>
      <c r="BD78" s="130">
        <f t="shared" si="47"/>
        <v>0</v>
      </c>
      <c r="BE78" s="130">
        <f t="shared" si="48"/>
        <v>1</v>
      </c>
      <c r="BF78" s="195">
        <f t="shared" si="14"/>
        <v>0</v>
      </c>
      <c r="BG78" s="374">
        <f t="shared" si="15"/>
        <v>1</v>
      </c>
    </row>
    <row r="79" spans="1:59" s="21" customFormat="1" ht="15.95" customHeight="1">
      <c r="A79" s="163">
        <v>1</v>
      </c>
      <c r="B79" s="9" t="s">
        <v>8</v>
      </c>
      <c r="C79" s="11" t="s">
        <v>2145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22">
        <f>SUM(D79:AA79)</f>
        <v>0</v>
      </c>
      <c r="AC79" s="25">
        <v>0</v>
      </c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2">
        <f>SUM(AD79:BA79)</f>
        <v>0</v>
      </c>
      <c r="BC79" s="23">
        <v>1</v>
      </c>
      <c r="BD79" s="130">
        <f t="shared" si="47"/>
        <v>0</v>
      </c>
      <c r="BE79" s="130">
        <f t="shared" si="48"/>
        <v>1</v>
      </c>
      <c r="BF79" s="195">
        <f t="shared" si="14"/>
        <v>0</v>
      </c>
      <c r="BG79" s="373">
        <f t="shared" si="15"/>
        <v>1</v>
      </c>
    </row>
    <row r="80" spans="1:59" s="21" customFormat="1" ht="15.95" customHeight="1">
      <c r="A80" s="623" t="s">
        <v>35</v>
      </c>
      <c r="B80" s="624"/>
      <c r="C80" s="624"/>
      <c r="D80" s="159">
        <f t="shared" ref="D80:AB80" si="51">D81</f>
        <v>0</v>
      </c>
      <c r="E80" s="159">
        <f t="shared" si="51"/>
        <v>0</v>
      </c>
      <c r="F80" s="159">
        <f t="shared" si="51"/>
        <v>0</v>
      </c>
      <c r="G80" s="159">
        <f t="shared" si="51"/>
        <v>0</v>
      </c>
      <c r="H80" s="159">
        <f t="shared" si="51"/>
        <v>0</v>
      </c>
      <c r="I80" s="159">
        <f t="shared" si="51"/>
        <v>0</v>
      </c>
      <c r="J80" s="159">
        <f t="shared" si="51"/>
        <v>0</v>
      </c>
      <c r="K80" s="159">
        <f t="shared" si="51"/>
        <v>0</v>
      </c>
      <c r="L80" s="159">
        <f t="shared" si="51"/>
        <v>0</v>
      </c>
      <c r="M80" s="159">
        <f t="shared" si="51"/>
        <v>0</v>
      </c>
      <c r="N80" s="159">
        <f t="shared" si="51"/>
        <v>0</v>
      </c>
      <c r="O80" s="159">
        <f t="shared" si="51"/>
        <v>0</v>
      </c>
      <c r="P80" s="159">
        <f t="shared" si="51"/>
        <v>0</v>
      </c>
      <c r="Q80" s="159">
        <f t="shared" si="51"/>
        <v>0</v>
      </c>
      <c r="R80" s="159">
        <f t="shared" si="51"/>
        <v>0</v>
      </c>
      <c r="S80" s="159">
        <f t="shared" si="51"/>
        <v>0</v>
      </c>
      <c r="T80" s="159">
        <f t="shared" si="51"/>
        <v>0</v>
      </c>
      <c r="U80" s="159">
        <f t="shared" si="51"/>
        <v>0</v>
      </c>
      <c r="V80" s="159">
        <f t="shared" si="51"/>
        <v>0</v>
      </c>
      <c r="W80" s="159">
        <f t="shared" si="51"/>
        <v>0</v>
      </c>
      <c r="X80" s="159">
        <f t="shared" si="51"/>
        <v>0</v>
      </c>
      <c r="Y80" s="159">
        <f t="shared" si="51"/>
        <v>0</v>
      </c>
      <c r="Z80" s="159">
        <f t="shared" si="51"/>
        <v>0</v>
      </c>
      <c r="AA80" s="159">
        <f t="shared" si="51"/>
        <v>0</v>
      </c>
      <c r="AB80" s="159">
        <f t="shared" si="51"/>
        <v>0</v>
      </c>
      <c r="AC80" s="360">
        <f t="shared" ref="AC80:BC80" si="52">SUM(AC81:AC81)</f>
        <v>0</v>
      </c>
      <c r="AD80" s="162">
        <f t="shared" ref="AD80:BB80" si="53">AD81</f>
        <v>0</v>
      </c>
      <c r="AE80" s="162">
        <f t="shared" si="53"/>
        <v>0</v>
      </c>
      <c r="AF80" s="162">
        <f t="shared" si="53"/>
        <v>0</v>
      </c>
      <c r="AG80" s="162">
        <f t="shared" si="53"/>
        <v>0</v>
      </c>
      <c r="AH80" s="162">
        <f t="shared" si="53"/>
        <v>0</v>
      </c>
      <c r="AI80" s="162">
        <f t="shared" si="53"/>
        <v>0</v>
      </c>
      <c r="AJ80" s="162">
        <f t="shared" si="53"/>
        <v>0</v>
      </c>
      <c r="AK80" s="162">
        <f t="shared" si="53"/>
        <v>0</v>
      </c>
      <c r="AL80" s="162">
        <f t="shared" si="53"/>
        <v>0</v>
      </c>
      <c r="AM80" s="162">
        <f t="shared" si="53"/>
        <v>0</v>
      </c>
      <c r="AN80" s="162">
        <f t="shared" si="53"/>
        <v>0</v>
      </c>
      <c r="AO80" s="162">
        <f t="shared" si="53"/>
        <v>0</v>
      </c>
      <c r="AP80" s="162">
        <f t="shared" si="53"/>
        <v>0</v>
      </c>
      <c r="AQ80" s="162">
        <f t="shared" si="53"/>
        <v>0</v>
      </c>
      <c r="AR80" s="162">
        <f t="shared" si="53"/>
        <v>0</v>
      </c>
      <c r="AS80" s="162">
        <f t="shared" si="53"/>
        <v>0</v>
      </c>
      <c r="AT80" s="162">
        <f t="shared" si="53"/>
        <v>0</v>
      </c>
      <c r="AU80" s="162">
        <f t="shared" si="53"/>
        <v>0</v>
      </c>
      <c r="AV80" s="162">
        <f t="shared" si="53"/>
        <v>0</v>
      </c>
      <c r="AW80" s="162">
        <f t="shared" si="53"/>
        <v>0</v>
      </c>
      <c r="AX80" s="162">
        <f t="shared" si="53"/>
        <v>0</v>
      </c>
      <c r="AY80" s="162">
        <f t="shared" si="53"/>
        <v>0</v>
      </c>
      <c r="AZ80" s="162">
        <f t="shared" si="53"/>
        <v>0</v>
      </c>
      <c r="BA80" s="162">
        <f t="shared" si="53"/>
        <v>0</v>
      </c>
      <c r="BB80" s="162">
        <f t="shared" si="53"/>
        <v>0</v>
      </c>
      <c r="BC80" s="162">
        <f t="shared" si="52"/>
        <v>0</v>
      </c>
      <c r="BD80" s="130">
        <f t="shared" si="47"/>
        <v>0</v>
      </c>
      <c r="BE80" s="130">
        <f t="shared" si="48"/>
        <v>0</v>
      </c>
      <c r="BF80" s="195" t="e">
        <f t="shared" si="14"/>
        <v>#DIV/0!</v>
      </c>
      <c r="BG80" s="374">
        <f t="shared" si="15"/>
        <v>0</v>
      </c>
    </row>
    <row r="81" spans="1:62" s="21" customFormat="1" ht="15.95" customHeight="1">
      <c r="A81" s="163">
        <v>1</v>
      </c>
      <c r="B81" s="9"/>
      <c r="C81" s="11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22">
        <f>SUM(D81:AA81)</f>
        <v>0</v>
      </c>
      <c r="AC81" s="25">
        <v>0</v>
      </c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2">
        <f>SUM(AD81:BA81)</f>
        <v>0</v>
      </c>
      <c r="BC81" s="23">
        <v>0</v>
      </c>
      <c r="BD81" s="130">
        <f t="shared" si="47"/>
        <v>0</v>
      </c>
      <c r="BE81" s="130">
        <f t="shared" si="48"/>
        <v>0</v>
      </c>
      <c r="BF81" s="195" t="e">
        <f t="shared" si="14"/>
        <v>#DIV/0!</v>
      </c>
      <c r="BG81" s="373">
        <f t="shared" si="15"/>
        <v>0</v>
      </c>
    </row>
    <row r="82" spans="1:62" s="21" customFormat="1" ht="15.95" customHeight="1">
      <c r="A82" s="625" t="s">
        <v>36</v>
      </c>
      <c r="B82" s="622"/>
      <c r="C82" s="622"/>
      <c r="D82" s="159">
        <f t="shared" ref="D82:AI82" si="54">SUM(D83:D197)</f>
        <v>0</v>
      </c>
      <c r="E82" s="159">
        <f t="shared" si="54"/>
        <v>0</v>
      </c>
      <c r="F82" s="159">
        <f t="shared" si="54"/>
        <v>0</v>
      </c>
      <c r="G82" s="159">
        <f t="shared" si="54"/>
        <v>0</v>
      </c>
      <c r="H82" s="159">
        <f t="shared" si="54"/>
        <v>18</v>
      </c>
      <c r="I82" s="159">
        <f t="shared" si="54"/>
        <v>0</v>
      </c>
      <c r="J82" s="159">
        <f t="shared" si="54"/>
        <v>0</v>
      </c>
      <c r="K82" s="159">
        <f t="shared" si="54"/>
        <v>0</v>
      </c>
      <c r="L82" s="159">
        <f t="shared" si="54"/>
        <v>60</v>
      </c>
      <c r="M82" s="159">
        <f t="shared" si="54"/>
        <v>0</v>
      </c>
      <c r="N82" s="159">
        <f t="shared" si="54"/>
        <v>0</v>
      </c>
      <c r="O82" s="159">
        <f t="shared" si="54"/>
        <v>0</v>
      </c>
      <c r="P82" s="159">
        <f t="shared" si="54"/>
        <v>33</v>
      </c>
      <c r="Q82" s="159">
        <f t="shared" si="54"/>
        <v>0</v>
      </c>
      <c r="R82" s="159">
        <f t="shared" si="54"/>
        <v>0</v>
      </c>
      <c r="S82" s="159">
        <f t="shared" si="54"/>
        <v>0</v>
      </c>
      <c r="T82" s="159">
        <f t="shared" si="54"/>
        <v>0</v>
      </c>
      <c r="U82" s="159">
        <f t="shared" si="54"/>
        <v>0</v>
      </c>
      <c r="V82" s="159">
        <f t="shared" si="54"/>
        <v>0</v>
      </c>
      <c r="W82" s="159">
        <f t="shared" si="54"/>
        <v>0</v>
      </c>
      <c r="X82" s="159">
        <f t="shared" si="54"/>
        <v>0</v>
      </c>
      <c r="Y82" s="159">
        <f t="shared" si="54"/>
        <v>0</v>
      </c>
      <c r="Z82" s="159">
        <f t="shared" si="54"/>
        <v>0</v>
      </c>
      <c r="AA82" s="159">
        <f t="shared" si="54"/>
        <v>0</v>
      </c>
      <c r="AB82" s="159">
        <f t="shared" si="54"/>
        <v>111</v>
      </c>
      <c r="AC82" s="359">
        <f t="shared" si="54"/>
        <v>346</v>
      </c>
      <c r="AD82" s="160">
        <f t="shared" si="54"/>
        <v>0</v>
      </c>
      <c r="AE82" s="160">
        <f t="shared" si="54"/>
        <v>0</v>
      </c>
      <c r="AF82" s="160">
        <f t="shared" si="54"/>
        <v>0</v>
      </c>
      <c r="AG82" s="160">
        <f t="shared" si="54"/>
        <v>0</v>
      </c>
      <c r="AH82" s="160">
        <f t="shared" si="54"/>
        <v>68</v>
      </c>
      <c r="AI82" s="160">
        <f t="shared" si="54"/>
        <v>0</v>
      </c>
      <c r="AJ82" s="160">
        <f t="shared" ref="AJ82:BC82" si="55">SUM(AJ83:AJ197)</f>
        <v>0</v>
      </c>
      <c r="AK82" s="160">
        <f t="shared" si="55"/>
        <v>0</v>
      </c>
      <c r="AL82" s="160">
        <f t="shared" si="55"/>
        <v>236</v>
      </c>
      <c r="AM82" s="160">
        <f t="shared" si="55"/>
        <v>0</v>
      </c>
      <c r="AN82" s="160">
        <f t="shared" si="55"/>
        <v>0</v>
      </c>
      <c r="AO82" s="160">
        <f t="shared" si="55"/>
        <v>0</v>
      </c>
      <c r="AP82" s="160">
        <f t="shared" si="55"/>
        <v>173</v>
      </c>
      <c r="AQ82" s="160">
        <f t="shared" si="55"/>
        <v>0</v>
      </c>
      <c r="AR82" s="160">
        <f t="shared" si="55"/>
        <v>0</v>
      </c>
      <c r="AS82" s="160">
        <f t="shared" si="55"/>
        <v>0</v>
      </c>
      <c r="AT82" s="160">
        <f t="shared" si="55"/>
        <v>0</v>
      </c>
      <c r="AU82" s="160">
        <f t="shared" si="55"/>
        <v>0</v>
      </c>
      <c r="AV82" s="160">
        <f t="shared" si="55"/>
        <v>0</v>
      </c>
      <c r="AW82" s="160">
        <f t="shared" si="55"/>
        <v>0</v>
      </c>
      <c r="AX82" s="160">
        <f t="shared" si="55"/>
        <v>0</v>
      </c>
      <c r="AY82" s="160">
        <f t="shared" si="55"/>
        <v>0</v>
      </c>
      <c r="AZ82" s="160">
        <f t="shared" si="55"/>
        <v>0</v>
      </c>
      <c r="BA82" s="160">
        <f t="shared" si="55"/>
        <v>0</v>
      </c>
      <c r="BB82" s="160">
        <f t="shared" si="55"/>
        <v>477</v>
      </c>
      <c r="BC82" s="160">
        <f t="shared" si="55"/>
        <v>1598</v>
      </c>
      <c r="BD82" s="130">
        <f t="shared" si="47"/>
        <v>588</v>
      </c>
      <c r="BE82" s="130">
        <f t="shared" si="48"/>
        <v>1944</v>
      </c>
      <c r="BF82" s="195">
        <f t="shared" si="14"/>
        <v>30.246913580246915</v>
      </c>
      <c r="BG82" s="374">
        <f t="shared" si="15"/>
        <v>1356</v>
      </c>
      <c r="BH82" s="21">
        <v>1947</v>
      </c>
      <c r="BI82" s="21">
        <v>588</v>
      </c>
      <c r="BJ82" s="343">
        <f>BI82-BD82</f>
        <v>0</v>
      </c>
    </row>
    <row r="83" spans="1:62" s="21" customFormat="1" ht="15.95" customHeight="1">
      <c r="A83" s="163">
        <v>1</v>
      </c>
      <c r="B83" s="9" t="s">
        <v>619</v>
      </c>
      <c r="C83" s="11" t="s">
        <v>620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22">
        <f t="shared" ref="AB83:AB114" si="56">SUM(D83:AA83)</f>
        <v>0</v>
      </c>
      <c r="AC83" s="25">
        <v>0</v>
      </c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2">
        <f t="shared" ref="BB83:BB114" si="57">SUM(AD83:BA83)</f>
        <v>0</v>
      </c>
      <c r="BC83" s="23">
        <v>1</v>
      </c>
      <c r="BD83" s="130">
        <f t="shared" ref="BD83:BD114" si="58">AB83+BB83</f>
        <v>0</v>
      </c>
      <c r="BE83" s="130">
        <f t="shared" ref="BE83:BE114" si="59">AC83+BC83</f>
        <v>1</v>
      </c>
      <c r="BF83" s="195">
        <f t="shared" ref="BF83:BF114" si="60">BD83/BE83*100</f>
        <v>0</v>
      </c>
      <c r="BG83" s="373">
        <f t="shared" ref="BG83:BG99" si="61">BE83-BD83</f>
        <v>1</v>
      </c>
    </row>
    <row r="84" spans="1:62" s="21" customFormat="1" ht="15.95" customHeight="1">
      <c r="A84" s="163">
        <v>2</v>
      </c>
      <c r="B84" s="9" t="s">
        <v>622</v>
      </c>
      <c r="C84" s="11" t="s">
        <v>623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22">
        <f t="shared" si="56"/>
        <v>0</v>
      </c>
      <c r="AC84" s="25">
        <v>0</v>
      </c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>
        <v>2</v>
      </c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2">
        <f t="shared" si="57"/>
        <v>2</v>
      </c>
      <c r="BC84" s="23">
        <v>6</v>
      </c>
      <c r="BD84" s="130">
        <f t="shared" si="58"/>
        <v>2</v>
      </c>
      <c r="BE84" s="130">
        <f t="shared" si="59"/>
        <v>6</v>
      </c>
      <c r="BF84" s="195">
        <f t="shared" si="60"/>
        <v>33.333333333333329</v>
      </c>
      <c r="BG84" s="373">
        <f t="shared" si="61"/>
        <v>4</v>
      </c>
    </row>
    <row r="85" spans="1:62" s="21" customFormat="1" ht="15.95" customHeight="1">
      <c r="A85" s="163">
        <v>3</v>
      </c>
      <c r="B85" s="9" t="s">
        <v>2620</v>
      </c>
      <c r="C85" s="11" t="s">
        <v>2621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22">
        <f t="shared" si="56"/>
        <v>0</v>
      </c>
      <c r="AC85" s="25">
        <v>0</v>
      </c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2">
        <f t="shared" si="57"/>
        <v>0</v>
      </c>
      <c r="BC85" s="23">
        <v>1</v>
      </c>
      <c r="BD85" s="130">
        <f t="shared" si="58"/>
        <v>0</v>
      </c>
      <c r="BE85" s="130">
        <f t="shared" si="59"/>
        <v>1</v>
      </c>
      <c r="BF85" s="195">
        <f t="shared" si="60"/>
        <v>0</v>
      </c>
      <c r="BG85" s="373">
        <f t="shared" si="61"/>
        <v>1</v>
      </c>
    </row>
    <row r="86" spans="1:62" s="21" customFormat="1" ht="15.95" customHeight="1">
      <c r="A86" s="163">
        <v>4</v>
      </c>
      <c r="B86" s="9" t="s">
        <v>32</v>
      </c>
      <c r="C86" s="10" t="s">
        <v>33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22">
        <f t="shared" si="56"/>
        <v>0</v>
      </c>
      <c r="AC86" s="25">
        <v>1</v>
      </c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2">
        <f t="shared" si="57"/>
        <v>0</v>
      </c>
      <c r="BC86" s="23">
        <v>0</v>
      </c>
      <c r="BD86" s="130">
        <f t="shared" si="58"/>
        <v>0</v>
      </c>
      <c r="BE86" s="130">
        <f t="shared" si="59"/>
        <v>1</v>
      </c>
      <c r="BF86" s="195">
        <f t="shared" si="60"/>
        <v>0</v>
      </c>
      <c r="BG86" s="373">
        <f t="shared" si="61"/>
        <v>1</v>
      </c>
    </row>
    <row r="87" spans="1:62" s="21" customFormat="1" ht="15.95" customHeight="1">
      <c r="A87" s="163">
        <v>5</v>
      </c>
      <c r="B87" s="9" t="s">
        <v>615</v>
      </c>
      <c r="C87" s="10" t="s">
        <v>616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22">
        <f t="shared" si="56"/>
        <v>0</v>
      </c>
      <c r="AC87" s="25">
        <v>0</v>
      </c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2">
        <f t="shared" si="57"/>
        <v>0</v>
      </c>
      <c r="BC87" s="23">
        <v>4</v>
      </c>
      <c r="BD87" s="130">
        <f t="shared" si="58"/>
        <v>0</v>
      </c>
      <c r="BE87" s="130">
        <f t="shared" si="59"/>
        <v>4</v>
      </c>
      <c r="BF87" s="195">
        <f t="shared" si="60"/>
        <v>0</v>
      </c>
      <c r="BG87" s="373">
        <f t="shared" si="61"/>
        <v>4</v>
      </c>
    </row>
    <row r="88" spans="1:62" s="21" customFormat="1" ht="15.95" customHeight="1">
      <c r="A88" s="163">
        <v>6</v>
      </c>
      <c r="B88" s="9" t="s">
        <v>720</v>
      </c>
      <c r="C88" s="10" t="s">
        <v>2382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22">
        <f t="shared" si="56"/>
        <v>0</v>
      </c>
      <c r="AC88" s="25">
        <v>2</v>
      </c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2">
        <f t="shared" si="57"/>
        <v>0</v>
      </c>
      <c r="BC88" s="23">
        <v>0</v>
      </c>
      <c r="BD88" s="130">
        <f t="shared" si="58"/>
        <v>0</v>
      </c>
      <c r="BE88" s="130">
        <f t="shared" si="59"/>
        <v>2</v>
      </c>
      <c r="BF88" s="195">
        <f t="shared" si="60"/>
        <v>0</v>
      </c>
      <c r="BG88" s="373">
        <f t="shared" si="61"/>
        <v>2</v>
      </c>
    </row>
    <row r="89" spans="1:62" s="21" customFormat="1" ht="15.95" customHeight="1">
      <c r="A89" s="163">
        <v>7</v>
      </c>
      <c r="B89" s="9" t="s">
        <v>42</v>
      </c>
      <c r="C89" s="11" t="s">
        <v>43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22">
        <f t="shared" si="56"/>
        <v>0</v>
      </c>
      <c r="AC89" s="25">
        <v>0</v>
      </c>
      <c r="AD89" s="24"/>
      <c r="AE89" s="24"/>
      <c r="AF89" s="24"/>
      <c r="AG89" s="24"/>
      <c r="AH89" s="24"/>
      <c r="AI89" s="24"/>
      <c r="AJ89" s="24"/>
      <c r="AK89" s="24"/>
      <c r="AL89" s="24">
        <v>1</v>
      </c>
      <c r="AM89" s="24"/>
      <c r="AN89" s="24"/>
      <c r="AO89" s="24"/>
      <c r="AP89" s="24">
        <v>1</v>
      </c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2">
        <f t="shared" si="57"/>
        <v>2</v>
      </c>
      <c r="BC89" s="23">
        <v>76</v>
      </c>
      <c r="BD89" s="130">
        <f t="shared" si="58"/>
        <v>2</v>
      </c>
      <c r="BE89" s="130">
        <f t="shared" si="59"/>
        <v>76</v>
      </c>
      <c r="BF89" s="195">
        <f t="shared" si="60"/>
        <v>2.6315789473684208</v>
      </c>
      <c r="BG89" s="373">
        <f t="shared" si="61"/>
        <v>74</v>
      </c>
    </row>
    <row r="90" spans="1:62" s="21" customFormat="1" ht="15.95" customHeight="1">
      <c r="A90" s="163">
        <v>8</v>
      </c>
      <c r="B90" s="9" t="s">
        <v>152</v>
      </c>
      <c r="C90" s="11" t="s">
        <v>3119</v>
      </c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22">
        <f t="shared" si="56"/>
        <v>0</v>
      </c>
      <c r="AC90" s="25">
        <v>0</v>
      </c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2">
        <f t="shared" si="57"/>
        <v>0</v>
      </c>
      <c r="BC90" s="23">
        <v>1</v>
      </c>
      <c r="BD90" s="130">
        <f t="shared" si="58"/>
        <v>0</v>
      </c>
      <c r="BE90" s="130">
        <f t="shared" si="59"/>
        <v>1</v>
      </c>
      <c r="BF90" s="195">
        <f t="shared" si="60"/>
        <v>0</v>
      </c>
      <c r="BG90" s="373">
        <f t="shared" si="61"/>
        <v>1</v>
      </c>
    </row>
    <row r="91" spans="1:62" s="21" customFormat="1" ht="15.95" customHeight="1">
      <c r="A91" s="163">
        <v>9</v>
      </c>
      <c r="B91" s="9" t="s">
        <v>2190</v>
      </c>
      <c r="C91" s="11" t="s">
        <v>2191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22">
        <f t="shared" si="56"/>
        <v>0</v>
      </c>
      <c r="AC91" s="25">
        <v>0</v>
      </c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2">
        <f t="shared" si="57"/>
        <v>0</v>
      </c>
      <c r="BC91" s="23">
        <v>1</v>
      </c>
      <c r="BD91" s="130">
        <f t="shared" si="58"/>
        <v>0</v>
      </c>
      <c r="BE91" s="130">
        <f t="shared" si="59"/>
        <v>1</v>
      </c>
      <c r="BF91" s="195">
        <f t="shared" si="60"/>
        <v>0</v>
      </c>
      <c r="BG91" s="373">
        <f t="shared" si="61"/>
        <v>1</v>
      </c>
    </row>
    <row r="92" spans="1:62" s="21" customFormat="1" ht="15.95" customHeight="1">
      <c r="A92" s="163">
        <v>10</v>
      </c>
      <c r="B92" s="79" t="s">
        <v>1294</v>
      </c>
      <c r="C92" s="412" t="s">
        <v>3032</v>
      </c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6">
        <f t="shared" si="56"/>
        <v>0</v>
      </c>
      <c r="AC92" s="307">
        <v>0</v>
      </c>
      <c r="AD92" s="308"/>
      <c r="AE92" s="308"/>
      <c r="AF92" s="308"/>
      <c r="AG92" s="308"/>
      <c r="AH92" s="308"/>
      <c r="AI92" s="308"/>
      <c r="AJ92" s="308"/>
      <c r="AK92" s="308"/>
      <c r="AL92" s="308"/>
      <c r="AM92" s="308"/>
      <c r="AN92" s="308"/>
      <c r="AO92" s="308"/>
      <c r="AP92" s="308">
        <v>2</v>
      </c>
      <c r="AQ92" s="308"/>
      <c r="AR92" s="308"/>
      <c r="AS92" s="308"/>
      <c r="AT92" s="308"/>
      <c r="AU92" s="308"/>
      <c r="AV92" s="308"/>
      <c r="AW92" s="308"/>
      <c r="AX92" s="308"/>
      <c r="AY92" s="308"/>
      <c r="AZ92" s="308"/>
      <c r="BA92" s="308"/>
      <c r="BB92" s="306">
        <f t="shared" si="57"/>
        <v>2</v>
      </c>
      <c r="BC92" s="309">
        <v>2</v>
      </c>
      <c r="BD92" s="310">
        <f t="shared" si="58"/>
        <v>2</v>
      </c>
      <c r="BE92" s="310">
        <f t="shared" si="59"/>
        <v>2</v>
      </c>
      <c r="BF92" s="195">
        <f t="shared" si="60"/>
        <v>100</v>
      </c>
      <c r="BG92" s="373">
        <f t="shared" si="61"/>
        <v>0</v>
      </c>
    </row>
    <row r="93" spans="1:62" s="21" customFormat="1" ht="15.95" customHeight="1">
      <c r="A93" s="163">
        <v>11</v>
      </c>
      <c r="B93" s="9" t="s">
        <v>44</v>
      </c>
      <c r="C93" s="11" t="s">
        <v>45</v>
      </c>
      <c r="D93" s="305"/>
      <c r="E93" s="305"/>
      <c r="F93" s="305"/>
      <c r="G93" s="305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6">
        <f t="shared" si="56"/>
        <v>0</v>
      </c>
      <c r="AC93" s="307">
        <v>0</v>
      </c>
      <c r="AD93" s="308"/>
      <c r="AE93" s="308"/>
      <c r="AF93" s="308"/>
      <c r="AG93" s="308"/>
      <c r="AH93" s="308"/>
      <c r="AI93" s="308"/>
      <c r="AJ93" s="308"/>
      <c r="AK93" s="308"/>
      <c r="AL93" s="308">
        <v>3</v>
      </c>
      <c r="AM93" s="308"/>
      <c r="AN93" s="308"/>
      <c r="AO93" s="308"/>
      <c r="AP93" s="308">
        <v>1</v>
      </c>
      <c r="AQ93" s="308"/>
      <c r="AR93" s="308"/>
      <c r="AS93" s="308"/>
      <c r="AT93" s="308"/>
      <c r="AU93" s="308"/>
      <c r="AV93" s="308"/>
      <c r="AW93" s="308"/>
      <c r="AX93" s="308"/>
      <c r="AY93" s="308"/>
      <c r="AZ93" s="308"/>
      <c r="BA93" s="308"/>
      <c r="BB93" s="306">
        <f t="shared" si="57"/>
        <v>4</v>
      </c>
      <c r="BC93" s="309">
        <v>23</v>
      </c>
      <c r="BD93" s="310">
        <f t="shared" si="58"/>
        <v>4</v>
      </c>
      <c r="BE93" s="310">
        <f t="shared" si="59"/>
        <v>23</v>
      </c>
      <c r="BF93" s="195">
        <f t="shared" si="60"/>
        <v>17.391304347826086</v>
      </c>
      <c r="BG93" s="373">
        <f t="shared" si="61"/>
        <v>19</v>
      </c>
    </row>
    <row r="94" spans="1:62" s="21" customFormat="1" ht="15.95" customHeight="1">
      <c r="A94" s="163">
        <v>12</v>
      </c>
      <c r="B94" s="9" t="s">
        <v>46</v>
      </c>
      <c r="C94" s="11" t="s">
        <v>47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22">
        <f t="shared" si="56"/>
        <v>0</v>
      </c>
      <c r="AC94" s="25">
        <v>0</v>
      </c>
      <c r="AD94" s="24"/>
      <c r="AE94" s="24"/>
      <c r="AF94" s="24"/>
      <c r="AG94" s="24"/>
      <c r="AH94" s="24"/>
      <c r="AI94" s="24"/>
      <c r="AJ94" s="24"/>
      <c r="AK94" s="24"/>
      <c r="AL94" s="24">
        <v>6</v>
      </c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2">
        <f t="shared" si="57"/>
        <v>6</v>
      </c>
      <c r="BC94" s="23">
        <v>14</v>
      </c>
      <c r="BD94" s="130">
        <f t="shared" si="58"/>
        <v>6</v>
      </c>
      <c r="BE94" s="130">
        <f t="shared" si="59"/>
        <v>14</v>
      </c>
      <c r="BF94" s="195">
        <f t="shared" si="60"/>
        <v>42.857142857142854</v>
      </c>
      <c r="BG94" s="373">
        <f t="shared" si="61"/>
        <v>8</v>
      </c>
    </row>
    <row r="95" spans="1:62" s="21" customFormat="1" ht="15.95" customHeight="1">
      <c r="A95" s="163">
        <v>13</v>
      </c>
      <c r="B95" s="9" t="s">
        <v>48</v>
      </c>
      <c r="C95" s="10" t="s">
        <v>49</v>
      </c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22">
        <f t="shared" si="56"/>
        <v>0</v>
      </c>
      <c r="AC95" s="25">
        <v>0</v>
      </c>
      <c r="AD95" s="24"/>
      <c r="AE95" s="24"/>
      <c r="AF95" s="24"/>
      <c r="AG95" s="24"/>
      <c r="AH95" s="24"/>
      <c r="AI95" s="24"/>
      <c r="AJ95" s="24"/>
      <c r="AK95" s="24"/>
      <c r="AL95" s="24">
        <v>1</v>
      </c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2">
        <f t="shared" si="57"/>
        <v>1</v>
      </c>
      <c r="BC95" s="23">
        <v>7</v>
      </c>
      <c r="BD95" s="130">
        <f t="shared" si="58"/>
        <v>1</v>
      </c>
      <c r="BE95" s="130">
        <f t="shared" si="59"/>
        <v>7</v>
      </c>
      <c r="BF95" s="195">
        <f t="shared" si="60"/>
        <v>14.285714285714285</v>
      </c>
      <c r="BG95" s="373">
        <f t="shared" si="61"/>
        <v>6</v>
      </c>
    </row>
    <row r="96" spans="1:62" s="21" customFormat="1" ht="15.95" customHeight="1">
      <c r="A96" s="163">
        <v>14</v>
      </c>
      <c r="B96" s="9" t="s">
        <v>624</v>
      </c>
      <c r="C96" s="10" t="s">
        <v>625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22">
        <f t="shared" si="56"/>
        <v>0</v>
      </c>
      <c r="AC96" s="25">
        <v>0</v>
      </c>
      <c r="AD96" s="24"/>
      <c r="AE96" s="24"/>
      <c r="AF96" s="24"/>
      <c r="AG96" s="24"/>
      <c r="AH96" s="24">
        <v>1</v>
      </c>
      <c r="AI96" s="24"/>
      <c r="AJ96" s="24"/>
      <c r="AK96" s="24"/>
      <c r="AL96" s="24">
        <v>9</v>
      </c>
      <c r="AM96" s="24"/>
      <c r="AN96" s="24"/>
      <c r="AO96" s="24"/>
      <c r="AP96" s="24">
        <f>3+15</f>
        <v>18</v>
      </c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2">
        <f t="shared" si="57"/>
        <v>28</v>
      </c>
      <c r="BC96" s="23">
        <v>40</v>
      </c>
      <c r="BD96" s="130">
        <f t="shared" si="58"/>
        <v>28</v>
      </c>
      <c r="BE96" s="130">
        <f t="shared" si="59"/>
        <v>40</v>
      </c>
      <c r="BF96" s="195">
        <f t="shared" si="60"/>
        <v>70</v>
      </c>
      <c r="BG96" s="373">
        <f t="shared" si="61"/>
        <v>12</v>
      </c>
    </row>
    <row r="97" spans="1:59" s="21" customFormat="1" ht="15.95" customHeight="1">
      <c r="A97" s="163">
        <v>15</v>
      </c>
      <c r="B97" s="9" t="s">
        <v>647</v>
      </c>
      <c r="C97" s="10" t="s">
        <v>648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22">
        <f t="shared" si="56"/>
        <v>0</v>
      </c>
      <c r="AC97" s="25">
        <v>0</v>
      </c>
      <c r="AD97" s="24"/>
      <c r="AE97" s="24"/>
      <c r="AF97" s="24"/>
      <c r="AG97" s="24"/>
      <c r="AH97" s="24"/>
      <c r="AI97" s="24"/>
      <c r="AJ97" s="24"/>
      <c r="AK97" s="24"/>
      <c r="AL97" s="24">
        <v>1</v>
      </c>
      <c r="AM97" s="24"/>
      <c r="AN97" s="24"/>
      <c r="AO97" s="24"/>
      <c r="AP97" s="24">
        <v>1</v>
      </c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2">
        <f t="shared" si="57"/>
        <v>2</v>
      </c>
      <c r="BC97" s="23">
        <v>2</v>
      </c>
      <c r="BD97" s="130">
        <f t="shared" si="58"/>
        <v>2</v>
      </c>
      <c r="BE97" s="130">
        <f t="shared" si="59"/>
        <v>2</v>
      </c>
      <c r="BF97" s="195">
        <f t="shared" si="60"/>
        <v>100</v>
      </c>
      <c r="BG97" s="373">
        <f t="shared" si="61"/>
        <v>0</v>
      </c>
    </row>
    <row r="98" spans="1:59" s="21" customFormat="1" ht="15.95" customHeight="1">
      <c r="A98" s="163">
        <v>16</v>
      </c>
      <c r="B98" s="9" t="s">
        <v>626</v>
      </c>
      <c r="C98" s="10" t="s">
        <v>627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22">
        <f t="shared" si="56"/>
        <v>0</v>
      </c>
      <c r="AC98" s="25">
        <v>0</v>
      </c>
      <c r="AD98" s="24"/>
      <c r="AE98" s="24"/>
      <c r="AF98" s="24"/>
      <c r="AG98" s="24"/>
      <c r="AH98" s="24"/>
      <c r="AI98" s="24"/>
      <c r="AJ98" s="24"/>
      <c r="AK98" s="24"/>
      <c r="AL98" s="24">
        <v>4</v>
      </c>
      <c r="AM98" s="24"/>
      <c r="AN98" s="24"/>
      <c r="AO98" s="24"/>
      <c r="AP98" s="24">
        <v>1</v>
      </c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2">
        <f t="shared" si="57"/>
        <v>5</v>
      </c>
      <c r="BC98" s="23">
        <v>18</v>
      </c>
      <c r="BD98" s="130">
        <f t="shared" si="58"/>
        <v>5</v>
      </c>
      <c r="BE98" s="130">
        <f t="shared" si="59"/>
        <v>18</v>
      </c>
      <c r="BF98" s="195">
        <f t="shared" si="60"/>
        <v>27.777777777777779</v>
      </c>
      <c r="BG98" s="373">
        <f t="shared" si="61"/>
        <v>13</v>
      </c>
    </row>
    <row r="99" spans="1:59" s="21" customFormat="1" ht="15.95" customHeight="1">
      <c r="A99" s="163">
        <v>17</v>
      </c>
      <c r="B99" s="9" t="s">
        <v>175</v>
      </c>
      <c r="C99" s="10" t="s">
        <v>3330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22">
        <f t="shared" si="56"/>
        <v>0</v>
      </c>
      <c r="AC99" s="25">
        <v>0</v>
      </c>
      <c r="AD99" s="24"/>
      <c r="AE99" s="24"/>
      <c r="AF99" s="24"/>
      <c r="AG99" s="24"/>
      <c r="AH99" s="24"/>
      <c r="AI99" s="24"/>
      <c r="AJ99" s="24"/>
      <c r="AK99" s="24"/>
      <c r="AL99" s="24">
        <v>1</v>
      </c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2">
        <f t="shared" si="57"/>
        <v>1</v>
      </c>
      <c r="BC99" s="23">
        <v>1</v>
      </c>
      <c r="BD99" s="130">
        <f t="shared" si="58"/>
        <v>1</v>
      </c>
      <c r="BE99" s="130">
        <f t="shared" si="59"/>
        <v>1</v>
      </c>
      <c r="BF99" s="195">
        <f t="shared" si="60"/>
        <v>100</v>
      </c>
      <c r="BG99" s="373">
        <f t="shared" si="61"/>
        <v>0</v>
      </c>
    </row>
    <row r="100" spans="1:59" s="21" customFormat="1" ht="15.95" customHeight="1">
      <c r="A100" s="163">
        <v>18</v>
      </c>
      <c r="B100" s="9" t="s">
        <v>177</v>
      </c>
      <c r="C100" s="10" t="s">
        <v>178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22">
        <f t="shared" si="56"/>
        <v>0</v>
      </c>
      <c r="AC100" s="25">
        <v>0</v>
      </c>
      <c r="AD100" s="24"/>
      <c r="AE100" s="24"/>
      <c r="AF100" s="24"/>
      <c r="AG100" s="24"/>
      <c r="AH100" s="24">
        <v>1</v>
      </c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2">
        <f t="shared" si="57"/>
        <v>1</v>
      </c>
      <c r="BC100" s="23">
        <v>0</v>
      </c>
      <c r="BD100" s="130">
        <f t="shared" si="58"/>
        <v>1</v>
      </c>
      <c r="BE100" s="130">
        <f t="shared" si="59"/>
        <v>0</v>
      </c>
      <c r="BF100" s="195" t="e">
        <f t="shared" si="60"/>
        <v>#DIV/0!</v>
      </c>
      <c r="BG100" s="373"/>
    </row>
    <row r="101" spans="1:59" s="21" customFormat="1" ht="15.95" customHeight="1">
      <c r="A101" s="163">
        <v>19</v>
      </c>
      <c r="B101" s="9" t="s">
        <v>617</v>
      </c>
      <c r="C101" s="16" t="s">
        <v>618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22">
        <f t="shared" si="56"/>
        <v>0</v>
      </c>
      <c r="AC101" s="25">
        <v>1</v>
      </c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2">
        <f t="shared" si="57"/>
        <v>0</v>
      </c>
      <c r="BC101" s="23">
        <v>7</v>
      </c>
      <c r="BD101" s="130">
        <f t="shared" si="58"/>
        <v>0</v>
      </c>
      <c r="BE101" s="130">
        <f t="shared" si="59"/>
        <v>8</v>
      </c>
      <c r="BF101" s="195">
        <f t="shared" si="60"/>
        <v>0</v>
      </c>
      <c r="BG101" s="373">
        <f>BE101-BD101</f>
        <v>8</v>
      </c>
    </row>
    <row r="102" spans="1:59" s="21" customFormat="1" ht="15.95" customHeight="1">
      <c r="A102" s="163">
        <v>20</v>
      </c>
      <c r="B102" s="9" t="s">
        <v>187</v>
      </c>
      <c r="C102" s="16" t="s">
        <v>188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22">
        <f t="shared" si="56"/>
        <v>0</v>
      </c>
      <c r="AC102" s="25">
        <v>0</v>
      </c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2">
        <f t="shared" si="57"/>
        <v>0</v>
      </c>
      <c r="BC102" s="23">
        <v>1</v>
      </c>
      <c r="BD102" s="130">
        <f t="shared" si="58"/>
        <v>0</v>
      </c>
      <c r="BE102" s="130">
        <f t="shared" si="59"/>
        <v>1</v>
      </c>
      <c r="BF102" s="195">
        <f t="shared" si="60"/>
        <v>0</v>
      </c>
      <c r="BG102" s="373">
        <f>BE102-BD102</f>
        <v>1</v>
      </c>
    </row>
    <row r="103" spans="1:59" s="21" customFormat="1" ht="15.95" customHeight="1">
      <c r="A103" s="163">
        <v>21</v>
      </c>
      <c r="B103" s="9" t="s">
        <v>216</v>
      </c>
      <c r="C103" s="16" t="s">
        <v>217</v>
      </c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22">
        <f t="shared" si="56"/>
        <v>0</v>
      </c>
      <c r="AC103" s="25">
        <v>0</v>
      </c>
      <c r="AD103" s="24"/>
      <c r="AE103" s="24"/>
      <c r="AF103" s="24"/>
      <c r="AG103" s="24"/>
      <c r="AH103" s="24"/>
      <c r="AI103" s="24"/>
      <c r="AJ103" s="24"/>
      <c r="AK103" s="24"/>
      <c r="AL103" s="24">
        <v>1</v>
      </c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2">
        <f t="shared" si="57"/>
        <v>1</v>
      </c>
      <c r="BC103" s="23">
        <v>2</v>
      </c>
      <c r="BD103" s="130">
        <f t="shared" si="58"/>
        <v>1</v>
      </c>
      <c r="BE103" s="130">
        <f t="shared" si="59"/>
        <v>2</v>
      </c>
      <c r="BF103" s="195">
        <f t="shared" si="60"/>
        <v>50</v>
      </c>
      <c r="BG103" s="373">
        <f>BE103-BD103</f>
        <v>1</v>
      </c>
    </row>
    <row r="104" spans="1:59" s="21" customFormat="1" ht="15.95" customHeight="1">
      <c r="A104" s="163">
        <v>22</v>
      </c>
      <c r="B104" s="9" t="s">
        <v>50</v>
      </c>
      <c r="C104" s="11" t="s">
        <v>51</v>
      </c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22">
        <f t="shared" si="56"/>
        <v>0</v>
      </c>
      <c r="AC104" s="25">
        <v>0</v>
      </c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>
        <v>3</v>
      </c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22">
        <f t="shared" si="57"/>
        <v>3</v>
      </c>
      <c r="BC104" s="23">
        <v>5</v>
      </c>
      <c r="BD104" s="130">
        <f t="shared" si="58"/>
        <v>3</v>
      </c>
      <c r="BE104" s="130">
        <f t="shared" si="59"/>
        <v>5</v>
      </c>
      <c r="BF104" s="195">
        <f t="shared" si="60"/>
        <v>60</v>
      </c>
      <c r="BG104" s="373">
        <f>BE104-BD104</f>
        <v>2</v>
      </c>
    </row>
    <row r="105" spans="1:59" s="21" customFormat="1" ht="15.95" customHeight="1">
      <c r="A105" s="163">
        <v>23</v>
      </c>
      <c r="B105" s="9" t="s">
        <v>218</v>
      </c>
      <c r="C105" s="11" t="s">
        <v>219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22">
        <f t="shared" si="56"/>
        <v>0</v>
      </c>
      <c r="AC105" s="25">
        <v>0</v>
      </c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2">
        <f t="shared" si="57"/>
        <v>0</v>
      </c>
      <c r="BC105" s="23">
        <v>1</v>
      </c>
      <c r="BD105" s="130">
        <f t="shared" si="58"/>
        <v>0</v>
      </c>
      <c r="BE105" s="130">
        <f t="shared" si="59"/>
        <v>1</v>
      </c>
      <c r="BF105" s="195">
        <f t="shared" si="60"/>
        <v>0</v>
      </c>
      <c r="BG105" s="373">
        <f>BE105-BD105</f>
        <v>1</v>
      </c>
    </row>
    <row r="106" spans="1:59" s="21" customFormat="1" ht="15.95" customHeight="1">
      <c r="A106" s="163">
        <v>24</v>
      </c>
      <c r="B106" s="9" t="s">
        <v>228</v>
      </c>
      <c r="C106" s="11" t="s">
        <v>229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22">
        <f t="shared" si="56"/>
        <v>0</v>
      </c>
      <c r="AC106" s="25">
        <v>0</v>
      </c>
      <c r="AD106" s="24"/>
      <c r="AE106" s="24"/>
      <c r="AF106" s="24"/>
      <c r="AG106" s="24"/>
      <c r="AH106" s="24"/>
      <c r="AI106" s="24"/>
      <c r="AJ106" s="24"/>
      <c r="AK106" s="24"/>
      <c r="AL106" s="24">
        <v>1</v>
      </c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2">
        <f t="shared" si="57"/>
        <v>1</v>
      </c>
      <c r="BC106" s="23">
        <v>0</v>
      </c>
      <c r="BD106" s="130">
        <f t="shared" si="58"/>
        <v>1</v>
      </c>
      <c r="BE106" s="130">
        <f t="shared" si="59"/>
        <v>0</v>
      </c>
      <c r="BF106" s="195" t="e">
        <f t="shared" si="60"/>
        <v>#DIV/0!</v>
      </c>
      <c r="BG106" s="373"/>
    </row>
    <row r="107" spans="1:59" s="21" customFormat="1" ht="15.95" customHeight="1">
      <c r="A107" s="163">
        <v>25</v>
      </c>
      <c r="B107" s="9" t="s">
        <v>367</v>
      </c>
      <c r="C107" s="11" t="s">
        <v>2444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>
        <v>1</v>
      </c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22">
        <f t="shared" si="56"/>
        <v>1</v>
      </c>
      <c r="AC107" s="25">
        <v>0</v>
      </c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2">
        <f t="shared" si="57"/>
        <v>0</v>
      </c>
      <c r="BC107" s="23">
        <v>1</v>
      </c>
      <c r="BD107" s="130">
        <f t="shared" si="58"/>
        <v>1</v>
      </c>
      <c r="BE107" s="130">
        <f t="shared" si="59"/>
        <v>1</v>
      </c>
      <c r="BF107" s="195">
        <f t="shared" si="60"/>
        <v>100</v>
      </c>
      <c r="BG107" s="373">
        <f t="shared" ref="BG107:BG118" si="62">BE107-BD107</f>
        <v>0</v>
      </c>
    </row>
    <row r="108" spans="1:59" s="21" customFormat="1" ht="15.95" customHeight="1">
      <c r="A108" s="163">
        <v>26</v>
      </c>
      <c r="B108" s="9" t="s">
        <v>244</v>
      </c>
      <c r="C108" s="11" t="s">
        <v>2675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22">
        <f t="shared" si="56"/>
        <v>0</v>
      </c>
      <c r="AC108" s="25">
        <v>1</v>
      </c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2">
        <f t="shared" si="57"/>
        <v>0</v>
      </c>
      <c r="BC108" s="23">
        <v>0</v>
      </c>
      <c r="BD108" s="130">
        <f t="shared" si="58"/>
        <v>0</v>
      </c>
      <c r="BE108" s="130">
        <f t="shared" si="59"/>
        <v>1</v>
      </c>
      <c r="BF108" s="195">
        <f t="shared" si="60"/>
        <v>0</v>
      </c>
      <c r="BG108" s="373">
        <f t="shared" si="62"/>
        <v>1</v>
      </c>
    </row>
    <row r="109" spans="1:59" s="21" customFormat="1" ht="15.95" customHeight="1">
      <c r="A109" s="163">
        <v>27</v>
      </c>
      <c r="B109" s="9" t="s">
        <v>52</v>
      </c>
      <c r="C109" s="11" t="s">
        <v>53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22">
        <f t="shared" si="56"/>
        <v>0</v>
      </c>
      <c r="AC109" s="25">
        <v>0</v>
      </c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>
        <v>1</v>
      </c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2">
        <f t="shared" si="57"/>
        <v>1</v>
      </c>
      <c r="BC109" s="23">
        <v>1</v>
      </c>
      <c r="BD109" s="130">
        <f t="shared" si="58"/>
        <v>1</v>
      </c>
      <c r="BE109" s="130">
        <f t="shared" si="59"/>
        <v>1</v>
      </c>
      <c r="BF109" s="195">
        <f t="shared" si="60"/>
        <v>100</v>
      </c>
      <c r="BG109" s="373">
        <f t="shared" si="62"/>
        <v>0</v>
      </c>
    </row>
    <row r="110" spans="1:59" s="21" customFormat="1" ht="15.95" customHeight="1">
      <c r="A110" s="163">
        <v>28</v>
      </c>
      <c r="B110" s="9" t="s">
        <v>258</v>
      </c>
      <c r="C110" s="11" t="s">
        <v>259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22">
        <f t="shared" si="56"/>
        <v>0</v>
      </c>
      <c r="AC110" s="25">
        <v>0</v>
      </c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2">
        <f t="shared" si="57"/>
        <v>0</v>
      </c>
      <c r="BC110" s="23">
        <v>1</v>
      </c>
      <c r="BD110" s="130">
        <f t="shared" si="58"/>
        <v>0</v>
      </c>
      <c r="BE110" s="130">
        <f t="shared" si="59"/>
        <v>1</v>
      </c>
      <c r="BF110" s="195">
        <f t="shared" si="60"/>
        <v>0</v>
      </c>
      <c r="BG110" s="373">
        <f t="shared" si="62"/>
        <v>1</v>
      </c>
    </row>
    <row r="111" spans="1:59" s="21" customFormat="1" ht="15.95" customHeight="1">
      <c r="A111" s="163">
        <v>29</v>
      </c>
      <c r="B111" s="9" t="s">
        <v>270</v>
      </c>
      <c r="C111" s="11" t="s">
        <v>271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22">
        <f t="shared" si="56"/>
        <v>0</v>
      </c>
      <c r="AC111" s="25">
        <v>0</v>
      </c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2">
        <f t="shared" si="57"/>
        <v>0</v>
      </c>
      <c r="BC111" s="23">
        <v>1</v>
      </c>
      <c r="BD111" s="130">
        <f t="shared" si="58"/>
        <v>0</v>
      </c>
      <c r="BE111" s="130">
        <f t="shared" si="59"/>
        <v>1</v>
      </c>
      <c r="BF111" s="195">
        <f t="shared" si="60"/>
        <v>0</v>
      </c>
      <c r="BG111" s="373">
        <f t="shared" si="62"/>
        <v>1</v>
      </c>
    </row>
    <row r="112" spans="1:59" s="21" customFormat="1" ht="15.95" customHeight="1">
      <c r="A112" s="163">
        <v>30</v>
      </c>
      <c r="B112" s="9" t="s">
        <v>897</v>
      </c>
      <c r="C112" s="11" t="s">
        <v>1916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>
        <v>2</v>
      </c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22">
        <f t="shared" si="56"/>
        <v>2</v>
      </c>
      <c r="AC112" s="25">
        <v>6</v>
      </c>
      <c r="AD112" s="24"/>
      <c r="AE112" s="24"/>
      <c r="AF112" s="24"/>
      <c r="AG112" s="24"/>
      <c r="AH112" s="24"/>
      <c r="AI112" s="24"/>
      <c r="AJ112" s="24"/>
      <c r="AK112" s="24"/>
      <c r="AL112" s="24">
        <v>1</v>
      </c>
      <c r="AM112" s="24"/>
      <c r="AN112" s="24"/>
      <c r="AO112" s="24"/>
      <c r="AP112" s="24">
        <f>1+5</f>
        <v>6</v>
      </c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2">
        <f t="shared" si="57"/>
        <v>7</v>
      </c>
      <c r="BC112" s="23">
        <v>12</v>
      </c>
      <c r="BD112" s="130">
        <f t="shared" si="58"/>
        <v>9</v>
      </c>
      <c r="BE112" s="130">
        <f t="shared" si="59"/>
        <v>18</v>
      </c>
      <c r="BF112" s="195">
        <f t="shared" si="60"/>
        <v>50</v>
      </c>
      <c r="BG112" s="373">
        <f t="shared" si="62"/>
        <v>9</v>
      </c>
    </row>
    <row r="113" spans="1:59" s="21" customFormat="1" ht="15.95" customHeight="1">
      <c r="A113" s="163">
        <v>31</v>
      </c>
      <c r="B113" s="9" t="s">
        <v>1147</v>
      </c>
      <c r="C113" s="11" t="s">
        <v>1148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22">
        <f t="shared" si="56"/>
        <v>0</v>
      </c>
      <c r="AC113" s="25">
        <v>1</v>
      </c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2">
        <f t="shared" si="57"/>
        <v>0</v>
      </c>
      <c r="BC113" s="23">
        <v>1</v>
      </c>
      <c r="BD113" s="130">
        <f t="shared" si="58"/>
        <v>0</v>
      </c>
      <c r="BE113" s="130">
        <f t="shared" si="59"/>
        <v>2</v>
      </c>
      <c r="BF113" s="195">
        <f t="shared" si="60"/>
        <v>0</v>
      </c>
      <c r="BG113" s="373">
        <f t="shared" si="62"/>
        <v>2</v>
      </c>
    </row>
    <row r="114" spans="1:59" s="21" customFormat="1" ht="15.95" customHeight="1">
      <c r="A114" s="163">
        <v>32</v>
      </c>
      <c r="B114" s="9" t="s">
        <v>1149</v>
      </c>
      <c r="C114" s="11" t="s">
        <v>1150</v>
      </c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22">
        <f t="shared" si="56"/>
        <v>0</v>
      </c>
      <c r="AC114" s="25">
        <v>4</v>
      </c>
      <c r="AD114" s="24"/>
      <c r="AE114" s="24"/>
      <c r="AF114" s="24"/>
      <c r="AG114" s="24"/>
      <c r="AH114" s="24"/>
      <c r="AI114" s="24"/>
      <c r="AJ114" s="24"/>
      <c r="AK114" s="24"/>
      <c r="AL114" s="24">
        <v>1</v>
      </c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2">
        <f t="shared" si="57"/>
        <v>1</v>
      </c>
      <c r="BC114" s="23">
        <v>0</v>
      </c>
      <c r="BD114" s="130">
        <f t="shared" si="58"/>
        <v>1</v>
      </c>
      <c r="BE114" s="130">
        <f t="shared" si="59"/>
        <v>4</v>
      </c>
      <c r="BF114" s="195">
        <f t="shared" si="60"/>
        <v>25</v>
      </c>
      <c r="BG114" s="373">
        <f t="shared" si="62"/>
        <v>3</v>
      </c>
    </row>
    <row r="115" spans="1:59" s="21" customFormat="1" ht="15.95" customHeight="1">
      <c r="A115" s="163">
        <v>33</v>
      </c>
      <c r="B115" s="9" t="s">
        <v>54</v>
      </c>
      <c r="C115" s="11" t="s">
        <v>55</v>
      </c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22">
        <f t="shared" ref="AB115:AB146" si="63">SUM(D115:AA115)</f>
        <v>0</v>
      </c>
      <c r="AC115" s="25">
        <v>0</v>
      </c>
      <c r="AD115" s="24"/>
      <c r="AE115" s="24"/>
      <c r="AF115" s="24"/>
      <c r="AG115" s="24"/>
      <c r="AH115" s="24"/>
      <c r="AI115" s="24"/>
      <c r="AJ115" s="24"/>
      <c r="AK115" s="24"/>
      <c r="AL115" s="24">
        <v>1</v>
      </c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2">
        <f t="shared" ref="BB115:BB146" si="64">SUM(AD115:BA115)</f>
        <v>1</v>
      </c>
      <c r="BC115" s="23">
        <v>4</v>
      </c>
      <c r="BD115" s="130">
        <f t="shared" ref="BD115:BD146" si="65">AB115+BB115</f>
        <v>1</v>
      </c>
      <c r="BE115" s="130">
        <f t="shared" ref="BE115:BE146" si="66">AC115+BC115</f>
        <v>4</v>
      </c>
      <c r="BF115" s="195">
        <f t="shared" ref="BF115:BF146" si="67">BD115/BE115*100</f>
        <v>25</v>
      </c>
      <c r="BG115" s="373">
        <f t="shared" si="62"/>
        <v>3</v>
      </c>
    </row>
    <row r="116" spans="1:59" s="21" customFormat="1" ht="15.95" customHeight="1">
      <c r="A116" s="163">
        <v>34</v>
      </c>
      <c r="B116" s="9" t="s">
        <v>127</v>
      </c>
      <c r="C116" s="11" t="s">
        <v>128</v>
      </c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22">
        <f t="shared" si="63"/>
        <v>0</v>
      </c>
      <c r="AC116" s="25">
        <v>0</v>
      </c>
      <c r="AD116" s="24"/>
      <c r="AE116" s="24"/>
      <c r="AF116" s="24"/>
      <c r="AG116" s="24"/>
      <c r="AH116" s="24"/>
      <c r="AI116" s="24"/>
      <c r="AJ116" s="24"/>
      <c r="AK116" s="24"/>
      <c r="AL116" s="24">
        <v>1</v>
      </c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2">
        <f t="shared" si="64"/>
        <v>1</v>
      </c>
      <c r="BC116" s="23">
        <v>1</v>
      </c>
      <c r="BD116" s="130">
        <f t="shared" si="65"/>
        <v>1</v>
      </c>
      <c r="BE116" s="130">
        <f t="shared" si="66"/>
        <v>1</v>
      </c>
      <c r="BF116" s="195">
        <f t="shared" si="67"/>
        <v>100</v>
      </c>
      <c r="BG116" s="373">
        <f t="shared" si="62"/>
        <v>0</v>
      </c>
    </row>
    <row r="117" spans="1:59" s="21" customFormat="1" ht="15.95" customHeight="1">
      <c r="A117" s="163">
        <v>35</v>
      </c>
      <c r="B117" s="9" t="s">
        <v>1151</v>
      </c>
      <c r="C117" s="11" t="s">
        <v>1917</v>
      </c>
      <c r="D117" s="14"/>
      <c r="E117" s="14"/>
      <c r="F117" s="14"/>
      <c r="G117" s="14"/>
      <c r="H117" s="14"/>
      <c r="I117" s="14"/>
      <c r="J117" s="14"/>
      <c r="K117" s="14"/>
      <c r="L117" s="14">
        <v>1</v>
      </c>
      <c r="M117" s="14"/>
      <c r="N117" s="14"/>
      <c r="O117" s="14"/>
      <c r="P117" s="14">
        <v>1</v>
      </c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22">
        <f t="shared" si="63"/>
        <v>2</v>
      </c>
      <c r="AC117" s="25">
        <v>10</v>
      </c>
      <c r="AD117" s="24"/>
      <c r="AE117" s="24"/>
      <c r="AF117" s="24"/>
      <c r="AG117" s="24"/>
      <c r="AH117" s="24"/>
      <c r="AI117" s="24"/>
      <c r="AJ117" s="24"/>
      <c r="AK117" s="24"/>
      <c r="AL117" s="24">
        <v>1</v>
      </c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2">
        <f t="shared" si="64"/>
        <v>1</v>
      </c>
      <c r="BC117" s="23">
        <v>0</v>
      </c>
      <c r="BD117" s="130">
        <f t="shared" si="65"/>
        <v>3</v>
      </c>
      <c r="BE117" s="130">
        <f t="shared" si="66"/>
        <v>10</v>
      </c>
      <c r="BF117" s="195">
        <f t="shared" si="67"/>
        <v>30</v>
      </c>
      <c r="BG117" s="373">
        <f t="shared" si="62"/>
        <v>7</v>
      </c>
    </row>
    <row r="118" spans="1:59" s="21" customFormat="1" ht="15.95" customHeight="1">
      <c r="A118" s="163">
        <v>36</v>
      </c>
      <c r="B118" s="9" t="s">
        <v>56</v>
      </c>
      <c r="C118" s="11" t="s">
        <v>57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>
        <v>2</v>
      </c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22">
        <f t="shared" si="63"/>
        <v>2</v>
      </c>
      <c r="AC118" s="25">
        <v>3</v>
      </c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2">
        <f t="shared" si="64"/>
        <v>0</v>
      </c>
      <c r="BC118" s="23">
        <v>2</v>
      </c>
      <c r="BD118" s="130">
        <f t="shared" si="65"/>
        <v>2</v>
      </c>
      <c r="BE118" s="130">
        <f t="shared" si="66"/>
        <v>5</v>
      </c>
      <c r="BF118" s="195">
        <f t="shared" si="67"/>
        <v>40</v>
      </c>
      <c r="BG118" s="373">
        <f t="shared" si="62"/>
        <v>3</v>
      </c>
    </row>
    <row r="119" spans="1:59" s="21" customFormat="1" ht="15.95" customHeight="1">
      <c r="A119" s="163">
        <v>37</v>
      </c>
      <c r="B119" s="9" t="s">
        <v>3384</v>
      </c>
      <c r="C119" s="11" t="s">
        <v>3385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22">
        <f t="shared" si="63"/>
        <v>0</v>
      </c>
      <c r="AC119" s="25">
        <v>0</v>
      </c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2">
        <f t="shared" si="64"/>
        <v>0</v>
      </c>
      <c r="BC119" s="23">
        <v>1</v>
      </c>
      <c r="BD119" s="130">
        <f t="shared" si="65"/>
        <v>0</v>
      </c>
      <c r="BE119" s="130">
        <f t="shared" si="66"/>
        <v>1</v>
      </c>
      <c r="BF119" s="195">
        <f t="shared" si="67"/>
        <v>0</v>
      </c>
      <c r="BG119" s="373"/>
    </row>
    <row r="120" spans="1:59" s="21" customFormat="1" ht="15.95" customHeight="1">
      <c r="A120" s="163">
        <v>38</v>
      </c>
      <c r="B120" s="9" t="s">
        <v>2309</v>
      </c>
      <c r="C120" s="11" t="s">
        <v>2310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22">
        <f t="shared" si="63"/>
        <v>0</v>
      </c>
      <c r="AC120" s="25">
        <v>0</v>
      </c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2">
        <f t="shared" si="64"/>
        <v>0</v>
      </c>
      <c r="BC120" s="23">
        <v>3</v>
      </c>
      <c r="BD120" s="130">
        <f t="shared" si="65"/>
        <v>0</v>
      </c>
      <c r="BE120" s="130">
        <f t="shared" si="66"/>
        <v>3</v>
      </c>
      <c r="BF120" s="195">
        <f t="shared" si="67"/>
        <v>0</v>
      </c>
      <c r="BG120" s="373">
        <f t="shared" ref="BG120:BG137" si="68">BE120-BD120</f>
        <v>3</v>
      </c>
    </row>
    <row r="121" spans="1:59" s="21" customFormat="1" ht="15.95" customHeight="1">
      <c r="A121" s="163">
        <v>39</v>
      </c>
      <c r="B121" s="9" t="s">
        <v>58</v>
      </c>
      <c r="C121" s="11" t="s">
        <v>59</v>
      </c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22">
        <f t="shared" si="63"/>
        <v>0</v>
      </c>
      <c r="AC121" s="25">
        <v>0</v>
      </c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2">
        <f t="shared" si="64"/>
        <v>0</v>
      </c>
      <c r="BC121" s="23">
        <v>5</v>
      </c>
      <c r="BD121" s="130">
        <f t="shared" si="65"/>
        <v>0</v>
      </c>
      <c r="BE121" s="130">
        <f t="shared" si="66"/>
        <v>5</v>
      </c>
      <c r="BF121" s="195">
        <f t="shared" si="67"/>
        <v>0</v>
      </c>
      <c r="BG121" s="373">
        <f t="shared" si="68"/>
        <v>5</v>
      </c>
    </row>
    <row r="122" spans="1:59" s="21" customFormat="1" ht="15.95" customHeight="1">
      <c r="A122" s="163">
        <v>40</v>
      </c>
      <c r="B122" s="9" t="s">
        <v>630</v>
      </c>
      <c r="C122" s="11" t="s">
        <v>2231</v>
      </c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22">
        <f t="shared" si="63"/>
        <v>0</v>
      </c>
      <c r="AC122" s="25">
        <v>0</v>
      </c>
      <c r="AD122" s="24"/>
      <c r="AE122" s="24"/>
      <c r="AF122" s="24"/>
      <c r="AG122" s="24"/>
      <c r="AH122" s="24"/>
      <c r="AI122" s="24"/>
      <c r="AJ122" s="24"/>
      <c r="AK122" s="24"/>
      <c r="AL122" s="24">
        <v>8</v>
      </c>
      <c r="AM122" s="24"/>
      <c r="AN122" s="24"/>
      <c r="AO122" s="24"/>
      <c r="AP122" s="24">
        <f>1+5</f>
        <v>6</v>
      </c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2">
        <f t="shared" si="64"/>
        <v>14</v>
      </c>
      <c r="BC122" s="23">
        <v>65</v>
      </c>
      <c r="BD122" s="130">
        <f t="shared" si="65"/>
        <v>14</v>
      </c>
      <c r="BE122" s="130">
        <f t="shared" si="66"/>
        <v>65</v>
      </c>
      <c r="BF122" s="195">
        <f t="shared" si="67"/>
        <v>21.53846153846154</v>
      </c>
      <c r="BG122" s="373">
        <f t="shared" si="68"/>
        <v>51</v>
      </c>
    </row>
    <row r="123" spans="1:59" s="21" customFormat="1" ht="15.95" customHeight="1">
      <c r="A123" s="163">
        <v>41</v>
      </c>
      <c r="B123" s="9" t="s">
        <v>61</v>
      </c>
      <c r="C123" s="11" t="s">
        <v>60</v>
      </c>
      <c r="D123" s="14"/>
      <c r="E123" s="14"/>
      <c r="F123" s="14"/>
      <c r="G123" s="14"/>
      <c r="H123" s="14"/>
      <c r="I123" s="14"/>
      <c r="J123" s="14"/>
      <c r="K123" s="14"/>
      <c r="L123" s="14">
        <v>1</v>
      </c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22">
        <f t="shared" si="63"/>
        <v>1</v>
      </c>
      <c r="AC123" s="25">
        <v>0</v>
      </c>
      <c r="AD123" s="24"/>
      <c r="AE123" s="24"/>
      <c r="AF123" s="24"/>
      <c r="AG123" s="24"/>
      <c r="AH123" s="24"/>
      <c r="AI123" s="24"/>
      <c r="AJ123" s="24"/>
      <c r="AK123" s="24"/>
      <c r="AL123" s="24">
        <v>2</v>
      </c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2">
        <f t="shared" si="64"/>
        <v>2</v>
      </c>
      <c r="BC123" s="23">
        <v>4</v>
      </c>
      <c r="BD123" s="130">
        <f t="shared" si="65"/>
        <v>3</v>
      </c>
      <c r="BE123" s="130">
        <f t="shared" si="66"/>
        <v>4</v>
      </c>
      <c r="BF123" s="195">
        <f t="shared" si="67"/>
        <v>75</v>
      </c>
      <c r="BG123" s="373">
        <f t="shared" si="68"/>
        <v>1</v>
      </c>
    </row>
    <row r="124" spans="1:59" s="21" customFormat="1" ht="15.95" customHeight="1">
      <c r="A124" s="163">
        <v>42</v>
      </c>
      <c r="B124" s="9" t="s">
        <v>62</v>
      </c>
      <c r="C124" s="11" t="s">
        <v>63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22">
        <f t="shared" si="63"/>
        <v>0</v>
      </c>
      <c r="AC124" s="25">
        <v>1</v>
      </c>
      <c r="AD124" s="24"/>
      <c r="AE124" s="24"/>
      <c r="AF124" s="24"/>
      <c r="AG124" s="24"/>
      <c r="AH124" s="24"/>
      <c r="AI124" s="24"/>
      <c r="AJ124" s="24"/>
      <c r="AK124" s="24"/>
      <c r="AL124" s="24">
        <v>1</v>
      </c>
      <c r="AM124" s="24"/>
      <c r="AN124" s="24"/>
      <c r="AO124" s="24"/>
      <c r="AP124" s="24">
        <v>1</v>
      </c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2">
        <f t="shared" si="64"/>
        <v>2</v>
      </c>
      <c r="BC124" s="23">
        <v>3</v>
      </c>
      <c r="BD124" s="130">
        <f t="shared" si="65"/>
        <v>2</v>
      </c>
      <c r="BE124" s="130">
        <f t="shared" si="66"/>
        <v>4</v>
      </c>
      <c r="BF124" s="195">
        <f t="shared" si="67"/>
        <v>50</v>
      </c>
      <c r="BG124" s="373">
        <f t="shared" si="68"/>
        <v>2</v>
      </c>
    </row>
    <row r="125" spans="1:59" s="21" customFormat="1" ht="15.95" customHeight="1">
      <c r="A125" s="163">
        <v>43</v>
      </c>
      <c r="B125" s="9" t="s">
        <v>64</v>
      </c>
      <c r="C125" s="11" t="s">
        <v>65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22">
        <f t="shared" si="63"/>
        <v>0</v>
      </c>
      <c r="AC125" s="25">
        <v>0</v>
      </c>
      <c r="AD125" s="24"/>
      <c r="AE125" s="24"/>
      <c r="AF125" s="24"/>
      <c r="AG125" s="24"/>
      <c r="AH125" s="24"/>
      <c r="AI125" s="24"/>
      <c r="AJ125" s="24"/>
      <c r="AK125" s="24"/>
      <c r="AL125" s="24">
        <v>1</v>
      </c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2">
        <f t="shared" si="64"/>
        <v>1</v>
      </c>
      <c r="BC125" s="23">
        <v>3</v>
      </c>
      <c r="BD125" s="130">
        <f t="shared" si="65"/>
        <v>1</v>
      </c>
      <c r="BE125" s="130">
        <f t="shared" si="66"/>
        <v>3</v>
      </c>
      <c r="BF125" s="195">
        <f t="shared" si="67"/>
        <v>33.333333333333329</v>
      </c>
      <c r="BG125" s="373">
        <f t="shared" si="68"/>
        <v>2</v>
      </c>
    </row>
    <row r="126" spans="1:59" s="21" customFormat="1" ht="15.95" customHeight="1">
      <c r="A126" s="163">
        <v>44</v>
      </c>
      <c r="B126" s="9" t="s">
        <v>2845</v>
      </c>
      <c r="C126" s="11" t="s">
        <v>2846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22">
        <f t="shared" si="63"/>
        <v>0</v>
      </c>
      <c r="AC126" s="25">
        <v>0</v>
      </c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2">
        <f t="shared" si="64"/>
        <v>0</v>
      </c>
      <c r="BC126" s="23">
        <v>2</v>
      </c>
      <c r="BD126" s="130">
        <f t="shared" si="65"/>
        <v>0</v>
      </c>
      <c r="BE126" s="130">
        <f t="shared" si="66"/>
        <v>2</v>
      </c>
      <c r="BF126" s="195">
        <f t="shared" si="67"/>
        <v>0</v>
      </c>
      <c r="BG126" s="373">
        <f t="shared" si="68"/>
        <v>2</v>
      </c>
    </row>
    <row r="127" spans="1:59" s="21" customFormat="1" ht="15.95" customHeight="1">
      <c r="A127" s="163">
        <v>45</v>
      </c>
      <c r="B127" s="9" t="s">
        <v>675</v>
      </c>
      <c r="C127" s="11" t="s">
        <v>676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22">
        <f t="shared" si="63"/>
        <v>0</v>
      </c>
      <c r="AC127" s="25">
        <v>0</v>
      </c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2">
        <f t="shared" si="64"/>
        <v>0</v>
      </c>
      <c r="BC127" s="23">
        <v>4</v>
      </c>
      <c r="BD127" s="130">
        <f t="shared" si="65"/>
        <v>0</v>
      </c>
      <c r="BE127" s="130">
        <f t="shared" si="66"/>
        <v>4</v>
      </c>
      <c r="BF127" s="195">
        <f t="shared" si="67"/>
        <v>0</v>
      </c>
      <c r="BG127" s="373">
        <f t="shared" si="68"/>
        <v>4</v>
      </c>
    </row>
    <row r="128" spans="1:59" s="21" customFormat="1" ht="15.95" customHeight="1">
      <c r="A128" s="163">
        <v>46</v>
      </c>
      <c r="B128" s="9" t="s">
        <v>1152</v>
      </c>
      <c r="C128" s="11" t="s">
        <v>1153</v>
      </c>
      <c r="D128" s="14"/>
      <c r="E128" s="14"/>
      <c r="F128" s="14"/>
      <c r="G128" s="14"/>
      <c r="H128" s="14">
        <v>1</v>
      </c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22">
        <f t="shared" si="63"/>
        <v>1</v>
      </c>
      <c r="AC128" s="25">
        <v>0</v>
      </c>
      <c r="AD128" s="24"/>
      <c r="AE128" s="24"/>
      <c r="AF128" s="24"/>
      <c r="AG128" s="24"/>
      <c r="AH128" s="24"/>
      <c r="AI128" s="24"/>
      <c r="AJ128" s="24"/>
      <c r="AK128" s="24"/>
      <c r="AL128" s="24">
        <v>1</v>
      </c>
      <c r="AM128" s="24"/>
      <c r="AN128" s="24"/>
      <c r="AO128" s="24"/>
      <c r="AP128" s="24">
        <v>1</v>
      </c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2">
        <f t="shared" si="64"/>
        <v>2</v>
      </c>
      <c r="BC128" s="23">
        <v>5</v>
      </c>
      <c r="BD128" s="130">
        <f t="shared" si="65"/>
        <v>3</v>
      </c>
      <c r="BE128" s="130">
        <f t="shared" si="66"/>
        <v>5</v>
      </c>
      <c r="BF128" s="195">
        <f t="shared" si="67"/>
        <v>60</v>
      </c>
      <c r="BG128" s="373">
        <f t="shared" si="68"/>
        <v>2</v>
      </c>
    </row>
    <row r="129" spans="1:59" s="21" customFormat="1" ht="15.95" customHeight="1">
      <c r="A129" s="163">
        <v>47</v>
      </c>
      <c r="B129" s="9" t="s">
        <v>66</v>
      </c>
      <c r="C129" s="11" t="s">
        <v>67</v>
      </c>
      <c r="D129" s="14"/>
      <c r="E129" s="14"/>
      <c r="F129" s="14"/>
      <c r="G129" s="14"/>
      <c r="H129" s="14"/>
      <c r="I129" s="14"/>
      <c r="J129" s="14"/>
      <c r="K129" s="14"/>
      <c r="L129" s="14">
        <v>4</v>
      </c>
      <c r="M129" s="14"/>
      <c r="N129" s="14"/>
      <c r="O129" s="14"/>
      <c r="P129" s="14">
        <v>4</v>
      </c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22">
        <f t="shared" si="63"/>
        <v>8</v>
      </c>
      <c r="AC129" s="25">
        <v>52</v>
      </c>
      <c r="AD129" s="24"/>
      <c r="AE129" s="24"/>
      <c r="AF129" s="24"/>
      <c r="AG129" s="24"/>
      <c r="AH129" s="24">
        <f>11+2</f>
        <v>13</v>
      </c>
      <c r="AI129" s="24"/>
      <c r="AJ129" s="24"/>
      <c r="AK129" s="24"/>
      <c r="AL129" s="24">
        <f>43+2</f>
        <v>45</v>
      </c>
      <c r="AM129" s="24"/>
      <c r="AN129" s="24"/>
      <c r="AO129" s="24"/>
      <c r="AP129" s="24">
        <f>16+12+4</f>
        <v>32</v>
      </c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2">
        <f t="shared" si="64"/>
        <v>90</v>
      </c>
      <c r="BC129" s="23">
        <v>209</v>
      </c>
      <c r="BD129" s="130">
        <f t="shared" si="65"/>
        <v>98</v>
      </c>
      <c r="BE129" s="130">
        <f t="shared" si="66"/>
        <v>261</v>
      </c>
      <c r="BF129" s="195">
        <f t="shared" si="67"/>
        <v>37.547892720306514</v>
      </c>
      <c r="BG129" s="373">
        <f t="shared" si="68"/>
        <v>163</v>
      </c>
    </row>
    <row r="130" spans="1:59" s="21" customFormat="1" ht="15.95" customHeight="1">
      <c r="A130" s="163">
        <v>48</v>
      </c>
      <c r="B130" s="9" t="s">
        <v>68</v>
      </c>
      <c r="C130" s="11" t="s">
        <v>69</v>
      </c>
      <c r="D130" s="14"/>
      <c r="E130" s="14"/>
      <c r="F130" s="14"/>
      <c r="G130" s="14"/>
      <c r="H130" s="14">
        <v>1</v>
      </c>
      <c r="I130" s="14"/>
      <c r="J130" s="14"/>
      <c r="K130" s="14"/>
      <c r="L130" s="14">
        <v>5</v>
      </c>
      <c r="M130" s="14"/>
      <c r="N130" s="14"/>
      <c r="O130" s="14"/>
      <c r="P130" s="14">
        <v>2</v>
      </c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22">
        <f t="shared" si="63"/>
        <v>8</v>
      </c>
      <c r="AC130" s="25">
        <v>11</v>
      </c>
      <c r="AD130" s="24"/>
      <c r="AE130" s="24"/>
      <c r="AF130" s="24"/>
      <c r="AG130" s="24"/>
      <c r="AH130" s="24">
        <v>3</v>
      </c>
      <c r="AI130" s="24"/>
      <c r="AJ130" s="24"/>
      <c r="AK130" s="24"/>
      <c r="AL130" s="24">
        <f>8+1</f>
        <v>9</v>
      </c>
      <c r="AM130" s="24"/>
      <c r="AN130" s="24"/>
      <c r="AO130" s="24"/>
      <c r="AP130" s="24">
        <v>4</v>
      </c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2">
        <f t="shared" si="64"/>
        <v>16</v>
      </c>
      <c r="BC130" s="23">
        <v>56</v>
      </c>
      <c r="BD130" s="130">
        <f t="shared" si="65"/>
        <v>24</v>
      </c>
      <c r="BE130" s="130">
        <f t="shared" si="66"/>
        <v>67</v>
      </c>
      <c r="BF130" s="195">
        <f t="shared" si="67"/>
        <v>35.820895522388057</v>
      </c>
      <c r="BG130" s="373">
        <f t="shared" si="68"/>
        <v>43</v>
      </c>
    </row>
    <row r="131" spans="1:59" s="21" customFormat="1" ht="15.95" customHeight="1">
      <c r="A131" s="163">
        <v>49</v>
      </c>
      <c r="B131" s="9" t="s">
        <v>1154</v>
      </c>
      <c r="C131" s="11" t="s">
        <v>2160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22">
        <f t="shared" si="63"/>
        <v>0</v>
      </c>
      <c r="AC131" s="25">
        <v>0</v>
      </c>
      <c r="AD131" s="24"/>
      <c r="AE131" s="24"/>
      <c r="AF131" s="24"/>
      <c r="AG131" s="24"/>
      <c r="AH131" s="24">
        <v>1</v>
      </c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2">
        <f t="shared" si="64"/>
        <v>1</v>
      </c>
      <c r="BC131" s="23">
        <v>4</v>
      </c>
      <c r="BD131" s="130">
        <f t="shared" si="65"/>
        <v>1</v>
      </c>
      <c r="BE131" s="130">
        <f t="shared" si="66"/>
        <v>4</v>
      </c>
      <c r="BF131" s="195">
        <f t="shared" si="67"/>
        <v>25</v>
      </c>
      <c r="BG131" s="373">
        <f t="shared" si="68"/>
        <v>3</v>
      </c>
    </row>
    <row r="132" spans="1:59" s="21" customFormat="1" ht="15.95" customHeight="1">
      <c r="A132" s="163">
        <v>50</v>
      </c>
      <c r="B132" s="9" t="s">
        <v>70</v>
      </c>
      <c r="C132" s="11" t="s">
        <v>71</v>
      </c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22">
        <f t="shared" si="63"/>
        <v>0</v>
      </c>
      <c r="AC132" s="25">
        <v>0</v>
      </c>
      <c r="AD132" s="24"/>
      <c r="AE132" s="24"/>
      <c r="AF132" s="24"/>
      <c r="AG132" s="24"/>
      <c r="AH132" s="24">
        <v>2</v>
      </c>
      <c r="AI132" s="24"/>
      <c r="AJ132" s="24"/>
      <c r="AK132" s="24"/>
      <c r="AL132" s="24">
        <v>2</v>
      </c>
      <c r="AM132" s="24"/>
      <c r="AN132" s="24"/>
      <c r="AO132" s="24"/>
      <c r="AP132" s="24">
        <v>5</v>
      </c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2">
        <f t="shared" si="64"/>
        <v>9</v>
      </c>
      <c r="BC132" s="23">
        <v>27</v>
      </c>
      <c r="BD132" s="130">
        <f t="shared" si="65"/>
        <v>9</v>
      </c>
      <c r="BE132" s="130">
        <f t="shared" si="66"/>
        <v>27</v>
      </c>
      <c r="BF132" s="195">
        <f t="shared" si="67"/>
        <v>33.333333333333329</v>
      </c>
      <c r="BG132" s="373">
        <f t="shared" si="68"/>
        <v>18</v>
      </c>
    </row>
    <row r="133" spans="1:59" s="21" customFormat="1" ht="15.95" customHeight="1">
      <c r="A133" s="163">
        <v>51</v>
      </c>
      <c r="B133" s="9" t="s">
        <v>72</v>
      </c>
      <c r="C133" s="11" t="s">
        <v>73</v>
      </c>
      <c r="D133" s="14"/>
      <c r="E133" s="14"/>
      <c r="F133" s="14"/>
      <c r="G133" s="14"/>
      <c r="H133" s="14"/>
      <c r="I133" s="14"/>
      <c r="J133" s="14"/>
      <c r="K133" s="14"/>
      <c r="L133" s="14">
        <v>1</v>
      </c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22">
        <f t="shared" si="63"/>
        <v>1</v>
      </c>
      <c r="AC133" s="25">
        <v>3</v>
      </c>
      <c r="AD133" s="24"/>
      <c r="AE133" s="24"/>
      <c r="AF133" s="24"/>
      <c r="AG133" s="24"/>
      <c r="AH133" s="24">
        <v>1</v>
      </c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2">
        <f t="shared" si="64"/>
        <v>1</v>
      </c>
      <c r="BC133" s="23">
        <v>9</v>
      </c>
      <c r="BD133" s="130">
        <f t="shared" si="65"/>
        <v>2</v>
      </c>
      <c r="BE133" s="130">
        <f t="shared" si="66"/>
        <v>12</v>
      </c>
      <c r="BF133" s="195">
        <f t="shared" si="67"/>
        <v>16.666666666666664</v>
      </c>
      <c r="BG133" s="373">
        <f t="shared" si="68"/>
        <v>10</v>
      </c>
    </row>
    <row r="134" spans="1:59" s="21" customFormat="1" ht="15.95" customHeight="1">
      <c r="A134" s="163">
        <v>52</v>
      </c>
      <c r="B134" s="9" t="s">
        <v>2388</v>
      </c>
      <c r="C134" s="11" t="s">
        <v>2389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22">
        <f t="shared" si="63"/>
        <v>0</v>
      </c>
      <c r="AC134" s="25">
        <v>0</v>
      </c>
      <c r="AD134" s="24"/>
      <c r="AE134" s="24"/>
      <c r="AF134" s="24"/>
      <c r="AG134" s="24"/>
      <c r="AH134" s="24">
        <v>2</v>
      </c>
      <c r="AI134" s="24"/>
      <c r="AJ134" s="24"/>
      <c r="AK134" s="24"/>
      <c r="AL134" s="24">
        <v>2</v>
      </c>
      <c r="AM134" s="24"/>
      <c r="AN134" s="24"/>
      <c r="AO134" s="24"/>
      <c r="AP134" s="24">
        <v>2</v>
      </c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2">
        <f t="shared" si="64"/>
        <v>6</v>
      </c>
      <c r="BC134" s="23">
        <v>5</v>
      </c>
      <c r="BD134" s="130">
        <f t="shared" si="65"/>
        <v>6</v>
      </c>
      <c r="BE134" s="130">
        <f t="shared" si="66"/>
        <v>5</v>
      </c>
      <c r="BF134" s="195">
        <f t="shared" si="67"/>
        <v>120</v>
      </c>
      <c r="BG134" s="373">
        <f t="shared" si="68"/>
        <v>-1</v>
      </c>
    </row>
    <row r="135" spans="1:59" s="21" customFormat="1" ht="15.95" customHeight="1">
      <c r="A135" s="163">
        <v>53</v>
      </c>
      <c r="B135" s="9" t="s">
        <v>3120</v>
      </c>
      <c r="C135" s="11" t="s">
        <v>3121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22">
        <f t="shared" si="63"/>
        <v>0</v>
      </c>
      <c r="AC135" s="25">
        <v>0</v>
      </c>
      <c r="AD135" s="24"/>
      <c r="AE135" s="24"/>
      <c r="AF135" s="24"/>
      <c r="AG135" s="24"/>
      <c r="AH135" s="24"/>
      <c r="AI135" s="24"/>
      <c r="AJ135" s="24"/>
      <c r="AK135" s="24"/>
      <c r="AL135" s="24">
        <v>3</v>
      </c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2">
        <f t="shared" si="64"/>
        <v>3</v>
      </c>
      <c r="BC135" s="23">
        <v>2</v>
      </c>
      <c r="BD135" s="130">
        <f t="shared" si="65"/>
        <v>3</v>
      </c>
      <c r="BE135" s="130">
        <f t="shared" si="66"/>
        <v>2</v>
      </c>
      <c r="BF135" s="195">
        <f t="shared" si="67"/>
        <v>150</v>
      </c>
      <c r="BG135" s="373">
        <f t="shared" si="68"/>
        <v>-1</v>
      </c>
    </row>
    <row r="136" spans="1:59" s="21" customFormat="1" ht="15.95" customHeight="1">
      <c r="A136" s="163">
        <v>54</v>
      </c>
      <c r="B136" s="9" t="s">
        <v>3122</v>
      </c>
      <c r="C136" s="11" t="s">
        <v>3123</v>
      </c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22">
        <f t="shared" si="63"/>
        <v>0</v>
      </c>
      <c r="AC136" s="25">
        <v>0</v>
      </c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2">
        <f t="shared" si="64"/>
        <v>0</v>
      </c>
      <c r="BC136" s="23">
        <v>1</v>
      </c>
      <c r="BD136" s="130">
        <f t="shared" si="65"/>
        <v>0</v>
      </c>
      <c r="BE136" s="130">
        <f t="shared" si="66"/>
        <v>1</v>
      </c>
      <c r="BF136" s="195">
        <f t="shared" si="67"/>
        <v>0</v>
      </c>
      <c r="BG136" s="373">
        <f t="shared" si="68"/>
        <v>1</v>
      </c>
    </row>
    <row r="137" spans="1:59" s="21" customFormat="1" ht="15.95" customHeight="1">
      <c r="A137" s="163">
        <v>55</v>
      </c>
      <c r="B137" s="9" t="s">
        <v>2542</v>
      </c>
      <c r="C137" s="11" t="s">
        <v>2543</v>
      </c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22">
        <f t="shared" si="63"/>
        <v>0</v>
      </c>
      <c r="AC137" s="25">
        <v>0</v>
      </c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2">
        <f t="shared" si="64"/>
        <v>0</v>
      </c>
      <c r="BC137" s="23">
        <v>3</v>
      </c>
      <c r="BD137" s="130">
        <f t="shared" si="65"/>
        <v>0</v>
      </c>
      <c r="BE137" s="130">
        <f t="shared" si="66"/>
        <v>3</v>
      </c>
      <c r="BF137" s="195">
        <f t="shared" si="67"/>
        <v>0</v>
      </c>
      <c r="BG137" s="373">
        <f t="shared" si="68"/>
        <v>3</v>
      </c>
    </row>
    <row r="138" spans="1:59" s="21" customFormat="1" ht="15.95" customHeight="1">
      <c r="A138" s="163">
        <v>56</v>
      </c>
      <c r="B138" s="9" t="s">
        <v>2972</v>
      </c>
      <c r="C138" s="11" t="s">
        <v>3898</v>
      </c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22">
        <f t="shared" si="63"/>
        <v>0</v>
      </c>
      <c r="AC138" s="25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>
        <v>1</v>
      </c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2">
        <f t="shared" si="64"/>
        <v>1</v>
      </c>
      <c r="BC138" s="23">
        <v>0</v>
      </c>
      <c r="BD138" s="130">
        <f t="shared" si="65"/>
        <v>1</v>
      </c>
      <c r="BE138" s="130">
        <f t="shared" si="66"/>
        <v>0</v>
      </c>
      <c r="BF138" s="195" t="e">
        <f t="shared" si="67"/>
        <v>#DIV/0!</v>
      </c>
      <c r="BG138" s="373"/>
    </row>
    <row r="139" spans="1:59" s="21" customFormat="1" ht="15.95" customHeight="1">
      <c r="A139" s="163">
        <v>57</v>
      </c>
      <c r="B139" s="9" t="s">
        <v>2438</v>
      </c>
      <c r="C139" s="11" t="s">
        <v>2439</v>
      </c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22">
        <f t="shared" si="63"/>
        <v>0</v>
      </c>
      <c r="AC139" s="25">
        <v>0</v>
      </c>
      <c r="AD139" s="24"/>
      <c r="AE139" s="24"/>
      <c r="AF139" s="24"/>
      <c r="AG139" s="24"/>
      <c r="AH139" s="24"/>
      <c r="AI139" s="24"/>
      <c r="AJ139" s="24"/>
      <c r="AK139" s="24"/>
      <c r="AL139" s="24">
        <v>1</v>
      </c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2">
        <f t="shared" si="64"/>
        <v>1</v>
      </c>
      <c r="BC139" s="23">
        <v>1</v>
      </c>
      <c r="BD139" s="130">
        <f t="shared" si="65"/>
        <v>1</v>
      </c>
      <c r="BE139" s="130">
        <f t="shared" si="66"/>
        <v>1</v>
      </c>
      <c r="BF139" s="195">
        <f t="shared" si="67"/>
        <v>100</v>
      </c>
      <c r="BG139" s="373">
        <f>BE139-BD139</f>
        <v>0</v>
      </c>
    </row>
    <row r="140" spans="1:59" s="21" customFormat="1" ht="15.95" customHeight="1">
      <c r="A140" s="163">
        <v>58</v>
      </c>
      <c r="B140" s="9" t="s">
        <v>74</v>
      </c>
      <c r="C140" s="11" t="s">
        <v>75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22">
        <f t="shared" si="63"/>
        <v>0</v>
      </c>
      <c r="AC140" s="25">
        <v>0</v>
      </c>
      <c r="AD140" s="24"/>
      <c r="AE140" s="24"/>
      <c r="AF140" s="24"/>
      <c r="AG140" s="24"/>
      <c r="AH140" s="24"/>
      <c r="AI140" s="24"/>
      <c r="AJ140" s="24"/>
      <c r="AK140" s="24"/>
      <c r="AL140" s="24">
        <v>5</v>
      </c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2">
        <f t="shared" si="64"/>
        <v>5</v>
      </c>
      <c r="BC140" s="23">
        <v>9</v>
      </c>
      <c r="BD140" s="130">
        <f t="shared" si="65"/>
        <v>5</v>
      </c>
      <c r="BE140" s="130">
        <f t="shared" si="66"/>
        <v>9</v>
      </c>
      <c r="BF140" s="195">
        <f t="shared" si="67"/>
        <v>55.555555555555557</v>
      </c>
      <c r="BG140" s="373">
        <f>BE140-BD140</f>
        <v>4</v>
      </c>
    </row>
    <row r="141" spans="1:59" s="21" customFormat="1" ht="15.95" customHeight="1">
      <c r="A141" s="163">
        <v>59</v>
      </c>
      <c r="B141" s="9" t="s">
        <v>3386</v>
      </c>
      <c r="C141" s="11" t="s">
        <v>3387</v>
      </c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22">
        <f t="shared" si="63"/>
        <v>0</v>
      </c>
      <c r="AC141" s="25">
        <v>0</v>
      </c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2">
        <f t="shared" si="64"/>
        <v>0</v>
      </c>
      <c r="BC141" s="23">
        <v>1</v>
      </c>
      <c r="BD141" s="130">
        <f t="shared" si="65"/>
        <v>0</v>
      </c>
      <c r="BE141" s="130">
        <f t="shared" si="66"/>
        <v>1</v>
      </c>
      <c r="BF141" s="195">
        <f t="shared" si="67"/>
        <v>0</v>
      </c>
      <c r="BG141" s="373">
        <f>BE141-BD141</f>
        <v>1</v>
      </c>
    </row>
    <row r="142" spans="1:59" s="21" customFormat="1" ht="15.95" customHeight="1">
      <c r="A142" s="163">
        <v>60</v>
      </c>
      <c r="B142" s="9" t="s">
        <v>2383</v>
      </c>
      <c r="C142" s="11" t="s">
        <v>2384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22">
        <f t="shared" si="63"/>
        <v>0</v>
      </c>
      <c r="AC142" s="25">
        <v>0</v>
      </c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2">
        <f t="shared" si="64"/>
        <v>0</v>
      </c>
      <c r="BC142" s="23">
        <v>3</v>
      </c>
      <c r="BD142" s="130">
        <f t="shared" si="65"/>
        <v>0</v>
      </c>
      <c r="BE142" s="130">
        <f t="shared" si="66"/>
        <v>3</v>
      </c>
      <c r="BF142" s="195">
        <f t="shared" si="67"/>
        <v>0</v>
      </c>
      <c r="BG142" s="373">
        <f>BE142-BD142</f>
        <v>3</v>
      </c>
    </row>
    <row r="143" spans="1:59" s="21" customFormat="1" ht="15.95" customHeight="1">
      <c r="A143" s="163">
        <v>61</v>
      </c>
      <c r="B143" s="9" t="s">
        <v>3899</v>
      </c>
      <c r="C143" s="11" t="s">
        <v>3900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22">
        <f t="shared" si="63"/>
        <v>0</v>
      </c>
      <c r="AC143" s="25">
        <v>0</v>
      </c>
      <c r="AD143" s="24"/>
      <c r="AE143" s="24"/>
      <c r="AF143" s="24"/>
      <c r="AG143" s="24"/>
      <c r="AH143" s="24"/>
      <c r="AI143" s="24"/>
      <c r="AJ143" s="24"/>
      <c r="AK143" s="24"/>
      <c r="AL143" s="24">
        <v>1</v>
      </c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2">
        <f t="shared" si="64"/>
        <v>1</v>
      </c>
      <c r="BC143" s="23">
        <v>0</v>
      </c>
      <c r="BD143" s="130">
        <f t="shared" si="65"/>
        <v>1</v>
      </c>
      <c r="BE143" s="130">
        <f t="shared" si="66"/>
        <v>0</v>
      </c>
      <c r="BF143" s="195" t="e">
        <f t="shared" si="67"/>
        <v>#DIV/0!</v>
      </c>
      <c r="BG143" s="373"/>
    </row>
    <row r="144" spans="1:59" s="21" customFormat="1" ht="15.95" customHeight="1">
      <c r="A144" s="163">
        <v>62</v>
      </c>
      <c r="B144" s="9" t="s">
        <v>2768</v>
      </c>
      <c r="C144" s="11" t="s">
        <v>3017</v>
      </c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22">
        <f t="shared" si="63"/>
        <v>0</v>
      </c>
      <c r="AC144" s="25">
        <v>0</v>
      </c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2">
        <f t="shared" si="64"/>
        <v>0</v>
      </c>
      <c r="BC144" s="23">
        <v>1</v>
      </c>
      <c r="BD144" s="130">
        <f t="shared" si="65"/>
        <v>0</v>
      </c>
      <c r="BE144" s="130">
        <f t="shared" si="66"/>
        <v>1</v>
      </c>
      <c r="BF144" s="195">
        <f t="shared" si="67"/>
        <v>0</v>
      </c>
      <c r="BG144" s="373">
        <f>BE144-BD144</f>
        <v>1</v>
      </c>
    </row>
    <row r="145" spans="1:59" s="21" customFormat="1" ht="15.95" customHeight="1">
      <c r="A145" s="163">
        <v>63</v>
      </c>
      <c r="B145" s="9" t="s">
        <v>3901</v>
      </c>
      <c r="C145" s="11" t="s">
        <v>3902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22">
        <f t="shared" si="63"/>
        <v>0</v>
      </c>
      <c r="AC145" s="25">
        <v>0</v>
      </c>
      <c r="AD145" s="24"/>
      <c r="AE145" s="24"/>
      <c r="AF145" s="24"/>
      <c r="AG145" s="24"/>
      <c r="AH145" s="24"/>
      <c r="AI145" s="24"/>
      <c r="AJ145" s="24"/>
      <c r="AK145" s="24"/>
      <c r="AL145" s="24">
        <v>1</v>
      </c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2">
        <f t="shared" si="64"/>
        <v>1</v>
      </c>
      <c r="BC145" s="23">
        <v>0</v>
      </c>
      <c r="BD145" s="130">
        <f t="shared" si="65"/>
        <v>1</v>
      </c>
      <c r="BE145" s="130">
        <f t="shared" si="66"/>
        <v>0</v>
      </c>
      <c r="BF145" s="195" t="e">
        <f t="shared" si="67"/>
        <v>#DIV/0!</v>
      </c>
      <c r="BG145" s="373"/>
    </row>
    <row r="146" spans="1:59" s="21" customFormat="1" ht="15.95" customHeight="1">
      <c r="A146" s="163">
        <v>64</v>
      </c>
      <c r="B146" s="9" t="s">
        <v>76</v>
      </c>
      <c r="C146" s="11" t="s">
        <v>77</v>
      </c>
      <c r="D146" s="14"/>
      <c r="E146" s="14"/>
      <c r="F146" s="14"/>
      <c r="G146" s="14"/>
      <c r="H146" s="14">
        <f>5+1</f>
        <v>6</v>
      </c>
      <c r="I146" s="14"/>
      <c r="J146" s="14"/>
      <c r="K146" s="14"/>
      <c r="L146" s="14">
        <f>7+10</f>
        <v>17</v>
      </c>
      <c r="M146" s="14"/>
      <c r="N146" s="14"/>
      <c r="O146" s="14"/>
      <c r="P146" s="14">
        <f>7+2</f>
        <v>9</v>
      </c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22">
        <f t="shared" si="63"/>
        <v>32</v>
      </c>
      <c r="AC146" s="25">
        <v>113</v>
      </c>
      <c r="AD146" s="24"/>
      <c r="AE146" s="24"/>
      <c r="AF146" s="24"/>
      <c r="AG146" s="24"/>
      <c r="AH146" s="24">
        <f>8+9</f>
        <v>17</v>
      </c>
      <c r="AI146" s="24"/>
      <c r="AJ146" s="24"/>
      <c r="AK146" s="24"/>
      <c r="AL146" s="24">
        <f>28+20</f>
        <v>48</v>
      </c>
      <c r="AM146" s="24"/>
      <c r="AN146" s="24"/>
      <c r="AO146" s="24"/>
      <c r="AP146" s="24">
        <f>19+16</f>
        <v>35</v>
      </c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2">
        <f t="shared" si="64"/>
        <v>100</v>
      </c>
      <c r="BC146" s="23">
        <v>364</v>
      </c>
      <c r="BD146" s="130">
        <f t="shared" si="65"/>
        <v>132</v>
      </c>
      <c r="BE146" s="130">
        <f t="shared" si="66"/>
        <v>477</v>
      </c>
      <c r="BF146" s="195">
        <f t="shared" si="67"/>
        <v>27.672955974842768</v>
      </c>
      <c r="BG146" s="373">
        <f t="shared" ref="BG146:BG153" si="69">BE146-BD146</f>
        <v>345</v>
      </c>
    </row>
    <row r="147" spans="1:59" s="21" customFormat="1" ht="15.95" customHeight="1">
      <c r="A147" s="163">
        <v>65</v>
      </c>
      <c r="B147" s="9" t="s">
        <v>78</v>
      </c>
      <c r="C147" s="11" t="s">
        <v>79</v>
      </c>
      <c r="D147" s="14"/>
      <c r="E147" s="14"/>
      <c r="F147" s="14"/>
      <c r="G147" s="14"/>
      <c r="H147" s="14">
        <v>3</v>
      </c>
      <c r="I147" s="14"/>
      <c r="J147" s="14"/>
      <c r="K147" s="14"/>
      <c r="L147" s="14">
        <v>2</v>
      </c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22">
        <f t="shared" ref="AB147:AB178" si="70">SUM(D147:AA147)</f>
        <v>5</v>
      </c>
      <c r="AC147" s="25">
        <v>10</v>
      </c>
      <c r="AD147" s="24"/>
      <c r="AE147" s="24"/>
      <c r="AF147" s="24"/>
      <c r="AG147" s="24"/>
      <c r="AH147" s="24">
        <v>2</v>
      </c>
      <c r="AI147" s="24"/>
      <c r="AJ147" s="24"/>
      <c r="AK147" s="24"/>
      <c r="AL147" s="24">
        <f>1+4</f>
        <v>5</v>
      </c>
      <c r="AM147" s="24"/>
      <c r="AN147" s="24"/>
      <c r="AO147" s="24"/>
      <c r="AP147" s="24">
        <f>1+8</f>
        <v>9</v>
      </c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2">
        <f t="shared" ref="BB147:BB178" si="71">SUM(AD147:BA147)</f>
        <v>16</v>
      </c>
      <c r="BC147" s="23">
        <v>34</v>
      </c>
      <c r="BD147" s="130">
        <f t="shared" ref="BD147:BD178" si="72">AB147+BB147</f>
        <v>21</v>
      </c>
      <c r="BE147" s="130">
        <f t="shared" ref="BE147:BE178" si="73">AC147+BC147</f>
        <v>44</v>
      </c>
      <c r="BF147" s="195">
        <f t="shared" ref="BF147:BF178" si="74">BD147/BE147*100</f>
        <v>47.727272727272727</v>
      </c>
      <c r="BG147" s="373">
        <f t="shared" si="69"/>
        <v>23</v>
      </c>
    </row>
    <row r="148" spans="1:59" s="21" customFormat="1" ht="15.95" customHeight="1">
      <c r="A148" s="163">
        <v>66</v>
      </c>
      <c r="B148" s="9" t="s">
        <v>1155</v>
      </c>
      <c r="C148" s="11" t="s">
        <v>1915</v>
      </c>
      <c r="D148" s="14"/>
      <c r="E148" s="14"/>
      <c r="F148" s="14"/>
      <c r="G148" s="14"/>
      <c r="H148" s="14"/>
      <c r="I148" s="14"/>
      <c r="J148" s="14"/>
      <c r="K148" s="14"/>
      <c r="L148" s="14">
        <f>4+3</f>
        <v>7</v>
      </c>
      <c r="M148" s="14"/>
      <c r="N148" s="14"/>
      <c r="O148" s="14"/>
      <c r="P148" s="14">
        <v>2</v>
      </c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22">
        <f t="shared" si="70"/>
        <v>9</v>
      </c>
      <c r="AC148" s="25">
        <v>18</v>
      </c>
      <c r="AD148" s="24"/>
      <c r="AE148" s="24"/>
      <c r="AF148" s="24"/>
      <c r="AG148" s="24"/>
      <c r="AH148" s="24">
        <f>2+3</f>
        <v>5</v>
      </c>
      <c r="AI148" s="24"/>
      <c r="AJ148" s="24"/>
      <c r="AK148" s="24"/>
      <c r="AL148" s="24">
        <v>7</v>
      </c>
      <c r="AM148" s="24"/>
      <c r="AN148" s="24"/>
      <c r="AO148" s="24"/>
      <c r="AP148" s="24">
        <f>1+4</f>
        <v>5</v>
      </c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2">
        <f t="shared" si="71"/>
        <v>17</v>
      </c>
      <c r="BC148" s="23">
        <v>62</v>
      </c>
      <c r="BD148" s="130">
        <f t="shared" si="72"/>
        <v>26</v>
      </c>
      <c r="BE148" s="130">
        <f t="shared" si="73"/>
        <v>80</v>
      </c>
      <c r="BF148" s="195">
        <f t="shared" si="74"/>
        <v>32.5</v>
      </c>
      <c r="BG148" s="373">
        <f t="shared" si="69"/>
        <v>54</v>
      </c>
    </row>
    <row r="149" spans="1:59" s="21" customFormat="1" ht="15.95" customHeight="1">
      <c r="A149" s="163">
        <v>67</v>
      </c>
      <c r="B149" s="9" t="s">
        <v>80</v>
      </c>
      <c r="C149" s="11" t="s">
        <v>81</v>
      </c>
      <c r="D149" s="14"/>
      <c r="E149" s="14"/>
      <c r="F149" s="14"/>
      <c r="G149" s="14"/>
      <c r="H149" s="14">
        <v>7</v>
      </c>
      <c r="I149" s="14"/>
      <c r="J149" s="14"/>
      <c r="K149" s="14"/>
      <c r="L149" s="14">
        <f>18+2</f>
        <v>20</v>
      </c>
      <c r="M149" s="14"/>
      <c r="N149" s="14"/>
      <c r="O149" s="14"/>
      <c r="P149" s="14">
        <v>9</v>
      </c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22">
        <f t="shared" si="70"/>
        <v>36</v>
      </c>
      <c r="AC149" s="25">
        <v>83</v>
      </c>
      <c r="AD149" s="24"/>
      <c r="AE149" s="24"/>
      <c r="AF149" s="24"/>
      <c r="AG149" s="24"/>
      <c r="AH149" s="24">
        <f>1+7</f>
        <v>8</v>
      </c>
      <c r="AI149" s="24"/>
      <c r="AJ149" s="24"/>
      <c r="AK149" s="24"/>
      <c r="AL149" s="24">
        <f>3+16</f>
        <v>19</v>
      </c>
      <c r="AM149" s="24"/>
      <c r="AN149" s="24"/>
      <c r="AO149" s="24"/>
      <c r="AP149" s="24">
        <f>5+9</f>
        <v>14</v>
      </c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2">
        <f t="shared" si="71"/>
        <v>41</v>
      </c>
      <c r="BC149" s="23">
        <v>182</v>
      </c>
      <c r="BD149" s="130">
        <f t="shared" si="72"/>
        <v>77</v>
      </c>
      <c r="BE149" s="130">
        <f t="shared" si="73"/>
        <v>265</v>
      </c>
      <c r="BF149" s="195">
        <f t="shared" si="74"/>
        <v>29.056603773584904</v>
      </c>
      <c r="BG149" s="373">
        <f t="shared" si="69"/>
        <v>188</v>
      </c>
    </row>
    <row r="150" spans="1:59" s="21" customFormat="1" ht="15.95" customHeight="1">
      <c r="A150" s="163">
        <v>68</v>
      </c>
      <c r="B150" s="9" t="s">
        <v>1156</v>
      </c>
      <c r="C150" s="11" t="s">
        <v>1157</v>
      </c>
      <c r="D150" s="14"/>
      <c r="E150" s="14"/>
      <c r="F150" s="14"/>
      <c r="G150" s="14"/>
      <c r="H150" s="14"/>
      <c r="I150" s="14"/>
      <c r="J150" s="14"/>
      <c r="K150" s="14"/>
      <c r="L150" s="14">
        <v>1</v>
      </c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22">
        <f t="shared" si="70"/>
        <v>1</v>
      </c>
      <c r="AC150" s="25">
        <v>10</v>
      </c>
      <c r="AD150" s="24"/>
      <c r="AE150" s="24"/>
      <c r="AF150" s="24"/>
      <c r="AG150" s="24"/>
      <c r="AH150" s="24">
        <v>3</v>
      </c>
      <c r="AI150" s="24"/>
      <c r="AJ150" s="24"/>
      <c r="AK150" s="24"/>
      <c r="AL150" s="24">
        <v>2</v>
      </c>
      <c r="AM150" s="24"/>
      <c r="AN150" s="24"/>
      <c r="AO150" s="24"/>
      <c r="AP150" s="24">
        <f>4+3</f>
        <v>7</v>
      </c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2">
        <f t="shared" si="71"/>
        <v>12</v>
      </c>
      <c r="BC150" s="23">
        <v>30</v>
      </c>
      <c r="BD150" s="130">
        <f t="shared" si="72"/>
        <v>13</v>
      </c>
      <c r="BE150" s="130">
        <f t="shared" si="73"/>
        <v>40</v>
      </c>
      <c r="BF150" s="195">
        <f t="shared" si="74"/>
        <v>32.5</v>
      </c>
      <c r="BG150" s="373">
        <f t="shared" si="69"/>
        <v>27</v>
      </c>
    </row>
    <row r="151" spans="1:59" s="21" customFormat="1" ht="15.95" customHeight="1">
      <c r="A151" s="163">
        <v>69</v>
      </c>
      <c r="B151" s="9" t="s">
        <v>631</v>
      </c>
      <c r="C151" s="11" t="s">
        <v>632</v>
      </c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22">
        <f t="shared" si="70"/>
        <v>0</v>
      </c>
      <c r="AC151" s="25">
        <v>1</v>
      </c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>
        <v>2</v>
      </c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2">
        <f t="shared" si="71"/>
        <v>2</v>
      </c>
      <c r="BC151" s="23">
        <v>2</v>
      </c>
      <c r="BD151" s="130">
        <f t="shared" si="72"/>
        <v>2</v>
      </c>
      <c r="BE151" s="130">
        <f t="shared" si="73"/>
        <v>3</v>
      </c>
      <c r="BF151" s="195">
        <f t="shared" si="74"/>
        <v>66.666666666666657</v>
      </c>
      <c r="BG151" s="373">
        <f t="shared" si="69"/>
        <v>1</v>
      </c>
    </row>
    <row r="152" spans="1:59" s="21" customFormat="1" ht="15.95" customHeight="1">
      <c r="A152" s="163">
        <v>70</v>
      </c>
      <c r="B152" s="9" t="s">
        <v>2440</v>
      </c>
      <c r="C152" s="11" t="s">
        <v>2441</v>
      </c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22">
        <f t="shared" si="70"/>
        <v>0</v>
      </c>
      <c r="AC152" s="25">
        <v>0</v>
      </c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2">
        <f t="shared" si="71"/>
        <v>0</v>
      </c>
      <c r="BC152" s="23">
        <v>2</v>
      </c>
      <c r="BD152" s="130">
        <f t="shared" si="72"/>
        <v>0</v>
      </c>
      <c r="BE152" s="130">
        <f t="shared" si="73"/>
        <v>2</v>
      </c>
      <c r="BF152" s="195">
        <f t="shared" si="74"/>
        <v>0</v>
      </c>
      <c r="BG152" s="373">
        <f t="shared" si="69"/>
        <v>2</v>
      </c>
    </row>
    <row r="153" spans="1:59" s="21" customFormat="1" ht="15.95" customHeight="1">
      <c r="A153" s="163">
        <v>71</v>
      </c>
      <c r="B153" s="9" t="s">
        <v>82</v>
      </c>
      <c r="C153" s="11" t="s">
        <v>83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22">
        <f t="shared" si="70"/>
        <v>0</v>
      </c>
      <c r="AC153" s="25">
        <v>0</v>
      </c>
      <c r="AD153" s="24"/>
      <c r="AE153" s="24"/>
      <c r="AF153" s="24"/>
      <c r="AG153" s="24"/>
      <c r="AH153" s="24">
        <v>2</v>
      </c>
      <c r="AI153" s="24"/>
      <c r="AJ153" s="24"/>
      <c r="AK153" s="24"/>
      <c r="AL153" s="24">
        <v>9</v>
      </c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2">
        <f t="shared" si="71"/>
        <v>11</v>
      </c>
      <c r="BC153" s="23">
        <v>25</v>
      </c>
      <c r="BD153" s="130">
        <f t="shared" si="72"/>
        <v>11</v>
      </c>
      <c r="BE153" s="130">
        <f t="shared" si="73"/>
        <v>25</v>
      </c>
      <c r="BF153" s="195">
        <f t="shared" si="74"/>
        <v>44</v>
      </c>
      <c r="BG153" s="373">
        <f t="shared" si="69"/>
        <v>14</v>
      </c>
    </row>
    <row r="154" spans="1:59" s="21" customFormat="1" ht="15.95" customHeight="1">
      <c r="A154" s="163">
        <v>72</v>
      </c>
      <c r="B154" s="9" t="s">
        <v>3903</v>
      </c>
      <c r="C154" s="11" t="s">
        <v>3904</v>
      </c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22">
        <f t="shared" si="70"/>
        <v>0</v>
      </c>
      <c r="AC154" s="25">
        <v>0</v>
      </c>
      <c r="AD154" s="24"/>
      <c r="AE154" s="24"/>
      <c r="AF154" s="24"/>
      <c r="AG154" s="24"/>
      <c r="AH154" s="24"/>
      <c r="AI154" s="24"/>
      <c r="AJ154" s="24"/>
      <c r="AK154" s="24"/>
      <c r="AL154" s="24">
        <v>1</v>
      </c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2">
        <f t="shared" si="71"/>
        <v>1</v>
      </c>
      <c r="BC154" s="23">
        <v>0</v>
      </c>
      <c r="BD154" s="130">
        <f t="shared" si="72"/>
        <v>1</v>
      </c>
      <c r="BE154" s="130">
        <f t="shared" si="73"/>
        <v>0</v>
      </c>
      <c r="BF154" s="195" t="e">
        <f t="shared" si="74"/>
        <v>#DIV/0!</v>
      </c>
      <c r="BG154" s="373"/>
    </row>
    <row r="155" spans="1:59" s="21" customFormat="1" ht="15.95" customHeight="1">
      <c r="A155" s="163">
        <v>73</v>
      </c>
      <c r="B155" s="9" t="s">
        <v>84</v>
      </c>
      <c r="C155" s="11" t="s">
        <v>85</v>
      </c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22">
        <f t="shared" si="70"/>
        <v>0</v>
      </c>
      <c r="AC155" s="25">
        <v>0</v>
      </c>
      <c r="AD155" s="99"/>
      <c r="AE155" s="99"/>
      <c r="AF155" s="99"/>
      <c r="AG155" s="99"/>
      <c r="AH155" s="99">
        <v>1</v>
      </c>
      <c r="AI155" s="99"/>
      <c r="AJ155" s="99"/>
      <c r="AK155" s="99"/>
      <c r="AL155" s="99">
        <v>1</v>
      </c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22">
        <f t="shared" si="71"/>
        <v>2</v>
      </c>
      <c r="BC155" s="23">
        <v>17</v>
      </c>
      <c r="BD155" s="130">
        <f t="shared" si="72"/>
        <v>2</v>
      </c>
      <c r="BE155" s="130">
        <f t="shared" si="73"/>
        <v>17</v>
      </c>
      <c r="BF155" s="195">
        <f t="shared" si="74"/>
        <v>11.76470588235294</v>
      </c>
      <c r="BG155" s="373">
        <f t="shared" ref="BG155:BG166" si="75">BE155-BD155</f>
        <v>15</v>
      </c>
    </row>
    <row r="156" spans="1:59" s="21" customFormat="1" ht="15.95" customHeight="1">
      <c r="A156" s="163">
        <v>74</v>
      </c>
      <c r="B156" s="9" t="s">
        <v>86</v>
      </c>
      <c r="C156" s="11" t="s">
        <v>87</v>
      </c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22">
        <f t="shared" si="70"/>
        <v>0</v>
      </c>
      <c r="AC156" s="25">
        <v>0</v>
      </c>
      <c r="AD156" s="99"/>
      <c r="AE156" s="99"/>
      <c r="AF156" s="99"/>
      <c r="AG156" s="99"/>
      <c r="AH156" s="99"/>
      <c r="AI156" s="99"/>
      <c r="AJ156" s="99"/>
      <c r="AK156" s="99"/>
      <c r="AL156" s="99">
        <v>5</v>
      </c>
      <c r="AM156" s="99"/>
      <c r="AN156" s="99"/>
      <c r="AO156" s="99"/>
      <c r="AP156" s="99">
        <v>4</v>
      </c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22">
        <f t="shared" si="71"/>
        <v>9</v>
      </c>
      <c r="BC156" s="23">
        <v>47</v>
      </c>
      <c r="BD156" s="130">
        <f t="shared" si="72"/>
        <v>9</v>
      </c>
      <c r="BE156" s="130">
        <f t="shared" si="73"/>
        <v>47</v>
      </c>
      <c r="BF156" s="195">
        <f t="shared" si="74"/>
        <v>19.148936170212767</v>
      </c>
      <c r="BG156" s="373">
        <f t="shared" si="75"/>
        <v>38</v>
      </c>
    </row>
    <row r="157" spans="1:59" s="21" customFormat="1" ht="15.95" customHeight="1">
      <c r="A157" s="163">
        <v>75</v>
      </c>
      <c r="B157" s="9" t="s">
        <v>88</v>
      </c>
      <c r="C157" s="11" t="s">
        <v>89</v>
      </c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22">
        <f t="shared" si="70"/>
        <v>0</v>
      </c>
      <c r="AC157" s="25">
        <v>0</v>
      </c>
      <c r="AD157" s="99"/>
      <c r="AE157" s="99"/>
      <c r="AF157" s="99"/>
      <c r="AG157" s="99"/>
      <c r="AH157" s="99"/>
      <c r="AI157" s="99"/>
      <c r="AJ157" s="99"/>
      <c r="AK157" s="99"/>
      <c r="AL157" s="99">
        <v>3</v>
      </c>
      <c r="AM157" s="99"/>
      <c r="AN157" s="99"/>
      <c r="AO157" s="99"/>
      <c r="AP157" s="99">
        <v>1</v>
      </c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22">
        <f t="shared" si="71"/>
        <v>4</v>
      </c>
      <c r="BC157" s="23">
        <v>24</v>
      </c>
      <c r="BD157" s="130">
        <f t="shared" si="72"/>
        <v>4</v>
      </c>
      <c r="BE157" s="130">
        <f t="shared" si="73"/>
        <v>24</v>
      </c>
      <c r="BF157" s="195">
        <f t="shared" si="74"/>
        <v>16.666666666666664</v>
      </c>
      <c r="BG157" s="373">
        <f t="shared" si="75"/>
        <v>20</v>
      </c>
    </row>
    <row r="158" spans="1:59" s="21" customFormat="1" ht="15.95" customHeight="1">
      <c r="A158" s="163">
        <v>76</v>
      </c>
      <c r="B158" s="9" t="s">
        <v>2165</v>
      </c>
      <c r="C158" s="11" t="s">
        <v>2166</v>
      </c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22">
        <f t="shared" si="70"/>
        <v>0</v>
      </c>
      <c r="AC158" s="25">
        <v>0</v>
      </c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22">
        <f t="shared" si="71"/>
        <v>0</v>
      </c>
      <c r="BC158" s="23">
        <v>4</v>
      </c>
      <c r="BD158" s="130">
        <f t="shared" si="72"/>
        <v>0</v>
      </c>
      <c r="BE158" s="130">
        <f t="shared" si="73"/>
        <v>4</v>
      </c>
      <c r="BF158" s="195">
        <f t="shared" si="74"/>
        <v>0</v>
      </c>
      <c r="BG158" s="373">
        <f t="shared" si="75"/>
        <v>4</v>
      </c>
    </row>
    <row r="159" spans="1:59" s="21" customFormat="1" ht="15.95" customHeight="1">
      <c r="A159" s="163">
        <v>77</v>
      </c>
      <c r="B159" s="9" t="s">
        <v>90</v>
      </c>
      <c r="C159" s="11" t="s">
        <v>91</v>
      </c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22">
        <f t="shared" si="70"/>
        <v>0</v>
      </c>
      <c r="AC159" s="25">
        <v>0</v>
      </c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22">
        <f t="shared" si="71"/>
        <v>0</v>
      </c>
      <c r="BC159" s="23">
        <v>5</v>
      </c>
      <c r="BD159" s="130">
        <f t="shared" si="72"/>
        <v>0</v>
      </c>
      <c r="BE159" s="130">
        <f t="shared" si="73"/>
        <v>5</v>
      </c>
      <c r="BF159" s="195">
        <f t="shared" si="74"/>
        <v>0</v>
      </c>
      <c r="BG159" s="373">
        <f t="shared" si="75"/>
        <v>5</v>
      </c>
    </row>
    <row r="160" spans="1:59" s="21" customFormat="1" ht="15.95" customHeight="1">
      <c r="A160" s="163">
        <v>78</v>
      </c>
      <c r="B160" s="9" t="s">
        <v>92</v>
      </c>
      <c r="C160" s="11" t="s">
        <v>93</v>
      </c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22">
        <f t="shared" si="70"/>
        <v>0</v>
      </c>
      <c r="AC160" s="25">
        <v>0</v>
      </c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22">
        <f t="shared" si="71"/>
        <v>0</v>
      </c>
      <c r="BC160" s="23">
        <v>1</v>
      </c>
      <c r="BD160" s="130">
        <f t="shared" si="72"/>
        <v>0</v>
      </c>
      <c r="BE160" s="130">
        <f t="shared" si="73"/>
        <v>1</v>
      </c>
      <c r="BF160" s="195">
        <f t="shared" si="74"/>
        <v>0</v>
      </c>
      <c r="BG160" s="373">
        <f t="shared" si="75"/>
        <v>1</v>
      </c>
    </row>
    <row r="161" spans="1:59" s="21" customFormat="1" ht="15.95" customHeight="1">
      <c r="A161" s="163">
        <v>79</v>
      </c>
      <c r="B161" s="9" t="s">
        <v>2676</v>
      </c>
      <c r="C161" s="11" t="s">
        <v>2677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22">
        <f t="shared" si="70"/>
        <v>0</v>
      </c>
      <c r="AC161" s="25">
        <v>0</v>
      </c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2">
        <f t="shared" si="71"/>
        <v>0</v>
      </c>
      <c r="BC161" s="23">
        <v>8</v>
      </c>
      <c r="BD161" s="130">
        <f t="shared" si="72"/>
        <v>0</v>
      </c>
      <c r="BE161" s="130">
        <f t="shared" si="73"/>
        <v>8</v>
      </c>
      <c r="BF161" s="195">
        <f t="shared" si="74"/>
        <v>0</v>
      </c>
      <c r="BG161" s="373">
        <f t="shared" si="75"/>
        <v>8</v>
      </c>
    </row>
    <row r="162" spans="1:59" s="21" customFormat="1" ht="15.95" customHeight="1">
      <c r="A162" s="163">
        <v>80</v>
      </c>
      <c r="B162" s="9" t="s">
        <v>94</v>
      </c>
      <c r="C162" s="11" t="s">
        <v>95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22">
        <f t="shared" si="70"/>
        <v>0</v>
      </c>
      <c r="AC162" s="25">
        <v>0</v>
      </c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>
        <v>1</v>
      </c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2">
        <f t="shared" si="71"/>
        <v>1</v>
      </c>
      <c r="BC162" s="23">
        <v>4</v>
      </c>
      <c r="BD162" s="130">
        <f t="shared" si="72"/>
        <v>1</v>
      </c>
      <c r="BE162" s="130">
        <f t="shared" si="73"/>
        <v>4</v>
      </c>
      <c r="BF162" s="195">
        <f t="shared" si="74"/>
        <v>25</v>
      </c>
      <c r="BG162" s="373">
        <f t="shared" si="75"/>
        <v>3</v>
      </c>
    </row>
    <row r="163" spans="1:59" s="21" customFormat="1" ht="15.95" customHeight="1">
      <c r="A163" s="163">
        <v>81</v>
      </c>
      <c r="B163" s="9" t="s">
        <v>303</v>
      </c>
      <c r="C163" s="11" t="s">
        <v>304</v>
      </c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22">
        <f t="shared" si="70"/>
        <v>0</v>
      </c>
      <c r="AC163" s="25">
        <v>0</v>
      </c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2">
        <f t="shared" si="71"/>
        <v>0</v>
      </c>
      <c r="BC163" s="23">
        <v>9</v>
      </c>
      <c r="BD163" s="130">
        <f t="shared" si="72"/>
        <v>0</v>
      </c>
      <c r="BE163" s="130">
        <f t="shared" si="73"/>
        <v>9</v>
      </c>
      <c r="BF163" s="195">
        <f t="shared" si="74"/>
        <v>0</v>
      </c>
      <c r="BG163" s="373">
        <f t="shared" si="75"/>
        <v>9</v>
      </c>
    </row>
    <row r="164" spans="1:59" s="21" customFormat="1" ht="15.95" customHeight="1">
      <c r="A164" s="163">
        <v>82</v>
      </c>
      <c r="B164" s="9" t="s">
        <v>2270</v>
      </c>
      <c r="C164" s="11" t="s">
        <v>2271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22">
        <f t="shared" si="70"/>
        <v>0</v>
      </c>
      <c r="AC164" s="25">
        <v>0</v>
      </c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2">
        <f t="shared" si="71"/>
        <v>0</v>
      </c>
      <c r="BC164" s="23">
        <v>1</v>
      </c>
      <c r="BD164" s="130">
        <f t="shared" si="72"/>
        <v>0</v>
      </c>
      <c r="BE164" s="130">
        <f t="shared" si="73"/>
        <v>1</v>
      </c>
      <c r="BF164" s="195">
        <f t="shared" si="74"/>
        <v>0</v>
      </c>
      <c r="BG164" s="373">
        <f t="shared" si="75"/>
        <v>1</v>
      </c>
    </row>
    <row r="165" spans="1:59" s="21" customFormat="1" ht="15.95" customHeight="1">
      <c r="A165" s="163">
        <v>83</v>
      </c>
      <c r="B165" s="9" t="s">
        <v>3264</v>
      </c>
      <c r="C165" s="11" t="s">
        <v>3265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22">
        <f t="shared" si="70"/>
        <v>0</v>
      </c>
      <c r="AC165" s="25">
        <v>0</v>
      </c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2">
        <f t="shared" si="71"/>
        <v>0</v>
      </c>
      <c r="BC165" s="23">
        <v>1</v>
      </c>
      <c r="BD165" s="130">
        <f t="shared" si="72"/>
        <v>0</v>
      </c>
      <c r="BE165" s="130">
        <f t="shared" si="73"/>
        <v>1</v>
      </c>
      <c r="BF165" s="195">
        <f t="shared" si="74"/>
        <v>0</v>
      </c>
      <c r="BG165" s="373">
        <f t="shared" si="75"/>
        <v>1</v>
      </c>
    </row>
    <row r="166" spans="1:59" s="21" customFormat="1" ht="15.95" customHeight="1">
      <c r="A166" s="163">
        <v>84</v>
      </c>
      <c r="B166" s="9" t="s">
        <v>2617</v>
      </c>
      <c r="C166" s="11" t="s">
        <v>2618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22">
        <f t="shared" si="70"/>
        <v>0</v>
      </c>
      <c r="AC166" s="25">
        <v>0</v>
      </c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2">
        <f t="shared" si="71"/>
        <v>0</v>
      </c>
      <c r="BC166" s="23">
        <v>7</v>
      </c>
      <c r="BD166" s="130">
        <f t="shared" si="72"/>
        <v>0</v>
      </c>
      <c r="BE166" s="130">
        <f t="shared" si="73"/>
        <v>7</v>
      </c>
      <c r="BF166" s="195">
        <f t="shared" si="74"/>
        <v>0</v>
      </c>
      <c r="BG166" s="373">
        <f t="shared" si="75"/>
        <v>7</v>
      </c>
    </row>
    <row r="167" spans="1:59" s="21" customFormat="1" ht="15.95" customHeight="1">
      <c r="A167" s="163">
        <v>85</v>
      </c>
      <c r="B167" s="9" t="s">
        <v>3884</v>
      </c>
      <c r="C167" s="11" t="s">
        <v>3885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22">
        <f t="shared" si="70"/>
        <v>0</v>
      </c>
      <c r="AC167" s="25">
        <v>0</v>
      </c>
      <c r="AD167" s="24"/>
      <c r="AE167" s="24"/>
      <c r="AF167" s="24"/>
      <c r="AG167" s="24"/>
      <c r="AH167" s="24"/>
      <c r="AI167" s="24"/>
      <c r="AJ167" s="24"/>
      <c r="AK167" s="24"/>
      <c r="AL167" s="24">
        <v>2</v>
      </c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2">
        <f t="shared" si="71"/>
        <v>2</v>
      </c>
      <c r="BC167" s="23">
        <v>0</v>
      </c>
      <c r="BD167" s="130">
        <f t="shared" si="72"/>
        <v>2</v>
      </c>
      <c r="BE167" s="130">
        <f t="shared" si="73"/>
        <v>0</v>
      </c>
      <c r="BF167" s="195" t="e">
        <f t="shared" si="74"/>
        <v>#DIV/0!</v>
      </c>
      <c r="BG167" s="373"/>
    </row>
    <row r="168" spans="1:59" s="21" customFormat="1" ht="15.95" customHeight="1">
      <c r="A168" s="163">
        <v>86</v>
      </c>
      <c r="B168" s="9" t="s">
        <v>2442</v>
      </c>
      <c r="C168" s="11" t="s">
        <v>2443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22">
        <f t="shared" si="70"/>
        <v>0</v>
      </c>
      <c r="AC168" s="25">
        <v>0</v>
      </c>
      <c r="AD168" s="24"/>
      <c r="AE168" s="24"/>
      <c r="AF168" s="24"/>
      <c r="AG168" s="24"/>
      <c r="AH168" s="24"/>
      <c r="AI168" s="24"/>
      <c r="AJ168" s="24"/>
      <c r="AK168" s="24"/>
      <c r="AL168" s="24">
        <v>1</v>
      </c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2">
        <f t="shared" si="71"/>
        <v>1</v>
      </c>
      <c r="BC168" s="23">
        <v>1</v>
      </c>
      <c r="BD168" s="130">
        <f t="shared" si="72"/>
        <v>1</v>
      </c>
      <c r="BE168" s="130">
        <f t="shared" si="73"/>
        <v>1</v>
      </c>
      <c r="BF168" s="195">
        <f t="shared" si="74"/>
        <v>100</v>
      </c>
      <c r="BG168" s="373">
        <f t="shared" ref="BG168:BG186" si="76">BE168-BD168</f>
        <v>0</v>
      </c>
    </row>
    <row r="169" spans="1:59" s="21" customFormat="1" ht="15.95" customHeight="1">
      <c r="A169" s="163">
        <v>87</v>
      </c>
      <c r="B169" s="9" t="s">
        <v>96</v>
      </c>
      <c r="C169" s="11" t="s">
        <v>97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22">
        <f t="shared" si="70"/>
        <v>0</v>
      </c>
      <c r="AC169" s="25">
        <v>0</v>
      </c>
      <c r="AD169" s="24"/>
      <c r="AE169" s="24"/>
      <c r="AF169" s="24"/>
      <c r="AG169" s="24"/>
      <c r="AH169" s="24"/>
      <c r="AI169" s="24"/>
      <c r="AJ169" s="24"/>
      <c r="AK169" s="24"/>
      <c r="AL169" s="24">
        <v>3</v>
      </c>
      <c r="AM169" s="24"/>
      <c r="AN169" s="24"/>
      <c r="AO169" s="24"/>
      <c r="AP169" s="24">
        <v>1</v>
      </c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2">
        <f t="shared" si="71"/>
        <v>4</v>
      </c>
      <c r="BC169" s="23">
        <v>12</v>
      </c>
      <c r="BD169" s="130">
        <f t="shared" si="72"/>
        <v>4</v>
      </c>
      <c r="BE169" s="130">
        <f t="shared" si="73"/>
        <v>12</v>
      </c>
      <c r="BF169" s="195">
        <f t="shared" si="74"/>
        <v>33.333333333333329</v>
      </c>
      <c r="BG169" s="373">
        <f t="shared" si="76"/>
        <v>8</v>
      </c>
    </row>
    <row r="170" spans="1:59" s="21" customFormat="1" ht="15.95" customHeight="1">
      <c r="A170" s="163">
        <v>88</v>
      </c>
      <c r="B170" s="9" t="s">
        <v>98</v>
      </c>
      <c r="C170" s="11" t="s">
        <v>99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22">
        <f t="shared" si="70"/>
        <v>0</v>
      </c>
      <c r="AC170" s="25">
        <v>0</v>
      </c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2">
        <f t="shared" si="71"/>
        <v>0</v>
      </c>
      <c r="BC170" s="23">
        <v>6</v>
      </c>
      <c r="BD170" s="130">
        <f t="shared" si="72"/>
        <v>0</v>
      </c>
      <c r="BE170" s="130">
        <f t="shared" si="73"/>
        <v>6</v>
      </c>
      <c r="BF170" s="195">
        <f t="shared" si="74"/>
        <v>0</v>
      </c>
      <c r="BG170" s="373">
        <f t="shared" si="76"/>
        <v>6</v>
      </c>
    </row>
    <row r="171" spans="1:59" s="21" customFormat="1" ht="15.95" customHeight="1">
      <c r="A171" s="163">
        <v>89</v>
      </c>
      <c r="B171" s="9" t="s">
        <v>306</v>
      </c>
      <c r="C171" s="11" t="s">
        <v>307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22">
        <f t="shared" si="70"/>
        <v>0</v>
      </c>
      <c r="AC171" s="25">
        <v>0</v>
      </c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2">
        <f t="shared" si="71"/>
        <v>0</v>
      </c>
      <c r="BC171" s="23">
        <v>2</v>
      </c>
      <c r="BD171" s="130">
        <f t="shared" si="72"/>
        <v>0</v>
      </c>
      <c r="BE171" s="130">
        <f t="shared" si="73"/>
        <v>2</v>
      </c>
      <c r="BF171" s="195">
        <f t="shared" si="74"/>
        <v>0</v>
      </c>
      <c r="BG171" s="373">
        <f t="shared" si="76"/>
        <v>2</v>
      </c>
    </row>
    <row r="172" spans="1:59" s="21" customFormat="1" ht="15.95" customHeight="1">
      <c r="A172" s="163">
        <v>90</v>
      </c>
      <c r="B172" s="9" t="s">
        <v>100</v>
      </c>
      <c r="C172" s="11" t="s">
        <v>101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22">
        <f t="shared" si="70"/>
        <v>0</v>
      </c>
      <c r="AC172" s="25">
        <v>0</v>
      </c>
      <c r="AD172" s="24"/>
      <c r="AE172" s="24"/>
      <c r="AF172" s="24"/>
      <c r="AG172" s="24"/>
      <c r="AH172" s="24">
        <v>2</v>
      </c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2">
        <f t="shared" si="71"/>
        <v>2</v>
      </c>
      <c r="BC172" s="23">
        <v>5</v>
      </c>
      <c r="BD172" s="130">
        <f t="shared" si="72"/>
        <v>2</v>
      </c>
      <c r="BE172" s="130">
        <f t="shared" si="73"/>
        <v>5</v>
      </c>
      <c r="BF172" s="195">
        <f t="shared" si="74"/>
        <v>40</v>
      </c>
      <c r="BG172" s="373">
        <f t="shared" si="76"/>
        <v>3</v>
      </c>
    </row>
    <row r="173" spans="1:59" s="21" customFormat="1" ht="15.95" customHeight="1">
      <c r="A173" s="163">
        <v>91</v>
      </c>
      <c r="B173" s="9" t="s">
        <v>102</v>
      </c>
      <c r="C173" s="11" t="s">
        <v>103</v>
      </c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22">
        <f t="shared" si="70"/>
        <v>0</v>
      </c>
      <c r="AC173" s="25">
        <v>0</v>
      </c>
      <c r="AD173" s="24"/>
      <c r="AE173" s="24"/>
      <c r="AF173" s="24"/>
      <c r="AG173" s="24"/>
      <c r="AH173" s="24">
        <v>1</v>
      </c>
      <c r="AI173" s="24"/>
      <c r="AJ173" s="24"/>
      <c r="AK173" s="24"/>
      <c r="AL173" s="24">
        <v>4</v>
      </c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2">
        <f t="shared" si="71"/>
        <v>5</v>
      </c>
      <c r="BC173" s="23">
        <v>12</v>
      </c>
      <c r="BD173" s="130">
        <f t="shared" si="72"/>
        <v>5</v>
      </c>
      <c r="BE173" s="130">
        <f t="shared" si="73"/>
        <v>12</v>
      </c>
      <c r="BF173" s="195">
        <f t="shared" si="74"/>
        <v>41.666666666666671</v>
      </c>
      <c r="BG173" s="373">
        <f t="shared" si="76"/>
        <v>7</v>
      </c>
    </row>
    <row r="174" spans="1:59" s="21" customFormat="1" ht="15.95" customHeight="1">
      <c r="A174" s="163">
        <v>92</v>
      </c>
      <c r="B174" s="9" t="s">
        <v>104</v>
      </c>
      <c r="C174" s="11" t="s">
        <v>633</v>
      </c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22">
        <f t="shared" si="70"/>
        <v>0</v>
      </c>
      <c r="AC174" s="25">
        <v>0</v>
      </c>
      <c r="AD174" s="24"/>
      <c r="AE174" s="24"/>
      <c r="AF174" s="24"/>
      <c r="AG174" s="24"/>
      <c r="AH174" s="24">
        <v>2</v>
      </c>
      <c r="AI174" s="24"/>
      <c r="AJ174" s="24"/>
      <c r="AK174" s="24"/>
      <c r="AL174" s="24">
        <v>5</v>
      </c>
      <c r="AM174" s="24"/>
      <c r="AN174" s="24"/>
      <c r="AO174" s="24"/>
      <c r="AP174" s="24">
        <v>1</v>
      </c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2">
        <f t="shared" si="71"/>
        <v>8</v>
      </c>
      <c r="BC174" s="23">
        <v>18</v>
      </c>
      <c r="BD174" s="130">
        <f t="shared" si="72"/>
        <v>8</v>
      </c>
      <c r="BE174" s="130">
        <f t="shared" si="73"/>
        <v>18</v>
      </c>
      <c r="BF174" s="195">
        <f t="shared" si="74"/>
        <v>44.444444444444443</v>
      </c>
      <c r="BG174" s="373">
        <f t="shared" si="76"/>
        <v>10</v>
      </c>
    </row>
    <row r="175" spans="1:59" s="21" customFormat="1" ht="15.95" customHeight="1">
      <c r="A175" s="163">
        <v>93</v>
      </c>
      <c r="B175" s="9" t="s">
        <v>105</v>
      </c>
      <c r="C175" s="11" t="s">
        <v>106</v>
      </c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22">
        <f t="shared" si="70"/>
        <v>0</v>
      </c>
      <c r="AC175" s="25">
        <v>0</v>
      </c>
      <c r="AD175" s="24"/>
      <c r="AE175" s="24"/>
      <c r="AF175" s="24"/>
      <c r="AG175" s="24"/>
      <c r="AH175" s="24"/>
      <c r="AI175" s="24"/>
      <c r="AJ175" s="24"/>
      <c r="AK175" s="24"/>
      <c r="AL175" s="24">
        <v>1</v>
      </c>
      <c r="AM175" s="24"/>
      <c r="AN175" s="24"/>
      <c r="AO175" s="24"/>
      <c r="AP175" s="24">
        <v>1</v>
      </c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2">
        <f t="shared" si="71"/>
        <v>2</v>
      </c>
      <c r="BC175" s="23">
        <v>1</v>
      </c>
      <c r="BD175" s="130">
        <f t="shared" si="72"/>
        <v>2</v>
      </c>
      <c r="BE175" s="130">
        <f t="shared" si="73"/>
        <v>1</v>
      </c>
      <c r="BF175" s="195">
        <f t="shared" si="74"/>
        <v>200</v>
      </c>
      <c r="BG175" s="373">
        <f t="shared" si="76"/>
        <v>-1</v>
      </c>
    </row>
    <row r="176" spans="1:59" s="21" customFormat="1" ht="15.95" customHeight="1">
      <c r="A176" s="163">
        <v>94</v>
      </c>
      <c r="B176" s="9" t="s">
        <v>2264</v>
      </c>
      <c r="C176" s="11" t="s">
        <v>2265</v>
      </c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22">
        <f t="shared" si="70"/>
        <v>0</v>
      </c>
      <c r="AC176" s="25">
        <v>0</v>
      </c>
      <c r="AD176" s="24"/>
      <c r="AE176" s="24"/>
      <c r="AF176" s="24"/>
      <c r="AG176" s="24"/>
      <c r="AH176" s="24"/>
      <c r="AI176" s="24"/>
      <c r="AJ176" s="24"/>
      <c r="AK176" s="24"/>
      <c r="AL176" s="24">
        <v>1</v>
      </c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2">
        <f t="shared" si="71"/>
        <v>1</v>
      </c>
      <c r="BC176" s="23">
        <v>3</v>
      </c>
      <c r="BD176" s="130">
        <f t="shared" si="72"/>
        <v>1</v>
      </c>
      <c r="BE176" s="130">
        <f t="shared" si="73"/>
        <v>3</v>
      </c>
      <c r="BF176" s="195">
        <f t="shared" si="74"/>
        <v>33.333333333333329</v>
      </c>
      <c r="BG176" s="373">
        <f t="shared" si="76"/>
        <v>2</v>
      </c>
    </row>
    <row r="177" spans="1:59" s="21" customFormat="1" ht="15.95" customHeight="1">
      <c r="A177" s="163">
        <v>95</v>
      </c>
      <c r="B177" s="9" t="s">
        <v>634</v>
      </c>
      <c r="C177" s="11" t="s">
        <v>635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22">
        <f t="shared" si="70"/>
        <v>0</v>
      </c>
      <c r="AC177" s="25">
        <v>0</v>
      </c>
      <c r="AD177" s="24"/>
      <c r="AE177" s="24"/>
      <c r="AF177" s="24"/>
      <c r="AG177" s="24"/>
      <c r="AH177" s="24"/>
      <c r="AI177" s="24"/>
      <c r="AJ177" s="24"/>
      <c r="AK177" s="24"/>
      <c r="AL177" s="24">
        <v>1</v>
      </c>
      <c r="AM177" s="24"/>
      <c r="AN177" s="24"/>
      <c r="AO177" s="24"/>
      <c r="AP177" s="24">
        <v>1</v>
      </c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2">
        <f t="shared" si="71"/>
        <v>2</v>
      </c>
      <c r="BC177" s="23">
        <v>5</v>
      </c>
      <c r="BD177" s="130">
        <f t="shared" si="72"/>
        <v>2</v>
      </c>
      <c r="BE177" s="130">
        <f t="shared" si="73"/>
        <v>5</v>
      </c>
      <c r="BF177" s="195">
        <f t="shared" si="74"/>
        <v>40</v>
      </c>
      <c r="BG177" s="373">
        <f t="shared" si="76"/>
        <v>3</v>
      </c>
    </row>
    <row r="178" spans="1:59" s="21" customFormat="1" ht="15.95" customHeight="1">
      <c r="A178" s="163">
        <v>96</v>
      </c>
      <c r="B178" s="9" t="s">
        <v>308</v>
      </c>
      <c r="C178" s="11" t="s">
        <v>309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22">
        <f t="shared" si="70"/>
        <v>0</v>
      </c>
      <c r="AC178" s="25">
        <v>0</v>
      </c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2">
        <f t="shared" si="71"/>
        <v>0</v>
      </c>
      <c r="BC178" s="23">
        <v>1</v>
      </c>
      <c r="BD178" s="130">
        <f t="shared" si="72"/>
        <v>0</v>
      </c>
      <c r="BE178" s="130">
        <f t="shared" si="73"/>
        <v>1</v>
      </c>
      <c r="BF178" s="195">
        <f t="shared" si="74"/>
        <v>0</v>
      </c>
      <c r="BG178" s="373">
        <f t="shared" si="76"/>
        <v>1</v>
      </c>
    </row>
    <row r="179" spans="1:59" s="21" customFormat="1" ht="15.95" customHeight="1">
      <c r="A179" s="163">
        <v>97</v>
      </c>
      <c r="B179" s="9" t="s">
        <v>2386</v>
      </c>
      <c r="C179" s="11" t="s">
        <v>2387</v>
      </c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22">
        <f t="shared" ref="AB179:AB197" si="77">SUM(D179:AA179)</f>
        <v>0</v>
      </c>
      <c r="AC179" s="25">
        <v>0</v>
      </c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2">
        <f t="shared" ref="BB179:BB197" si="78">SUM(AD179:BA179)</f>
        <v>0</v>
      </c>
      <c r="BC179" s="23">
        <v>1</v>
      </c>
      <c r="BD179" s="130">
        <f t="shared" ref="BD179:BD197" si="79">AB179+BB179</f>
        <v>0</v>
      </c>
      <c r="BE179" s="130">
        <f t="shared" ref="BE179:BE197" si="80">AC179+BC179</f>
        <v>1</v>
      </c>
      <c r="BF179" s="195">
        <f t="shared" ref="BF179:BF197" si="81">BD179/BE179*100</f>
        <v>0</v>
      </c>
      <c r="BG179" s="373">
        <f t="shared" si="76"/>
        <v>1</v>
      </c>
    </row>
    <row r="180" spans="1:59" s="21" customFormat="1" ht="15.95" customHeight="1">
      <c r="A180" s="163">
        <v>98</v>
      </c>
      <c r="B180" s="9" t="s">
        <v>3388</v>
      </c>
      <c r="C180" s="11" t="s">
        <v>3389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22">
        <f t="shared" si="77"/>
        <v>0</v>
      </c>
      <c r="AC180" s="25">
        <v>0</v>
      </c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2">
        <f t="shared" si="78"/>
        <v>0</v>
      </c>
      <c r="BC180" s="23">
        <v>1</v>
      </c>
      <c r="BD180" s="130">
        <f t="shared" si="79"/>
        <v>0</v>
      </c>
      <c r="BE180" s="130">
        <f t="shared" si="80"/>
        <v>1</v>
      </c>
      <c r="BF180" s="195">
        <f t="shared" si="81"/>
        <v>0</v>
      </c>
      <c r="BG180" s="373">
        <f t="shared" si="76"/>
        <v>1</v>
      </c>
    </row>
    <row r="181" spans="1:59" s="21" customFormat="1" ht="15.95" customHeight="1">
      <c r="A181" s="163">
        <v>99</v>
      </c>
      <c r="B181" s="9" t="s">
        <v>2678</v>
      </c>
      <c r="C181" s="10" t="s">
        <v>2679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22">
        <f t="shared" si="77"/>
        <v>0</v>
      </c>
      <c r="AC181" s="25">
        <v>0</v>
      </c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2">
        <f t="shared" si="78"/>
        <v>0</v>
      </c>
      <c r="BC181" s="23">
        <v>2</v>
      </c>
      <c r="BD181" s="130">
        <f t="shared" si="79"/>
        <v>0</v>
      </c>
      <c r="BE181" s="130">
        <f t="shared" si="80"/>
        <v>2</v>
      </c>
      <c r="BF181" s="195">
        <f t="shared" si="81"/>
        <v>0</v>
      </c>
      <c r="BG181" s="373">
        <f t="shared" si="76"/>
        <v>2</v>
      </c>
    </row>
    <row r="182" spans="1:59" s="21" customFormat="1" ht="15.95" customHeight="1">
      <c r="A182" s="163">
        <v>100</v>
      </c>
      <c r="B182" s="9" t="s">
        <v>310</v>
      </c>
      <c r="C182" s="10" t="s">
        <v>2189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22">
        <f t="shared" si="77"/>
        <v>0</v>
      </c>
      <c r="AC182" s="25">
        <v>0</v>
      </c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2">
        <f t="shared" si="78"/>
        <v>0</v>
      </c>
      <c r="BC182" s="23">
        <v>1</v>
      </c>
      <c r="BD182" s="130">
        <f t="shared" si="79"/>
        <v>0</v>
      </c>
      <c r="BE182" s="130">
        <f t="shared" si="80"/>
        <v>1</v>
      </c>
      <c r="BF182" s="195">
        <f t="shared" si="81"/>
        <v>0</v>
      </c>
      <c r="BG182" s="373">
        <f t="shared" si="76"/>
        <v>1</v>
      </c>
    </row>
    <row r="183" spans="1:59" s="21" customFormat="1" ht="15.95" customHeight="1">
      <c r="A183" s="163">
        <v>101</v>
      </c>
      <c r="B183" s="9" t="s">
        <v>107</v>
      </c>
      <c r="C183" s="10" t="s">
        <v>2311</v>
      </c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22">
        <f t="shared" si="77"/>
        <v>0</v>
      </c>
      <c r="AC183" s="25">
        <v>0</v>
      </c>
      <c r="AD183" s="24"/>
      <c r="AE183" s="24"/>
      <c r="AF183" s="24"/>
      <c r="AG183" s="24"/>
      <c r="AH183" s="24"/>
      <c r="AI183" s="24"/>
      <c r="AJ183" s="24"/>
      <c r="AK183" s="24"/>
      <c r="AL183" s="24">
        <v>1</v>
      </c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2">
        <f t="shared" si="78"/>
        <v>1</v>
      </c>
      <c r="BC183" s="23">
        <v>4</v>
      </c>
      <c r="BD183" s="130">
        <f t="shared" si="79"/>
        <v>1</v>
      </c>
      <c r="BE183" s="130">
        <f t="shared" si="80"/>
        <v>4</v>
      </c>
      <c r="BF183" s="195">
        <f t="shared" si="81"/>
        <v>25</v>
      </c>
      <c r="BG183" s="373">
        <f t="shared" si="76"/>
        <v>3</v>
      </c>
    </row>
    <row r="184" spans="1:59" s="21" customFormat="1" ht="15.95" customHeight="1">
      <c r="A184" s="163">
        <v>102</v>
      </c>
      <c r="B184" s="9" t="s">
        <v>108</v>
      </c>
      <c r="C184" s="11" t="s">
        <v>109</v>
      </c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22">
        <f t="shared" si="77"/>
        <v>0</v>
      </c>
      <c r="AC184" s="25">
        <v>0</v>
      </c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2">
        <f t="shared" si="78"/>
        <v>0</v>
      </c>
      <c r="BC184" s="23">
        <v>1</v>
      </c>
      <c r="BD184" s="130">
        <f t="shared" si="79"/>
        <v>0</v>
      </c>
      <c r="BE184" s="130">
        <f t="shared" si="80"/>
        <v>1</v>
      </c>
      <c r="BF184" s="195">
        <f t="shared" si="81"/>
        <v>0</v>
      </c>
      <c r="BG184" s="373">
        <f t="shared" si="76"/>
        <v>1</v>
      </c>
    </row>
    <row r="185" spans="1:59" s="21" customFormat="1" ht="15.95" customHeight="1">
      <c r="A185" s="163">
        <v>103</v>
      </c>
      <c r="B185" s="9" t="s">
        <v>2680</v>
      </c>
      <c r="C185" s="11" t="s">
        <v>2681</v>
      </c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22">
        <f t="shared" si="77"/>
        <v>0</v>
      </c>
      <c r="AC185" s="25">
        <v>0</v>
      </c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2">
        <f t="shared" si="78"/>
        <v>0</v>
      </c>
      <c r="BC185" s="23">
        <v>1</v>
      </c>
      <c r="BD185" s="130">
        <f t="shared" si="79"/>
        <v>0</v>
      </c>
      <c r="BE185" s="130">
        <f t="shared" si="80"/>
        <v>1</v>
      </c>
      <c r="BF185" s="195">
        <f t="shared" si="81"/>
        <v>0</v>
      </c>
      <c r="BG185" s="373">
        <f t="shared" si="76"/>
        <v>1</v>
      </c>
    </row>
    <row r="186" spans="1:59" s="21" customFormat="1" ht="15.95" customHeight="1">
      <c r="A186" s="163">
        <v>104</v>
      </c>
      <c r="B186" s="9" t="s">
        <v>2123</v>
      </c>
      <c r="C186" s="11" t="s">
        <v>2124</v>
      </c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22">
        <f t="shared" si="77"/>
        <v>0</v>
      </c>
      <c r="AC186" s="25">
        <v>0</v>
      </c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2">
        <f t="shared" si="78"/>
        <v>0</v>
      </c>
      <c r="BC186" s="23">
        <v>2</v>
      </c>
      <c r="BD186" s="130">
        <f t="shared" si="79"/>
        <v>0</v>
      </c>
      <c r="BE186" s="130">
        <f t="shared" si="80"/>
        <v>2</v>
      </c>
      <c r="BF186" s="195">
        <f t="shared" si="81"/>
        <v>0</v>
      </c>
      <c r="BG186" s="373">
        <f t="shared" si="76"/>
        <v>2</v>
      </c>
    </row>
    <row r="187" spans="1:59" s="21" customFormat="1" ht="15.95" customHeight="1">
      <c r="A187" s="163">
        <v>105</v>
      </c>
      <c r="B187" s="9" t="s">
        <v>3478</v>
      </c>
      <c r="C187" s="11" t="s">
        <v>3479</v>
      </c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22">
        <f t="shared" si="77"/>
        <v>0</v>
      </c>
      <c r="AC187" s="25">
        <v>0</v>
      </c>
      <c r="AD187" s="24"/>
      <c r="AE187" s="24"/>
      <c r="AF187" s="24"/>
      <c r="AG187" s="24"/>
      <c r="AH187" s="24">
        <v>1</v>
      </c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2">
        <f t="shared" si="78"/>
        <v>1</v>
      </c>
      <c r="BC187" s="23">
        <v>0</v>
      </c>
      <c r="BD187" s="130">
        <f t="shared" si="79"/>
        <v>1</v>
      </c>
      <c r="BE187" s="130">
        <f t="shared" si="80"/>
        <v>0</v>
      </c>
      <c r="BF187" s="195" t="e">
        <f t="shared" si="81"/>
        <v>#DIV/0!</v>
      </c>
      <c r="BG187" s="373"/>
    </row>
    <row r="188" spans="1:59" s="21" customFormat="1" ht="15.95" customHeight="1">
      <c r="A188" s="163">
        <v>106</v>
      </c>
      <c r="B188" s="9" t="s">
        <v>1164</v>
      </c>
      <c r="C188" s="11" t="s">
        <v>1165</v>
      </c>
      <c r="D188" s="14"/>
      <c r="E188" s="14"/>
      <c r="F188" s="14"/>
      <c r="G188" s="14"/>
      <c r="H188" s="14"/>
      <c r="I188" s="14"/>
      <c r="J188" s="14"/>
      <c r="K188" s="14"/>
      <c r="L188" s="14">
        <v>1</v>
      </c>
      <c r="M188" s="14"/>
      <c r="N188" s="14"/>
      <c r="O188" s="14"/>
      <c r="P188" s="14">
        <v>1</v>
      </c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22">
        <f t="shared" si="77"/>
        <v>2</v>
      </c>
      <c r="AC188" s="25">
        <v>0</v>
      </c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>
        <v>2</v>
      </c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2">
        <f t="shared" si="78"/>
        <v>2</v>
      </c>
      <c r="BC188" s="23">
        <v>0</v>
      </c>
      <c r="BD188" s="130">
        <f t="shared" si="79"/>
        <v>4</v>
      </c>
      <c r="BE188" s="130">
        <f t="shared" si="80"/>
        <v>0</v>
      </c>
      <c r="BF188" s="195" t="e">
        <f t="shared" si="81"/>
        <v>#DIV/0!</v>
      </c>
      <c r="BG188" s="373"/>
    </row>
    <row r="189" spans="1:59" s="21" customFormat="1" ht="15.95" customHeight="1">
      <c r="A189" s="163">
        <v>107</v>
      </c>
      <c r="B189" s="9" t="s">
        <v>111</v>
      </c>
      <c r="C189" s="11" t="s">
        <v>112</v>
      </c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22">
        <f t="shared" si="77"/>
        <v>0</v>
      </c>
      <c r="AC189" s="25">
        <v>9</v>
      </c>
      <c r="AD189" s="24"/>
      <c r="AE189" s="24"/>
      <c r="AF189" s="24"/>
      <c r="AG189" s="24"/>
      <c r="AH189" s="24"/>
      <c r="AI189" s="24"/>
      <c r="AJ189" s="24"/>
      <c r="AK189" s="24"/>
      <c r="AL189" s="24">
        <v>1</v>
      </c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2">
        <f t="shared" si="78"/>
        <v>1</v>
      </c>
      <c r="BC189" s="23">
        <v>8</v>
      </c>
      <c r="BD189" s="130">
        <f t="shared" si="79"/>
        <v>1</v>
      </c>
      <c r="BE189" s="130">
        <f t="shared" si="80"/>
        <v>17</v>
      </c>
      <c r="BF189" s="195">
        <f t="shared" si="81"/>
        <v>5.8823529411764701</v>
      </c>
      <c r="BG189" s="373">
        <f>BE189-BD189</f>
        <v>16</v>
      </c>
    </row>
    <row r="190" spans="1:59" s="21" customFormat="1" ht="15.95" customHeight="1">
      <c r="A190" s="163">
        <v>108</v>
      </c>
      <c r="B190" s="9" t="s">
        <v>113</v>
      </c>
      <c r="C190" s="11" t="s">
        <v>114</v>
      </c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22">
        <f t="shared" si="77"/>
        <v>0</v>
      </c>
      <c r="AC190" s="25">
        <v>3</v>
      </c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2">
        <f t="shared" si="78"/>
        <v>0</v>
      </c>
      <c r="BC190" s="23">
        <v>1</v>
      </c>
      <c r="BD190" s="130">
        <f t="shared" si="79"/>
        <v>0</v>
      </c>
      <c r="BE190" s="130">
        <f t="shared" si="80"/>
        <v>4</v>
      </c>
      <c r="BF190" s="195">
        <f t="shared" si="81"/>
        <v>0</v>
      </c>
      <c r="BG190" s="373">
        <f>BE190-BD190</f>
        <v>4</v>
      </c>
    </row>
    <row r="191" spans="1:59" s="21" customFormat="1" ht="15.95" customHeight="1">
      <c r="A191" s="163">
        <v>109</v>
      </c>
      <c r="B191" s="9" t="s">
        <v>115</v>
      </c>
      <c r="C191" s="10" t="s">
        <v>116</v>
      </c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22">
        <f t="shared" si="77"/>
        <v>0</v>
      </c>
      <c r="AC191" s="25">
        <v>1</v>
      </c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2">
        <f t="shared" si="78"/>
        <v>0</v>
      </c>
      <c r="BC191" s="23">
        <v>1</v>
      </c>
      <c r="BD191" s="130">
        <f t="shared" si="79"/>
        <v>0</v>
      </c>
      <c r="BE191" s="130">
        <f t="shared" si="80"/>
        <v>2</v>
      </c>
      <c r="BF191" s="195">
        <f t="shared" si="81"/>
        <v>0</v>
      </c>
      <c r="BG191" s="373">
        <f>BE191-BD191</f>
        <v>2</v>
      </c>
    </row>
    <row r="192" spans="1:59" s="21" customFormat="1" ht="15.95" customHeight="1">
      <c r="A192" s="163">
        <v>110</v>
      </c>
      <c r="B192" s="9" t="s">
        <v>2390</v>
      </c>
      <c r="C192" s="10" t="s">
        <v>2391</v>
      </c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22">
        <f t="shared" si="77"/>
        <v>0</v>
      </c>
      <c r="AC192" s="25">
        <v>0</v>
      </c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2">
        <f t="shared" si="78"/>
        <v>0</v>
      </c>
      <c r="BC192" s="23">
        <v>3</v>
      </c>
      <c r="BD192" s="130">
        <f t="shared" si="79"/>
        <v>0</v>
      </c>
      <c r="BE192" s="130">
        <f t="shared" si="80"/>
        <v>3</v>
      </c>
      <c r="BF192" s="195">
        <f t="shared" si="81"/>
        <v>0</v>
      </c>
      <c r="BG192" s="373">
        <f>BE192-BD192</f>
        <v>3</v>
      </c>
    </row>
    <row r="193" spans="1:62" s="21" customFormat="1" ht="15.95" customHeight="1">
      <c r="A193" s="163">
        <v>111</v>
      </c>
      <c r="B193" s="9" t="s">
        <v>3328</v>
      </c>
      <c r="C193" s="11" t="s">
        <v>3329</v>
      </c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22">
        <f t="shared" si="77"/>
        <v>0</v>
      </c>
      <c r="AC193" s="25">
        <v>2</v>
      </c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2">
        <f t="shared" si="78"/>
        <v>0</v>
      </c>
      <c r="BC193" s="23">
        <v>0</v>
      </c>
      <c r="BD193" s="130">
        <f t="shared" si="79"/>
        <v>0</v>
      </c>
      <c r="BE193" s="130">
        <f t="shared" si="80"/>
        <v>2</v>
      </c>
      <c r="BF193" s="195">
        <f t="shared" si="81"/>
        <v>0</v>
      </c>
      <c r="BG193" s="373"/>
    </row>
    <row r="194" spans="1:62" s="21" customFormat="1" ht="15.95" customHeight="1">
      <c r="A194" s="163">
        <v>112</v>
      </c>
      <c r="B194" s="9" t="s">
        <v>138</v>
      </c>
      <c r="C194" s="10" t="s">
        <v>139</v>
      </c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22">
        <f t="shared" si="77"/>
        <v>0</v>
      </c>
      <c r="AC194" s="25">
        <v>0</v>
      </c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2">
        <f t="shared" si="78"/>
        <v>0</v>
      </c>
      <c r="BC194" s="23">
        <v>1</v>
      </c>
      <c r="BD194" s="130">
        <f t="shared" si="79"/>
        <v>0</v>
      </c>
      <c r="BE194" s="130">
        <f t="shared" si="80"/>
        <v>1</v>
      </c>
      <c r="BF194" s="195">
        <f t="shared" si="81"/>
        <v>0</v>
      </c>
      <c r="BG194" s="373">
        <f>BE194-BD194</f>
        <v>1</v>
      </c>
    </row>
    <row r="195" spans="1:62" s="21" customFormat="1" ht="15.95" customHeight="1">
      <c r="A195" s="163">
        <v>113</v>
      </c>
      <c r="B195" s="9" t="s">
        <v>3021</v>
      </c>
      <c r="C195" s="10" t="s">
        <v>3301</v>
      </c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22">
        <f t="shared" si="77"/>
        <v>0</v>
      </c>
      <c r="AC195" s="25">
        <v>0</v>
      </c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2">
        <f t="shared" si="78"/>
        <v>0</v>
      </c>
      <c r="BC195" s="23">
        <v>2</v>
      </c>
      <c r="BD195" s="130">
        <f t="shared" si="79"/>
        <v>0</v>
      </c>
      <c r="BE195" s="130">
        <f t="shared" si="80"/>
        <v>2</v>
      </c>
      <c r="BF195" s="195">
        <f t="shared" si="81"/>
        <v>0</v>
      </c>
      <c r="BG195" s="373">
        <f>BE195-BD195</f>
        <v>2</v>
      </c>
    </row>
    <row r="196" spans="1:62" s="21" customFormat="1" ht="15.95" customHeight="1">
      <c r="A196" s="163">
        <v>114</v>
      </c>
      <c r="B196" s="9" t="s">
        <v>2552</v>
      </c>
      <c r="C196" s="10" t="s">
        <v>2619</v>
      </c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22">
        <f t="shared" si="77"/>
        <v>0</v>
      </c>
      <c r="AC196" s="25">
        <v>0</v>
      </c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2">
        <f t="shared" si="78"/>
        <v>0</v>
      </c>
      <c r="BC196" s="23">
        <v>4</v>
      </c>
      <c r="BD196" s="130">
        <f t="shared" si="79"/>
        <v>0</v>
      </c>
      <c r="BE196" s="130">
        <f t="shared" si="80"/>
        <v>4</v>
      </c>
      <c r="BF196" s="195">
        <f t="shared" si="81"/>
        <v>0</v>
      </c>
      <c r="BG196" s="373">
        <f>BE196-BD196</f>
        <v>4</v>
      </c>
    </row>
    <row r="197" spans="1:62" s="21" customFormat="1" ht="15.95" customHeight="1">
      <c r="A197" s="163">
        <v>115</v>
      </c>
      <c r="B197" s="9" t="s">
        <v>119</v>
      </c>
      <c r="C197" s="11" t="s">
        <v>120</v>
      </c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22">
        <f t="shared" si="77"/>
        <v>0</v>
      </c>
      <c r="AC197" s="25">
        <v>0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>
        <v>2</v>
      </c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2">
        <f t="shared" si="78"/>
        <v>2</v>
      </c>
      <c r="BC197" s="23">
        <v>7</v>
      </c>
      <c r="BD197" s="130">
        <f t="shared" si="79"/>
        <v>2</v>
      </c>
      <c r="BE197" s="130">
        <f t="shared" si="80"/>
        <v>7</v>
      </c>
      <c r="BF197" s="195">
        <f t="shared" si="81"/>
        <v>28.571428571428569</v>
      </c>
      <c r="BG197" s="373">
        <f>BE197-BD197</f>
        <v>5</v>
      </c>
    </row>
    <row r="198" spans="1:62" s="21" customFormat="1" ht="15.95" customHeight="1">
      <c r="A198" s="625" t="s">
        <v>121</v>
      </c>
      <c r="B198" s="622"/>
      <c r="C198" s="622"/>
      <c r="D198" s="159">
        <f t="shared" ref="D198:AI198" si="82">SUM(D199:D252)</f>
        <v>0</v>
      </c>
      <c r="E198" s="159">
        <f t="shared" si="82"/>
        <v>0</v>
      </c>
      <c r="F198" s="159">
        <f t="shared" si="82"/>
        <v>0</v>
      </c>
      <c r="G198" s="159">
        <f t="shared" si="82"/>
        <v>0</v>
      </c>
      <c r="H198" s="159">
        <f t="shared" si="82"/>
        <v>0</v>
      </c>
      <c r="I198" s="159">
        <f t="shared" si="82"/>
        <v>0</v>
      </c>
      <c r="J198" s="159">
        <f t="shared" si="82"/>
        <v>0</v>
      </c>
      <c r="K198" s="159">
        <f t="shared" si="82"/>
        <v>0</v>
      </c>
      <c r="L198" s="159">
        <f t="shared" si="82"/>
        <v>0</v>
      </c>
      <c r="M198" s="159">
        <f t="shared" si="82"/>
        <v>0</v>
      </c>
      <c r="N198" s="159">
        <f t="shared" si="82"/>
        <v>0</v>
      </c>
      <c r="O198" s="159">
        <f t="shared" si="82"/>
        <v>0</v>
      </c>
      <c r="P198" s="159">
        <f t="shared" si="82"/>
        <v>0</v>
      </c>
      <c r="Q198" s="159">
        <f t="shared" si="82"/>
        <v>0</v>
      </c>
      <c r="R198" s="159">
        <f t="shared" si="82"/>
        <v>0</v>
      </c>
      <c r="S198" s="159">
        <f t="shared" si="82"/>
        <v>0</v>
      </c>
      <c r="T198" s="159">
        <f t="shared" si="82"/>
        <v>0</v>
      </c>
      <c r="U198" s="159">
        <f t="shared" si="82"/>
        <v>0</v>
      </c>
      <c r="V198" s="159">
        <f t="shared" si="82"/>
        <v>0</v>
      </c>
      <c r="W198" s="159">
        <f t="shared" si="82"/>
        <v>0</v>
      </c>
      <c r="X198" s="159">
        <f t="shared" si="82"/>
        <v>0</v>
      </c>
      <c r="Y198" s="159">
        <f t="shared" si="82"/>
        <v>0</v>
      </c>
      <c r="Z198" s="159">
        <f t="shared" si="82"/>
        <v>0</v>
      </c>
      <c r="AA198" s="159">
        <f t="shared" si="82"/>
        <v>0</v>
      </c>
      <c r="AB198" s="159">
        <f t="shared" si="82"/>
        <v>0</v>
      </c>
      <c r="AC198" s="359">
        <f t="shared" si="82"/>
        <v>1</v>
      </c>
      <c r="AD198" s="160">
        <f t="shared" si="82"/>
        <v>0</v>
      </c>
      <c r="AE198" s="160">
        <f t="shared" si="82"/>
        <v>0</v>
      </c>
      <c r="AF198" s="160">
        <f t="shared" si="82"/>
        <v>0</v>
      </c>
      <c r="AG198" s="160">
        <f t="shared" si="82"/>
        <v>0</v>
      </c>
      <c r="AH198" s="160">
        <f t="shared" si="82"/>
        <v>43</v>
      </c>
      <c r="AI198" s="160">
        <f t="shared" si="82"/>
        <v>0</v>
      </c>
      <c r="AJ198" s="160">
        <f t="shared" ref="AJ198:BC198" si="83">SUM(AJ199:AJ252)</f>
        <v>0</v>
      </c>
      <c r="AK198" s="160">
        <f t="shared" si="83"/>
        <v>0</v>
      </c>
      <c r="AL198" s="160">
        <f t="shared" si="83"/>
        <v>257</v>
      </c>
      <c r="AM198" s="160">
        <f t="shared" si="83"/>
        <v>0</v>
      </c>
      <c r="AN198" s="160">
        <f t="shared" si="83"/>
        <v>0</v>
      </c>
      <c r="AO198" s="160">
        <f t="shared" si="83"/>
        <v>0</v>
      </c>
      <c r="AP198" s="160">
        <f t="shared" si="83"/>
        <v>272</v>
      </c>
      <c r="AQ198" s="160">
        <f t="shared" si="83"/>
        <v>0</v>
      </c>
      <c r="AR198" s="160">
        <f t="shared" si="83"/>
        <v>0</v>
      </c>
      <c r="AS198" s="160">
        <f t="shared" si="83"/>
        <v>0</v>
      </c>
      <c r="AT198" s="160">
        <f t="shared" si="83"/>
        <v>0</v>
      </c>
      <c r="AU198" s="160">
        <f t="shared" si="83"/>
        <v>0</v>
      </c>
      <c r="AV198" s="160">
        <f t="shared" si="83"/>
        <v>0</v>
      </c>
      <c r="AW198" s="160">
        <f t="shared" si="83"/>
        <v>0</v>
      </c>
      <c r="AX198" s="160">
        <f t="shared" si="83"/>
        <v>0</v>
      </c>
      <c r="AY198" s="160">
        <f t="shared" si="83"/>
        <v>0</v>
      </c>
      <c r="AZ198" s="160">
        <f t="shared" si="83"/>
        <v>0</v>
      </c>
      <c r="BA198" s="160">
        <f t="shared" si="83"/>
        <v>0</v>
      </c>
      <c r="BB198" s="160">
        <f t="shared" si="83"/>
        <v>570</v>
      </c>
      <c r="BC198" s="160">
        <f t="shared" si="83"/>
        <v>1605</v>
      </c>
      <c r="BD198" s="130">
        <f t="shared" ref="BD198" si="84">AB198+BB198</f>
        <v>570</v>
      </c>
      <c r="BE198" s="130">
        <f t="shared" ref="BE198" si="85">AC198+BC198</f>
        <v>1606</v>
      </c>
      <c r="BF198" s="195">
        <f t="shared" ref="BF198" si="86">BD198/BE198*100</f>
        <v>35.491905354919048</v>
      </c>
      <c r="BG198" s="374">
        <f t="shared" ref="BG198" si="87">BE198-BD198</f>
        <v>1036</v>
      </c>
      <c r="BH198" s="21">
        <v>1596</v>
      </c>
      <c r="BI198" s="21">
        <v>570</v>
      </c>
      <c r="BJ198" s="343">
        <f>BI198-BD198</f>
        <v>0</v>
      </c>
    </row>
    <row r="199" spans="1:62" s="21" customFormat="1" ht="15.95" customHeight="1">
      <c r="A199" s="163">
        <v>1</v>
      </c>
      <c r="B199" s="9" t="s">
        <v>37</v>
      </c>
      <c r="C199" s="11" t="s">
        <v>38</v>
      </c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22">
        <f t="shared" ref="AB199:AB233" si="88">SUM(D199:Z199)</f>
        <v>0</v>
      </c>
      <c r="AC199" s="25">
        <v>0</v>
      </c>
      <c r="AD199" s="24"/>
      <c r="AE199" s="24"/>
      <c r="AF199" s="24"/>
      <c r="AG199" s="24"/>
      <c r="AH199" s="24">
        <v>1</v>
      </c>
      <c r="AI199" s="24"/>
      <c r="AJ199" s="24"/>
      <c r="AK199" s="24"/>
      <c r="AL199" s="24">
        <v>3</v>
      </c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2">
        <f t="shared" ref="BB199:BB226" si="89">SUM(AD199:AZ199)</f>
        <v>4</v>
      </c>
      <c r="BC199" s="23">
        <v>4</v>
      </c>
      <c r="BD199" s="130">
        <f t="shared" ref="BD199:BD230" si="90">AB199+BB199</f>
        <v>4</v>
      </c>
      <c r="BE199" s="130">
        <f t="shared" ref="BE199:BE230" si="91">AC199+BC199</f>
        <v>4</v>
      </c>
      <c r="BF199" s="195">
        <f t="shared" ref="BF199:BF230" si="92">BD199/BE199*100</f>
        <v>100</v>
      </c>
      <c r="BG199" s="373">
        <f t="shared" ref="BG199:BG215" si="93">BE199-BD199</f>
        <v>0</v>
      </c>
    </row>
    <row r="200" spans="1:62" s="21" customFormat="1" ht="15.95" customHeight="1">
      <c r="A200" s="163">
        <v>2</v>
      </c>
      <c r="B200" s="9" t="s">
        <v>122</v>
      </c>
      <c r="C200" s="11" t="s">
        <v>123</v>
      </c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22">
        <f t="shared" si="88"/>
        <v>0</v>
      </c>
      <c r="AC200" s="25">
        <v>0</v>
      </c>
      <c r="AD200" s="99"/>
      <c r="AE200" s="99"/>
      <c r="AF200" s="99"/>
      <c r="AG200" s="99"/>
      <c r="AH200" s="99">
        <v>3</v>
      </c>
      <c r="AI200" s="99"/>
      <c r="AJ200" s="99"/>
      <c r="AK200" s="99"/>
      <c r="AL200" s="99">
        <v>8</v>
      </c>
      <c r="AM200" s="99"/>
      <c r="AN200" s="99"/>
      <c r="AO200" s="99"/>
      <c r="AP200" s="99">
        <f>5+5</f>
        <v>10</v>
      </c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22">
        <f t="shared" si="89"/>
        <v>21</v>
      </c>
      <c r="BC200" s="23">
        <v>18</v>
      </c>
      <c r="BD200" s="130">
        <f t="shared" si="90"/>
        <v>21</v>
      </c>
      <c r="BE200" s="130">
        <f t="shared" si="91"/>
        <v>18</v>
      </c>
      <c r="BF200" s="195">
        <f t="shared" si="92"/>
        <v>116.66666666666667</v>
      </c>
      <c r="BG200" s="373">
        <f t="shared" si="93"/>
        <v>-3</v>
      </c>
    </row>
    <row r="201" spans="1:62" s="21" customFormat="1" ht="15.95" customHeight="1">
      <c r="A201" s="163">
        <v>3</v>
      </c>
      <c r="B201" s="9" t="s">
        <v>124</v>
      </c>
      <c r="C201" s="11" t="s">
        <v>125</v>
      </c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22">
        <f t="shared" si="88"/>
        <v>0</v>
      </c>
      <c r="AC201" s="25">
        <v>0</v>
      </c>
      <c r="AD201" s="99"/>
      <c r="AE201" s="99"/>
      <c r="AF201" s="99"/>
      <c r="AG201" s="99"/>
      <c r="AH201" s="99">
        <v>2</v>
      </c>
      <c r="AI201" s="99"/>
      <c r="AJ201" s="99"/>
      <c r="AK201" s="99"/>
      <c r="AL201" s="99">
        <v>23</v>
      </c>
      <c r="AM201" s="99"/>
      <c r="AN201" s="99"/>
      <c r="AO201" s="99"/>
      <c r="AP201" s="99">
        <f>14+14</f>
        <v>28</v>
      </c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22">
        <f t="shared" si="89"/>
        <v>53</v>
      </c>
      <c r="BC201" s="23">
        <v>23</v>
      </c>
      <c r="BD201" s="130">
        <f t="shared" si="90"/>
        <v>53</v>
      </c>
      <c r="BE201" s="130">
        <f t="shared" si="91"/>
        <v>23</v>
      </c>
      <c r="BF201" s="195">
        <f t="shared" si="92"/>
        <v>230.43478260869566</v>
      </c>
      <c r="BG201" s="373">
        <f t="shared" si="93"/>
        <v>-30</v>
      </c>
    </row>
    <row r="202" spans="1:62" s="21" customFormat="1" ht="15.95" customHeight="1">
      <c r="A202" s="163">
        <v>4</v>
      </c>
      <c r="B202" s="9" t="s">
        <v>39</v>
      </c>
      <c r="C202" s="10" t="s">
        <v>40</v>
      </c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22">
        <f t="shared" si="88"/>
        <v>0</v>
      </c>
      <c r="AC202" s="25">
        <v>0</v>
      </c>
      <c r="AD202" s="99"/>
      <c r="AE202" s="99"/>
      <c r="AF202" s="99"/>
      <c r="AG202" s="99"/>
      <c r="AH202" s="99">
        <v>1</v>
      </c>
      <c r="AI202" s="99"/>
      <c r="AJ202" s="99"/>
      <c r="AK202" s="99"/>
      <c r="AL202" s="99">
        <f>17+1</f>
        <v>18</v>
      </c>
      <c r="AM202" s="99"/>
      <c r="AN202" s="99"/>
      <c r="AO202" s="99"/>
      <c r="AP202" s="99">
        <f>31+15</f>
        <v>46</v>
      </c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22">
        <f t="shared" si="89"/>
        <v>65</v>
      </c>
      <c r="BC202" s="23">
        <v>148</v>
      </c>
      <c r="BD202" s="130">
        <f t="shared" si="90"/>
        <v>65</v>
      </c>
      <c r="BE202" s="130">
        <f t="shared" si="91"/>
        <v>148</v>
      </c>
      <c r="BF202" s="195">
        <f t="shared" si="92"/>
        <v>43.918918918918919</v>
      </c>
      <c r="BG202" s="373">
        <f t="shared" si="93"/>
        <v>83</v>
      </c>
    </row>
    <row r="203" spans="1:62" s="21" customFormat="1" ht="15.95" customHeight="1">
      <c r="A203" s="163">
        <v>5</v>
      </c>
      <c r="B203" s="9" t="s">
        <v>41</v>
      </c>
      <c r="C203" s="11" t="s">
        <v>126</v>
      </c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22">
        <f t="shared" si="88"/>
        <v>0</v>
      </c>
      <c r="AC203" s="25">
        <v>0</v>
      </c>
      <c r="AD203" s="99"/>
      <c r="AE203" s="99"/>
      <c r="AF203" s="99"/>
      <c r="AG203" s="99"/>
      <c r="AH203" s="99">
        <v>4</v>
      </c>
      <c r="AI203" s="99"/>
      <c r="AJ203" s="99"/>
      <c r="AK203" s="99"/>
      <c r="AL203" s="99">
        <v>35</v>
      </c>
      <c r="AM203" s="99"/>
      <c r="AN203" s="99"/>
      <c r="AO203" s="99"/>
      <c r="AP203" s="99">
        <f>32+10</f>
        <v>42</v>
      </c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22">
        <f t="shared" si="89"/>
        <v>81</v>
      </c>
      <c r="BC203" s="23">
        <v>226</v>
      </c>
      <c r="BD203" s="130">
        <f t="shared" si="90"/>
        <v>81</v>
      </c>
      <c r="BE203" s="130">
        <f t="shared" si="91"/>
        <v>226</v>
      </c>
      <c r="BF203" s="195">
        <f t="shared" si="92"/>
        <v>35.840707964601769</v>
      </c>
      <c r="BG203" s="373">
        <f t="shared" si="93"/>
        <v>145</v>
      </c>
    </row>
    <row r="204" spans="1:62" s="21" customFormat="1" ht="15.95" customHeight="1">
      <c r="A204" s="163">
        <v>6</v>
      </c>
      <c r="B204" s="9" t="s">
        <v>2138</v>
      </c>
      <c r="C204" s="11" t="s">
        <v>2139</v>
      </c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22">
        <f t="shared" si="88"/>
        <v>0</v>
      </c>
      <c r="AC204" s="25">
        <v>0</v>
      </c>
      <c r="AD204" s="24"/>
      <c r="AE204" s="24"/>
      <c r="AF204" s="24"/>
      <c r="AG204" s="24"/>
      <c r="AH204" s="24">
        <v>1</v>
      </c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2">
        <f t="shared" si="89"/>
        <v>1</v>
      </c>
      <c r="BC204" s="23">
        <v>3</v>
      </c>
      <c r="BD204" s="130">
        <f t="shared" si="90"/>
        <v>1</v>
      </c>
      <c r="BE204" s="130">
        <f t="shared" si="91"/>
        <v>3</v>
      </c>
      <c r="BF204" s="195">
        <f t="shared" si="92"/>
        <v>33.333333333333329</v>
      </c>
      <c r="BG204" s="373">
        <f t="shared" si="93"/>
        <v>2</v>
      </c>
    </row>
    <row r="205" spans="1:62" s="21" customFormat="1" ht="15.95" customHeight="1">
      <c r="A205" s="163">
        <v>7</v>
      </c>
      <c r="B205" s="9" t="s">
        <v>32</v>
      </c>
      <c r="C205" s="11" t="s">
        <v>33</v>
      </c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22">
        <f t="shared" si="88"/>
        <v>0</v>
      </c>
      <c r="AC205" s="25">
        <v>0</v>
      </c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2">
        <f t="shared" si="89"/>
        <v>0</v>
      </c>
      <c r="BC205" s="23">
        <v>3</v>
      </c>
      <c r="BD205" s="130">
        <f t="shared" si="90"/>
        <v>0</v>
      </c>
      <c r="BE205" s="130">
        <f t="shared" si="91"/>
        <v>3</v>
      </c>
      <c r="BF205" s="195">
        <f t="shared" si="92"/>
        <v>0</v>
      </c>
      <c r="BG205" s="373">
        <f t="shared" si="93"/>
        <v>3</v>
      </c>
    </row>
    <row r="206" spans="1:62" s="21" customFormat="1" ht="15.95" customHeight="1">
      <c r="A206" s="163">
        <v>8</v>
      </c>
      <c r="B206" s="9" t="s">
        <v>615</v>
      </c>
      <c r="C206" s="11" t="s">
        <v>616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22">
        <f t="shared" si="88"/>
        <v>0</v>
      </c>
      <c r="AC206" s="25">
        <v>1</v>
      </c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2">
        <f t="shared" si="89"/>
        <v>0</v>
      </c>
      <c r="BC206" s="23">
        <v>0</v>
      </c>
      <c r="BD206" s="130">
        <f t="shared" si="90"/>
        <v>0</v>
      </c>
      <c r="BE206" s="130">
        <f t="shared" si="91"/>
        <v>1</v>
      </c>
      <c r="BF206" s="195">
        <f t="shared" si="92"/>
        <v>0</v>
      </c>
      <c r="BG206" s="373">
        <f t="shared" si="93"/>
        <v>1</v>
      </c>
    </row>
    <row r="207" spans="1:62" s="21" customFormat="1" ht="15.95" customHeight="1">
      <c r="A207" s="163">
        <v>9</v>
      </c>
      <c r="B207" s="9" t="s">
        <v>720</v>
      </c>
      <c r="C207" s="11" t="s">
        <v>721</v>
      </c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22">
        <f t="shared" si="88"/>
        <v>0</v>
      </c>
      <c r="AC207" s="25">
        <v>0</v>
      </c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2">
        <f t="shared" si="89"/>
        <v>0</v>
      </c>
      <c r="BC207" s="23">
        <v>1</v>
      </c>
      <c r="BD207" s="130">
        <f t="shared" si="90"/>
        <v>0</v>
      </c>
      <c r="BE207" s="130">
        <f t="shared" si="91"/>
        <v>1</v>
      </c>
      <c r="BF207" s="195">
        <f t="shared" si="92"/>
        <v>0</v>
      </c>
      <c r="BG207" s="373">
        <f t="shared" si="93"/>
        <v>1</v>
      </c>
    </row>
    <row r="208" spans="1:62" s="21" customFormat="1" ht="15.95" customHeight="1">
      <c r="A208" s="163">
        <v>10</v>
      </c>
      <c r="B208" s="9" t="s">
        <v>42</v>
      </c>
      <c r="C208" s="11" t="s">
        <v>43</v>
      </c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22">
        <f t="shared" si="88"/>
        <v>0</v>
      </c>
      <c r="AC208" s="25">
        <v>0</v>
      </c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2">
        <f t="shared" si="89"/>
        <v>0</v>
      </c>
      <c r="BC208" s="23">
        <v>52</v>
      </c>
      <c r="BD208" s="130">
        <f t="shared" si="90"/>
        <v>0</v>
      </c>
      <c r="BE208" s="130">
        <f t="shared" si="91"/>
        <v>52</v>
      </c>
      <c r="BF208" s="195">
        <f t="shared" si="92"/>
        <v>0</v>
      </c>
      <c r="BG208" s="373">
        <f t="shared" si="93"/>
        <v>52</v>
      </c>
    </row>
    <row r="209" spans="1:59" s="21" customFormat="1" ht="15.95" customHeight="1">
      <c r="A209" s="163">
        <v>11</v>
      </c>
      <c r="B209" s="9" t="s">
        <v>44</v>
      </c>
      <c r="C209" s="11" t="s">
        <v>45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22">
        <f t="shared" si="88"/>
        <v>0</v>
      </c>
      <c r="AC209" s="25">
        <v>0</v>
      </c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2">
        <f t="shared" si="89"/>
        <v>0</v>
      </c>
      <c r="BC209" s="23">
        <v>3</v>
      </c>
      <c r="BD209" s="130">
        <f t="shared" si="90"/>
        <v>0</v>
      </c>
      <c r="BE209" s="130">
        <f t="shared" si="91"/>
        <v>3</v>
      </c>
      <c r="BF209" s="195">
        <f t="shared" si="92"/>
        <v>0</v>
      </c>
      <c r="BG209" s="373">
        <f t="shared" si="93"/>
        <v>3</v>
      </c>
    </row>
    <row r="210" spans="1:59" s="21" customFormat="1" ht="15.95" customHeight="1">
      <c r="A210" s="163">
        <v>12</v>
      </c>
      <c r="B210" s="9" t="s">
        <v>624</v>
      </c>
      <c r="C210" s="11" t="s">
        <v>625</v>
      </c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22">
        <f t="shared" si="88"/>
        <v>0</v>
      </c>
      <c r="AC210" s="25">
        <v>0</v>
      </c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>
        <v>2</v>
      </c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2">
        <f t="shared" si="89"/>
        <v>2</v>
      </c>
      <c r="BC210" s="23">
        <v>1</v>
      </c>
      <c r="BD210" s="130">
        <f t="shared" si="90"/>
        <v>2</v>
      </c>
      <c r="BE210" s="130">
        <f t="shared" si="91"/>
        <v>1</v>
      </c>
      <c r="BF210" s="195">
        <f t="shared" si="92"/>
        <v>200</v>
      </c>
      <c r="BG210" s="373">
        <f t="shared" si="93"/>
        <v>-1</v>
      </c>
    </row>
    <row r="211" spans="1:59" s="21" customFormat="1" ht="15.95" customHeight="1">
      <c r="A211" s="163">
        <v>13</v>
      </c>
      <c r="B211" s="9" t="s">
        <v>2229</v>
      </c>
      <c r="C211" s="11" t="s">
        <v>77</v>
      </c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22">
        <f t="shared" si="88"/>
        <v>0</v>
      </c>
      <c r="AC211" s="25">
        <v>0</v>
      </c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2">
        <f t="shared" si="89"/>
        <v>0</v>
      </c>
      <c r="BC211" s="23">
        <v>1</v>
      </c>
      <c r="BD211" s="130">
        <f t="shared" si="90"/>
        <v>0</v>
      </c>
      <c r="BE211" s="130">
        <f t="shared" si="91"/>
        <v>1</v>
      </c>
      <c r="BF211" s="195">
        <f t="shared" si="92"/>
        <v>0</v>
      </c>
      <c r="BG211" s="373">
        <f t="shared" si="93"/>
        <v>1</v>
      </c>
    </row>
    <row r="212" spans="1:59" s="21" customFormat="1" ht="15.95" customHeight="1">
      <c r="A212" s="163">
        <v>14</v>
      </c>
      <c r="B212" s="9" t="s">
        <v>129</v>
      </c>
      <c r="C212" s="11" t="s">
        <v>79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22">
        <f t="shared" si="88"/>
        <v>0</v>
      </c>
      <c r="AC212" s="25">
        <v>0</v>
      </c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>
        <v>2</v>
      </c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2">
        <f t="shared" si="89"/>
        <v>2</v>
      </c>
      <c r="BC212" s="23">
        <v>6</v>
      </c>
      <c r="BD212" s="130">
        <f t="shared" si="90"/>
        <v>2</v>
      </c>
      <c r="BE212" s="130">
        <f t="shared" si="91"/>
        <v>6</v>
      </c>
      <c r="BF212" s="195">
        <f t="shared" si="92"/>
        <v>33.333333333333329</v>
      </c>
      <c r="BG212" s="373">
        <f t="shared" si="93"/>
        <v>4</v>
      </c>
    </row>
    <row r="213" spans="1:59" s="21" customFormat="1" ht="15.95" customHeight="1">
      <c r="A213" s="163">
        <v>15</v>
      </c>
      <c r="B213" s="9" t="s">
        <v>3390</v>
      </c>
      <c r="C213" s="11" t="s">
        <v>1915</v>
      </c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22">
        <f t="shared" si="88"/>
        <v>0</v>
      </c>
      <c r="AC213" s="25">
        <v>0</v>
      </c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22">
        <f t="shared" si="89"/>
        <v>0</v>
      </c>
      <c r="BC213" s="23">
        <v>1</v>
      </c>
      <c r="BD213" s="130">
        <f t="shared" si="90"/>
        <v>0</v>
      </c>
      <c r="BE213" s="130">
        <f t="shared" si="91"/>
        <v>1</v>
      </c>
      <c r="BF213" s="195">
        <f t="shared" si="92"/>
        <v>0</v>
      </c>
      <c r="BG213" s="373">
        <f t="shared" si="93"/>
        <v>1</v>
      </c>
    </row>
    <row r="214" spans="1:59" s="21" customFormat="1" ht="15.95" customHeight="1">
      <c r="A214" s="163">
        <v>16</v>
      </c>
      <c r="B214" s="9" t="s">
        <v>3327</v>
      </c>
      <c r="C214" s="11" t="s">
        <v>130</v>
      </c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22">
        <f t="shared" si="88"/>
        <v>0</v>
      </c>
      <c r="AC214" s="25">
        <v>0</v>
      </c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22">
        <f t="shared" si="89"/>
        <v>0</v>
      </c>
      <c r="BC214" s="23">
        <v>5</v>
      </c>
      <c r="BD214" s="130">
        <f t="shared" si="90"/>
        <v>0</v>
      </c>
      <c r="BE214" s="130">
        <f t="shared" si="91"/>
        <v>5</v>
      </c>
      <c r="BF214" s="195">
        <f t="shared" si="92"/>
        <v>0</v>
      </c>
      <c r="BG214" s="373">
        <f t="shared" si="93"/>
        <v>5</v>
      </c>
    </row>
    <row r="215" spans="1:59" s="21" customFormat="1" ht="15.95" customHeight="1">
      <c r="A215" s="163">
        <v>17</v>
      </c>
      <c r="B215" s="9" t="s">
        <v>3327</v>
      </c>
      <c r="C215" s="11" t="s">
        <v>130</v>
      </c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22">
        <f t="shared" si="88"/>
        <v>0</v>
      </c>
      <c r="AC215" s="25">
        <v>0</v>
      </c>
      <c r="AD215" s="24"/>
      <c r="AE215" s="24"/>
      <c r="AF215" s="24"/>
      <c r="AG215" s="24"/>
      <c r="AH215" s="24">
        <v>1</v>
      </c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2">
        <f t="shared" si="89"/>
        <v>1</v>
      </c>
      <c r="BC215" s="23">
        <v>4</v>
      </c>
      <c r="BD215" s="130">
        <f t="shared" si="90"/>
        <v>1</v>
      </c>
      <c r="BE215" s="130">
        <f t="shared" si="91"/>
        <v>4</v>
      </c>
      <c r="BF215" s="195">
        <f t="shared" si="92"/>
        <v>25</v>
      </c>
      <c r="BG215" s="373">
        <f t="shared" si="93"/>
        <v>3</v>
      </c>
    </row>
    <row r="216" spans="1:59" s="21" customFormat="1" ht="15.95" customHeight="1">
      <c r="A216" s="163">
        <v>18</v>
      </c>
      <c r="B216" s="9" t="s">
        <v>127</v>
      </c>
      <c r="C216" s="11" t="s">
        <v>128</v>
      </c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22">
        <f t="shared" si="88"/>
        <v>0</v>
      </c>
      <c r="AC216" s="25">
        <v>0</v>
      </c>
      <c r="AD216" s="24"/>
      <c r="AE216" s="24"/>
      <c r="AF216" s="24"/>
      <c r="AG216" s="24"/>
      <c r="AH216" s="24"/>
      <c r="AI216" s="24"/>
      <c r="AJ216" s="24"/>
      <c r="AK216" s="24"/>
      <c r="AL216" s="24">
        <v>1</v>
      </c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2">
        <f t="shared" si="89"/>
        <v>1</v>
      </c>
      <c r="BC216" s="23">
        <v>0</v>
      </c>
      <c r="BD216" s="130">
        <f t="shared" si="90"/>
        <v>1</v>
      </c>
      <c r="BE216" s="130">
        <f t="shared" si="91"/>
        <v>0</v>
      </c>
      <c r="BF216" s="195" t="e">
        <f t="shared" si="92"/>
        <v>#DIV/0!</v>
      </c>
      <c r="BG216" s="373"/>
    </row>
    <row r="217" spans="1:59" s="21" customFormat="1" ht="15.95" customHeight="1">
      <c r="A217" s="163">
        <v>19</v>
      </c>
      <c r="B217" s="9" t="s">
        <v>61</v>
      </c>
      <c r="C217" s="11" t="s">
        <v>3112</v>
      </c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22">
        <f t="shared" si="88"/>
        <v>0</v>
      </c>
      <c r="AC217" s="25">
        <v>0</v>
      </c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2">
        <f t="shared" si="89"/>
        <v>0</v>
      </c>
      <c r="BC217" s="23">
        <v>1</v>
      </c>
      <c r="BD217" s="130">
        <f t="shared" si="90"/>
        <v>0</v>
      </c>
      <c r="BE217" s="130">
        <f t="shared" si="91"/>
        <v>1</v>
      </c>
      <c r="BF217" s="195">
        <f t="shared" si="92"/>
        <v>0</v>
      </c>
      <c r="BG217" s="373">
        <f>BE217-BD217</f>
        <v>1</v>
      </c>
    </row>
    <row r="218" spans="1:59" s="21" customFormat="1" ht="15.95" customHeight="1">
      <c r="A218" s="163">
        <v>20</v>
      </c>
      <c r="B218" s="9" t="s">
        <v>68</v>
      </c>
      <c r="C218" s="11" t="s">
        <v>69</v>
      </c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22">
        <f t="shared" si="88"/>
        <v>0</v>
      </c>
      <c r="AC218" s="25">
        <v>0</v>
      </c>
      <c r="AD218" s="24"/>
      <c r="AE218" s="24"/>
      <c r="AF218" s="24"/>
      <c r="AG218" s="24"/>
      <c r="AH218" s="24"/>
      <c r="AI218" s="24"/>
      <c r="AJ218" s="24"/>
      <c r="AK218" s="24"/>
      <c r="AL218" s="24">
        <v>1</v>
      </c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2">
        <f t="shared" si="89"/>
        <v>1</v>
      </c>
      <c r="BC218" s="23">
        <v>1</v>
      </c>
      <c r="BD218" s="130">
        <f t="shared" si="90"/>
        <v>1</v>
      </c>
      <c r="BE218" s="130">
        <f t="shared" si="91"/>
        <v>1</v>
      </c>
      <c r="BF218" s="195">
        <f t="shared" si="92"/>
        <v>100</v>
      </c>
      <c r="BG218" s="373">
        <f>BE218-BD218</f>
        <v>0</v>
      </c>
    </row>
    <row r="219" spans="1:59" s="21" customFormat="1" ht="15.95" customHeight="1">
      <c r="A219" s="163">
        <v>21</v>
      </c>
      <c r="B219" s="9" t="s">
        <v>72</v>
      </c>
      <c r="C219" s="11" t="s">
        <v>73</v>
      </c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22">
        <f t="shared" si="88"/>
        <v>0</v>
      </c>
      <c r="AC219" s="25">
        <v>0</v>
      </c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22">
        <f t="shared" si="89"/>
        <v>0</v>
      </c>
      <c r="BC219" s="23">
        <v>1</v>
      </c>
      <c r="BD219" s="130">
        <f t="shared" si="90"/>
        <v>0</v>
      </c>
      <c r="BE219" s="130">
        <f t="shared" si="91"/>
        <v>1</v>
      </c>
      <c r="BF219" s="195">
        <f t="shared" si="92"/>
        <v>0</v>
      </c>
      <c r="BG219" s="373">
        <f>BE219-BD219</f>
        <v>1</v>
      </c>
    </row>
    <row r="220" spans="1:59" s="21" customFormat="1" ht="15.95" customHeight="1">
      <c r="A220" s="163">
        <v>22</v>
      </c>
      <c r="B220" s="9" t="s">
        <v>3120</v>
      </c>
      <c r="C220" s="11" t="s">
        <v>3121</v>
      </c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22">
        <f t="shared" si="88"/>
        <v>0</v>
      </c>
      <c r="AC220" s="25">
        <v>0</v>
      </c>
      <c r="AD220" s="99"/>
      <c r="AE220" s="99"/>
      <c r="AF220" s="99"/>
      <c r="AG220" s="99"/>
      <c r="AH220" s="99"/>
      <c r="AI220" s="99"/>
      <c r="AJ220" s="99"/>
      <c r="AK220" s="99"/>
      <c r="AL220" s="99">
        <v>2</v>
      </c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22">
        <f t="shared" si="89"/>
        <v>2</v>
      </c>
      <c r="BC220" s="23">
        <v>0</v>
      </c>
      <c r="BD220" s="130">
        <f t="shared" si="90"/>
        <v>2</v>
      </c>
      <c r="BE220" s="130">
        <f t="shared" si="91"/>
        <v>0</v>
      </c>
      <c r="BF220" s="195" t="e">
        <f t="shared" si="92"/>
        <v>#DIV/0!</v>
      </c>
      <c r="BG220" s="373"/>
    </row>
    <row r="221" spans="1:59" s="21" customFormat="1" ht="15.95" customHeight="1">
      <c r="A221" s="163">
        <v>23</v>
      </c>
      <c r="B221" s="9" t="s">
        <v>76</v>
      </c>
      <c r="C221" s="11" t="s">
        <v>77</v>
      </c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22">
        <f t="shared" si="88"/>
        <v>0</v>
      </c>
      <c r="AC221" s="25">
        <v>0</v>
      </c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2">
        <f t="shared" si="89"/>
        <v>0</v>
      </c>
      <c r="BC221" s="23">
        <v>7</v>
      </c>
      <c r="BD221" s="130">
        <f t="shared" si="90"/>
        <v>0</v>
      </c>
      <c r="BE221" s="130">
        <f t="shared" si="91"/>
        <v>7</v>
      </c>
      <c r="BF221" s="195">
        <f t="shared" si="92"/>
        <v>0</v>
      </c>
      <c r="BG221" s="373">
        <f t="shared" ref="BG221:BG226" si="94">BE221-BD221</f>
        <v>7</v>
      </c>
    </row>
    <row r="222" spans="1:59" s="21" customFormat="1" ht="15.95" customHeight="1">
      <c r="A222" s="163">
        <v>24</v>
      </c>
      <c r="B222" s="9" t="s">
        <v>78</v>
      </c>
      <c r="C222" s="11" t="s">
        <v>79</v>
      </c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22">
        <f t="shared" si="88"/>
        <v>0</v>
      </c>
      <c r="AC222" s="25">
        <v>0</v>
      </c>
      <c r="AD222" s="24"/>
      <c r="AE222" s="24"/>
      <c r="AF222" s="24"/>
      <c r="AG222" s="24"/>
      <c r="AH222" s="24"/>
      <c r="AI222" s="24"/>
      <c r="AJ222" s="24"/>
      <c r="AK222" s="24"/>
      <c r="AL222" s="24">
        <v>2</v>
      </c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2">
        <f t="shared" si="89"/>
        <v>2</v>
      </c>
      <c r="BC222" s="23">
        <v>6</v>
      </c>
      <c r="BD222" s="130">
        <f t="shared" si="90"/>
        <v>2</v>
      </c>
      <c r="BE222" s="130">
        <f t="shared" si="91"/>
        <v>6</v>
      </c>
      <c r="BF222" s="195">
        <f t="shared" si="92"/>
        <v>33.333333333333329</v>
      </c>
      <c r="BG222" s="373">
        <f t="shared" si="94"/>
        <v>4</v>
      </c>
    </row>
    <row r="223" spans="1:59" s="21" customFormat="1" ht="15.95" customHeight="1">
      <c r="A223" s="163">
        <v>25</v>
      </c>
      <c r="B223" s="9" t="s">
        <v>1155</v>
      </c>
      <c r="C223" s="11" t="s">
        <v>1915</v>
      </c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22">
        <f t="shared" si="88"/>
        <v>0</v>
      </c>
      <c r="AC223" s="25">
        <v>0</v>
      </c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2">
        <f t="shared" si="89"/>
        <v>0</v>
      </c>
      <c r="BC223" s="23">
        <v>2</v>
      </c>
      <c r="BD223" s="130">
        <f t="shared" si="90"/>
        <v>0</v>
      </c>
      <c r="BE223" s="130">
        <f t="shared" si="91"/>
        <v>2</v>
      </c>
      <c r="BF223" s="195">
        <f t="shared" si="92"/>
        <v>0</v>
      </c>
      <c r="BG223" s="373">
        <f t="shared" si="94"/>
        <v>2</v>
      </c>
    </row>
    <row r="224" spans="1:59" s="21" customFormat="1" ht="15.95" customHeight="1">
      <c r="A224" s="163">
        <v>26</v>
      </c>
      <c r="B224" s="9" t="s">
        <v>80</v>
      </c>
      <c r="C224" s="11" t="s">
        <v>130</v>
      </c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22">
        <f t="shared" si="88"/>
        <v>0</v>
      </c>
      <c r="AC224" s="25">
        <v>0</v>
      </c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2">
        <f t="shared" si="89"/>
        <v>0</v>
      </c>
      <c r="BC224" s="23">
        <v>9</v>
      </c>
      <c r="BD224" s="130">
        <f t="shared" si="90"/>
        <v>0</v>
      </c>
      <c r="BE224" s="130">
        <f t="shared" si="91"/>
        <v>9</v>
      </c>
      <c r="BF224" s="195">
        <f t="shared" si="92"/>
        <v>0</v>
      </c>
      <c r="BG224" s="373">
        <f t="shared" si="94"/>
        <v>9</v>
      </c>
    </row>
    <row r="225" spans="1:59" s="21" customFormat="1" ht="15.95" customHeight="1">
      <c r="A225" s="163">
        <v>27</v>
      </c>
      <c r="B225" s="9" t="s">
        <v>1156</v>
      </c>
      <c r="C225" s="11" t="s">
        <v>1157</v>
      </c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22">
        <f t="shared" si="88"/>
        <v>0</v>
      </c>
      <c r="AC225" s="25">
        <v>0</v>
      </c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2">
        <f t="shared" si="89"/>
        <v>0</v>
      </c>
      <c r="BC225" s="23">
        <v>3</v>
      </c>
      <c r="BD225" s="130">
        <f t="shared" si="90"/>
        <v>0</v>
      </c>
      <c r="BE225" s="130">
        <f t="shared" si="91"/>
        <v>3</v>
      </c>
      <c r="BF225" s="195">
        <f t="shared" si="92"/>
        <v>0</v>
      </c>
      <c r="BG225" s="373">
        <f t="shared" si="94"/>
        <v>3</v>
      </c>
    </row>
    <row r="226" spans="1:59" s="21" customFormat="1" ht="15.95" customHeight="1">
      <c r="A226" s="163">
        <v>28</v>
      </c>
      <c r="B226" s="9" t="s">
        <v>82</v>
      </c>
      <c r="C226" s="11" t="s">
        <v>1908</v>
      </c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22">
        <f t="shared" si="88"/>
        <v>0</v>
      </c>
      <c r="AC226" s="25">
        <v>0</v>
      </c>
      <c r="AD226" s="24"/>
      <c r="AE226" s="24"/>
      <c r="AF226" s="24"/>
      <c r="AG226" s="24"/>
      <c r="AH226" s="24"/>
      <c r="AI226" s="24"/>
      <c r="AJ226" s="24"/>
      <c r="AK226" s="24"/>
      <c r="AL226" s="24">
        <v>3</v>
      </c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2">
        <f t="shared" si="89"/>
        <v>3</v>
      </c>
      <c r="BC226" s="23">
        <v>5</v>
      </c>
      <c r="BD226" s="130">
        <f t="shared" si="90"/>
        <v>3</v>
      </c>
      <c r="BE226" s="130">
        <f t="shared" si="91"/>
        <v>5</v>
      </c>
      <c r="BF226" s="195">
        <f t="shared" si="92"/>
        <v>60</v>
      </c>
      <c r="BG226" s="373">
        <f t="shared" si="94"/>
        <v>2</v>
      </c>
    </row>
    <row r="227" spans="1:59" s="21" customFormat="1" ht="15.95" customHeight="1">
      <c r="A227" s="163">
        <v>29</v>
      </c>
      <c r="B227" s="9" t="s">
        <v>84</v>
      </c>
      <c r="C227" s="11" t="s">
        <v>85</v>
      </c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22">
        <f t="shared" si="88"/>
        <v>0</v>
      </c>
      <c r="AC227" s="25">
        <v>0</v>
      </c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>
        <v>2</v>
      </c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2"/>
      <c r="BC227" s="23">
        <v>0</v>
      </c>
      <c r="BD227" s="130">
        <f t="shared" si="90"/>
        <v>0</v>
      </c>
      <c r="BE227" s="130">
        <f t="shared" si="91"/>
        <v>0</v>
      </c>
      <c r="BF227" s="195" t="e">
        <f t="shared" si="92"/>
        <v>#DIV/0!</v>
      </c>
      <c r="BG227" s="373"/>
    </row>
    <row r="228" spans="1:59" s="21" customFormat="1" ht="15.95" customHeight="1">
      <c r="A228" s="163">
        <v>30</v>
      </c>
      <c r="B228" s="9" t="s">
        <v>86</v>
      </c>
      <c r="C228" s="11" t="s">
        <v>87</v>
      </c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22">
        <f t="shared" si="88"/>
        <v>0</v>
      </c>
      <c r="AC228" s="25">
        <v>0</v>
      </c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2">
        <f t="shared" ref="BB228:BB236" si="95">SUM(AD228:AZ228)</f>
        <v>0</v>
      </c>
      <c r="BC228" s="23">
        <v>4</v>
      </c>
      <c r="BD228" s="130">
        <f t="shared" si="90"/>
        <v>0</v>
      </c>
      <c r="BE228" s="130">
        <f t="shared" si="91"/>
        <v>4</v>
      </c>
      <c r="BF228" s="195">
        <f t="shared" si="92"/>
        <v>0</v>
      </c>
      <c r="BG228" s="373">
        <f>BE228-BD228</f>
        <v>4</v>
      </c>
    </row>
    <row r="229" spans="1:59" s="21" customFormat="1" ht="15.95" customHeight="1">
      <c r="A229" s="163">
        <v>31</v>
      </c>
      <c r="B229" s="9" t="s">
        <v>3258</v>
      </c>
      <c r="C229" s="11" t="s">
        <v>3259</v>
      </c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22">
        <f t="shared" si="88"/>
        <v>0</v>
      </c>
      <c r="AC229" s="25">
        <v>0</v>
      </c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2">
        <f t="shared" si="95"/>
        <v>0</v>
      </c>
      <c r="BC229" s="23">
        <v>1</v>
      </c>
      <c r="BD229" s="130">
        <f t="shared" si="90"/>
        <v>0</v>
      </c>
      <c r="BE229" s="130">
        <f t="shared" si="91"/>
        <v>1</v>
      </c>
      <c r="BF229" s="195">
        <f t="shared" si="92"/>
        <v>0</v>
      </c>
      <c r="BG229" s="373">
        <f>BE229-BD229</f>
        <v>1</v>
      </c>
    </row>
    <row r="230" spans="1:59" s="21" customFormat="1" ht="15.95" customHeight="1">
      <c r="A230" s="163">
        <v>32</v>
      </c>
      <c r="B230" s="9" t="s">
        <v>2673</v>
      </c>
      <c r="C230" s="11" t="s">
        <v>2674</v>
      </c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22">
        <f t="shared" si="88"/>
        <v>0</v>
      </c>
      <c r="AC230" s="25">
        <v>0</v>
      </c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>
        <v>2</v>
      </c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2">
        <f t="shared" si="95"/>
        <v>2</v>
      </c>
      <c r="BC230" s="23">
        <v>10</v>
      </c>
      <c r="BD230" s="130">
        <f t="shared" si="90"/>
        <v>2</v>
      </c>
      <c r="BE230" s="130">
        <f t="shared" si="91"/>
        <v>10</v>
      </c>
      <c r="BF230" s="195">
        <f t="shared" si="92"/>
        <v>20</v>
      </c>
      <c r="BG230" s="373">
        <f>BE230-BD230</f>
        <v>8</v>
      </c>
    </row>
    <row r="231" spans="1:59" s="21" customFormat="1" ht="15.95" customHeight="1">
      <c r="A231" s="163">
        <v>33</v>
      </c>
      <c r="B231" s="9" t="s">
        <v>3260</v>
      </c>
      <c r="C231" s="11" t="s">
        <v>3261</v>
      </c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22">
        <f t="shared" si="88"/>
        <v>0</v>
      </c>
      <c r="AC231" s="25">
        <v>0</v>
      </c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2">
        <f t="shared" si="95"/>
        <v>0</v>
      </c>
      <c r="BC231" s="23">
        <v>1</v>
      </c>
      <c r="BD231" s="130">
        <f t="shared" ref="BD231:BD252" si="96">AB231+BB231</f>
        <v>0</v>
      </c>
      <c r="BE231" s="130">
        <f t="shared" ref="BE231:BE252" si="97">AC231+BC231</f>
        <v>1</v>
      </c>
      <c r="BF231" s="195">
        <f t="shared" ref="BF231:BF252" si="98">BD231/BE231*100</f>
        <v>0</v>
      </c>
      <c r="BG231" s="373">
        <f>BE231-BD231</f>
        <v>1</v>
      </c>
    </row>
    <row r="232" spans="1:59" s="21" customFormat="1" ht="15.95" customHeight="1">
      <c r="A232" s="163">
        <v>34</v>
      </c>
      <c r="B232" s="9" t="s">
        <v>3884</v>
      </c>
      <c r="C232" s="11" t="s">
        <v>3885</v>
      </c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22">
        <f t="shared" si="88"/>
        <v>0</v>
      </c>
      <c r="AC232" s="25">
        <v>0</v>
      </c>
      <c r="AD232" s="24"/>
      <c r="AE232" s="24"/>
      <c r="AF232" s="24"/>
      <c r="AG232" s="24"/>
      <c r="AH232" s="24"/>
      <c r="AI232" s="24"/>
      <c r="AJ232" s="24"/>
      <c r="AK232" s="24"/>
      <c r="AL232" s="24">
        <v>1</v>
      </c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2">
        <f t="shared" si="95"/>
        <v>1</v>
      </c>
      <c r="BC232" s="23">
        <v>0</v>
      </c>
      <c r="BD232" s="130">
        <f t="shared" si="96"/>
        <v>1</v>
      </c>
      <c r="BE232" s="130">
        <f t="shared" si="97"/>
        <v>0</v>
      </c>
      <c r="BF232" s="195" t="e">
        <f t="shared" si="98"/>
        <v>#DIV/0!</v>
      </c>
      <c r="BG232" s="373"/>
    </row>
    <row r="233" spans="1:59" s="21" customFormat="1" ht="15.95" customHeight="1">
      <c r="A233" s="163">
        <v>35</v>
      </c>
      <c r="B233" s="9" t="s">
        <v>96</v>
      </c>
      <c r="C233" s="11" t="s">
        <v>106</v>
      </c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22">
        <f t="shared" si="88"/>
        <v>0</v>
      </c>
      <c r="AC233" s="25">
        <v>0</v>
      </c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22">
        <f t="shared" si="95"/>
        <v>0</v>
      </c>
      <c r="BC233" s="23">
        <v>2</v>
      </c>
      <c r="BD233" s="130">
        <f t="shared" si="96"/>
        <v>0</v>
      </c>
      <c r="BE233" s="130">
        <f t="shared" si="97"/>
        <v>2</v>
      </c>
      <c r="BF233" s="195">
        <f t="shared" si="98"/>
        <v>0</v>
      </c>
      <c r="BG233" s="373"/>
    </row>
    <row r="234" spans="1:59" s="21" customFormat="1" ht="15.95" customHeight="1">
      <c r="A234" s="163">
        <v>36</v>
      </c>
      <c r="B234" s="9" t="s">
        <v>102</v>
      </c>
      <c r="C234" s="11" t="s">
        <v>2497</v>
      </c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22">
        <v>0</v>
      </c>
      <c r="AC234" s="25">
        <v>0</v>
      </c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2">
        <f t="shared" si="95"/>
        <v>0</v>
      </c>
      <c r="BC234" s="23">
        <v>1</v>
      </c>
      <c r="BD234" s="130">
        <f t="shared" si="96"/>
        <v>0</v>
      </c>
      <c r="BE234" s="130">
        <f t="shared" si="97"/>
        <v>1</v>
      </c>
      <c r="BF234" s="195">
        <f t="shared" si="98"/>
        <v>0</v>
      </c>
      <c r="BG234" s="373">
        <f>BE234-BD234</f>
        <v>1</v>
      </c>
    </row>
    <row r="235" spans="1:59" s="21" customFormat="1" ht="15.95" customHeight="1">
      <c r="A235" s="163">
        <v>37</v>
      </c>
      <c r="B235" s="9" t="s">
        <v>4033</v>
      </c>
      <c r="C235" s="11" t="s">
        <v>4034</v>
      </c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22">
        <v>0</v>
      </c>
      <c r="AC235" s="25">
        <v>0</v>
      </c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2">
        <f t="shared" si="95"/>
        <v>0</v>
      </c>
      <c r="BC235" s="23">
        <v>0</v>
      </c>
      <c r="BD235" s="130">
        <f t="shared" si="96"/>
        <v>0</v>
      </c>
      <c r="BE235" s="130">
        <f t="shared" si="97"/>
        <v>0</v>
      </c>
      <c r="BF235" s="195" t="e">
        <f t="shared" si="98"/>
        <v>#DIV/0!</v>
      </c>
      <c r="BG235" s="373"/>
    </row>
    <row r="236" spans="1:59" s="21" customFormat="1" ht="15.95" customHeight="1">
      <c r="A236" s="163">
        <v>38</v>
      </c>
      <c r="B236" s="9" t="s">
        <v>4035</v>
      </c>
      <c r="C236" s="11" t="s">
        <v>2311</v>
      </c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22">
        <v>0</v>
      </c>
      <c r="AC236" s="25">
        <v>0</v>
      </c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2">
        <f t="shared" si="95"/>
        <v>0</v>
      </c>
      <c r="BC236" s="23">
        <v>0</v>
      </c>
      <c r="BD236" s="130">
        <f t="shared" si="96"/>
        <v>0</v>
      </c>
      <c r="BE236" s="130">
        <f t="shared" si="97"/>
        <v>0</v>
      </c>
      <c r="BF236" s="195" t="e">
        <f t="shared" si="98"/>
        <v>#DIV/0!</v>
      </c>
      <c r="BG236" s="373"/>
    </row>
    <row r="237" spans="1:59" s="21" customFormat="1" ht="15.95" customHeight="1">
      <c r="A237" s="163">
        <v>39</v>
      </c>
      <c r="B237" s="9" t="s">
        <v>3886</v>
      </c>
      <c r="C237" s="11" t="s">
        <v>3887</v>
      </c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22">
        <v>0</v>
      </c>
      <c r="AC237" s="25">
        <v>0</v>
      </c>
      <c r="AD237" s="24"/>
      <c r="AE237" s="24"/>
      <c r="AF237" s="24"/>
      <c r="AG237" s="24"/>
      <c r="AH237" s="24"/>
      <c r="AI237" s="24"/>
      <c r="AJ237" s="24"/>
      <c r="AK237" s="24"/>
      <c r="AL237" s="24">
        <v>1</v>
      </c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2">
        <f t="shared" ref="BB237:BB252" si="99">SUM(AD237:AZ237)</f>
        <v>1</v>
      </c>
      <c r="BC237" s="23">
        <v>0</v>
      </c>
      <c r="BD237" s="130">
        <f t="shared" si="96"/>
        <v>1</v>
      </c>
      <c r="BE237" s="130">
        <f t="shared" si="97"/>
        <v>0</v>
      </c>
      <c r="BF237" s="195" t="e">
        <f t="shared" si="98"/>
        <v>#DIV/0!</v>
      </c>
      <c r="BG237" s="373"/>
    </row>
    <row r="238" spans="1:59" s="21" customFormat="1" ht="15.95" customHeight="1">
      <c r="A238" s="163">
        <v>40</v>
      </c>
      <c r="B238" s="9" t="s">
        <v>2938</v>
      </c>
      <c r="C238" s="11" t="s">
        <v>2939</v>
      </c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22">
        <v>0</v>
      </c>
      <c r="AC238" s="25">
        <v>0</v>
      </c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2">
        <f t="shared" si="99"/>
        <v>0</v>
      </c>
      <c r="BC238" s="23">
        <v>1</v>
      </c>
      <c r="BD238" s="130">
        <f t="shared" si="96"/>
        <v>0</v>
      </c>
      <c r="BE238" s="130">
        <f t="shared" si="97"/>
        <v>1</v>
      </c>
      <c r="BF238" s="195">
        <f t="shared" si="98"/>
        <v>0</v>
      </c>
      <c r="BG238" s="373">
        <f>BE238-BD238</f>
        <v>1</v>
      </c>
    </row>
    <row r="239" spans="1:59" s="21" customFormat="1" ht="15.95" customHeight="1">
      <c r="A239" s="163">
        <v>41</v>
      </c>
      <c r="B239" s="9" t="s">
        <v>2843</v>
      </c>
      <c r="C239" s="11" t="s">
        <v>2844</v>
      </c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22">
        <v>0</v>
      </c>
      <c r="AC239" s="25">
        <v>0</v>
      </c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2">
        <f t="shared" si="99"/>
        <v>0</v>
      </c>
      <c r="BC239" s="23">
        <v>1</v>
      </c>
      <c r="BD239" s="130">
        <f t="shared" si="96"/>
        <v>0</v>
      </c>
      <c r="BE239" s="130">
        <f t="shared" si="97"/>
        <v>1</v>
      </c>
      <c r="BF239" s="195">
        <f t="shared" si="98"/>
        <v>0</v>
      </c>
      <c r="BG239" s="373">
        <f>BE239-BD239</f>
        <v>1</v>
      </c>
    </row>
    <row r="240" spans="1:59" s="21" customFormat="1" ht="15.95" customHeight="1">
      <c r="A240" s="163">
        <v>42</v>
      </c>
      <c r="B240" s="9" t="s">
        <v>2123</v>
      </c>
      <c r="C240" s="11" t="s">
        <v>2124</v>
      </c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22">
        <v>0</v>
      </c>
      <c r="AC240" s="25">
        <v>0</v>
      </c>
      <c r="AD240" s="24"/>
      <c r="AE240" s="24"/>
      <c r="AF240" s="24"/>
      <c r="AG240" s="24"/>
      <c r="AH240" s="24"/>
      <c r="AI240" s="24"/>
      <c r="AJ240" s="24"/>
      <c r="AK240" s="24"/>
      <c r="AL240" s="24">
        <v>1</v>
      </c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2">
        <f t="shared" si="99"/>
        <v>1</v>
      </c>
      <c r="BC240" s="23">
        <v>0</v>
      </c>
      <c r="BD240" s="130">
        <f t="shared" si="96"/>
        <v>1</v>
      </c>
      <c r="BE240" s="130">
        <f t="shared" si="97"/>
        <v>0</v>
      </c>
      <c r="BF240" s="195" t="e">
        <f t="shared" si="98"/>
        <v>#DIV/0!</v>
      </c>
      <c r="BG240" s="373"/>
    </row>
    <row r="241" spans="1:62" s="21" customFormat="1" ht="15.95" customHeight="1">
      <c r="A241" s="163">
        <v>43</v>
      </c>
      <c r="B241" s="9" t="s">
        <v>1164</v>
      </c>
      <c r="C241" s="11" t="s">
        <v>1165</v>
      </c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22">
        <v>0</v>
      </c>
      <c r="AC241" s="25">
        <v>0</v>
      </c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2">
        <f t="shared" si="99"/>
        <v>0</v>
      </c>
      <c r="BC241" s="23">
        <v>1</v>
      </c>
      <c r="BD241" s="130">
        <f t="shared" si="96"/>
        <v>0</v>
      </c>
      <c r="BE241" s="130">
        <f t="shared" si="97"/>
        <v>1</v>
      </c>
      <c r="BF241" s="195">
        <f t="shared" si="98"/>
        <v>0</v>
      </c>
      <c r="BG241" s="373">
        <f>BE241-BD241</f>
        <v>1</v>
      </c>
    </row>
    <row r="242" spans="1:62" s="21" customFormat="1" ht="15.95" customHeight="1">
      <c r="A242" s="163">
        <v>44</v>
      </c>
      <c r="B242" s="9" t="s">
        <v>115</v>
      </c>
      <c r="C242" s="11" t="s">
        <v>116</v>
      </c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22">
        <f t="shared" ref="AB242:AB252" si="100">SUM(D242:Z242)</f>
        <v>0</v>
      </c>
      <c r="AC242" s="25">
        <v>0</v>
      </c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>
        <v>1</v>
      </c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2">
        <f t="shared" si="99"/>
        <v>1</v>
      </c>
      <c r="BC242" s="23">
        <v>1</v>
      </c>
      <c r="BD242" s="130">
        <f t="shared" si="96"/>
        <v>1</v>
      </c>
      <c r="BE242" s="130">
        <f t="shared" si="97"/>
        <v>1</v>
      </c>
      <c r="BF242" s="195">
        <f t="shared" si="98"/>
        <v>100</v>
      </c>
      <c r="BG242" s="373">
        <f>BE242-BD242</f>
        <v>0</v>
      </c>
    </row>
    <row r="243" spans="1:62" s="21" customFormat="1" ht="15.95" customHeight="1">
      <c r="A243" s="163">
        <v>45</v>
      </c>
      <c r="B243" s="9" t="s">
        <v>3391</v>
      </c>
      <c r="C243" s="11" t="s">
        <v>3392</v>
      </c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22">
        <f t="shared" si="100"/>
        <v>0</v>
      </c>
      <c r="AC243" s="25">
        <v>0</v>
      </c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22">
        <f t="shared" si="99"/>
        <v>0</v>
      </c>
      <c r="BC243" s="23">
        <v>1</v>
      </c>
      <c r="BD243" s="130">
        <f t="shared" si="96"/>
        <v>0</v>
      </c>
      <c r="BE243" s="130">
        <f t="shared" si="97"/>
        <v>1</v>
      </c>
      <c r="BF243" s="195">
        <f t="shared" si="98"/>
        <v>0</v>
      </c>
      <c r="BG243" s="373"/>
    </row>
    <row r="244" spans="1:62" s="21" customFormat="1" ht="15.95" customHeight="1">
      <c r="A244" s="163">
        <v>46</v>
      </c>
      <c r="B244" s="9" t="s">
        <v>4036</v>
      </c>
      <c r="C244" s="11" t="s">
        <v>4038</v>
      </c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22">
        <f t="shared" si="100"/>
        <v>0</v>
      </c>
      <c r="AC244" s="25">
        <v>0</v>
      </c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>
        <v>1</v>
      </c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22">
        <f t="shared" si="99"/>
        <v>1</v>
      </c>
      <c r="BC244" s="23">
        <v>0</v>
      </c>
      <c r="BD244" s="130">
        <f t="shared" si="96"/>
        <v>1</v>
      </c>
      <c r="BE244" s="130">
        <f t="shared" si="97"/>
        <v>0</v>
      </c>
      <c r="BF244" s="195" t="e">
        <f t="shared" si="98"/>
        <v>#DIV/0!</v>
      </c>
      <c r="BG244" s="373"/>
    </row>
    <row r="245" spans="1:62" s="21" customFormat="1" ht="15.95" customHeight="1">
      <c r="A245" s="163">
        <v>47</v>
      </c>
      <c r="B245" s="9" t="s">
        <v>2115</v>
      </c>
      <c r="C245" s="11" t="s">
        <v>2116</v>
      </c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22">
        <f t="shared" si="100"/>
        <v>0</v>
      </c>
      <c r="AC245" s="25">
        <v>0</v>
      </c>
      <c r="AD245" s="24"/>
      <c r="AE245" s="24"/>
      <c r="AF245" s="24"/>
      <c r="AG245" s="24"/>
      <c r="AH245" s="24">
        <v>2</v>
      </c>
      <c r="AI245" s="24"/>
      <c r="AJ245" s="24"/>
      <c r="AK245" s="24"/>
      <c r="AL245" s="24">
        <v>2</v>
      </c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2">
        <f t="shared" si="99"/>
        <v>4</v>
      </c>
      <c r="BC245" s="23">
        <v>5</v>
      </c>
      <c r="BD245" s="130">
        <f t="shared" si="96"/>
        <v>4</v>
      </c>
      <c r="BE245" s="130">
        <f t="shared" si="97"/>
        <v>5</v>
      </c>
      <c r="BF245" s="195">
        <f t="shared" si="98"/>
        <v>80</v>
      </c>
      <c r="BG245" s="373">
        <f t="shared" ref="BG245:BG252" si="101">BE245-BD245</f>
        <v>1</v>
      </c>
    </row>
    <row r="246" spans="1:62" s="21" customFormat="1" ht="15.95" customHeight="1">
      <c r="A246" s="163">
        <v>48</v>
      </c>
      <c r="B246" s="9" t="s">
        <v>636</v>
      </c>
      <c r="C246" s="11" t="s">
        <v>637</v>
      </c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22">
        <f t="shared" si="100"/>
        <v>0</v>
      </c>
      <c r="AC246" s="25">
        <v>0</v>
      </c>
      <c r="AD246" s="24"/>
      <c r="AE246" s="24"/>
      <c r="AF246" s="24"/>
      <c r="AG246" s="24"/>
      <c r="AH246" s="24">
        <v>22</v>
      </c>
      <c r="AI246" s="24"/>
      <c r="AJ246" s="24"/>
      <c r="AK246" s="24"/>
      <c r="AL246" s="24">
        <v>129</v>
      </c>
      <c r="AM246" s="24"/>
      <c r="AN246" s="24"/>
      <c r="AO246" s="24"/>
      <c r="AP246" s="24">
        <f>98+25</f>
        <v>123</v>
      </c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2">
        <f t="shared" si="99"/>
        <v>274</v>
      </c>
      <c r="BC246" s="23">
        <v>738</v>
      </c>
      <c r="BD246" s="130">
        <f t="shared" si="96"/>
        <v>274</v>
      </c>
      <c r="BE246" s="130">
        <f t="shared" si="97"/>
        <v>738</v>
      </c>
      <c r="BF246" s="195">
        <f t="shared" si="98"/>
        <v>37.12737127371274</v>
      </c>
      <c r="BG246" s="373">
        <f t="shared" si="101"/>
        <v>464</v>
      </c>
    </row>
    <row r="247" spans="1:62" s="21" customFormat="1" ht="15.95" customHeight="1">
      <c r="A247" s="163">
        <v>49</v>
      </c>
      <c r="B247" s="9" t="s">
        <v>1172</v>
      </c>
      <c r="C247" s="11" t="s">
        <v>1173</v>
      </c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22">
        <f t="shared" si="100"/>
        <v>0</v>
      </c>
      <c r="AC247" s="25">
        <v>0</v>
      </c>
      <c r="AD247" s="24"/>
      <c r="AE247" s="24"/>
      <c r="AF247" s="24"/>
      <c r="AG247" s="24"/>
      <c r="AH247" s="24">
        <v>5</v>
      </c>
      <c r="AI247" s="24"/>
      <c r="AJ247" s="24"/>
      <c r="AK247" s="24"/>
      <c r="AL247" s="24">
        <v>11</v>
      </c>
      <c r="AM247" s="24"/>
      <c r="AN247" s="24"/>
      <c r="AO247" s="24"/>
      <c r="AP247" s="24">
        <v>7</v>
      </c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2">
        <f t="shared" si="99"/>
        <v>23</v>
      </c>
      <c r="BC247" s="23">
        <v>55</v>
      </c>
      <c r="BD247" s="130">
        <f t="shared" si="96"/>
        <v>23</v>
      </c>
      <c r="BE247" s="130">
        <f t="shared" si="97"/>
        <v>55</v>
      </c>
      <c r="BF247" s="195">
        <f t="shared" si="98"/>
        <v>41.818181818181813</v>
      </c>
      <c r="BG247" s="373">
        <f t="shared" si="101"/>
        <v>32</v>
      </c>
    </row>
    <row r="248" spans="1:62" s="21" customFormat="1" ht="15.95" customHeight="1">
      <c r="A248" s="163">
        <v>50</v>
      </c>
      <c r="B248" s="9" t="s">
        <v>3328</v>
      </c>
      <c r="C248" s="11" t="s">
        <v>3329</v>
      </c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22">
        <f t="shared" si="100"/>
        <v>0</v>
      </c>
      <c r="AC248" s="25">
        <v>0</v>
      </c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2">
        <f t="shared" si="99"/>
        <v>0</v>
      </c>
      <c r="BC248" s="23">
        <v>2</v>
      </c>
      <c r="BD248" s="130">
        <f t="shared" si="96"/>
        <v>0</v>
      </c>
      <c r="BE248" s="130">
        <f t="shared" si="97"/>
        <v>2</v>
      </c>
      <c r="BF248" s="195">
        <f t="shared" si="98"/>
        <v>0</v>
      </c>
      <c r="BG248" s="373">
        <f t="shared" si="101"/>
        <v>2</v>
      </c>
    </row>
    <row r="249" spans="1:62" s="21" customFormat="1" ht="15.95" customHeight="1">
      <c r="A249" s="163">
        <v>51</v>
      </c>
      <c r="B249" s="9" t="s">
        <v>672</v>
      </c>
      <c r="C249" s="11" t="s">
        <v>673</v>
      </c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22">
        <f t="shared" si="100"/>
        <v>0</v>
      </c>
      <c r="AC249" s="25">
        <v>0</v>
      </c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2">
        <f t="shared" si="99"/>
        <v>0</v>
      </c>
      <c r="BC249" s="23">
        <v>205</v>
      </c>
      <c r="BD249" s="130">
        <f t="shared" si="96"/>
        <v>0</v>
      </c>
      <c r="BE249" s="130">
        <f t="shared" si="97"/>
        <v>205</v>
      </c>
      <c r="BF249" s="195">
        <f t="shared" si="98"/>
        <v>0</v>
      </c>
      <c r="BG249" s="373">
        <f t="shared" si="101"/>
        <v>205</v>
      </c>
    </row>
    <row r="250" spans="1:62" s="21" customFormat="1" ht="15.95" customHeight="1">
      <c r="A250" s="163">
        <v>52</v>
      </c>
      <c r="B250" s="79" t="s">
        <v>354</v>
      </c>
      <c r="C250" s="216" t="s">
        <v>355</v>
      </c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22">
        <f t="shared" si="100"/>
        <v>0</v>
      </c>
      <c r="AC250" s="25">
        <v>0</v>
      </c>
      <c r="AD250" s="24"/>
      <c r="AE250" s="24"/>
      <c r="AF250" s="24"/>
      <c r="AG250" s="24"/>
      <c r="AH250" s="24">
        <v>1</v>
      </c>
      <c r="AI250" s="24"/>
      <c r="AJ250" s="24"/>
      <c r="AK250" s="24"/>
      <c r="AL250" s="24">
        <v>12</v>
      </c>
      <c r="AM250" s="24"/>
      <c r="AN250" s="24"/>
      <c r="AO250" s="24"/>
      <c r="AP250" s="24">
        <v>3</v>
      </c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2">
        <f t="shared" si="99"/>
        <v>16</v>
      </c>
      <c r="BC250" s="23">
        <v>37</v>
      </c>
      <c r="BD250" s="130">
        <f t="shared" si="96"/>
        <v>16</v>
      </c>
      <c r="BE250" s="130">
        <f t="shared" si="97"/>
        <v>37</v>
      </c>
      <c r="BF250" s="195">
        <f t="shared" si="98"/>
        <v>43.243243243243242</v>
      </c>
      <c r="BG250" s="373">
        <f t="shared" si="101"/>
        <v>21</v>
      </c>
    </row>
    <row r="251" spans="1:62" s="21" customFormat="1" ht="15.95" customHeight="1">
      <c r="A251" s="163">
        <v>53</v>
      </c>
      <c r="B251" s="9" t="s">
        <v>356</v>
      </c>
      <c r="C251" s="11" t="s">
        <v>1909</v>
      </c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22">
        <f t="shared" si="100"/>
        <v>0</v>
      </c>
      <c r="AC251" s="25">
        <v>0</v>
      </c>
      <c r="AD251" s="24"/>
      <c r="AE251" s="24"/>
      <c r="AF251" s="24"/>
      <c r="AG251" s="24"/>
      <c r="AH251" s="24"/>
      <c r="AI251" s="24"/>
      <c r="AJ251" s="24"/>
      <c r="AK251" s="24"/>
      <c r="AL251" s="24">
        <v>4</v>
      </c>
      <c r="AM251" s="24"/>
      <c r="AN251" s="24"/>
      <c r="AO251" s="24"/>
      <c r="AP251" s="24">
        <v>3</v>
      </c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2">
        <f t="shared" si="99"/>
        <v>7</v>
      </c>
      <c r="BC251" s="23">
        <v>5</v>
      </c>
      <c r="BD251" s="130">
        <f t="shared" si="96"/>
        <v>7</v>
      </c>
      <c r="BE251" s="130">
        <f t="shared" si="97"/>
        <v>5</v>
      </c>
      <c r="BF251" s="195">
        <f t="shared" si="98"/>
        <v>140</v>
      </c>
      <c r="BG251" s="373">
        <f t="shared" si="101"/>
        <v>-2</v>
      </c>
    </row>
    <row r="252" spans="1:62" s="21" customFormat="1" ht="15.95" customHeight="1">
      <c r="A252" s="163">
        <v>54</v>
      </c>
      <c r="B252" s="9"/>
      <c r="C252" s="10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22">
        <f t="shared" si="100"/>
        <v>0</v>
      </c>
      <c r="AC252" s="25">
        <v>0</v>
      </c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2">
        <f t="shared" si="99"/>
        <v>0</v>
      </c>
      <c r="BC252" s="23">
        <v>0</v>
      </c>
      <c r="BD252" s="130">
        <f t="shared" si="96"/>
        <v>0</v>
      </c>
      <c r="BE252" s="130">
        <f t="shared" si="97"/>
        <v>0</v>
      </c>
      <c r="BF252" s="195" t="e">
        <f t="shared" si="98"/>
        <v>#DIV/0!</v>
      </c>
      <c r="BG252" s="373">
        <f t="shared" si="101"/>
        <v>0</v>
      </c>
    </row>
    <row r="253" spans="1:62" s="21" customFormat="1" ht="15.95" customHeight="1">
      <c r="A253" s="164"/>
      <c r="B253" s="624" t="s">
        <v>140</v>
      </c>
      <c r="C253" s="624"/>
      <c r="D253" s="159">
        <f t="shared" ref="D253:AB253" si="102">D254</f>
        <v>0</v>
      </c>
      <c r="E253" s="159">
        <f t="shared" si="102"/>
        <v>0</v>
      </c>
      <c r="F253" s="159">
        <f t="shared" si="102"/>
        <v>0</v>
      </c>
      <c r="G253" s="159">
        <f t="shared" si="102"/>
        <v>0</v>
      </c>
      <c r="H253" s="159">
        <f t="shared" si="102"/>
        <v>0</v>
      </c>
      <c r="I253" s="159">
        <f t="shared" si="102"/>
        <v>0</v>
      </c>
      <c r="J253" s="159">
        <f t="shared" si="102"/>
        <v>0</v>
      </c>
      <c r="K253" s="159">
        <f t="shared" si="102"/>
        <v>0</v>
      </c>
      <c r="L253" s="159">
        <f t="shared" si="102"/>
        <v>0</v>
      </c>
      <c r="M253" s="159">
        <f t="shared" si="102"/>
        <v>0</v>
      </c>
      <c r="N253" s="159">
        <f t="shared" si="102"/>
        <v>0</v>
      </c>
      <c r="O253" s="159">
        <f t="shared" si="102"/>
        <v>0</v>
      </c>
      <c r="P253" s="159">
        <f t="shared" si="102"/>
        <v>0</v>
      </c>
      <c r="Q253" s="159">
        <f t="shared" si="102"/>
        <v>0</v>
      </c>
      <c r="R253" s="159">
        <f t="shared" si="102"/>
        <v>0</v>
      </c>
      <c r="S253" s="159">
        <f t="shared" si="102"/>
        <v>0</v>
      </c>
      <c r="T253" s="159">
        <f t="shared" si="102"/>
        <v>0</v>
      </c>
      <c r="U253" s="159">
        <f t="shared" si="102"/>
        <v>0</v>
      </c>
      <c r="V253" s="159">
        <f t="shared" si="102"/>
        <v>0</v>
      </c>
      <c r="W253" s="159">
        <f t="shared" si="102"/>
        <v>0</v>
      </c>
      <c r="X253" s="159">
        <f t="shared" si="102"/>
        <v>0</v>
      </c>
      <c r="Y253" s="159">
        <f t="shared" si="102"/>
        <v>0</v>
      </c>
      <c r="Z253" s="159">
        <f t="shared" si="102"/>
        <v>0</v>
      </c>
      <c r="AA253" s="159">
        <f t="shared" si="102"/>
        <v>0</v>
      </c>
      <c r="AB253" s="159">
        <f t="shared" si="102"/>
        <v>0</v>
      </c>
      <c r="AC253" s="359">
        <f t="shared" ref="AC253:BC253" si="103">SUM(AC254:AC254)</f>
        <v>0</v>
      </c>
      <c r="AD253" s="160">
        <f t="shared" ref="AD253:BB253" si="104">AD254</f>
        <v>0</v>
      </c>
      <c r="AE253" s="160">
        <f t="shared" si="104"/>
        <v>0</v>
      </c>
      <c r="AF253" s="160">
        <f t="shared" si="104"/>
        <v>0</v>
      </c>
      <c r="AG253" s="160">
        <f t="shared" si="104"/>
        <v>0</v>
      </c>
      <c r="AH253" s="160">
        <f t="shared" si="104"/>
        <v>0</v>
      </c>
      <c r="AI253" s="160">
        <f t="shared" si="104"/>
        <v>0</v>
      </c>
      <c r="AJ253" s="160">
        <f t="shared" si="104"/>
        <v>0</v>
      </c>
      <c r="AK253" s="160">
        <f t="shared" si="104"/>
        <v>0</v>
      </c>
      <c r="AL253" s="160">
        <f t="shared" si="104"/>
        <v>0</v>
      </c>
      <c r="AM253" s="160">
        <f t="shared" si="104"/>
        <v>0</v>
      </c>
      <c r="AN253" s="160">
        <f t="shared" si="104"/>
        <v>0</v>
      </c>
      <c r="AO253" s="160">
        <f t="shared" si="104"/>
        <v>0</v>
      </c>
      <c r="AP253" s="160">
        <f t="shared" si="104"/>
        <v>0</v>
      </c>
      <c r="AQ253" s="160">
        <f t="shared" si="104"/>
        <v>0</v>
      </c>
      <c r="AR253" s="160">
        <f t="shared" si="104"/>
        <v>0</v>
      </c>
      <c r="AS253" s="160">
        <f t="shared" si="104"/>
        <v>0</v>
      </c>
      <c r="AT253" s="160">
        <f t="shared" si="104"/>
        <v>0</v>
      </c>
      <c r="AU253" s="160">
        <f t="shared" si="104"/>
        <v>0</v>
      </c>
      <c r="AV253" s="160">
        <f t="shared" si="104"/>
        <v>0</v>
      </c>
      <c r="AW253" s="160">
        <f t="shared" si="104"/>
        <v>0</v>
      </c>
      <c r="AX253" s="160">
        <f t="shared" si="104"/>
        <v>0</v>
      </c>
      <c r="AY253" s="160">
        <f t="shared" si="104"/>
        <v>0</v>
      </c>
      <c r="AZ253" s="160">
        <f t="shared" si="104"/>
        <v>0</v>
      </c>
      <c r="BA253" s="160">
        <f t="shared" si="104"/>
        <v>0</v>
      </c>
      <c r="BB253" s="160">
        <f t="shared" si="104"/>
        <v>0</v>
      </c>
      <c r="BC253" s="160">
        <f t="shared" si="103"/>
        <v>0</v>
      </c>
      <c r="BD253" s="130">
        <f t="shared" ref="BD253:BD257" si="105">AB253+BB253</f>
        <v>0</v>
      </c>
      <c r="BE253" s="130">
        <f t="shared" ref="BE253:BE257" si="106">AC253+BC253</f>
        <v>0</v>
      </c>
      <c r="BF253" s="195" t="e">
        <f t="shared" ref="BF253:BF257" si="107">BD253/BE253*100</f>
        <v>#DIV/0!</v>
      </c>
      <c r="BG253" s="374">
        <f t="shared" ref="BG253:BG257" si="108">BE253-BD253</f>
        <v>0</v>
      </c>
    </row>
    <row r="254" spans="1:62" s="21" customFormat="1" ht="15.95" customHeight="1">
      <c r="A254" s="163">
        <v>1</v>
      </c>
      <c r="B254" s="9" t="s">
        <v>82</v>
      </c>
      <c r="C254" s="11" t="s">
        <v>141</v>
      </c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22">
        <f>SUM(D254:AA254)</f>
        <v>0</v>
      </c>
      <c r="AC254" s="25">
        <v>0</v>
      </c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2">
        <f>SUM(AD254:BA254)</f>
        <v>0</v>
      </c>
      <c r="BC254" s="23">
        <v>0</v>
      </c>
      <c r="BD254" s="130">
        <f t="shared" si="105"/>
        <v>0</v>
      </c>
      <c r="BE254" s="130">
        <f t="shared" si="106"/>
        <v>0</v>
      </c>
      <c r="BF254" s="195" t="e">
        <f t="shared" si="107"/>
        <v>#DIV/0!</v>
      </c>
      <c r="BG254" s="373">
        <f t="shared" si="108"/>
        <v>0</v>
      </c>
    </row>
    <row r="255" spans="1:62" s="21" customFormat="1" ht="15.95" customHeight="1">
      <c r="A255" s="625" t="s">
        <v>142</v>
      </c>
      <c r="B255" s="622"/>
      <c r="C255" s="622"/>
      <c r="D255" s="159">
        <f t="shared" ref="D255:BC255" si="109">D256</f>
        <v>0</v>
      </c>
      <c r="E255" s="159">
        <f t="shared" si="109"/>
        <v>0</v>
      </c>
      <c r="F255" s="159">
        <f t="shared" si="109"/>
        <v>0</v>
      </c>
      <c r="G255" s="159">
        <f t="shared" si="109"/>
        <v>0</v>
      </c>
      <c r="H255" s="159">
        <f t="shared" si="109"/>
        <v>0</v>
      </c>
      <c r="I255" s="159">
        <f t="shared" si="109"/>
        <v>0</v>
      </c>
      <c r="J255" s="159">
        <f t="shared" si="109"/>
        <v>0</v>
      </c>
      <c r="K255" s="159">
        <f t="shared" si="109"/>
        <v>0</v>
      </c>
      <c r="L255" s="159">
        <f t="shared" si="109"/>
        <v>0</v>
      </c>
      <c r="M255" s="159">
        <f t="shared" si="109"/>
        <v>0</v>
      </c>
      <c r="N255" s="159">
        <f t="shared" si="109"/>
        <v>0</v>
      </c>
      <c r="O255" s="159">
        <f t="shared" si="109"/>
        <v>0</v>
      </c>
      <c r="P255" s="159">
        <f t="shared" si="109"/>
        <v>0</v>
      </c>
      <c r="Q255" s="159">
        <f t="shared" si="109"/>
        <v>0</v>
      </c>
      <c r="R255" s="159">
        <f t="shared" si="109"/>
        <v>0</v>
      </c>
      <c r="S255" s="159">
        <f t="shared" si="109"/>
        <v>0</v>
      </c>
      <c r="T255" s="159">
        <f t="shared" si="109"/>
        <v>0</v>
      </c>
      <c r="U255" s="159">
        <f t="shared" si="109"/>
        <v>0</v>
      </c>
      <c r="V255" s="159">
        <f t="shared" si="109"/>
        <v>0</v>
      </c>
      <c r="W255" s="159">
        <f t="shared" si="109"/>
        <v>0</v>
      </c>
      <c r="X255" s="159">
        <f t="shared" si="109"/>
        <v>0</v>
      </c>
      <c r="Y255" s="159">
        <f t="shared" si="109"/>
        <v>0</v>
      </c>
      <c r="Z255" s="159">
        <f t="shared" si="109"/>
        <v>0</v>
      </c>
      <c r="AA255" s="159">
        <f t="shared" si="109"/>
        <v>0</v>
      </c>
      <c r="AB255" s="159">
        <f t="shared" si="109"/>
        <v>0</v>
      </c>
      <c r="AC255" s="361">
        <f t="shared" si="109"/>
        <v>0</v>
      </c>
      <c r="AD255" s="160">
        <f t="shared" si="109"/>
        <v>0</v>
      </c>
      <c r="AE255" s="160">
        <f t="shared" si="109"/>
        <v>0</v>
      </c>
      <c r="AF255" s="160">
        <f t="shared" si="109"/>
        <v>0</v>
      </c>
      <c r="AG255" s="160">
        <f t="shared" si="109"/>
        <v>0</v>
      </c>
      <c r="AH255" s="160">
        <f t="shared" si="109"/>
        <v>0</v>
      </c>
      <c r="AI255" s="160">
        <f t="shared" si="109"/>
        <v>0</v>
      </c>
      <c r="AJ255" s="160">
        <f t="shared" si="109"/>
        <v>0</v>
      </c>
      <c r="AK255" s="160">
        <f t="shared" si="109"/>
        <v>0</v>
      </c>
      <c r="AL255" s="160">
        <f t="shared" si="109"/>
        <v>0</v>
      </c>
      <c r="AM255" s="160">
        <f t="shared" si="109"/>
        <v>0</v>
      </c>
      <c r="AN255" s="160">
        <f t="shared" si="109"/>
        <v>0</v>
      </c>
      <c r="AO255" s="160">
        <f t="shared" si="109"/>
        <v>0</v>
      </c>
      <c r="AP255" s="160">
        <f t="shared" si="109"/>
        <v>0</v>
      </c>
      <c r="AQ255" s="160">
        <f t="shared" si="109"/>
        <v>0</v>
      </c>
      <c r="AR255" s="160">
        <f t="shared" si="109"/>
        <v>0</v>
      </c>
      <c r="AS255" s="160">
        <f t="shared" si="109"/>
        <v>0</v>
      </c>
      <c r="AT255" s="160">
        <f t="shared" si="109"/>
        <v>0</v>
      </c>
      <c r="AU255" s="160">
        <f t="shared" si="109"/>
        <v>0</v>
      </c>
      <c r="AV255" s="160">
        <f t="shared" si="109"/>
        <v>0</v>
      </c>
      <c r="AW255" s="160">
        <f t="shared" si="109"/>
        <v>0</v>
      </c>
      <c r="AX255" s="160">
        <f t="shared" si="109"/>
        <v>0</v>
      </c>
      <c r="AY255" s="160">
        <f t="shared" si="109"/>
        <v>0</v>
      </c>
      <c r="AZ255" s="160">
        <f t="shared" si="109"/>
        <v>0</v>
      </c>
      <c r="BA255" s="160">
        <f t="shared" si="109"/>
        <v>0</v>
      </c>
      <c r="BB255" s="160">
        <f t="shared" si="109"/>
        <v>0</v>
      </c>
      <c r="BC255" s="362">
        <f t="shared" si="109"/>
        <v>0</v>
      </c>
      <c r="BD255" s="130">
        <f t="shared" si="105"/>
        <v>0</v>
      </c>
      <c r="BE255" s="130">
        <f t="shared" si="106"/>
        <v>0</v>
      </c>
      <c r="BF255" s="195" t="e">
        <f t="shared" si="107"/>
        <v>#DIV/0!</v>
      </c>
      <c r="BG255" s="374">
        <f t="shared" si="108"/>
        <v>0</v>
      </c>
    </row>
    <row r="256" spans="1:62" s="21" customFormat="1" ht="15.95" customHeight="1">
      <c r="A256" s="163">
        <v>1</v>
      </c>
      <c r="B256" s="9"/>
      <c r="C256" s="166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22">
        <f>SUM(D256:AA256)</f>
        <v>0</v>
      </c>
      <c r="AC256" s="23">
        <v>0</v>
      </c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2">
        <f>SUM(AD256:BA256)</f>
        <v>0</v>
      </c>
      <c r="BC256" s="23">
        <v>0</v>
      </c>
      <c r="BD256" s="130">
        <f t="shared" si="105"/>
        <v>0</v>
      </c>
      <c r="BE256" s="130">
        <f t="shared" si="106"/>
        <v>0</v>
      </c>
      <c r="BF256" s="195" t="e">
        <f t="shared" si="107"/>
        <v>#DIV/0!</v>
      </c>
      <c r="BG256" s="373">
        <f t="shared" si="108"/>
        <v>0</v>
      </c>
      <c r="BJ256" s="343">
        <f>BD10+BD22+BD33+BD47+BD52+BD55+BD75+BD78+BD989+BD1002</f>
        <v>178</v>
      </c>
    </row>
    <row r="257" spans="1:63" s="21" customFormat="1" ht="15.95" customHeight="1">
      <c r="A257" s="632" t="s">
        <v>143</v>
      </c>
      <c r="B257" s="633"/>
      <c r="C257" s="633"/>
      <c r="D257" s="159">
        <f t="shared" ref="D257:AI257" si="110">SUM(D258:D566)</f>
        <v>8</v>
      </c>
      <c r="E257" s="159">
        <f t="shared" si="110"/>
        <v>0</v>
      </c>
      <c r="F257" s="159">
        <f t="shared" si="110"/>
        <v>0</v>
      </c>
      <c r="G257" s="159">
        <f t="shared" si="110"/>
        <v>0</v>
      </c>
      <c r="H257" s="159">
        <f t="shared" si="110"/>
        <v>18</v>
      </c>
      <c r="I257" s="159">
        <f t="shared" si="110"/>
        <v>0</v>
      </c>
      <c r="J257" s="159">
        <f t="shared" si="110"/>
        <v>0</v>
      </c>
      <c r="K257" s="159">
        <f t="shared" si="110"/>
        <v>0</v>
      </c>
      <c r="L257" s="159">
        <f t="shared" si="110"/>
        <v>0</v>
      </c>
      <c r="M257" s="159">
        <f t="shared" si="110"/>
        <v>0</v>
      </c>
      <c r="N257" s="159">
        <f t="shared" si="110"/>
        <v>0</v>
      </c>
      <c r="O257" s="159">
        <f t="shared" si="110"/>
        <v>0</v>
      </c>
      <c r="P257" s="159">
        <f t="shared" si="110"/>
        <v>0</v>
      </c>
      <c r="Q257" s="159">
        <f t="shared" si="110"/>
        <v>0</v>
      </c>
      <c r="R257" s="159">
        <f t="shared" si="110"/>
        <v>0</v>
      </c>
      <c r="S257" s="159">
        <f t="shared" si="110"/>
        <v>0</v>
      </c>
      <c r="T257" s="159">
        <f t="shared" si="110"/>
        <v>0</v>
      </c>
      <c r="U257" s="159">
        <f t="shared" si="110"/>
        <v>0</v>
      </c>
      <c r="V257" s="159">
        <f t="shared" si="110"/>
        <v>0</v>
      </c>
      <c r="W257" s="159">
        <f t="shared" si="110"/>
        <v>0</v>
      </c>
      <c r="X257" s="159">
        <f t="shared" si="110"/>
        <v>0</v>
      </c>
      <c r="Y257" s="159">
        <f t="shared" si="110"/>
        <v>0</v>
      </c>
      <c r="Z257" s="159">
        <f t="shared" si="110"/>
        <v>0</v>
      </c>
      <c r="AA257" s="159">
        <f t="shared" si="110"/>
        <v>0</v>
      </c>
      <c r="AB257" s="159">
        <f t="shared" si="110"/>
        <v>26</v>
      </c>
      <c r="AC257" s="359">
        <f t="shared" si="110"/>
        <v>206</v>
      </c>
      <c r="AD257" s="160">
        <f t="shared" si="110"/>
        <v>72</v>
      </c>
      <c r="AE257" s="160">
        <f t="shared" si="110"/>
        <v>0</v>
      </c>
      <c r="AF257" s="160">
        <f t="shared" si="110"/>
        <v>0</v>
      </c>
      <c r="AG257" s="160">
        <f t="shared" si="110"/>
        <v>0</v>
      </c>
      <c r="AH257" s="160">
        <f t="shared" si="110"/>
        <v>254</v>
      </c>
      <c r="AI257" s="160">
        <f t="shared" si="110"/>
        <v>0</v>
      </c>
      <c r="AJ257" s="160">
        <f t="shared" ref="AJ257:BC257" si="111">SUM(AJ258:AJ566)</f>
        <v>0</v>
      </c>
      <c r="AK257" s="160">
        <f t="shared" si="111"/>
        <v>0</v>
      </c>
      <c r="AL257" s="160">
        <f t="shared" si="111"/>
        <v>1217</v>
      </c>
      <c r="AM257" s="160">
        <f t="shared" si="111"/>
        <v>0</v>
      </c>
      <c r="AN257" s="160">
        <f t="shared" si="111"/>
        <v>0</v>
      </c>
      <c r="AO257" s="160">
        <f t="shared" si="111"/>
        <v>0</v>
      </c>
      <c r="AP257" s="160">
        <f t="shared" si="111"/>
        <v>1238</v>
      </c>
      <c r="AQ257" s="160">
        <f t="shared" si="111"/>
        <v>0</v>
      </c>
      <c r="AR257" s="160">
        <f t="shared" si="111"/>
        <v>0</v>
      </c>
      <c r="AS257" s="160">
        <f t="shared" si="111"/>
        <v>0</v>
      </c>
      <c r="AT257" s="160">
        <f t="shared" si="111"/>
        <v>0</v>
      </c>
      <c r="AU257" s="160">
        <f t="shared" si="111"/>
        <v>0</v>
      </c>
      <c r="AV257" s="160">
        <f t="shared" si="111"/>
        <v>0</v>
      </c>
      <c r="AW257" s="160">
        <f t="shared" si="111"/>
        <v>0</v>
      </c>
      <c r="AX257" s="160">
        <f t="shared" si="111"/>
        <v>0</v>
      </c>
      <c r="AY257" s="160">
        <f t="shared" si="111"/>
        <v>0</v>
      </c>
      <c r="AZ257" s="160">
        <f t="shared" si="111"/>
        <v>0</v>
      </c>
      <c r="BA257" s="160">
        <f t="shared" si="111"/>
        <v>0</v>
      </c>
      <c r="BB257" s="160">
        <f t="shared" si="111"/>
        <v>2781</v>
      </c>
      <c r="BC257" s="160">
        <f t="shared" si="111"/>
        <v>4265</v>
      </c>
      <c r="BD257" s="130">
        <f t="shared" si="105"/>
        <v>2807</v>
      </c>
      <c r="BE257" s="130">
        <f t="shared" si="106"/>
        <v>4471</v>
      </c>
      <c r="BF257" s="195">
        <f t="shared" si="107"/>
        <v>62.782375307537464</v>
      </c>
      <c r="BG257" s="374">
        <f t="shared" si="108"/>
        <v>1664</v>
      </c>
      <c r="BI257" s="21">
        <v>3948</v>
      </c>
      <c r="BJ257" s="343">
        <f>BD257+BD1006+BJ256</f>
        <v>3400</v>
      </c>
      <c r="BK257" s="343">
        <f>BI257-BJ257</f>
        <v>548</v>
      </c>
    </row>
    <row r="258" spans="1:63" s="21" customFormat="1" ht="15.95" customHeight="1">
      <c r="A258" s="163">
        <v>1</v>
      </c>
      <c r="B258" s="9" t="s">
        <v>144</v>
      </c>
      <c r="C258" s="11" t="s">
        <v>145</v>
      </c>
      <c r="D258" s="14"/>
      <c r="E258" s="14"/>
      <c r="F258" s="14"/>
      <c r="G258" s="14"/>
      <c r="H258" s="14">
        <v>14</v>
      </c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22">
        <f t="shared" ref="AB258:AB321" si="112">SUM(D258:AA258)</f>
        <v>14</v>
      </c>
      <c r="AC258" s="25">
        <v>111</v>
      </c>
      <c r="AD258" s="24">
        <v>1</v>
      </c>
      <c r="AE258" s="24"/>
      <c r="AF258" s="24"/>
      <c r="AG258" s="24"/>
      <c r="AH258" s="24">
        <v>1</v>
      </c>
      <c r="AI258" s="24"/>
      <c r="AJ258" s="24"/>
      <c r="AK258" s="24"/>
      <c r="AL258" s="24">
        <v>2</v>
      </c>
      <c r="AM258" s="24"/>
      <c r="AN258" s="24"/>
      <c r="AO258" s="24"/>
      <c r="AP258" s="24">
        <f>6</f>
        <v>6</v>
      </c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2">
        <f t="shared" ref="BB258:BB321" si="113">SUM(AD258:BA258)</f>
        <v>10</v>
      </c>
      <c r="BC258" s="23">
        <v>11</v>
      </c>
      <c r="BD258" s="130">
        <f t="shared" ref="BD258:BD321" si="114">AB258+BB258</f>
        <v>24</v>
      </c>
      <c r="BE258" s="130">
        <f t="shared" ref="BE258:BE321" si="115">AC258+BC258</f>
        <v>122</v>
      </c>
      <c r="BF258" s="195">
        <f t="shared" ref="BF258:BF321" si="116">BD258/BE258*100</f>
        <v>19.672131147540984</v>
      </c>
      <c r="BG258" s="373">
        <f>BE258-BD258</f>
        <v>98</v>
      </c>
    </row>
    <row r="259" spans="1:63" s="21" customFormat="1" ht="15.95" customHeight="1">
      <c r="A259" s="163">
        <v>2</v>
      </c>
      <c r="B259" s="9" t="s">
        <v>146</v>
      </c>
      <c r="C259" s="11" t="s">
        <v>147</v>
      </c>
      <c r="D259" s="14">
        <v>7</v>
      </c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22">
        <f t="shared" si="112"/>
        <v>7</v>
      </c>
      <c r="AC259" s="25">
        <v>0</v>
      </c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>
        <f>2</f>
        <v>2</v>
      </c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2">
        <f t="shared" si="113"/>
        <v>2</v>
      </c>
      <c r="BC259" s="23">
        <v>2</v>
      </c>
      <c r="BD259" s="130">
        <f t="shared" si="114"/>
        <v>9</v>
      </c>
      <c r="BE259" s="130">
        <f t="shared" si="115"/>
        <v>2</v>
      </c>
      <c r="BF259" s="195">
        <f t="shared" si="116"/>
        <v>450</v>
      </c>
      <c r="BG259" s="373">
        <f>BE259-BD259</f>
        <v>-7</v>
      </c>
    </row>
    <row r="260" spans="1:63" s="21" customFormat="1" ht="15.95" customHeight="1">
      <c r="A260" s="163">
        <v>3</v>
      </c>
      <c r="B260" s="9" t="s">
        <v>638</v>
      </c>
      <c r="C260" s="11" t="s">
        <v>639</v>
      </c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22">
        <f t="shared" si="112"/>
        <v>0</v>
      </c>
      <c r="AC260" s="25">
        <v>0</v>
      </c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>
        <f>3</f>
        <v>3</v>
      </c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2">
        <f t="shared" si="113"/>
        <v>3</v>
      </c>
      <c r="BC260" s="23">
        <f>1+1</f>
        <v>2</v>
      </c>
      <c r="BD260" s="130">
        <f t="shared" si="114"/>
        <v>3</v>
      </c>
      <c r="BE260" s="130">
        <f t="shared" si="115"/>
        <v>2</v>
      </c>
      <c r="BF260" s="195">
        <f t="shared" si="116"/>
        <v>150</v>
      </c>
      <c r="BG260" s="373">
        <f>BE260-BD260</f>
        <v>-1</v>
      </c>
    </row>
    <row r="261" spans="1:63" s="21" customFormat="1" ht="15.95" customHeight="1">
      <c r="A261" s="163">
        <v>4</v>
      </c>
      <c r="B261" s="9" t="s">
        <v>718</v>
      </c>
      <c r="C261" s="11" t="s">
        <v>4095</v>
      </c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22">
        <f t="shared" si="112"/>
        <v>0</v>
      </c>
      <c r="AC261" s="25">
        <v>0</v>
      </c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>
        <f>1</f>
        <v>1</v>
      </c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2">
        <f t="shared" si="113"/>
        <v>1</v>
      </c>
      <c r="BC261" s="23">
        <v>0</v>
      </c>
      <c r="BD261" s="130">
        <f t="shared" si="114"/>
        <v>1</v>
      </c>
      <c r="BE261" s="130">
        <f t="shared" si="115"/>
        <v>0</v>
      </c>
      <c r="BF261" s="195" t="e">
        <f t="shared" si="116"/>
        <v>#DIV/0!</v>
      </c>
      <c r="BG261" s="373"/>
    </row>
    <row r="262" spans="1:63" s="21" customFormat="1" ht="15.95" customHeight="1">
      <c r="A262" s="163">
        <v>5</v>
      </c>
      <c r="B262" s="9" t="s">
        <v>2288</v>
      </c>
      <c r="C262" s="11" t="s">
        <v>2289</v>
      </c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22">
        <f t="shared" si="112"/>
        <v>0</v>
      </c>
      <c r="AC262" s="25">
        <v>0</v>
      </c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>
        <f>2</f>
        <v>2</v>
      </c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2">
        <f t="shared" si="113"/>
        <v>2</v>
      </c>
      <c r="BC262" s="23">
        <v>1</v>
      </c>
      <c r="BD262" s="130">
        <f t="shared" si="114"/>
        <v>2</v>
      </c>
      <c r="BE262" s="130">
        <f t="shared" si="115"/>
        <v>1</v>
      </c>
      <c r="BF262" s="195">
        <f t="shared" si="116"/>
        <v>200</v>
      </c>
      <c r="BG262" s="373">
        <f t="shared" ref="BG262:BG267" si="117">BE262-BD262</f>
        <v>-1</v>
      </c>
    </row>
    <row r="263" spans="1:63" s="21" customFormat="1" ht="15.95" customHeight="1">
      <c r="A263" s="163">
        <v>6</v>
      </c>
      <c r="B263" s="9" t="s">
        <v>640</v>
      </c>
      <c r="C263" s="11" t="s">
        <v>2125</v>
      </c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22">
        <f t="shared" si="112"/>
        <v>0</v>
      </c>
      <c r="AC263" s="25">
        <v>0</v>
      </c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2">
        <f t="shared" si="113"/>
        <v>0</v>
      </c>
      <c r="BC263" s="23">
        <v>1</v>
      </c>
      <c r="BD263" s="130">
        <f t="shared" si="114"/>
        <v>0</v>
      </c>
      <c r="BE263" s="130">
        <f t="shared" si="115"/>
        <v>1</v>
      </c>
      <c r="BF263" s="195">
        <f t="shared" si="116"/>
        <v>0</v>
      </c>
      <c r="BG263" s="373">
        <f t="shared" si="117"/>
        <v>1</v>
      </c>
    </row>
    <row r="264" spans="1:63" s="21" customFormat="1" ht="15.95" customHeight="1">
      <c r="A264" s="163">
        <v>7</v>
      </c>
      <c r="B264" s="9" t="s">
        <v>641</v>
      </c>
      <c r="C264" s="11" t="s">
        <v>642</v>
      </c>
      <c r="D264" s="14">
        <v>1</v>
      </c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22">
        <f t="shared" si="112"/>
        <v>1</v>
      </c>
      <c r="AC264" s="25">
        <v>0</v>
      </c>
      <c r="AD264" s="24"/>
      <c r="AE264" s="24"/>
      <c r="AF264" s="24"/>
      <c r="AG264" s="24"/>
      <c r="AH264" s="24"/>
      <c r="AI264" s="24"/>
      <c r="AJ264" s="24"/>
      <c r="AK264" s="24"/>
      <c r="AL264" s="24">
        <v>1</v>
      </c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2">
        <f t="shared" si="113"/>
        <v>1</v>
      </c>
      <c r="BC264" s="23">
        <v>7</v>
      </c>
      <c r="BD264" s="130">
        <f t="shared" si="114"/>
        <v>2</v>
      </c>
      <c r="BE264" s="130">
        <f t="shared" si="115"/>
        <v>7</v>
      </c>
      <c r="BF264" s="195">
        <f t="shared" si="116"/>
        <v>28.571428571428569</v>
      </c>
      <c r="BG264" s="373">
        <f t="shared" si="117"/>
        <v>5</v>
      </c>
    </row>
    <row r="265" spans="1:63" s="21" customFormat="1" ht="15.95" customHeight="1">
      <c r="A265" s="163">
        <v>8</v>
      </c>
      <c r="B265" s="9" t="s">
        <v>619</v>
      </c>
      <c r="C265" s="11" t="s">
        <v>620</v>
      </c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22">
        <f t="shared" si="112"/>
        <v>0</v>
      </c>
      <c r="AC265" s="25">
        <v>0</v>
      </c>
      <c r="AD265" s="24"/>
      <c r="AE265" s="24"/>
      <c r="AF265" s="24"/>
      <c r="AG265" s="24"/>
      <c r="AH265" s="24">
        <v>1</v>
      </c>
      <c r="AI265" s="24"/>
      <c r="AJ265" s="24"/>
      <c r="AK265" s="24"/>
      <c r="AL265" s="24">
        <v>5</v>
      </c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2">
        <f t="shared" si="113"/>
        <v>6</v>
      </c>
      <c r="BC265" s="23">
        <v>25</v>
      </c>
      <c r="BD265" s="130">
        <f t="shared" si="114"/>
        <v>6</v>
      </c>
      <c r="BE265" s="130">
        <f t="shared" si="115"/>
        <v>25</v>
      </c>
      <c r="BF265" s="195">
        <f t="shared" si="116"/>
        <v>24</v>
      </c>
      <c r="BG265" s="373">
        <f t="shared" si="117"/>
        <v>19</v>
      </c>
    </row>
    <row r="266" spans="1:63" s="21" customFormat="1" ht="15.95" customHeight="1">
      <c r="A266" s="163">
        <v>9</v>
      </c>
      <c r="B266" s="9" t="s">
        <v>613</v>
      </c>
      <c r="C266" s="11" t="s">
        <v>614</v>
      </c>
      <c r="D266" s="14"/>
      <c r="E266" s="14"/>
      <c r="F266" s="14"/>
      <c r="G266" s="14"/>
      <c r="H266" s="14">
        <v>3</v>
      </c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22">
        <f t="shared" si="112"/>
        <v>3</v>
      </c>
      <c r="AC266" s="25">
        <v>1</v>
      </c>
      <c r="AD266" s="24"/>
      <c r="AE266" s="24"/>
      <c r="AF266" s="24"/>
      <c r="AG266" s="24"/>
      <c r="AH266" s="24">
        <v>2</v>
      </c>
      <c r="AI266" s="24"/>
      <c r="AJ266" s="24"/>
      <c r="AK266" s="24"/>
      <c r="AL266" s="24"/>
      <c r="AM266" s="24"/>
      <c r="AN266" s="24"/>
      <c r="AO266" s="24"/>
      <c r="AP266" s="24">
        <f>6</f>
        <v>6</v>
      </c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2">
        <f t="shared" si="113"/>
        <v>8</v>
      </c>
      <c r="BC266" s="23">
        <v>36</v>
      </c>
      <c r="BD266" s="130">
        <f t="shared" si="114"/>
        <v>11</v>
      </c>
      <c r="BE266" s="130">
        <f t="shared" si="115"/>
        <v>37</v>
      </c>
      <c r="BF266" s="195">
        <f t="shared" si="116"/>
        <v>29.72972972972973</v>
      </c>
      <c r="BG266" s="373">
        <f t="shared" si="117"/>
        <v>26</v>
      </c>
    </row>
    <row r="267" spans="1:63" s="21" customFormat="1" ht="15.95" customHeight="1">
      <c r="A267" s="163">
        <v>10</v>
      </c>
      <c r="B267" s="9" t="s">
        <v>2945</v>
      </c>
      <c r="C267" s="11" t="s">
        <v>2946</v>
      </c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22">
        <f t="shared" si="112"/>
        <v>0</v>
      </c>
      <c r="AC267" s="25">
        <v>0</v>
      </c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2">
        <f t="shared" si="113"/>
        <v>0</v>
      </c>
      <c r="BC267" s="23">
        <v>1</v>
      </c>
      <c r="BD267" s="130">
        <f t="shared" si="114"/>
        <v>0</v>
      </c>
      <c r="BE267" s="130">
        <f t="shared" si="115"/>
        <v>1</v>
      </c>
      <c r="BF267" s="195">
        <f t="shared" si="116"/>
        <v>0</v>
      </c>
      <c r="BG267" s="373">
        <f t="shared" si="117"/>
        <v>1</v>
      </c>
    </row>
    <row r="268" spans="1:63" s="21" customFormat="1" ht="15.95" customHeight="1">
      <c r="A268" s="163">
        <v>11</v>
      </c>
      <c r="B268" s="9" t="s">
        <v>4096</v>
      </c>
      <c r="C268" s="11" t="s">
        <v>4097</v>
      </c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22">
        <f t="shared" si="112"/>
        <v>0</v>
      </c>
      <c r="AC268" s="25">
        <v>0</v>
      </c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>
        <f>1+1</f>
        <v>2</v>
      </c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2">
        <f t="shared" si="113"/>
        <v>2</v>
      </c>
      <c r="BC268" s="23">
        <v>0</v>
      </c>
      <c r="BD268" s="130">
        <f t="shared" si="114"/>
        <v>2</v>
      </c>
      <c r="BE268" s="130">
        <f t="shared" si="115"/>
        <v>0</v>
      </c>
      <c r="BF268" s="195" t="e">
        <f t="shared" si="116"/>
        <v>#DIV/0!</v>
      </c>
      <c r="BG268" s="373"/>
    </row>
    <row r="269" spans="1:63" s="21" customFormat="1" ht="15.95" customHeight="1">
      <c r="A269" s="163">
        <v>12</v>
      </c>
      <c r="B269" s="9" t="s">
        <v>2879</v>
      </c>
      <c r="C269" s="11" t="s">
        <v>2880</v>
      </c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22">
        <f t="shared" si="112"/>
        <v>0</v>
      </c>
      <c r="AC269" s="25">
        <v>0</v>
      </c>
      <c r="AD269" s="24">
        <v>2</v>
      </c>
      <c r="AE269" s="24"/>
      <c r="AF269" s="24"/>
      <c r="AG269" s="24"/>
      <c r="AH269" s="24"/>
      <c r="AI269" s="24"/>
      <c r="AJ269" s="24"/>
      <c r="AK269" s="24"/>
      <c r="AL269" s="24">
        <v>1</v>
      </c>
      <c r="AM269" s="24"/>
      <c r="AN269" s="24"/>
      <c r="AO269" s="24"/>
      <c r="AP269" s="24">
        <f>1+1</f>
        <v>2</v>
      </c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2">
        <f t="shared" si="113"/>
        <v>5</v>
      </c>
      <c r="BC269" s="23">
        <v>0</v>
      </c>
      <c r="BD269" s="130">
        <f t="shared" si="114"/>
        <v>5</v>
      </c>
      <c r="BE269" s="130">
        <f t="shared" si="115"/>
        <v>0</v>
      </c>
      <c r="BF269" s="195" t="e">
        <f t="shared" si="116"/>
        <v>#DIV/0!</v>
      </c>
      <c r="BG269" s="373"/>
    </row>
    <row r="270" spans="1:63" s="21" customFormat="1" ht="15.95" customHeight="1">
      <c r="A270" s="163">
        <v>13</v>
      </c>
      <c r="B270" s="9" t="s">
        <v>2140</v>
      </c>
      <c r="C270" s="10" t="s">
        <v>2141</v>
      </c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22">
        <f t="shared" si="112"/>
        <v>0</v>
      </c>
      <c r="AC270" s="25">
        <v>0</v>
      </c>
      <c r="AD270" s="24"/>
      <c r="AE270" s="24"/>
      <c r="AF270" s="24"/>
      <c r="AG270" s="24"/>
      <c r="AH270" s="24"/>
      <c r="AI270" s="24"/>
      <c r="AJ270" s="24"/>
      <c r="AK270" s="24"/>
      <c r="AL270" s="24">
        <f>1+1</f>
        <v>2</v>
      </c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2">
        <f t="shared" si="113"/>
        <v>2</v>
      </c>
      <c r="BC270" s="23">
        <v>9</v>
      </c>
      <c r="BD270" s="130">
        <f t="shared" si="114"/>
        <v>2</v>
      </c>
      <c r="BE270" s="130">
        <f t="shared" si="115"/>
        <v>9</v>
      </c>
      <c r="BF270" s="195">
        <f t="shared" si="116"/>
        <v>22.222222222222221</v>
      </c>
      <c r="BG270" s="373">
        <f t="shared" ref="BG270:BG275" si="118">BE270-BD270</f>
        <v>7</v>
      </c>
    </row>
    <row r="271" spans="1:63" s="21" customFormat="1" ht="15.95" customHeight="1">
      <c r="A271" s="163">
        <v>14</v>
      </c>
      <c r="B271" s="9" t="s">
        <v>643</v>
      </c>
      <c r="C271" s="10" t="s">
        <v>644</v>
      </c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22">
        <f t="shared" si="112"/>
        <v>0</v>
      </c>
      <c r="AC271" s="25">
        <v>0</v>
      </c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2">
        <f t="shared" si="113"/>
        <v>0</v>
      </c>
      <c r="BC271" s="23">
        <v>1</v>
      </c>
      <c r="BD271" s="130">
        <f t="shared" si="114"/>
        <v>0</v>
      </c>
      <c r="BE271" s="130">
        <f t="shared" si="115"/>
        <v>1</v>
      </c>
      <c r="BF271" s="195">
        <f t="shared" si="116"/>
        <v>0</v>
      </c>
      <c r="BG271" s="373">
        <f t="shared" si="118"/>
        <v>1</v>
      </c>
    </row>
    <row r="272" spans="1:63" s="21" customFormat="1" ht="15.95" customHeight="1">
      <c r="A272" s="163">
        <v>15</v>
      </c>
      <c r="B272" s="9" t="s">
        <v>148</v>
      </c>
      <c r="C272" s="10" t="s">
        <v>149</v>
      </c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22">
        <f t="shared" si="112"/>
        <v>0</v>
      </c>
      <c r="AC272" s="25">
        <v>0</v>
      </c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2">
        <f t="shared" si="113"/>
        <v>0</v>
      </c>
      <c r="BC272" s="23">
        <v>8</v>
      </c>
      <c r="BD272" s="130">
        <f t="shared" si="114"/>
        <v>0</v>
      </c>
      <c r="BE272" s="130">
        <f t="shared" si="115"/>
        <v>8</v>
      </c>
      <c r="BF272" s="195">
        <f t="shared" si="116"/>
        <v>0</v>
      </c>
      <c r="BG272" s="373">
        <f t="shared" si="118"/>
        <v>8</v>
      </c>
    </row>
    <row r="273" spans="1:59" s="21" customFormat="1" ht="15.95" customHeight="1">
      <c r="A273" s="163">
        <v>16</v>
      </c>
      <c r="B273" s="9" t="s">
        <v>622</v>
      </c>
      <c r="C273" s="10" t="s">
        <v>623</v>
      </c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22">
        <f t="shared" si="112"/>
        <v>0</v>
      </c>
      <c r="AC273" s="25">
        <v>0</v>
      </c>
      <c r="AD273" s="24"/>
      <c r="AE273" s="24"/>
      <c r="AF273" s="24"/>
      <c r="AG273" s="24"/>
      <c r="AH273" s="24"/>
      <c r="AI273" s="24"/>
      <c r="AJ273" s="24"/>
      <c r="AK273" s="24"/>
      <c r="AL273" s="24">
        <v>2</v>
      </c>
      <c r="AM273" s="24"/>
      <c r="AN273" s="24"/>
      <c r="AO273" s="24"/>
      <c r="AP273" s="24">
        <f>3</f>
        <v>3</v>
      </c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2">
        <f t="shared" si="113"/>
        <v>5</v>
      </c>
      <c r="BC273" s="23">
        <v>19</v>
      </c>
      <c r="BD273" s="130">
        <f t="shared" si="114"/>
        <v>5</v>
      </c>
      <c r="BE273" s="130">
        <f t="shared" si="115"/>
        <v>19</v>
      </c>
      <c r="BF273" s="195">
        <f t="shared" si="116"/>
        <v>26.315789473684209</v>
      </c>
      <c r="BG273" s="373">
        <f t="shared" si="118"/>
        <v>14</v>
      </c>
    </row>
    <row r="274" spans="1:59" s="21" customFormat="1" ht="15.95" customHeight="1">
      <c r="A274" s="163">
        <v>17</v>
      </c>
      <c r="B274" s="9" t="s">
        <v>2688</v>
      </c>
      <c r="C274" s="11" t="s">
        <v>2761</v>
      </c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22">
        <f t="shared" si="112"/>
        <v>0</v>
      </c>
      <c r="AC274" s="25">
        <v>0</v>
      </c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2">
        <f t="shared" si="113"/>
        <v>0</v>
      </c>
      <c r="BC274" s="23">
        <v>2</v>
      </c>
      <c r="BD274" s="130">
        <f t="shared" si="114"/>
        <v>0</v>
      </c>
      <c r="BE274" s="130">
        <f t="shared" si="115"/>
        <v>2</v>
      </c>
      <c r="BF274" s="195">
        <f t="shared" si="116"/>
        <v>0</v>
      </c>
      <c r="BG274" s="373">
        <f t="shared" si="118"/>
        <v>2</v>
      </c>
    </row>
    <row r="275" spans="1:59" s="21" customFormat="1" ht="15.95" customHeight="1">
      <c r="A275" s="163">
        <v>18</v>
      </c>
      <c r="B275" s="9" t="s">
        <v>3266</v>
      </c>
      <c r="C275" s="11" t="s">
        <v>3267</v>
      </c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22">
        <f t="shared" si="112"/>
        <v>0</v>
      </c>
      <c r="AC275" s="25">
        <v>0</v>
      </c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2">
        <f t="shared" si="113"/>
        <v>0</v>
      </c>
      <c r="BC275" s="23">
        <v>1</v>
      </c>
      <c r="BD275" s="130">
        <f t="shared" si="114"/>
        <v>0</v>
      </c>
      <c r="BE275" s="130">
        <f t="shared" si="115"/>
        <v>1</v>
      </c>
      <c r="BF275" s="195">
        <f t="shared" si="116"/>
        <v>0</v>
      </c>
      <c r="BG275" s="373">
        <f t="shared" si="118"/>
        <v>1</v>
      </c>
    </row>
    <row r="276" spans="1:59" s="21" customFormat="1" ht="15.95" customHeight="1">
      <c r="A276" s="163">
        <v>19</v>
      </c>
      <c r="B276" s="9" t="s">
        <v>3905</v>
      </c>
      <c r="C276" s="11" t="s">
        <v>3906</v>
      </c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22">
        <f t="shared" si="112"/>
        <v>0</v>
      </c>
      <c r="AC276" s="25">
        <v>0</v>
      </c>
      <c r="AD276" s="24"/>
      <c r="AE276" s="24"/>
      <c r="AF276" s="24"/>
      <c r="AG276" s="24"/>
      <c r="AH276" s="24"/>
      <c r="AI276" s="24"/>
      <c r="AJ276" s="24"/>
      <c r="AK276" s="24"/>
      <c r="AL276" s="24">
        <v>1</v>
      </c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2">
        <f t="shared" si="113"/>
        <v>1</v>
      </c>
      <c r="BC276" s="23">
        <v>0</v>
      </c>
      <c r="BD276" s="130">
        <f t="shared" si="114"/>
        <v>1</v>
      </c>
      <c r="BE276" s="130">
        <f t="shared" si="115"/>
        <v>0</v>
      </c>
      <c r="BF276" s="195" t="e">
        <f t="shared" si="116"/>
        <v>#DIV/0!</v>
      </c>
      <c r="BG276" s="373"/>
    </row>
    <row r="277" spans="1:59" s="21" customFormat="1" ht="15.95" customHeight="1">
      <c r="A277" s="163">
        <v>20</v>
      </c>
      <c r="B277" s="9" t="s">
        <v>32</v>
      </c>
      <c r="C277" s="10" t="s">
        <v>33</v>
      </c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22">
        <f t="shared" si="112"/>
        <v>0</v>
      </c>
      <c r="AC277" s="25">
        <v>0</v>
      </c>
      <c r="AD277" s="24"/>
      <c r="AE277" s="24"/>
      <c r="AF277" s="24"/>
      <c r="AG277" s="24"/>
      <c r="AH277" s="24"/>
      <c r="AI277" s="24"/>
      <c r="AJ277" s="24"/>
      <c r="AK277" s="24"/>
      <c r="AL277" s="24">
        <v>4</v>
      </c>
      <c r="AM277" s="24"/>
      <c r="AN277" s="24"/>
      <c r="AO277" s="24"/>
      <c r="AP277" s="24">
        <f>1+1</f>
        <v>2</v>
      </c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2">
        <f t="shared" si="113"/>
        <v>6</v>
      </c>
      <c r="BC277" s="23">
        <v>6</v>
      </c>
      <c r="BD277" s="130">
        <f t="shared" si="114"/>
        <v>6</v>
      </c>
      <c r="BE277" s="130">
        <f t="shared" si="115"/>
        <v>6</v>
      </c>
      <c r="BF277" s="195">
        <f t="shared" si="116"/>
        <v>100</v>
      </c>
      <c r="BG277" s="373">
        <f>BE277-BD277</f>
        <v>0</v>
      </c>
    </row>
    <row r="278" spans="1:59" s="21" customFormat="1" ht="15.95" customHeight="1">
      <c r="A278" s="163">
        <v>21</v>
      </c>
      <c r="B278" s="9" t="s">
        <v>615</v>
      </c>
      <c r="C278" s="10" t="s">
        <v>616</v>
      </c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22">
        <f t="shared" si="112"/>
        <v>0</v>
      </c>
      <c r="AC278" s="25">
        <v>94</v>
      </c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>
        <f>3</f>
        <v>3</v>
      </c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2">
        <f t="shared" si="113"/>
        <v>3</v>
      </c>
      <c r="BC278" s="23">
        <v>16</v>
      </c>
      <c r="BD278" s="130">
        <f t="shared" si="114"/>
        <v>3</v>
      </c>
      <c r="BE278" s="130">
        <f t="shared" si="115"/>
        <v>110</v>
      </c>
      <c r="BF278" s="195">
        <f t="shared" si="116"/>
        <v>2.7272727272727271</v>
      </c>
      <c r="BG278" s="373">
        <f>BE278-BD278</f>
        <v>107</v>
      </c>
    </row>
    <row r="279" spans="1:59" s="21" customFormat="1" ht="15.95" customHeight="1">
      <c r="A279" s="163">
        <v>22</v>
      </c>
      <c r="B279" s="9" t="s">
        <v>720</v>
      </c>
      <c r="C279" s="10" t="s">
        <v>721</v>
      </c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22">
        <f t="shared" si="112"/>
        <v>0</v>
      </c>
      <c r="AC279" s="25">
        <v>0</v>
      </c>
      <c r="AD279" s="24"/>
      <c r="AE279" s="24"/>
      <c r="AF279" s="24"/>
      <c r="AG279" s="24"/>
      <c r="AH279" s="24"/>
      <c r="AI279" s="24"/>
      <c r="AJ279" s="24"/>
      <c r="AK279" s="24"/>
      <c r="AL279" s="24">
        <v>4</v>
      </c>
      <c r="AM279" s="24"/>
      <c r="AN279" s="24"/>
      <c r="AO279" s="24"/>
      <c r="AP279" s="24">
        <f>1</f>
        <v>1</v>
      </c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2">
        <f t="shared" si="113"/>
        <v>5</v>
      </c>
      <c r="BC279" s="23">
        <v>12</v>
      </c>
      <c r="BD279" s="130">
        <f t="shared" si="114"/>
        <v>5</v>
      </c>
      <c r="BE279" s="130">
        <f t="shared" si="115"/>
        <v>12</v>
      </c>
      <c r="BF279" s="195">
        <f t="shared" si="116"/>
        <v>41.666666666666671</v>
      </c>
      <c r="BG279" s="373">
        <f>BE279-BD279</f>
        <v>7</v>
      </c>
    </row>
    <row r="280" spans="1:59" s="21" customFormat="1" ht="15.95" customHeight="1">
      <c r="A280" s="163">
        <v>23</v>
      </c>
      <c r="B280" s="9" t="s">
        <v>2849</v>
      </c>
      <c r="C280" s="10" t="s">
        <v>2850</v>
      </c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22">
        <f t="shared" si="112"/>
        <v>0</v>
      </c>
      <c r="AC280" s="25">
        <v>0</v>
      </c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2">
        <f t="shared" si="113"/>
        <v>0</v>
      </c>
      <c r="BC280" s="23">
        <v>1</v>
      </c>
      <c r="BD280" s="130">
        <f t="shared" si="114"/>
        <v>0</v>
      </c>
      <c r="BE280" s="130">
        <f t="shared" si="115"/>
        <v>1</v>
      </c>
      <c r="BF280" s="195">
        <f t="shared" si="116"/>
        <v>0</v>
      </c>
      <c r="BG280" s="373">
        <f>BE280-BD280</f>
        <v>1</v>
      </c>
    </row>
    <row r="281" spans="1:59" s="21" customFormat="1" ht="15.95" customHeight="1">
      <c r="A281" s="163">
        <v>24</v>
      </c>
      <c r="B281" s="9" t="s">
        <v>4098</v>
      </c>
      <c r="C281" s="10" t="s">
        <v>4099</v>
      </c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22">
        <f t="shared" si="112"/>
        <v>0</v>
      </c>
      <c r="AC281" s="25">
        <v>0</v>
      </c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>
        <f>1</f>
        <v>1</v>
      </c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2">
        <f t="shared" si="113"/>
        <v>1</v>
      </c>
      <c r="BC281" s="23">
        <v>0</v>
      </c>
      <c r="BD281" s="130">
        <f t="shared" si="114"/>
        <v>1</v>
      </c>
      <c r="BE281" s="130">
        <f t="shared" si="115"/>
        <v>0</v>
      </c>
      <c r="BF281" s="195" t="e">
        <f t="shared" si="116"/>
        <v>#DIV/0!</v>
      </c>
      <c r="BG281" s="373"/>
    </row>
    <row r="282" spans="1:59" s="21" customFormat="1" ht="15.95" customHeight="1">
      <c r="A282" s="163">
        <v>25</v>
      </c>
      <c r="B282" s="9" t="s">
        <v>3125</v>
      </c>
      <c r="C282" s="10" t="s">
        <v>3126</v>
      </c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22">
        <f t="shared" si="112"/>
        <v>0</v>
      </c>
      <c r="AC282" s="25">
        <v>0</v>
      </c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>
        <f>1</f>
        <v>1</v>
      </c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2">
        <f t="shared" si="113"/>
        <v>1</v>
      </c>
      <c r="BC282" s="23">
        <v>1</v>
      </c>
      <c r="BD282" s="130">
        <f t="shared" si="114"/>
        <v>1</v>
      </c>
      <c r="BE282" s="130">
        <f t="shared" si="115"/>
        <v>1</v>
      </c>
      <c r="BF282" s="195">
        <f t="shared" si="116"/>
        <v>100</v>
      </c>
      <c r="BG282" s="373">
        <f t="shared" ref="BG282:BG294" si="119">BE282-BD282</f>
        <v>0</v>
      </c>
    </row>
    <row r="283" spans="1:59" s="21" customFormat="1" ht="15.95" customHeight="1">
      <c r="A283" s="163">
        <v>26</v>
      </c>
      <c r="B283" s="9" t="s">
        <v>150</v>
      </c>
      <c r="C283" s="11" t="s">
        <v>151</v>
      </c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22">
        <f t="shared" si="112"/>
        <v>0</v>
      </c>
      <c r="AC283" s="25">
        <v>0</v>
      </c>
      <c r="AD283" s="99"/>
      <c r="AE283" s="99"/>
      <c r="AF283" s="99"/>
      <c r="AG283" s="99"/>
      <c r="AH283" s="99">
        <v>1</v>
      </c>
      <c r="AI283" s="99"/>
      <c r="AJ283" s="99"/>
      <c r="AK283" s="99"/>
      <c r="AL283" s="99">
        <v>1</v>
      </c>
      <c r="AM283" s="99"/>
      <c r="AN283" s="99"/>
      <c r="AO283" s="99"/>
      <c r="AP283" s="99">
        <v>5</v>
      </c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22">
        <f t="shared" si="113"/>
        <v>7</v>
      </c>
      <c r="BC283" s="23">
        <v>13</v>
      </c>
      <c r="BD283" s="130">
        <f t="shared" si="114"/>
        <v>7</v>
      </c>
      <c r="BE283" s="130">
        <f t="shared" si="115"/>
        <v>13</v>
      </c>
      <c r="BF283" s="195">
        <f t="shared" si="116"/>
        <v>53.846153846153847</v>
      </c>
      <c r="BG283" s="373">
        <f t="shared" si="119"/>
        <v>6</v>
      </c>
    </row>
    <row r="284" spans="1:59" s="21" customFormat="1" ht="15.95" customHeight="1">
      <c r="A284" s="163">
        <v>27</v>
      </c>
      <c r="B284" s="9" t="s">
        <v>524</v>
      </c>
      <c r="C284" s="11" t="s">
        <v>525</v>
      </c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22">
        <f t="shared" si="112"/>
        <v>0</v>
      </c>
      <c r="AC284" s="25">
        <v>0</v>
      </c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22">
        <f t="shared" si="113"/>
        <v>0</v>
      </c>
      <c r="BC284" s="23">
        <v>2</v>
      </c>
      <c r="BD284" s="130">
        <f t="shared" si="114"/>
        <v>0</v>
      </c>
      <c r="BE284" s="130">
        <f t="shared" si="115"/>
        <v>2</v>
      </c>
      <c r="BF284" s="195">
        <f t="shared" si="116"/>
        <v>0</v>
      </c>
      <c r="BG284" s="373">
        <f t="shared" si="119"/>
        <v>2</v>
      </c>
    </row>
    <row r="285" spans="1:59" s="21" customFormat="1" ht="15.95" customHeight="1">
      <c r="A285" s="163">
        <v>28</v>
      </c>
      <c r="B285" s="9" t="s">
        <v>2947</v>
      </c>
      <c r="C285" s="11" t="s">
        <v>2948</v>
      </c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22">
        <f t="shared" si="112"/>
        <v>0</v>
      </c>
      <c r="AC285" s="25">
        <v>0</v>
      </c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2">
        <f t="shared" si="113"/>
        <v>0</v>
      </c>
      <c r="BC285" s="23">
        <v>1</v>
      </c>
      <c r="BD285" s="130">
        <f t="shared" si="114"/>
        <v>0</v>
      </c>
      <c r="BE285" s="130">
        <f t="shared" si="115"/>
        <v>1</v>
      </c>
      <c r="BF285" s="195">
        <f t="shared" si="116"/>
        <v>0</v>
      </c>
      <c r="BG285" s="373">
        <f t="shared" si="119"/>
        <v>1</v>
      </c>
    </row>
    <row r="286" spans="1:59" s="21" customFormat="1" ht="15.95" customHeight="1">
      <c r="A286" s="163">
        <v>29</v>
      </c>
      <c r="B286" s="9" t="s">
        <v>987</v>
      </c>
      <c r="C286" s="11" t="s">
        <v>988</v>
      </c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22">
        <f t="shared" si="112"/>
        <v>0</v>
      </c>
      <c r="AC286" s="25">
        <v>0</v>
      </c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2">
        <f t="shared" si="113"/>
        <v>0</v>
      </c>
      <c r="BC286" s="23">
        <v>2</v>
      </c>
      <c r="BD286" s="130">
        <f t="shared" si="114"/>
        <v>0</v>
      </c>
      <c r="BE286" s="130">
        <f t="shared" si="115"/>
        <v>2</v>
      </c>
      <c r="BF286" s="195">
        <f t="shared" si="116"/>
        <v>0</v>
      </c>
      <c r="BG286" s="373">
        <f t="shared" si="119"/>
        <v>2</v>
      </c>
    </row>
    <row r="287" spans="1:59" s="21" customFormat="1" ht="15.95" customHeight="1">
      <c r="A287" s="163">
        <v>30</v>
      </c>
      <c r="B287" s="9" t="s">
        <v>2561</v>
      </c>
      <c r="C287" s="11" t="s">
        <v>2565</v>
      </c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22">
        <f t="shared" si="112"/>
        <v>0</v>
      </c>
      <c r="AC287" s="25">
        <v>0</v>
      </c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2">
        <f t="shared" si="113"/>
        <v>0</v>
      </c>
      <c r="BC287" s="23">
        <v>3</v>
      </c>
      <c r="BD287" s="130">
        <f t="shared" si="114"/>
        <v>0</v>
      </c>
      <c r="BE287" s="130">
        <f t="shared" si="115"/>
        <v>3</v>
      </c>
      <c r="BF287" s="195">
        <f t="shared" si="116"/>
        <v>0</v>
      </c>
      <c r="BG287" s="373">
        <f t="shared" si="119"/>
        <v>3</v>
      </c>
    </row>
    <row r="288" spans="1:59" s="21" customFormat="1" ht="15.95" customHeight="1">
      <c r="A288" s="163">
        <v>31</v>
      </c>
      <c r="B288" s="9" t="s">
        <v>42</v>
      </c>
      <c r="C288" s="11" t="s">
        <v>43</v>
      </c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22">
        <f t="shared" si="112"/>
        <v>0</v>
      </c>
      <c r="AC288" s="25">
        <v>0</v>
      </c>
      <c r="AD288" s="24">
        <v>1</v>
      </c>
      <c r="AE288" s="24"/>
      <c r="AF288" s="24"/>
      <c r="AG288" s="24"/>
      <c r="AH288" s="24">
        <v>2</v>
      </c>
      <c r="AI288" s="24"/>
      <c r="AJ288" s="24"/>
      <c r="AK288" s="24"/>
      <c r="AL288" s="24">
        <f>18+1+11+20</f>
        <v>50</v>
      </c>
      <c r="AM288" s="24"/>
      <c r="AN288" s="24"/>
      <c r="AO288" s="24"/>
      <c r="AP288" s="24">
        <f>17</f>
        <v>17</v>
      </c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2">
        <f t="shared" si="113"/>
        <v>70</v>
      </c>
      <c r="BC288" s="23">
        <v>64</v>
      </c>
      <c r="BD288" s="130">
        <f t="shared" si="114"/>
        <v>70</v>
      </c>
      <c r="BE288" s="130">
        <f t="shared" si="115"/>
        <v>64</v>
      </c>
      <c r="BF288" s="195">
        <f t="shared" si="116"/>
        <v>109.375</v>
      </c>
      <c r="BG288" s="373">
        <f t="shared" si="119"/>
        <v>-6</v>
      </c>
    </row>
    <row r="289" spans="1:59" s="21" customFormat="1" ht="15.95" customHeight="1">
      <c r="A289" s="163">
        <v>32</v>
      </c>
      <c r="B289" s="9" t="s">
        <v>152</v>
      </c>
      <c r="C289" s="11" t="s">
        <v>153</v>
      </c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22">
        <f t="shared" si="112"/>
        <v>0</v>
      </c>
      <c r="AC289" s="25">
        <v>0</v>
      </c>
      <c r="AD289" s="24"/>
      <c r="AE289" s="24"/>
      <c r="AF289" s="24"/>
      <c r="AG289" s="24"/>
      <c r="AH289" s="24"/>
      <c r="AI289" s="24"/>
      <c r="AJ289" s="24"/>
      <c r="AK289" s="24"/>
      <c r="AL289" s="24">
        <v>1</v>
      </c>
      <c r="AM289" s="24"/>
      <c r="AN289" s="24"/>
      <c r="AO289" s="24"/>
      <c r="AP289" s="24">
        <f>1+1</f>
        <v>2</v>
      </c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2">
        <f t="shared" si="113"/>
        <v>3</v>
      </c>
      <c r="BC289" s="23">
        <v>1</v>
      </c>
      <c r="BD289" s="130">
        <f t="shared" si="114"/>
        <v>3</v>
      </c>
      <c r="BE289" s="130">
        <f t="shared" si="115"/>
        <v>1</v>
      </c>
      <c r="BF289" s="195">
        <f t="shared" si="116"/>
        <v>300</v>
      </c>
      <c r="BG289" s="373">
        <f t="shared" si="119"/>
        <v>-2</v>
      </c>
    </row>
    <row r="290" spans="1:59" s="21" customFormat="1" ht="15.95" customHeight="1">
      <c r="A290" s="163">
        <v>33</v>
      </c>
      <c r="B290" s="9" t="s">
        <v>2949</v>
      </c>
      <c r="C290" s="11" t="s">
        <v>2950</v>
      </c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22">
        <f t="shared" si="112"/>
        <v>0</v>
      </c>
      <c r="AC290" s="25">
        <v>0</v>
      </c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>
        <f>1+1</f>
        <v>2</v>
      </c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2">
        <f t="shared" si="113"/>
        <v>2</v>
      </c>
      <c r="BC290" s="23">
        <v>4</v>
      </c>
      <c r="BD290" s="130">
        <f t="shared" si="114"/>
        <v>2</v>
      </c>
      <c r="BE290" s="130">
        <f t="shared" si="115"/>
        <v>4</v>
      </c>
      <c r="BF290" s="195">
        <f t="shared" si="116"/>
        <v>50</v>
      </c>
      <c r="BG290" s="373">
        <f t="shared" si="119"/>
        <v>2</v>
      </c>
    </row>
    <row r="291" spans="1:59" s="21" customFormat="1" ht="15.95" customHeight="1">
      <c r="A291" s="163">
        <v>34</v>
      </c>
      <c r="B291" s="9" t="s">
        <v>154</v>
      </c>
      <c r="C291" s="11" t="s">
        <v>155</v>
      </c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22">
        <f t="shared" si="112"/>
        <v>0</v>
      </c>
      <c r="AC291" s="25">
        <v>0</v>
      </c>
      <c r="AD291" s="24">
        <v>2</v>
      </c>
      <c r="AE291" s="24"/>
      <c r="AF291" s="24"/>
      <c r="AG291" s="24"/>
      <c r="AH291" s="24"/>
      <c r="AI291" s="24"/>
      <c r="AJ291" s="24"/>
      <c r="AK291" s="24"/>
      <c r="AL291" s="24">
        <v>1</v>
      </c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2">
        <f t="shared" si="113"/>
        <v>3</v>
      </c>
      <c r="BC291" s="23">
        <v>3</v>
      </c>
      <c r="BD291" s="130">
        <f t="shared" si="114"/>
        <v>3</v>
      </c>
      <c r="BE291" s="130">
        <f t="shared" si="115"/>
        <v>3</v>
      </c>
      <c r="BF291" s="195">
        <f t="shared" si="116"/>
        <v>100</v>
      </c>
      <c r="BG291" s="373">
        <f t="shared" si="119"/>
        <v>0</v>
      </c>
    </row>
    <row r="292" spans="1:59" s="21" customFormat="1" ht="15.95" customHeight="1">
      <c r="A292" s="163">
        <v>35</v>
      </c>
      <c r="B292" s="9" t="s">
        <v>156</v>
      </c>
      <c r="C292" s="11" t="s">
        <v>157</v>
      </c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22">
        <f t="shared" si="112"/>
        <v>0</v>
      </c>
      <c r="AC292" s="25">
        <v>0</v>
      </c>
      <c r="AD292" s="24"/>
      <c r="AE292" s="24"/>
      <c r="AF292" s="24"/>
      <c r="AG292" s="24"/>
      <c r="AH292" s="24"/>
      <c r="AI292" s="24"/>
      <c r="AJ292" s="24"/>
      <c r="AK292" s="24"/>
      <c r="AL292" s="24">
        <v>4</v>
      </c>
      <c r="AM292" s="24"/>
      <c r="AN292" s="24"/>
      <c r="AO292" s="24"/>
      <c r="AP292" s="24">
        <f>2+2</f>
        <v>4</v>
      </c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2">
        <f t="shared" si="113"/>
        <v>8</v>
      </c>
      <c r="BC292" s="23">
        <v>6</v>
      </c>
      <c r="BD292" s="130">
        <f t="shared" si="114"/>
        <v>8</v>
      </c>
      <c r="BE292" s="130">
        <f t="shared" si="115"/>
        <v>6</v>
      </c>
      <c r="BF292" s="195">
        <f t="shared" si="116"/>
        <v>133.33333333333331</v>
      </c>
      <c r="BG292" s="373">
        <f t="shared" si="119"/>
        <v>-2</v>
      </c>
    </row>
    <row r="293" spans="1:59" s="21" customFormat="1" ht="15.95" customHeight="1">
      <c r="A293" s="163">
        <v>36</v>
      </c>
      <c r="B293" s="9" t="s">
        <v>158</v>
      </c>
      <c r="C293" s="11" t="s">
        <v>159</v>
      </c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22">
        <f t="shared" si="112"/>
        <v>0</v>
      </c>
      <c r="AC293" s="25">
        <v>0</v>
      </c>
      <c r="AD293" s="24">
        <v>1</v>
      </c>
      <c r="AE293" s="24"/>
      <c r="AF293" s="24"/>
      <c r="AG293" s="24"/>
      <c r="AH293" s="24"/>
      <c r="AI293" s="24"/>
      <c r="AJ293" s="24"/>
      <c r="AK293" s="24"/>
      <c r="AL293" s="24">
        <v>1</v>
      </c>
      <c r="AM293" s="24"/>
      <c r="AN293" s="24"/>
      <c r="AO293" s="24"/>
      <c r="AP293" s="24">
        <f>4+4</f>
        <v>8</v>
      </c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2">
        <f t="shared" si="113"/>
        <v>10</v>
      </c>
      <c r="BC293" s="23">
        <v>2</v>
      </c>
      <c r="BD293" s="130">
        <f t="shared" si="114"/>
        <v>10</v>
      </c>
      <c r="BE293" s="130">
        <f t="shared" si="115"/>
        <v>2</v>
      </c>
      <c r="BF293" s="195">
        <f t="shared" si="116"/>
        <v>500</v>
      </c>
      <c r="BG293" s="373">
        <f t="shared" si="119"/>
        <v>-8</v>
      </c>
    </row>
    <row r="294" spans="1:59" s="21" customFormat="1" ht="15.95" customHeight="1">
      <c r="A294" s="163">
        <v>37</v>
      </c>
      <c r="B294" s="9" t="s">
        <v>160</v>
      </c>
      <c r="C294" s="11" t="s">
        <v>159</v>
      </c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22">
        <f t="shared" si="112"/>
        <v>0</v>
      </c>
      <c r="AC294" s="25">
        <v>0</v>
      </c>
      <c r="AD294" s="24">
        <v>1</v>
      </c>
      <c r="AE294" s="24"/>
      <c r="AF294" s="24"/>
      <c r="AG294" s="24"/>
      <c r="AH294" s="24"/>
      <c r="AI294" s="24"/>
      <c r="AJ294" s="24"/>
      <c r="AK294" s="24"/>
      <c r="AL294" s="24">
        <v>1</v>
      </c>
      <c r="AM294" s="24"/>
      <c r="AN294" s="24"/>
      <c r="AO294" s="24"/>
      <c r="AP294" s="24">
        <f>3+3</f>
        <v>6</v>
      </c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2">
        <f t="shared" si="113"/>
        <v>8</v>
      </c>
      <c r="BC294" s="23">
        <v>11</v>
      </c>
      <c r="BD294" s="130">
        <f t="shared" si="114"/>
        <v>8</v>
      </c>
      <c r="BE294" s="130">
        <f t="shared" si="115"/>
        <v>11</v>
      </c>
      <c r="BF294" s="195">
        <f t="shared" si="116"/>
        <v>72.727272727272734</v>
      </c>
      <c r="BG294" s="373">
        <f t="shared" si="119"/>
        <v>3</v>
      </c>
    </row>
    <row r="295" spans="1:59" s="21" customFormat="1" ht="15.95" customHeight="1">
      <c r="A295" s="163">
        <v>38</v>
      </c>
      <c r="B295" s="9" t="s">
        <v>3939</v>
      </c>
      <c r="C295" s="11" t="s">
        <v>3940</v>
      </c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22">
        <f t="shared" si="112"/>
        <v>0</v>
      </c>
      <c r="AC295" s="25">
        <v>0</v>
      </c>
      <c r="AD295" s="24"/>
      <c r="AE295" s="24"/>
      <c r="AF295" s="24"/>
      <c r="AG295" s="24"/>
      <c r="AH295" s="24"/>
      <c r="AI295" s="24"/>
      <c r="AJ295" s="24"/>
      <c r="AK295" s="24"/>
      <c r="AL295" s="24">
        <v>1</v>
      </c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2">
        <f t="shared" si="113"/>
        <v>1</v>
      </c>
      <c r="BC295" s="23">
        <v>0</v>
      </c>
      <c r="BD295" s="130">
        <f t="shared" si="114"/>
        <v>1</v>
      </c>
      <c r="BE295" s="130">
        <f t="shared" si="115"/>
        <v>0</v>
      </c>
      <c r="BF295" s="195" t="e">
        <f t="shared" si="116"/>
        <v>#DIV/0!</v>
      </c>
      <c r="BG295" s="373"/>
    </row>
    <row r="296" spans="1:59" s="21" customFormat="1" ht="15.95" customHeight="1">
      <c r="A296" s="163">
        <v>39</v>
      </c>
      <c r="B296" s="9" t="s">
        <v>161</v>
      </c>
      <c r="C296" s="11" t="s">
        <v>162</v>
      </c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22">
        <f t="shared" si="112"/>
        <v>0</v>
      </c>
      <c r="AC296" s="25">
        <v>0</v>
      </c>
      <c r="AD296" s="24"/>
      <c r="AE296" s="24"/>
      <c r="AF296" s="24"/>
      <c r="AG296" s="24"/>
      <c r="AH296" s="24"/>
      <c r="AI296" s="24"/>
      <c r="AJ296" s="24"/>
      <c r="AK296" s="24"/>
      <c r="AL296" s="24">
        <v>2</v>
      </c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2">
        <f t="shared" si="113"/>
        <v>2</v>
      </c>
      <c r="BC296" s="23">
        <v>3</v>
      </c>
      <c r="BD296" s="130">
        <f t="shared" si="114"/>
        <v>2</v>
      </c>
      <c r="BE296" s="130">
        <f t="shared" si="115"/>
        <v>3</v>
      </c>
      <c r="BF296" s="195">
        <f t="shared" si="116"/>
        <v>66.666666666666657</v>
      </c>
      <c r="BG296" s="373">
        <f t="shared" ref="BG296:BG323" si="120">BE296-BD296</f>
        <v>1</v>
      </c>
    </row>
    <row r="297" spans="1:59" s="21" customFormat="1" ht="15.95" customHeight="1">
      <c r="A297" s="163">
        <v>40</v>
      </c>
      <c r="B297" s="9" t="s">
        <v>163</v>
      </c>
      <c r="C297" s="11" t="s">
        <v>164</v>
      </c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22">
        <f t="shared" si="112"/>
        <v>0</v>
      </c>
      <c r="AC297" s="25">
        <v>0</v>
      </c>
      <c r="AD297" s="24">
        <v>2</v>
      </c>
      <c r="AE297" s="24"/>
      <c r="AF297" s="24"/>
      <c r="AG297" s="24"/>
      <c r="AH297" s="24">
        <v>2</v>
      </c>
      <c r="AI297" s="24"/>
      <c r="AJ297" s="24"/>
      <c r="AK297" s="24"/>
      <c r="AL297" s="24">
        <f>5+1+1+10</f>
        <v>17</v>
      </c>
      <c r="AM297" s="24"/>
      <c r="AN297" s="24"/>
      <c r="AO297" s="24"/>
      <c r="AP297" s="24">
        <f>5+5</f>
        <v>10</v>
      </c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2">
        <f t="shared" si="113"/>
        <v>31</v>
      </c>
      <c r="BC297" s="23">
        <v>24</v>
      </c>
      <c r="BD297" s="130">
        <f t="shared" si="114"/>
        <v>31</v>
      </c>
      <c r="BE297" s="130">
        <f t="shared" si="115"/>
        <v>24</v>
      </c>
      <c r="BF297" s="195">
        <f t="shared" si="116"/>
        <v>129.16666666666669</v>
      </c>
      <c r="BG297" s="373">
        <f t="shared" si="120"/>
        <v>-7</v>
      </c>
    </row>
    <row r="298" spans="1:59" s="21" customFormat="1" ht="15.95" customHeight="1">
      <c r="A298" s="163">
        <v>41</v>
      </c>
      <c r="B298" s="9" t="s">
        <v>165</v>
      </c>
      <c r="C298" s="11" t="s">
        <v>166</v>
      </c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22">
        <f t="shared" si="112"/>
        <v>0</v>
      </c>
      <c r="AC298" s="25">
        <v>0</v>
      </c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>
        <f>1+1</f>
        <v>2</v>
      </c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2">
        <f t="shared" si="113"/>
        <v>2</v>
      </c>
      <c r="BC298" s="23">
        <v>6</v>
      </c>
      <c r="BD298" s="130">
        <f t="shared" si="114"/>
        <v>2</v>
      </c>
      <c r="BE298" s="130">
        <f t="shared" si="115"/>
        <v>6</v>
      </c>
      <c r="BF298" s="195">
        <f t="shared" si="116"/>
        <v>33.333333333333329</v>
      </c>
      <c r="BG298" s="373">
        <f t="shared" si="120"/>
        <v>4</v>
      </c>
    </row>
    <row r="299" spans="1:59" s="21" customFormat="1" ht="15.95" customHeight="1">
      <c r="A299" s="163">
        <v>42</v>
      </c>
      <c r="B299" s="9" t="s">
        <v>2951</v>
      </c>
      <c r="C299" s="11" t="s">
        <v>2952</v>
      </c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22">
        <f t="shared" si="112"/>
        <v>0</v>
      </c>
      <c r="AC299" s="25">
        <v>0</v>
      </c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2">
        <f t="shared" si="113"/>
        <v>0</v>
      </c>
      <c r="BC299" s="23">
        <v>2</v>
      </c>
      <c r="BD299" s="130">
        <f t="shared" si="114"/>
        <v>0</v>
      </c>
      <c r="BE299" s="130">
        <f t="shared" si="115"/>
        <v>2</v>
      </c>
      <c r="BF299" s="195">
        <f t="shared" si="116"/>
        <v>0</v>
      </c>
      <c r="BG299" s="373">
        <f t="shared" si="120"/>
        <v>2</v>
      </c>
    </row>
    <row r="300" spans="1:59" s="21" customFormat="1" ht="15.95" customHeight="1">
      <c r="A300" s="163">
        <v>43</v>
      </c>
      <c r="B300" s="413" t="s">
        <v>2951</v>
      </c>
      <c r="C300" s="414" t="s">
        <v>3022</v>
      </c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22">
        <f t="shared" si="112"/>
        <v>0</v>
      </c>
      <c r="AC300" s="25">
        <v>0</v>
      </c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2">
        <f t="shared" si="113"/>
        <v>0</v>
      </c>
      <c r="BC300" s="23">
        <v>2</v>
      </c>
      <c r="BD300" s="130">
        <f t="shared" si="114"/>
        <v>0</v>
      </c>
      <c r="BE300" s="130">
        <f t="shared" si="115"/>
        <v>2</v>
      </c>
      <c r="BF300" s="195">
        <f t="shared" si="116"/>
        <v>0</v>
      </c>
      <c r="BG300" s="373">
        <f t="shared" si="120"/>
        <v>2</v>
      </c>
    </row>
    <row r="301" spans="1:59" s="21" customFormat="1" ht="15.95" customHeight="1">
      <c r="A301" s="163">
        <v>44</v>
      </c>
      <c r="B301" s="9" t="s">
        <v>2953</v>
      </c>
      <c r="C301" s="11" t="s">
        <v>2954</v>
      </c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22">
        <f t="shared" si="112"/>
        <v>0</v>
      </c>
      <c r="AC301" s="25">
        <v>0</v>
      </c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2">
        <f t="shared" si="113"/>
        <v>0</v>
      </c>
      <c r="BC301" s="23">
        <v>1</v>
      </c>
      <c r="BD301" s="130">
        <f t="shared" si="114"/>
        <v>0</v>
      </c>
      <c r="BE301" s="130">
        <f t="shared" si="115"/>
        <v>1</v>
      </c>
      <c r="BF301" s="195">
        <f t="shared" si="116"/>
        <v>0</v>
      </c>
      <c r="BG301" s="373">
        <f t="shared" si="120"/>
        <v>1</v>
      </c>
    </row>
    <row r="302" spans="1:59" s="21" customFormat="1" ht="15.95" customHeight="1">
      <c r="A302" s="163">
        <v>45</v>
      </c>
      <c r="B302" s="295" t="s">
        <v>3268</v>
      </c>
      <c r="C302" s="385" t="s">
        <v>3269</v>
      </c>
      <c r="D302" s="299"/>
      <c r="E302" s="299"/>
      <c r="F302" s="299"/>
      <c r="G302" s="299"/>
      <c r="H302" s="299"/>
      <c r="I302" s="299"/>
      <c r="J302" s="299"/>
      <c r="K302" s="299"/>
      <c r="L302" s="299"/>
      <c r="M302" s="29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  <c r="AB302" s="22">
        <f t="shared" si="112"/>
        <v>0</v>
      </c>
      <c r="AC302" s="301">
        <v>0</v>
      </c>
      <c r="AD302" s="302"/>
      <c r="AE302" s="302"/>
      <c r="AF302" s="302"/>
      <c r="AG302" s="302"/>
      <c r="AH302" s="302">
        <v>1</v>
      </c>
      <c r="AI302" s="302"/>
      <c r="AJ302" s="302"/>
      <c r="AK302" s="302"/>
      <c r="AL302" s="302">
        <v>2</v>
      </c>
      <c r="AM302" s="302"/>
      <c r="AN302" s="302"/>
      <c r="AO302" s="302"/>
      <c r="AP302" s="302"/>
      <c r="AQ302" s="302"/>
      <c r="AR302" s="302"/>
      <c r="AS302" s="302"/>
      <c r="AT302" s="302"/>
      <c r="AU302" s="302"/>
      <c r="AV302" s="302"/>
      <c r="AW302" s="302"/>
      <c r="AX302" s="302"/>
      <c r="AY302" s="302"/>
      <c r="AZ302" s="302"/>
      <c r="BA302" s="302"/>
      <c r="BB302" s="22">
        <f t="shared" si="113"/>
        <v>3</v>
      </c>
      <c r="BC302" s="303">
        <v>1</v>
      </c>
      <c r="BD302" s="130">
        <f t="shared" si="114"/>
        <v>3</v>
      </c>
      <c r="BE302" s="130">
        <f t="shared" si="115"/>
        <v>1</v>
      </c>
      <c r="BF302" s="195">
        <f t="shared" si="116"/>
        <v>300</v>
      </c>
      <c r="BG302" s="373">
        <f t="shared" si="120"/>
        <v>-2</v>
      </c>
    </row>
    <row r="303" spans="1:59" s="21" customFormat="1" ht="15.95" customHeight="1">
      <c r="A303" s="163">
        <v>46</v>
      </c>
      <c r="B303" s="9" t="s">
        <v>645</v>
      </c>
      <c r="C303" s="11" t="s">
        <v>646</v>
      </c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22">
        <f t="shared" si="112"/>
        <v>0</v>
      </c>
      <c r="AC303" s="25">
        <v>0</v>
      </c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2">
        <f t="shared" si="113"/>
        <v>0</v>
      </c>
      <c r="BC303" s="23">
        <v>1</v>
      </c>
      <c r="BD303" s="130">
        <f t="shared" si="114"/>
        <v>0</v>
      </c>
      <c r="BE303" s="130">
        <f t="shared" si="115"/>
        <v>1</v>
      </c>
      <c r="BF303" s="195">
        <f t="shared" si="116"/>
        <v>0</v>
      </c>
      <c r="BG303" s="373">
        <f t="shared" si="120"/>
        <v>1</v>
      </c>
    </row>
    <row r="304" spans="1:59" s="21" customFormat="1" ht="15.95" customHeight="1">
      <c r="A304" s="163">
        <v>47</v>
      </c>
      <c r="B304" s="9" t="s">
        <v>167</v>
      </c>
      <c r="C304" s="11" t="s">
        <v>168</v>
      </c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22">
        <f t="shared" si="112"/>
        <v>0</v>
      </c>
      <c r="AC304" s="25">
        <v>0</v>
      </c>
      <c r="AD304" s="24">
        <v>2</v>
      </c>
      <c r="AE304" s="24"/>
      <c r="AF304" s="24"/>
      <c r="AG304" s="24"/>
      <c r="AH304" s="24"/>
      <c r="AI304" s="24"/>
      <c r="AJ304" s="24"/>
      <c r="AK304" s="24"/>
      <c r="AL304" s="24">
        <v>1</v>
      </c>
      <c r="AM304" s="24"/>
      <c r="AN304" s="24"/>
      <c r="AO304" s="24"/>
      <c r="AP304" s="24">
        <f>3+3</f>
        <v>6</v>
      </c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2">
        <f t="shared" si="113"/>
        <v>9</v>
      </c>
      <c r="BC304" s="23">
        <v>14</v>
      </c>
      <c r="BD304" s="130">
        <f t="shared" si="114"/>
        <v>9</v>
      </c>
      <c r="BE304" s="130">
        <f t="shared" si="115"/>
        <v>14</v>
      </c>
      <c r="BF304" s="195">
        <f t="shared" si="116"/>
        <v>64.285714285714292</v>
      </c>
      <c r="BG304" s="373">
        <f t="shared" si="120"/>
        <v>5</v>
      </c>
    </row>
    <row r="305" spans="1:59" s="21" customFormat="1" ht="15.95" customHeight="1">
      <c r="A305" s="163">
        <v>48</v>
      </c>
      <c r="B305" s="9" t="s">
        <v>2190</v>
      </c>
      <c r="C305" s="11" t="s">
        <v>2191</v>
      </c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22">
        <f t="shared" si="112"/>
        <v>0</v>
      </c>
      <c r="AC305" s="25">
        <v>0</v>
      </c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2">
        <f t="shared" si="113"/>
        <v>0</v>
      </c>
      <c r="BC305" s="23">
        <v>8</v>
      </c>
      <c r="BD305" s="130">
        <f t="shared" si="114"/>
        <v>0</v>
      </c>
      <c r="BE305" s="130">
        <f t="shared" si="115"/>
        <v>8</v>
      </c>
      <c r="BF305" s="195">
        <f t="shared" si="116"/>
        <v>0</v>
      </c>
      <c r="BG305" s="373">
        <f t="shared" si="120"/>
        <v>8</v>
      </c>
    </row>
    <row r="306" spans="1:59" s="21" customFormat="1" ht="15.95" customHeight="1">
      <c r="A306" s="163">
        <v>49</v>
      </c>
      <c r="B306" s="9" t="s">
        <v>3393</v>
      </c>
      <c r="C306" s="11" t="s">
        <v>3394</v>
      </c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22">
        <f t="shared" si="112"/>
        <v>0</v>
      </c>
      <c r="AC306" s="25">
        <v>0</v>
      </c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2">
        <f t="shared" si="113"/>
        <v>0</v>
      </c>
      <c r="BC306" s="23">
        <v>1</v>
      </c>
      <c r="BD306" s="130">
        <f t="shared" si="114"/>
        <v>0</v>
      </c>
      <c r="BE306" s="130">
        <f t="shared" si="115"/>
        <v>1</v>
      </c>
      <c r="BF306" s="195">
        <f t="shared" si="116"/>
        <v>0</v>
      </c>
      <c r="BG306" s="373">
        <f t="shared" si="120"/>
        <v>1</v>
      </c>
    </row>
    <row r="307" spans="1:59" s="21" customFormat="1" ht="15.95" customHeight="1">
      <c r="A307" s="163">
        <v>50</v>
      </c>
      <c r="B307" s="9" t="s">
        <v>1294</v>
      </c>
      <c r="C307" s="11" t="s">
        <v>1295</v>
      </c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22">
        <f t="shared" si="112"/>
        <v>0</v>
      </c>
      <c r="AC307" s="25">
        <v>0</v>
      </c>
      <c r="AD307" s="24">
        <v>1</v>
      </c>
      <c r="AE307" s="24"/>
      <c r="AF307" s="24"/>
      <c r="AG307" s="24"/>
      <c r="AH307" s="24"/>
      <c r="AI307" s="24"/>
      <c r="AJ307" s="24"/>
      <c r="AK307" s="24"/>
      <c r="AL307" s="24">
        <v>1</v>
      </c>
      <c r="AM307" s="24"/>
      <c r="AN307" s="24"/>
      <c r="AO307" s="24"/>
      <c r="AP307" s="24">
        <f>7+7</f>
        <v>14</v>
      </c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2">
        <f t="shared" si="113"/>
        <v>16</v>
      </c>
      <c r="BC307" s="23">
        <v>5</v>
      </c>
      <c r="BD307" s="130">
        <f t="shared" si="114"/>
        <v>16</v>
      </c>
      <c r="BE307" s="130">
        <f t="shared" si="115"/>
        <v>5</v>
      </c>
      <c r="BF307" s="195">
        <f t="shared" si="116"/>
        <v>320</v>
      </c>
      <c r="BG307" s="373">
        <f t="shared" si="120"/>
        <v>-11</v>
      </c>
    </row>
    <row r="308" spans="1:59" s="21" customFormat="1" ht="15.95" customHeight="1">
      <c r="A308" s="163">
        <v>51</v>
      </c>
      <c r="B308" s="415" t="s">
        <v>1294</v>
      </c>
      <c r="C308" s="412" t="s">
        <v>3032</v>
      </c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22">
        <f t="shared" si="112"/>
        <v>0</v>
      </c>
      <c r="AC308" s="25">
        <v>0</v>
      </c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2">
        <f t="shared" si="113"/>
        <v>0</v>
      </c>
      <c r="BC308" s="23">
        <v>15</v>
      </c>
      <c r="BD308" s="130">
        <f t="shared" si="114"/>
        <v>0</v>
      </c>
      <c r="BE308" s="130">
        <f t="shared" si="115"/>
        <v>15</v>
      </c>
      <c r="BF308" s="195">
        <f t="shared" si="116"/>
        <v>0</v>
      </c>
      <c r="BG308" s="373">
        <f t="shared" si="120"/>
        <v>15</v>
      </c>
    </row>
    <row r="309" spans="1:59" s="21" customFormat="1" ht="15.95" customHeight="1">
      <c r="A309" s="163">
        <v>52</v>
      </c>
      <c r="B309" s="413" t="s">
        <v>2684</v>
      </c>
      <c r="C309" s="414" t="s">
        <v>3033</v>
      </c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22">
        <f t="shared" si="112"/>
        <v>0</v>
      </c>
      <c r="AC309" s="25">
        <v>0</v>
      </c>
      <c r="AD309" s="24">
        <v>2</v>
      </c>
      <c r="AE309" s="24"/>
      <c r="AF309" s="24"/>
      <c r="AG309" s="24"/>
      <c r="AH309" s="24"/>
      <c r="AI309" s="24"/>
      <c r="AJ309" s="24"/>
      <c r="AK309" s="24"/>
      <c r="AL309" s="24">
        <f>1+14</f>
        <v>15</v>
      </c>
      <c r="AM309" s="24"/>
      <c r="AN309" s="24"/>
      <c r="AO309" s="24"/>
      <c r="AP309" s="24">
        <f>8+8</f>
        <v>16</v>
      </c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2">
        <f t="shared" si="113"/>
        <v>33</v>
      </c>
      <c r="BC309" s="23">
        <f>13+20</f>
        <v>33</v>
      </c>
      <c r="BD309" s="130">
        <f t="shared" si="114"/>
        <v>33</v>
      </c>
      <c r="BE309" s="130">
        <f t="shared" si="115"/>
        <v>33</v>
      </c>
      <c r="BF309" s="195">
        <f t="shared" si="116"/>
        <v>100</v>
      </c>
      <c r="BG309" s="373">
        <f t="shared" si="120"/>
        <v>0</v>
      </c>
    </row>
    <row r="310" spans="1:59" s="21" customFormat="1" ht="15.95" customHeight="1">
      <c r="A310" s="163">
        <v>53</v>
      </c>
      <c r="B310" s="9" t="s">
        <v>44</v>
      </c>
      <c r="C310" s="11" t="s">
        <v>45</v>
      </c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22">
        <f t="shared" si="112"/>
        <v>0</v>
      </c>
      <c r="AC310" s="25">
        <v>0</v>
      </c>
      <c r="AD310" s="24">
        <v>4</v>
      </c>
      <c r="AE310" s="24"/>
      <c r="AF310" s="24"/>
      <c r="AG310" s="24"/>
      <c r="AH310" s="24">
        <v>2</v>
      </c>
      <c r="AI310" s="24"/>
      <c r="AJ310" s="24"/>
      <c r="AK310" s="24"/>
      <c r="AL310" s="24">
        <f>19+1</f>
        <v>20</v>
      </c>
      <c r="AM310" s="24"/>
      <c r="AN310" s="24"/>
      <c r="AO310" s="24"/>
      <c r="AP310" s="24">
        <f>14+14+14</f>
        <v>42</v>
      </c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2">
        <f t="shared" si="113"/>
        <v>68</v>
      </c>
      <c r="BC310" s="23">
        <v>79</v>
      </c>
      <c r="BD310" s="130">
        <f t="shared" si="114"/>
        <v>68</v>
      </c>
      <c r="BE310" s="130">
        <f t="shared" si="115"/>
        <v>79</v>
      </c>
      <c r="BF310" s="195">
        <f t="shared" si="116"/>
        <v>86.075949367088612</v>
      </c>
      <c r="BG310" s="373">
        <f t="shared" si="120"/>
        <v>11</v>
      </c>
    </row>
    <row r="311" spans="1:59" s="21" customFormat="1" ht="15.95" customHeight="1">
      <c r="A311" s="163">
        <v>54</v>
      </c>
      <c r="B311" s="9" t="s">
        <v>674</v>
      </c>
      <c r="C311" s="11" t="s">
        <v>2230</v>
      </c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22">
        <f t="shared" si="112"/>
        <v>0</v>
      </c>
      <c r="AC311" s="25">
        <v>0</v>
      </c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2">
        <f t="shared" si="113"/>
        <v>0</v>
      </c>
      <c r="BC311" s="23">
        <v>8</v>
      </c>
      <c r="BD311" s="130">
        <f t="shared" si="114"/>
        <v>0</v>
      </c>
      <c r="BE311" s="130">
        <f t="shared" si="115"/>
        <v>8</v>
      </c>
      <c r="BF311" s="195">
        <f t="shared" si="116"/>
        <v>0</v>
      </c>
      <c r="BG311" s="373">
        <f t="shared" si="120"/>
        <v>8</v>
      </c>
    </row>
    <row r="312" spans="1:59" s="21" customFormat="1" ht="15.95" customHeight="1">
      <c r="A312" s="163">
        <v>55</v>
      </c>
      <c r="B312" s="9" t="s">
        <v>46</v>
      </c>
      <c r="C312" s="11" t="s">
        <v>47</v>
      </c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22">
        <f t="shared" si="112"/>
        <v>0</v>
      </c>
      <c r="AC312" s="25">
        <v>0</v>
      </c>
      <c r="AD312" s="24"/>
      <c r="AE312" s="24"/>
      <c r="AF312" s="24"/>
      <c r="AG312" s="24"/>
      <c r="AH312" s="24">
        <v>1</v>
      </c>
      <c r="AI312" s="24"/>
      <c r="AJ312" s="24"/>
      <c r="AK312" s="24"/>
      <c r="AL312" s="24">
        <v>17</v>
      </c>
      <c r="AM312" s="24"/>
      <c r="AN312" s="24"/>
      <c r="AO312" s="24"/>
      <c r="AP312" s="24">
        <f>25+25+25</f>
        <v>75</v>
      </c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2">
        <f t="shared" si="113"/>
        <v>93</v>
      </c>
      <c r="BC312" s="23">
        <v>98</v>
      </c>
      <c r="BD312" s="130">
        <f t="shared" si="114"/>
        <v>93</v>
      </c>
      <c r="BE312" s="130">
        <f t="shared" si="115"/>
        <v>98</v>
      </c>
      <c r="BF312" s="195">
        <f t="shared" si="116"/>
        <v>94.897959183673478</v>
      </c>
      <c r="BG312" s="373">
        <f t="shared" si="120"/>
        <v>5</v>
      </c>
    </row>
    <row r="313" spans="1:59" s="21" customFormat="1" ht="15.95" customHeight="1">
      <c r="A313" s="163">
        <v>56</v>
      </c>
      <c r="B313" s="9" t="s">
        <v>169</v>
      </c>
      <c r="C313" s="16" t="s">
        <v>170</v>
      </c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22">
        <f t="shared" si="112"/>
        <v>0</v>
      </c>
      <c r="AC313" s="25">
        <v>0</v>
      </c>
      <c r="AD313" s="24"/>
      <c r="AE313" s="24"/>
      <c r="AF313" s="24"/>
      <c r="AG313" s="24"/>
      <c r="AH313" s="24">
        <v>1</v>
      </c>
      <c r="AI313" s="24"/>
      <c r="AJ313" s="24"/>
      <c r="AK313" s="24"/>
      <c r="AL313" s="24">
        <v>2</v>
      </c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2">
        <f t="shared" si="113"/>
        <v>3</v>
      </c>
      <c r="BC313" s="23">
        <v>2</v>
      </c>
      <c r="BD313" s="130">
        <f t="shared" si="114"/>
        <v>3</v>
      </c>
      <c r="BE313" s="130">
        <f t="shared" si="115"/>
        <v>2</v>
      </c>
      <c r="BF313" s="195">
        <f t="shared" si="116"/>
        <v>150</v>
      </c>
      <c r="BG313" s="373">
        <f t="shared" si="120"/>
        <v>-1</v>
      </c>
    </row>
    <row r="314" spans="1:59" s="21" customFormat="1" ht="15.95" customHeight="1">
      <c r="A314" s="163">
        <v>57</v>
      </c>
      <c r="B314" s="9" t="s">
        <v>48</v>
      </c>
      <c r="C314" s="16" t="s">
        <v>2142</v>
      </c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22">
        <f t="shared" si="112"/>
        <v>0</v>
      </c>
      <c r="AC314" s="25">
        <v>0</v>
      </c>
      <c r="AD314" s="24"/>
      <c r="AE314" s="24"/>
      <c r="AF314" s="24"/>
      <c r="AG314" s="24"/>
      <c r="AH314" s="24"/>
      <c r="AI314" s="24"/>
      <c r="AJ314" s="24"/>
      <c r="AK314" s="24"/>
      <c r="AL314" s="24">
        <v>5</v>
      </c>
      <c r="AM314" s="24"/>
      <c r="AN314" s="24"/>
      <c r="AO314" s="24"/>
      <c r="AP314" s="24">
        <f>1+1</f>
        <v>2</v>
      </c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2">
        <f t="shared" si="113"/>
        <v>7</v>
      </c>
      <c r="BC314" s="23">
        <v>6</v>
      </c>
      <c r="BD314" s="130">
        <f t="shared" si="114"/>
        <v>7</v>
      </c>
      <c r="BE314" s="130">
        <f t="shared" si="115"/>
        <v>6</v>
      </c>
      <c r="BF314" s="195">
        <f t="shared" si="116"/>
        <v>116.66666666666667</v>
      </c>
      <c r="BG314" s="373">
        <f t="shared" si="120"/>
        <v>-1</v>
      </c>
    </row>
    <row r="315" spans="1:59" s="21" customFormat="1" ht="15.95" customHeight="1">
      <c r="A315" s="163">
        <v>58</v>
      </c>
      <c r="B315" s="9" t="s">
        <v>624</v>
      </c>
      <c r="C315" s="16" t="s">
        <v>625</v>
      </c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22">
        <f t="shared" si="112"/>
        <v>0</v>
      </c>
      <c r="AC315" s="25">
        <v>0</v>
      </c>
      <c r="AD315" s="24">
        <v>12</v>
      </c>
      <c r="AE315" s="24"/>
      <c r="AF315" s="24"/>
      <c r="AG315" s="24"/>
      <c r="AH315" s="24">
        <f>41+4+1</f>
        <v>46</v>
      </c>
      <c r="AI315" s="24"/>
      <c r="AJ315" s="24"/>
      <c r="AK315" s="24"/>
      <c r="AL315" s="24">
        <f>202+7+2</f>
        <v>211</v>
      </c>
      <c r="AM315" s="24"/>
      <c r="AN315" s="24"/>
      <c r="AO315" s="24"/>
      <c r="AP315" s="24">
        <f>212+30</f>
        <v>242</v>
      </c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2">
        <f t="shared" si="113"/>
        <v>511</v>
      </c>
      <c r="BC315" s="23">
        <v>568</v>
      </c>
      <c r="BD315" s="130">
        <f t="shared" si="114"/>
        <v>511</v>
      </c>
      <c r="BE315" s="130">
        <f t="shared" si="115"/>
        <v>568</v>
      </c>
      <c r="BF315" s="195">
        <f t="shared" si="116"/>
        <v>89.964788732394368</v>
      </c>
      <c r="BG315" s="373">
        <f t="shared" si="120"/>
        <v>57</v>
      </c>
    </row>
    <row r="316" spans="1:59" s="21" customFormat="1" ht="15.95" customHeight="1">
      <c r="A316" s="163">
        <v>59</v>
      </c>
      <c r="B316" s="9" t="s">
        <v>647</v>
      </c>
      <c r="C316" s="16" t="s">
        <v>648</v>
      </c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22">
        <f t="shared" si="112"/>
        <v>0</v>
      </c>
      <c r="AC316" s="25">
        <v>0</v>
      </c>
      <c r="AD316" s="24"/>
      <c r="AE316" s="24"/>
      <c r="AF316" s="24"/>
      <c r="AG316" s="24"/>
      <c r="AH316" s="24">
        <v>3</v>
      </c>
      <c r="AI316" s="24"/>
      <c r="AJ316" s="24"/>
      <c r="AK316" s="24"/>
      <c r="AL316" s="24">
        <v>24</v>
      </c>
      <c r="AM316" s="24"/>
      <c r="AN316" s="24"/>
      <c r="AO316" s="24"/>
      <c r="AP316" s="24">
        <f>15+5</f>
        <v>20</v>
      </c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2">
        <f t="shared" si="113"/>
        <v>47</v>
      </c>
      <c r="BC316" s="23">
        <v>6</v>
      </c>
      <c r="BD316" s="130">
        <f t="shared" si="114"/>
        <v>47</v>
      </c>
      <c r="BE316" s="130">
        <f t="shared" si="115"/>
        <v>6</v>
      </c>
      <c r="BF316" s="195">
        <f t="shared" si="116"/>
        <v>783.33333333333326</v>
      </c>
      <c r="BG316" s="373">
        <f t="shared" si="120"/>
        <v>-41</v>
      </c>
    </row>
    <row r="317" spans="1:59" s="21" customFormat="1" ht="15.95" customHeight="1">
      <c r="A317" s="163">
        <v>60</v>
      </c>
      <c r="B317" s="9" t="s">
        <v>626</v>
      </c>
      <c r="C317" s="16" t="s">
        <v>627</v>
      </c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22">
        <f t="shared" si="112"/>
        <v>0</v>
      </c>
      <c r="AC317" s="25">
        <v>0</v>
      </c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2">
        <f t="shared" si="113"/>
        <v>0</v>
      </c>
      <c r="BC317" s="23">
        <v>2</v>
      </c>
      <c r="BD317" s="130">
        <f t="shared" si="114"/>
        <v>0</v>
      </c>
      <c r="BE317" s="130">
        <f t="shared" si="115"/>
        <v>2</v>
      </c>
      <c r="BF317" s="195">
        <f t="shared" si="116"/>
        <v>0</v>
      </c>
      <c r="BG317" s="373">
        <f t="shared" si="120"/>
        <v>2</v>
      </c>
    </row>
    <row r="318" spans="1:59" s="21" customFormat="1" ht="15.95" customHeight="1">
      <c r="A318" s="163">
        <v>61</v>
      </c>
      <c r="B318" s="9" t="s">
        <v>171</v>
      </c>
      <c r="C318" s="10" t="s">
        <v>172</v>
      </c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22">
        <f t="shared" si="112"/>
        <v>0</v>
      </c>
      <c r="AC318" s="25">
        <v>0</v>
      </c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2">
        <f t="shared" si="113"/>
        <v>0</v>
      </c>
      <c r="BC318" s="23">
        <v>3</v>
      </c>
      <c r="BD318" s="130">
        <f t="shared" si="114"/>
        <v>0</v>
      </c>
      <c r="BE318" s="130">
        <f t="shared" si="115"/>
        <v>3</v>
      </c>
      <c r="BF318" s="195">
        <f t="shared" si="116"/>
        <v>0</v>
      </c>
      <c r="BG318" s="373">
        <f t="shared" si="120"/>
        <v>3</v>
      </c>
    </row>
    <row r="319" spans="1:59" s="21" customFormat="1" ht="15.95" customHeight="1">
      <c r="A319" s="163">
        <v>62</v>
      </c>
      <c r="B319" s="9" t="s">
        <v>173</v>
      </c>
      <c r="C319" s="10" t="s">
        <v>174</v>
      </c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22">
        <f t="shared" si="112"/>
        <v>0</v>
      </c>
      <c r="AC319" s="25">
        <v>0</v>
      </c>
      <c r="AD319" s="24"/>
      <c r="AE319" s="24"/>
      <c r="AF319" s="24"/>
      <c r="AG319" s="24"/>
      <c r="AH319" s="24"/>
      <c r="AI319" s="24"/>
      <c r="AJ319" s="24"/>
      <c r="AK319" s="24"/>
      <c r="AL319" s="24">
        <v>5</v>
      </c>
      <c r="AM319" s="24"/>
      <c r="AN319" s="24"/>
      <c r="AO319" s="24"/>
      <c r="AP319" s="24">
        <f>1+1</f>
        <v>2</v>
      </c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2">
        <f t="shared" si="113"/>
        <v>7</v>
      </c>
      <c r="BC319" s="23">
        <v>15</v>
      </c>
      <c r="BD319" s="130">
        <f t="shared" si="114"/>
        <v>7</v>
      </c>
      <c r="BE319" s="130">
        <f t="shared" si="115"/>
        <v>15</v>
      </c>
      <c r="BF319" s="195">
        <f t="shared" si="116"/>
        <v>46.666666666666664</v>
      </c>
      <c r="BG319" s="373">
        <f t="shared" si="120"/>
        <v>8</v>
      </c>
    </row>
    <row r="320" spans="1:59" s="21" customFormat="1" ht="15.95" customHeight="1">
      <c r="A320" s="163">
        <v>63</v>
      </c>
      <c r="B320" s="9" t="s">
        <v>175</v>
      </c>
      <c r="C320" s="10" t="s">
        <v>176</v>
      </c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22">
        <f t="shared" si="112"/>
        <v>0</v>
      </c>
      <c r="AC320" s="25">
        <v>0</v>
      </c>
      <c r="AD320" s="24">
        <v>1</v>
      </c>
      <c r="AE320" s="24"/>
      <c r="AF320" s="24"/>
      <c r="AG320" s="24"/>
      <c r="AH320" s="24">
        <v>1</v>
      </c>
      <c r="AI320" s="24"/>
      <c r="AJ320" s="24"/>
      <c r="AK320" s="24"/>
      <c r="AL320" s="24">
        <v>8</v>
      </c>
      <c r="AM320" s="24"/>
      <c r="AN320" s="24"/>
      <c r="AO320" s="24"/>
      <c r="AP320" s="24">
        <f>1+1</f>
        <v>2</v>
      </c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2">
        <f t="shared" si="113"/>
        <v>12</v>
      </c>
      <c r="BC320" s="23">
        <v>22</v>
      </c>
      <c r="BD320" s="130">
        <f t="shared" si="114"/>
        <v>12</v>
      </c>
      <c r="BE320" s="130">
        <f t="shared" si="115"/>
        <v>22</v>
      </c>
      <c r="BF320" s="195">
        <f t="shared" si="116"/>
        <v>54.54545454545454</v>
      </c>
      <c r="BG320" s="373">
        <f t="shared" si="120"/>
        <v>10</v>
      </c>
    </row>
    <row r="321" spans="1:59" s="21" customFormat="1" ht="15.95" customHeight="1">
      <c r="A321" s="163">
        <v>64</v>
      </c>
      <c r="B321" s="9" t="s">
        <v>649</v>
      </c>
      <c r="C321" s="10" t="s">
        <v>650</v>
      </c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22">
        <f t="shared" si="112"/>
        <v>0</v>
      </c>
      <c r="AC321" s="25">
        <v>0</v>
      </c>
      <c r="AD321" s="24"/>
      <c r="AE321" s="24"/>
      <c r="AF321" s="24"/>
      <c r="AG321" s="24"/>
      <c r="AH321" s="24">
        <v>1</v>
      </c>
      <c r="AI321" s="24"/>
      <c r="AJ321" s="24"/>
      <c r="AK321" s="24"/>
      <c r="AL321" s="24">
        <v>4</v>
      </c>
      <c r="AM321" s="24"/>
      <c r="AN321" s="24"/>
      <c r="AO321" s="24"/>
      <c r="AP321" s="24">
        <f>5+5</f>
        <v>10</v>
      </c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2">
        <f t="shared" si="113"/>
        <v>15</v>
      </c>
      <c r="BC321" s="23">
        <v>18</v>
      </c>
      <c r="BD321" s="130">
        <f t="shared" si="114"/>
        <v>15</v>
      </c>
      <c r="BE321" s="130">
        <f t="shared" si="115"/>
        <v>18</v>
      </c>
      <c r="BF321" s="195">
        <f t="shared" si="116"/>
        <v>83.333333333333343</v>
      </c>
      <c r="BG321" s="373">
        <f t="shared" si="120"/>
        <v>3</v>
      </c>
    </row>
    <row r="322" spans="1:59" s="21" customFormat="1" ht="15.95" customHeight="1">
      <c r="A322" s="163">
        <v>65</v>
      </c>
      <c r="B322" s="9" t="s">
        <v>2232</v>
      </c>
      <c r="C322" s="10" t="s">
        <v>2233</v>
      </c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22">
        <f t="shared" ref="AB322:AB385" si="121">SUM(D322:AA322)</f>
        <v>0</v>
      </c>
      <c r="AC322" s="25">
        <v>0</v>
      </c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2">
        <f t="shared" ref="BB322:BB385" si="122">SUM(AD322:BA322)</f>
        <v>0</v>
      </c>
      <c r="BC322" s="23">
        <v>4</v>
      </c>
      <c r="BD322" s="130">
        <f t="shared" ref="BD322:BD385" si="123">AB322+BB322</f>
        <v>0</v>
      </c>
      <c r="BE322" s="130">
        <f t="shared" ref="BE322:BE385" si="124">AC322+BC322</f>
        <v>4</v>
      </c>
      <c r="BF322" s="195">
        <f t="shared" ref="BF322:BF385" si="125">BD322/BE322*100</f>
        <v>0</v>
      </c>
      <c r="BG322" s="373">
        <f t="shared" si="120"/>
        <v>4</v>
      </c>
    </row>
    <row r="323" spans="1:59" s="21" customFormat="1" ht="15.95" customHeight="1">
      <c r="A323" s="163">
        <v>66</v>
      </c>
      <c r="B323" s="9" t="s">
        <v>177</v>
      </c>
      <c r="C323" s="10" t="s">
        <v>178</v>
      </c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22">
        <f t="shared" si="121"/>
        <v>0</v>
      </c>
      <c r="AC323" s="25">
        <v>0</v>
      </c>
      <c r="AD323" s="24"/>
      <c r="AE323" s="24"/>
      <c r="AF323" s="24"/>
      <c r="AG323" s="24"/>
      <c r="AH323" s="24"/>
      <c r="AI323" s="24"/>
      <c r="AJ323" s="24"/>
      <c r="AK323" s="24"/>
      <c r="AL323" s="24">
        <v>20</v>
      </c>
      <c r="AM323" s="24"/>
      <c r="AN323" s="24"/>
      <c r="AO323" s="24"/>
      <c r="AP323" s="24">
        <f>3+3+10</f>
        <v>16</v>
      </c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2">
        <f t="shared" si="122"/>
        <v>36</v>
      </c>
      <c r="BC323" s="23">
        <v>56</v>
      </c>
      <c r="BD323" s="130">
        <f t="shared" si="123"/>
        <v>36</v>
      </c>
      <c r="BE323" s="130">
        <f t="shared" si="124"/>
        <v>56</v>
      </c>
      <c r="BF323" s="195">
        <f t="shared" si="125"/>
        <v>64.285714285714292</v>
      </c>
      <c r="BG323" s="373">
        <f t="shared" si="120"/>
        <v>20</v>
      </c>
    </row>
    <row r="324" spans="1:59" s="21" customFormat="1" ht="15.95" customHeight="1">
      <c r="A324" s="163">
        <v>67</v>
      </c>
      <c r="B324" s="9" t="s">
        <v>4100</v>
      </c>
      <c r="C324" s="10" t="s">
        <v>4101</v>
      </c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22">
        <f t="shared" si="121"/>
        <v>0</v>
      </c>
      <c r="AC324" s="25">
        <v>0</v>
      </c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>
        <v>1</v>
      </c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2">
        <f t="shared" si="122"/>
        <v>1</v>
      </c>
      <c r="BC324" s="23">
        <v>0</v>
      </c>
      <c r="BD324" s="130">
        <f t="shared" si="123"/>
        <v>1</v>
      </c>
      <c r="BE324" s="130">
        <f t="shared" si="124"/>
        <v>0</v>
      </c>
      <c r="BF324" s="195" t="e">
        <f t="shared" si="125"/>
        <v>#DIV/0!</v>
      </c>
      <c r="BG324" s="373"/>
    </row>
    <row r="325" spans="1:59" s="21" customFormat="1" ht="15.95" customHeight="1">
      <c r="A325" s="163">
        <v>68</v>
      </c>
      <c r="B325" s="9" t="s">
        <v>2392</v>
      </c>
      <c r="C325" s="10" t="s">
        <v>2393</v>
      </c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22">
        <f t="shared" si="121"/>
        <v>0</v>
      </c>
      <c r="AC325" s="25">
        <v>0</v>
      </c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2">
        <f t="shared" si="122"/>
        <v>0</v>
      </c>
      <c r="BC325" s="23">
        <v>3</v>
      </c>
      <c r="BD325" s="130">
        <f t="shared" si="123"/>
        <v>0</v>
      </c>
      <c r="BE325" s="130">
        <f t="shared" si="124"/>
        <v>3</v>
      </c>
      <c r="BF325" s="195">
        <f t="shared" si="125"/>
        <v>0</v>
      </c>
      <c r="BG325" s="373">
        <f t="shared" ref="BG325:BG357" si="126">BE325-BD325</f>
        <v>3</v>
      </c>
    </row>
    <row r="326" spans="1:59" s="21" customFormat="1" ht="15.95" customHeight="1">
      <c r="A326" s="163">
        <v>69</v>
      </c>
      <c r="B326" s="9" t="s">
        <v>617</v>
      </c>
      <c r="C326" s="10" t="s">
        <v>618</v>
      </c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22">
        <f t="shared" si="121"/>
        <v>0</v>
      </c>
      <c r="AC326" s="25">
        <v>0</v>
      </c>
      <c r="AD326" s="24">
        <v>1</v>
      </c>
      <c r="AE326" s="24"/>
      <c r="AF326" s="24"/>
      <c r="AG326" s="24"/>
      <c r="AH326" s="24">
        <v>1</v>
      </c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2">
        <f t="shared" si="122"/>
        <v>2</v>
      </c>
      <c r="BC326" s="23">
        <v>1</v>
      </c>
      <c r="BD326" s="130">
        <f t="shared" si="123"/>
        <v>2</v>
      </c>
      <c r="BE326" s="130">
        <f t="shared" si="124"/>
        <v>1</v>
      </c>
      <c r="BF326" s="195">
        <f t="shared" si="125"/>
        <v>200</v>
      </c>
      <c r="BG326" s="373">
        <f t="shared" si="126"/>
        <v>-1</v>
      </c>
    </row>
    <row r="327" spans="1:59" s="21" customFormat="1" ht="15.95" customHeight="1">
      <c r="A327" s="163">
        <v>70</v>
      </c>
      <c r="B327" s="9" t="s">
        <v>179</v>
      </c>
      <c r="C327" s="16" t="s">
        <v>180</v>
      </c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22">
        <f t="shared" si="121"/>
        <v>0</v>
      </c>
      <c r="AC327" s="25">
        <v>0</v>
      </c>
      <c r="AD327" s="24"/>
      <c r="AE327" s="24"/>
      <c r="AF327" s="24"/>
      <c r="AG327" s="24"/>
      <c r="AH327" s="24"/>
      <c r="AI327" s="24"/>
      <c r="AJ327" s="24"/>
      <c r="AK327" s="24"/>
      <c r="AL327" s="24">
        <v>7</v>
      </c>
      <c r="AM327" s="24"/>
      <c r="AN327" s="24"/>
      <c r="AO327" s="24"/>
      <c r="AP327" s="24">
        <f>7+7</f>
        <v>14</v>
      </c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2">
        <f t="shared" si="122"/>
        <v>21</v>
      </c>
      <c r="BC327" s="23">
        <v>21</v>
      </c>
      <c r="BD327" s="130">
        <f t="shared" si="123"/>
        <v>21</v>
      </c>
      <c r="BE327" s="130">
        <f t="shared" si="124"/>
        <v>21</v>
      </c>
      <c r="BF327" s="195">
        <f t="shared" si="125"/>
        <v>100</v>
      </c>
      <c r="BG327" s="373">
        <f t="shared" si="126"/>
        <v>0</v>
      </c>
    </row>
    <row r="328" spans="1:59" s="21" customFormat="1" ht="15.95" customHeight="1">
      <c r="A328" s="163">
        <v>71</v>
      </c>
      <c r="B328" s="9" t="s">
        <v>181</v>
      </c>
      <c r="C328" s="16" t="s">
        <v>182</v>
      </c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22">
        <f t="shared" si="121"/>
        <v>0</v>
      </c>
      <c r="AC328" s="25">
        <v>0</v>
      </c>
      <c r="AD328" s="24"/>
      <c r="AE328" s="24"/>
      <c r="AF328" s="24"/>
      <c r="AG328" s="24"/>
      <c r="AH328" s="24"/>
      <c r="AI328" s="24"/>
      <c r="AJ328" s="24"/>
      <c r="AK328" s="24"/>
      <c r="AL328" s="24">
        <v>3</v>
      </c>
      <c r="AM328" s="24"/>
      <c r="AN328" s="24"/>
      <c r="AO328" s="24"/>
      <c r="AP328" s="24">
        <f>4+4</f>
        <v>8</v>
      </c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2">
        <f t="shared" si="122"/>
        <v>11</v>
      </c>
      <c r="BC328" s="23">
        <v>13</v>
      </c>
      <c r="BD328" s="130">
        <f t="shared" si="123"/>
        <v>11</v>
      </c>
      <c r="BE328" s="130">
        <f t="shared" si="124"/>
        <v>13</v>
      </c>
      <c r="BF328" s="195">
        <f t="shared" si="125"/>
        <v>84.615384615384613</v>
      </c>
      <c r="BG328" s="373">
        <f t="shared" si="126"/>
        <v>2</v>
      </c>
    </row>
    <row r="329" spans="1:59" s="21" customFormat="1" ht="15.95" customHeight="1">
      <c r="A329" s="163">
        <v>72</v>
      </c>
      <c r="B329" s="9" t="s">
        <v>183</v>
      </c>
      <c r="C329" s="11" t="s">
        <v>184</v>
      </c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22">
        <f t="shared" si="121"/>
        <v>0</v>
      </c>
      <c r="AC329" s="25">
        <v>0</v>
      </c>
      <c r="AD329" s="24"/>
      <c r="AE329" s="24"/>
      <c r="AF329" s="24"/>
      <c r="AG329" s="24"/>
      <c r="AH329" s="24"/>
      <c r="AI329" s="24"/>
      <c r="AJ329" s="24"/>
      <c r="AK329" s="24"/>
      <c r="AL329" s="24">
        <v>1</v>
      </c>
      <c r="AM329" s="24"/>
      <c r="AN329" s="24"/>
      <c r="AO329" s="24"/>
      <c r="AP329" s="24">
        <f>2+2</f>
        <v>4</v>
      </c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2">
        <f t="shared" si="122"/>
        <v>5</v>
      </c>
      <c r="BC329" s="23">
        <v>6</v>
      </c>
      <c r="BD329" s="130">
        <f t="shared" si="123"/>
        <v>5</v>
      </c>
      <c r="BE329" s="130">
        <f t="shared" si="124"/>
        <v>6</v>
      </c>
      <c r="BF329" s="195">
        <f t="shared" si="125"/>
        <v>83.333333333333343</v>
      </c>
      <c r="BG329" s="373">
        <f t="shared" si="126"/>
        <v>1</v>
      </c>
    </row>
    <row r="330" spans="1:59" s="21" customFormat="1" ht="15.95" customHeight="1">
      <c r="A330" s="163">
        <v>73</v>
      </c>
      <c r="B330" s="9" t="s">
        <v>2762</v>
      </c>
      <c r="C330" s="11" t="s">
        <v>2763</v>
      </c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22">
        <f t="shared" si="121"/>
        <v>0</v>
      </c>
      <c r="AC330" s="25">
        <v>0</v>
      </c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2">
        <f t="shared" si="122"/>
        <v>0</v>
      </c>
      <c r="BC330" s="23">
        <v>2</v>
      </c>
      <c r="BD330" s="130">
        <f t="shared" si="123"/>
        <v>0</v>
      </c>
      <c r="BE330" s="130">
        <f t="shared" si="124"/>
        <v>2</v>
      </c>
      <c r="BF330" s="195">
        <f t="shared" si="125"/>
        <v>0</v>
      </c>
      <c r="BG330" s="373">
        <f t="shared" si="126"/>
        <v>2</v>
      </c>
    </row>
    <row r="331" spans="1:59" s="21" customFormat="1" ht="15.95" customHeight="1">
      <c r="A331" s="163">
        <v>74</v>
      </c>
      <c r="B331" s="9" t="s">
        <v>185</v>
      </c>
      <c r="C331" s="10" t="s">
        <v>186</v>
      </c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22">
        <f t="shared" si="121"/>
        <v>0</v>
      </c>
      <c r="AC331" s="25">
        <v>0</v>
      </c>
      <c r="AD331" s="24"/>
      <c r="AE331" s="24"/>
      <c r="AF331" s="24"/>
      <c r="AG331" s="24"/>
      <c r="AH331" s="24">
        <v>2</v>
      </c>
      <c r="AI331" s="24"/>
      <c r="AJ331" s="24"/>
      <c r="AK331" s="24"/>
      <c r="AL331" s="24">
        <v>10</v>
      </c>
      <c r="AM331" s="24"/>
      <c r="AN331" s="24"/>
      <c r="AO331" s="24"/>
      <c r="AP331" s="24">
        <f>6+6</f>
        <v>12</v>
      </c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2">
        <f t="shared" si="122"/>
        <v>24</v>
      </c>
      <c r="BC331" s="23">
        <v>25</v>
      </c>
      <c r="BD331" s="130">
        <f t="shared" si="123"/>
        <v>24</v>
      </c>
      <c r="BE331" s="130">
        <f t="shared" si="124"/>
        <v>25</v>
      </c>
      <c r="BF331" s="195">
        <f t="shared" si="125"/>
        <v>96</v>
      </c>
      <c r="BG331" s="373">
        <f t="shared" si="126"/>
        <v>1</v>
      </c>
    </row>
    <row r="332" spans="1:59" s="21" customFormat="1" ht="15.95" customHeight="1">
      <c r="A332" s="163">
        <v>75</v>
      </c>
      <c r="B332" s="9" t="s">
        <v>187</v>
      </c>
      <c r="C332" s="11" t="s">
        <v>188</v>
      </c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22">
        <f t="shared" si="121"/>
        <v>0</v>
      </c>
      <c r="AC332" s="25">
        <v>0</v>
      </c>
      <c r="AD332" s="99">
        <v>2</v>
      </c>
      <c r="AE332" s="99"/>
      <c r="AF332" s="99"/>
      <c r="AG332" s="99"/>
      <c r="AH332" s="99">
        <v>1</v>
      </c>
      <c r="AI332" s="99"/>
      <c r="AJ332" s="99"/>
      <c r="AK332" s="99"/>
      <c r="AL332" s="99">
        <f>16+1+1</f>
        <v>18</v>
      </c>
      <c r="AM332" s="99"/>
      <c r="AN332" s="99"/>
      <c r="AO332" s="99"/>
      <c r="AP332" s="99">
        <f>21+21+14</f>
        <v>56</v>
      </c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22">
        <f t="shared" si="122"/>
        <v>77</v>
      </c>
      <c r="BC332" s="23">
        <v>88</v>
      </c>
      <c r="BD332" s="130">
        <f t="shared" si="123"/>
        <v>77</v>
      </c>
      <c r="BE332" s="130">
        <f t="shared" si="124"/>
        <v>88</v>
      </c>
      <c r="BF332" s="195">
        <f t="shared" si="125"/>
        <v>87.5</v>
      </c>
      <c r="BG332" s="373">
        <f t="shared" si="126"/>
        <v>11</v>
      </c>
    </row>
    <row r="333" spans="1:59" s="21" customFormat="1" ht="15.95" customHeight="1">
      <c r="A333" s="163">
        <v>76</v>
      </c>
      <c r="B333" s="9" t="s">
        <v>14</v>
      </c>
      <c r="C333" s="11" t="s">
        <v>15</v>
      </c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22">
        <f t="shared" si="121"/>
        <v>0</v>
      </c>
      <c r="AC333" s="25">
        <v>0</v>
      </c>
      <c r="AD333" s="99"/>
      <c r="AE333" s="99"/>
      <c r="AF333" s="99"/>
      <c r="AG333" s="99"/>
      <c r="AH333" s="99">
        <v>19</v>
      </c>
      <c r="AI333" s="99"/>
      <c r="AJ333" s="99"/>
      <c r="AK333" s="99"/>
      <c r="AL333" s="99">
        <v>126</v>
      </c>
      <c r="AM333" s="99"/>
      <c r="AN333" s="99"/>
      <c r="AO333" s="99"/>
      <c r="AP333" s="99">
        <f>61+61</f>
        <v>122</v>
      </c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22">
        <f t="shared" si="122"/>
        <v>267</v>
      </c>
      <c r="BC333" s="23">
        <v>411</v>
      </c>
      <c r="BD333" s="130">
        <f t="shared" si="123"/>
        <v>267</v>
      </c>
      <c r="BE333" s="130">
        <f t="shared" si="124"/>
        <v>411</v>
      </c>
      <c r="BF333" s="195">
        <f t="shared" si="125"/>
        <v>64.96350364963503</v>
      </c>
      <c r="BG333" s="373">
        <f t="shared" si="126"/>
        <v>144</v>
      </c>
    </row>
    <row r="334" spans="1:59" s="21" customFormat="1" ht="15.95" customHeight="1">
      <c r="A334" s="163">
        <v>77</v>
      </c>
      <c r="B334" s="9" t="s">
        <v>2143</v>
      </c>
      <c r="C334" s="11" t="s">
        <v>2144</v>
      </c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22">
        <f t="shared" si="121"/>
        <v>0</v>
      </c>
      <c r="AC334" s="25">
        <v>0</v>
      </c>
      <c r="AD334" s="24"/>
      <c r="AE334" s="24"/>
      <c r="AF334" s="24"/>
      <c r="AG334" s="24"/>
      <c r="AH334" s="24"/>
      <c r="AI334" s="24"/>
      <c r="AJ334" s="24"/>
      <c r="AK334" s="24"/>
      <c r="AL334" s="24">
        <v>1</v>
      </c>
      <c r="AM334" s="24"/>
      <c r="AN334" s="24"/>
      <c r="AO334" s="24"/>
      <c r="AP334" s="24">
        <f>2+2</f>
        <v>4</v>
      </c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2">
        <f t="shared" si="122"/>
        <v>5</v>
      </c>
      <c r="BC334" s="23">
        <v>1</v>
      </c>
      <c r="BD334" s="130">
        <f t="shared" si="123"/>
        <v>5</v>
      </c>
      <c r="BE334" s="130">
        <f t="shared" si="124"/>
        <v>1</v>
      </c>
      <c r="BF334" s="195">
        <f t="shared" si="125"/>
        <v>500</v>
      </c>
      <c r="BG334" s="373">
        <f t="shared" si="126"/>
        <v>-4</v>
      </c>
    </row>
    <row r="335" spans="1:59" s="21" customFormat="1" ht="15.95" customHeight="1">
      <c r="A335" s="163">
        <v>78</v>
      </c>
      <c r="B335" s="9" t="s">
        <v>189</v>
      </c>
      <c r="C335" s="11" t="s">
        <v>190</v>
      </c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22">
        <f t="shared" si="121"/>
        <v>0</v>
      </c>
      <c r="AC335" s="25">
        <v>0</v>
      </c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>
        <f>1+1</f>
        <v>2</v>
      </c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2">
        <f t="shared" si="122"/>
        <v>2</v>
      </c>
      <c r="BC335" s="23">
        <v>11</v>
      </c>
      <c r="BD335" s="130">
        <f t="shared" si="123"/>
        <v>2</v>
      </c>
      <c r="BE335" s="130">
        <f t="shared" si="124"/>
        <v>11</v>
      </c>
      <c r="BF335" s="195">
        <f t="shared" si="125"/>
        <v>18.181818181818183</v>
      </c>
      <c r="BG335" s="373">
        <f t="shared" si="126"/>
        <v>9</v>
      </c>
    </row>
    <row r="336" spans="1:59" s="21" customFormat="1" ht="15.95" customHeight="1">
      <c r="A336" s="163">
        <v>79</v>
      </c>
      <c r="B336" s="9" t="s">
        <v>191</v>
      </c>
      <c r="C336" s="11" t="s">
        <v>192</v>
      </c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22">
        <f t="shared" si="121"/>
        <v>0</v>
      </c>
      <c r="AC336" s="25">
        <v>0</v>
      </c>
      <c r="AD336" s="99"/>
      <c r="AE336" s="99"/>
      <c r="AF336" s="99"/>
      <c r="AG336" s="99"/>
      <c r="AH336" s="99">
        <v>2</v>
      </c>
      <c r="AI336" s="99"/>
      <c r="AJ336" s="99"/>
      <c r="AK336" s="99"/>
      <c r="AL336" s="99">
        <v>6</v>
      </c>
      <c r="AM336" s="99"/>
      <c r="AN336" s="99"/>
      <c r="AO336" s="99"/>
      <c r="AP336" s="99">
        <f>4+4</f>
        <v>8</v>
      </c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22">
        <f t="shared" si="122"/>
        <v>16</v>
      </c>
      <c r="BC336" s="23">
        <v>9</v>
      </c>
      <c r="BD336" s="130">
        <f t="shared" si="123"/>
        <v>16</v>
      </c>
      <c r="BE336" s="130">
        <f t="shared" si="124"/>
        <v>9</v>
      </c>
      <c r="BF336" s="195">
        <f t="shared" si="125"/>
        <v>177.77777777777777</v>
      </c>
      <c r="BG336" s="373">
        <f t="shared" si="126"/>
        <v>-7</v>
      </c>
    </row>
    <row r="337" spans="1:59" s="21" customFormat="1" ht="15.95" customHeight="1">
      <c r="A337" s="163">
        <v>80</v>
      </c>
      <c r="B337" s="9" t="s">
        <v>193</v>
      </c>
      <c r="C337" s="11" t="s">
        <v>3395</v>
      </c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22">
        <f t="shared" si="121"/>
        <v>0</v>
      </c>
      <c r="AC337" s="25">
        <v>0</v>
      </c>
      <c r="AD337" s="24"/>
      <c r="AE337" s="24"/>
      <c r="AF337" s="24"/>
      <c r="AG337" s="24"/>
      <c r="AH337" s="24"/>
      <c r="AI337" s="24"/>
      <c r="AJ337" s="24"/>
      <c r="AK337" s="24"/>
      <c r="AL337" s="24">
        <v>4</v>
      </c>
      <c r="AM337" s="24"/>
      <c r="AN337" s="24"/>
      <c r="AO337" s="24"/>
      <c r="AP337" s="24">
        <f>2+2</f>
        <v>4</v>
      </c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2">
        <f t="shared" si="122"/>
        <v>8</v>
      </c>
      <c r="BC337" s="23">
        <v>2</v>
      </c>
      <c r="BD337" s="130">
        <f t="shared" si="123"/>
        <v>8</v>
      </c>
      <c r="BE337" s="130">
        <f t="shared" si="124"/>
        <v>2</v>
      </c>
      <c r="BF337" s="195">
        <f t="shared" si="125"/>
        <v>400</v>
      </c>
      <c r="BG337" s="373">
        <f t="shared" si="126"/>
        <v>-6</v>
      </c>
    </row>
    <row r="338" spans="1:59" s="21" customFormat="1" ht="15.95" customHeight="1">
      <c r="A338" s="163">
        <v>81</v>
      </c>
      <c r="B338" s="9" t="s">
        <v>193</v>
      </c>
      <c r="C338" s="11" t="s">
        <v>194</v>
      </c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22">
        <f t="shared" si="121"/>
        <v>0</v>
      </c>
      <c r="AC338" s="25">
        <v>0</v>
      </c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99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22">
        <f t="shared" si="122"/>
        <v>0</v>
      </c>
      <c r="BC338" s="23">
        <v>2</v>
      </c>
      <c r="BD338" s="130">
        <f t="shared" si="123"/>
        <v>0</v>
      </c>
      <c r="BE338" s="130">
        <f t="shared" si="124"/>
        <v>2</v>
      </c>
      <c r="BF338" s="195">
        <f t="shared" si="125"/>
        <v>0</v>
      </c>
      <c r="BG338" s="373">
        <f t="shared" si="126"/>
        <v>2</v>
      </c>
    </row>
    <row r="339" spans="1:59" s="21" customFormat="1" ht="15.95" customHeight="1">
      <c r="A339" s="163">
        <v>82</v>
      </c>
      <c r="B339" s="9" t="s">
        <v>3270</v>
      </c>
      <c r="C339" s="11" t="s">
        <v>3271</v>
      </c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22">
        <f t="shared" si="121"/>
        <v>0</v>
      </c>
      <c r="AC339" s="25">
        <v>0</v>
      </c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2">
        <f t="shared" si="122"/>
        <v>0</v>
      </c>
      <c r="BC339" s="23">
        <v>1</v>
      </c>
      <c r="BD339" s="130">
        <f t="shared" si="123"/>
        <v>0</v>
      </c>
      <c r="BE339" s="130">
        <f t="shared" si="124"/>
        <v>1</v>
      </c>
      <c r="BF339" s="195">
        <f t="shared" si="125"/>
        <v>0</v>
      </c>
      <c r="BG339" s="373">
        <f t="shared" si="126"/>
        <v>1</v>
      </c>
    </row>
    <row r="340" spans="1:59" s="21" customFormat="1" ht="15.95" customHeight="1">
      <c r="A340" s="163">
        <v>83</v>
      </c>
      <c r="B340" s="9" t="s">
        <v>2851</v>
      </c>
      <c r="C340" s="11" t="s">
        <v>2852</v>
      </c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22">
        <f t="shared" si="121"/>
        <v>0</v>
      </c>
      <c r="AC340" s="25">
        <v>0</v>
      </c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2">
        <f t="shared" si="122"/>
        <v>0</v>
      </c>
      <c r="BC340" s="23">
        <v>1</v>
      </c>
      <c r="BD340" s="130">
        <f t="shared" si="123"/>
        <v>0</v>
      </c>
      <c r="BE340" s="130">
        <f t="shared" si="124"/>
        <v>1</v>
      </c>
      <c r="BF340" s="195">
        <f t="shared" si="125"/>
        <v>0</v>
      </c>
      <c r="BG340" s="373">
        <f t="shared" si="126"/>
        <v>1</v>
      </c>
    </row>
    <row r="341" spans="1:59" s="21" customFormat="1" ht="15.95" customHeight="1">
      <c r="A341" s="163">
        <v>84</v>
      </c>
      <c r="B341" s="9" t="s">
        <v>2407</v>
      </c>
      <c r="C341" s="11" t="s">
        <v>2408</v>
      </c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22">
        <f t="shared" si="121"/>
        <v>0</v>
      </c>
      <c r="AC341" s="25">
        <v>0</v>
      </c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2">
        <f t="shared" si="122"/>
        <v>0</v>
      </c>
      <c r="BC341" s="23">
        <v>1</v>
      </c>
      <c r="BD341" s="130">
        <f t="shared" si="123"/>
        <v>0</v>
      </c>
      <c r="BE341" s="130">
        <f t="shared" si="124"/>
        <v>1</v>
      </c>
      <c r="BF341" s="195">
        <f t="shared" si="125"/>
        <v>0</v>
      </c>
      <c r="BG341" s="373">
        <f t="shared" si="126"/>
        <v>1</v>
      </c>
    </row>
    <row r="342" spans="1:59" s="21" customFormat="1" ht="15.95" customHeight="1">
      <c r="A342" s="163">
        <v>85</v>
      </c>
      <c r="B342" s="9" t="s">
        <v>195</v>
      </c>
      <c r="C342" s="11" t="s">
        <v>3302</v>
      </c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22">
        <f t="shared" si="121"/>
        <v>0</v>
      </c>
      <c r="AC342" s="25">
        <v>0</v>
      </c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>
        <f>2+2</f>
        <v>4</v>
      </c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2">
        <f t="shared" si="122"/>
        <v>4</v>
      </c>
      <c r="BC342" s="23">
        <f>1+4</f>
        <v>5</v>
      </c>
      <c r="BD342" s="130">
        <f t="shared" si="123"/>
        <v>4</v>
      </c>
      <c r="BE342" s="130">
        <f t="shared" si="124"/>
        <v>5</v>
      </c>
      <c r="BF342" s="195">
        <f t="shared" si="125"/>
        <v>80</v>
      </c>
      <c r="BG342" s="373">
        <f t="shared" si="126"/>
        <v>1</v>
      </c>
    </row>
    <row r="343" spans="1:59" s="21" customFormat="1" ht="15.95" customHeight="1">
      <c r="A343" s="163">
        <v>86</v>
      </c>
      <c r="B343" s="9" t="s">
        <v>2394</v>
      </c>
      <c r="C343" s="11" t="s">
        <v>2395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22">
        <f t="shared" si="121"/>
        <v>0</v>
      </c>
      <c r="AC343" s="25">
        <v>0</v>
      </c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2">
        <f t="shared" si="122"/>
        <v>0</v>
      </c>
      <c r="BC343" s="23">
        <v>2</v>
      </c>
      <c r="BD343" s="130">
        <f t="shared" si="123"/>
        <v>0</v>
      </c>
      <c r="BE343" s="130">
        <f t="shared" si="124"/>
        <v>2</v>
      </c>
      <c r="BF343" s="195">
        <f t="shared" si="125"/>
        <v>0</v>
      </c>
      <c r="BG343" s="373">
        <f t="shared" si="126"/>
        <v>2</v>
      </c>
    </row>
    <row r="344" spans="1:59" s="21" customFormat="1" ht="15.95" customHeight="1">
      <c r="A344" s="163">
        <v>87</v>
      </c>
      <c r="B344" s="9" t="s">
        <v>2234</v>
      </c>
      <c r="C344" s="11" t="s">
        <v>2235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22">
        <f t="shared" si="121"/>
        <v>0</v>
      </c>
      <c r="AC344" s="25">
        <v>0</v>
      </c>
      <c r="AD344" s="24"/>
      <c r="AE344" s="24"/>
      <c r="AF344" s="24"/>
      <c r="AG344" s="24"/>
      <c r="AH344" s="24"/>
      <c r="AI344" s="24"/>
      <c r="AJ344" s="24"/>
      <c r="AK344" s="24"/>
      <c r="AL344" s="24">
        <v>4</v>
      </c>
      <c r="AM344" s="24"/>
      <c r="AN344" s="24"/>
      <c r="AO344" s="24"/>
      <c r="AP344" s="24">
        <f>1+1</f>
        <v>2</v>
      </c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2">
        <f t="shared" si="122"/>
        <v>6</v>
      </c>
      <c r="BC344" s="23">
        <f>1+3</f>
        <v>4</v>
      </c>
      <c r="BD344" s="130">
        <f t="shared" si="123"/>
        <v>6</v>
      </c>
      <c r="BE344" s="130">
        <f t="shared" si="124"/>
        <v>4</v>
      </c>
      <c r="BF344" s="195">
        <f t="shared" si="125"/>
        <v>150</v>
      </c>
      <c r="BG344" s="373">
        <f t="shared" si="126"/>
        <v>-2</v>
      </c>
    </row>
    <row r="345" spans="1:59" s="21" customFormat="1" ht="15.95" customHeight="1">
      <c r="A345" s="163">
        <v>88</v>
      </c>
      <c r="B345" s="9" t="s">
        <v>196</v>
      </c>
      <c r="C345" s="11" t="s">
        <v>197</v>
      </c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22">
        <f t="shared" si="121"/>
        <v>0</v>
      </c>
      <c r="AC345" s="25">
        <v>0</v>
      </c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>
        <f>2+2</f>
        <v>4</v>
      </c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2">
        <f t="shared" si="122"/>
        <v>4</v>
      </c>
      <c r="BC345" s="23">
        <v>13</v>
      </c>
      <c r="BD345" s="130">
        <f t="shared" si="123"/>
        <v>4</v>
      </c>
      <c r="BE345" s="130">
        <f t="shared" si="124"/>
        <v>13</v>
      </c>
      <c r="BF345" s="195">
        <f t="shared" si="125"/>
        <v>30.76923076923077</v>
      </c>
      <c r="BG345" s="373">
        <f t="shared" si="126"/>
        <v>9</v>
      </c>
    </row>
    <row r="346" spans="1:59" s="21" customFormat="1" ht="15.95" customHeight="1">
      <c r="A346" s="163">
        <v>89</v>
      </c>
      <c r="B346" s="9" t="s">
        <v>2956</v>
      </c>
      <c r="C346" s="11" t="s">
        <v>2957</v>
      </c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22">
        <f t="shared" si="121"/>
        <v>0</v>
      </c>
      <c r="AC346" s="25">
        <v>0</v>
      </c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2">
        <f t="shared" si="122"/>
        <v>0</v>
      </c>
      <c r="BC346" s="23">
        <v>1</v>
      </c>
      <c r="BD346" s="130">
        <f t="shared" si="123"/>
        <v>0</v>
      </c>
      <c r="BE346" s="130">
        <f t="shared" si="124"/>
        <v>1</v>
      </c>
      <c r="BF346" s="195">
        <f t="shared" si="125"/>
        <v>0</v>
      </c>
      <c r="BG346" s="373">
        <f t="shared" si="126"/>
        <v>1</v>
      </c>
    </row>
    <row r="347" spans="1:59" s="21" customFormat="1" ht="15.95" customHeight="1">
      <c r="A347" s="163">
        <v>90</v>
      </c>
      <c r="B347" s="9" t="s">
        <v>2958</v>
      </c>
      <c r="C347" s="11" t="s">
        <v>2959</v>
      </c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22">
        <f t="shared" si="121"/>
        <v>0</v>
      </c>
      <c r="AC347" s="25">
        <v>0</v>
      </c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2">
        <f t="shared" si="122"/>
        <v>0</v>
      </c>
      <c r="BC347" s="23">
        <v>1</v>
      </c>
      <c r="BD347" s="130">
        <f t="shared" si="123"/>
        <v>0</v>
      </c>
      <c r="BE347" s="130">
        <f t="shared" si="124"/>
        <v>1</v>
      </c>
      <c r="BF347" s="195">
        <f t="shared" si="125"/>
        <v>0</v>
      </c>
      <c r="BG347" s="373">
        <f t="shared" si="126"/>
        <v>1</v>
      </c>
    </row>
    <row r="348" spans="1:59" s="21" customFormat="1" ht="15.95" customHeight="1">
      <c r="A348" s="163">
        <v>91</v>
      </c>
      <c r="B348" s="9" t="s">
        <v>2485</v>
      </c>
      <c r="C348" s="11" t="s">
        <v>2486</v>
      </c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22">
        <f t="shared" si="121"/>
        <v>0</v>
      </c>
      <c r="AC348" s="25">
        <v>0</v>
      </c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2">
        <f t="shared" si="122"/>
        <v>0</v>
      </c>
      <c r="BC348" s="23">
        <v>1</v>
      </c>
      <c r="BD348" s="130">
        <f t="shared" si="123"/>
        <v>0</v>
      </c>
      <c r="BE348" s="130">
        <f t="shared" si="124"/>
        <v>1</v>
      </c>
      <c r="BF348" s="195">
        <f t="shared" si="125"/>
        <v>0</v>
      </c>
      <c r="BG348" s="373">
        <f t="shared" si="126"/>
        <v>1</v>
      </c>
    </row>
    <row r="349" spans="1:59" s="21" customFormat="1" ht="15.95" customHeight="1">
      <c r="A349" s="163">
        <v>92</v>
      </c>
      <c r="B349" s="9" t="s">
        <v>2960</v>
      </c>
      <c r="C349" s="11" t="s">
        <v>2961</v>
      </c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22">
        <f t="shared" si="121"/>
        <v>0</v>
      </c>
      <c r="AC349" s="25">
        <v>0</v>
      </c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2">
        <f t="shared" si="122"/>
        <v>0</v>
      </c>
      <c r="BC349" s="23">
        <v>1</v>
      </c>
      <c r="BD349" s="130">
        <f t="shared" si="123"/>
        <v>0</v>
      </c>
      <c r="BE349" s="130">
        <f t="shared" si="124"/>
        <v>1</v>
      </c>
      <c r="BF349" s="195">
        <f t="shared" si="125"/>
        <v>0</v>
      </c>
      <c r="BG349" s="373">
        <f t="shared" si="126"/>
        <v>1</v>
      </c>
    </row>
    <row r="350" spans="1:59" s="21" customFormat="1" ht="15.95" customHeight="1">
      <c r="A350" s="163">
        <v>93</v>
      </c>
      <c r="B350" s="9" t="s">
        <v>1920</v>
      </c>
      <c r="C350" s="11" t="s">
        <v>1921</v>
      </c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22">
        <f t="shared" si="121"/>
        <v>0</v>
      </c>
      <c r="AC350" s="25">
        <v>0</v>
      </c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>
        <f>2+2</f>
        <v>4</v>
      </c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2">
        <f t="shared" si="122"/>
        <v>4</v>
      </c>
      <c r="BC350" s="23">
        <v>2</v>
      </c>
      <c r="BD350" s="130">
        <f t="shared" si="123"/>
        <v>4</v>
      </c>
      <c r="BE350" s="130">
        <f t="shared" si="124"/>
        <v>2</v>
      </c>
      <c r="BF350" s="195">
        <f t="shared" si="125"/>
        <v>200</v>
      </c>
      <c r="BG350" s="373">
        <f t="shared" si="126"/>
        <v>-2</v>
      </c>
    </row>
    <row r="351" spans="1:59" s="21" customFormat="1" ht="15.95" customHeight="1">
      <c r="A351" s="163">
        <v>94</v>
      </c>
      <c r="B351" s="9" t="s">
        <v>651</v>
      </c>
      <c r="C351" s="11" t="s">
        <v>652</v>
      </c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22">
        <f t="shared" si="121"/>
        <v>0</v>
      </c>
      <c r="AC351" s="25">
        <v>0</v>
      </c>
      <c r="AD351" s="24">
        <f>1+1</f>
        <v>2</v>
      </c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>
        <f>3+3</f>
        <v>6</v>
      </c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2">
        <f t="shared" si="122"/>
        <v>8</v>
      </c>
      <c r="BC351" s="23">
        <v>8</v>
      </c>
      <c r="BD351" s="130">
        <f t="shared" si="123"/>
        <v>8</v>
      </c>
      <c r="BE351" s="130">
        <f t="shared" si="124"/>
        <v>8</v>
      </c>
      <c r="BF351" s="195">
        <f t="shared" si="125"/>
        <v>100</v>
      </c>
      <c r="BG351" s="373">
        <f t="shared" si="126"/>
        <v>0</v>
      </c>
    </row>
    <row r="352" spans="1:59" s="21" customFormat="1" ht="15.95" customHeight="1">
      <c r="A352" s="163">
        <v>95</v>
      </c>
      <c r="B352" s="9" t="s">
        <v>2236</v>
      </c>
      <c r="C352" s="11" t="s">
        <v>2237</v>
      </c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22">
        <f t="shared" si="121"/>
        <v>0</v>
      </c>
      <c r="AC352" s="25">
        <v>0</v>
      </c>
      <c r="AD352" s="24"/>
      <c r="AE352" s="24"/>
      <c r="AF352" s="24"/>
      <c r="AG352" s="24"/>
      <c r="AH352" s="24"/>
      <c r="AI352" s="24"/>
      <c r="AJ352" s="24"/>
      <c r="AK352" s="24"/>
      <c r="AL352" s="24">
        <v>1</v>
      </c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2">
        <f t="shared" si="122"/>
        <v>1</v>
      </c>
      <c r="BC352" s="23">
        <v>1</v>
      </c>
      <c r="BD352" s="130">
        <f t="shared" si="123"/>
        <v>1</v>
      </c>
      <c r="BE352" s="130">
        <f t="shared" si="124"/>
        <v>1</v>
      </c>
      <c r="BF352" s="195">
        <f t="shared" si="125"/>
        <v>100</v>
      </c>
      <c r="BG352" s="373">
        <f t="shared" si="126"/>
        <v>0</v>
      </c>
    </row>
    <row r="353" spans="1:59" s="21" customFormat="1" ht="15.95" customHeight="1">
      <c r="A353" s="163">
        <v>96</v>
      </c>
      <c r="B353" s="9" t="s">
        <v>2853</v>
      </c>
      <c r="C353" s="11" t="s">
        <v>2854</v>
      </c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22">
        <f t="shared" si="121"/>
        <v>0</v>
      </c>
      <c r="AC353" s="25">
        <v>0</v>
      </c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2">
        <f t="shared" si="122"/>
        <v>0</v>
      </c>
      <c r="BC353" s="23">
        <v>1</v>
      </c>
      <c r="BD353" s="130">
        <f t="shared" si="123"/>
        <v>0</v>
      </c>
      <c r="BE353" s="130">
        <f t="shared" si="124"/>
        <v>1</v>
      </c>
      <c r="BF353" s="195">
        <f t="shared" si="125"/>
        <v>0</v>
      </c>
      <c r="BG353" s="373">
        <f t="shared" si="126"/>
        <v>1</v>
      </c>
    </row>
    <row r="354" spans="1:59" s="21" customFormat="1" ht="15.95" customHeight="1">
      <c r="A354" s="163">
        <v>97</v>
      </c>
      <c r="B354" s="9" t="s">
        <v>198</v>
      </c>
      <c r="C354" s="11" t="s">
        <v>199</v>
      </c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22">
        <f t="shared" si="121"/>
        <v>0</v>
      </c>
      <c r="AC354" s="25">
        <v>0</v>
      </c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2">
        <f t="shared" si="122"/>
        <v>0</v>
      </c>
      <c r="BC354" s="23">
        <v>2</v>
      </c>
      <c r="BD354" s="130">
        <f t="shared" si="123"/>
        <v>0</v>
      </c>
      <c r="BE354" s="130">
        <f t="shared" si="124"/>
        <v>2</v>
      </c>
      <c r="BF354" s="195">
        <f t="shared" si="125"/>
        <v>0</v>
      </c>
      <c r="BG354" s="373">
        <f t="shared" si="126"/>
        <v>2</v>
      </c>
    </row>
    <row r="355" spans="1:59" s="21" customFormat="1" ht="15.95" customHeight="1">
      <c r="A355" s="163">
        <v>98</v>
      </c>
      <c r="B355" s="9" t="s">
        <v>200</v>
      </c>
      <c r="C355" s="11" t="s">
        <v>201</v>
      </c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22">
        <f t="shared" si="121"/>
        <v>0</v>
      </c>
      <c r="AC355" s="25">
        <v>0</v>
      </c>
      <c r="AD355" s="24"/>
      <c r="AE355" s="24"/>
      <c r="AF355" s="24"/>
      <c r="AG355" s="24"/>
      <c r="AH355" s="24"/>
      <c r="AI355" s="24"/>
      <c r="AJ355" s="24"/>
      <c r="AK355" s="24"/>
      <c r="AL355" s="24">
        <v>9</v>
      </c>
      <c r="AM355" s="24"/>
      <c r="AN355" s="24"/>
      <c r="AO355" s="24"/>
      <c r="AP355" s="24">
        <f>6+6</f>
        <v>12</v>
      </c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2">
        <f t="shared" si="122"/>
        <v>21</v>
      </c>
      <c r="BC355" s="23">
        <v>16</v>
      </c>
      <c r="BD355" s="130">
        <f t="shared" si="123"/>
        <v>21</v>
      </c>
      <c r="BE355" s="130">
        <f t="shared" si="124"/>
        <v>16</v>
      </c>
      <c r="BF355" s="195">
        <f t="shared" si="125"/>
        <v>131.25</v>
      </c>
      <c r="BG355" s="373">
        <f t="shared" si="126"/>
        <v>-5</v>
      </c>
    </row>
    <row r="356" spans="1:59" s="21" customFormat="1" ht="15.95" customHeight="1">
      <c r="A356" s="163">
        <v>99</v>
      </c>
      <c r="B356" s="9" t="s">
        <v>202</v>
      </c>
      <c r="C356" s="11" t="s">
        <v>203</v>
      </c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22">
        <f t="shared" si="121"/>
        <v>0</v>
      </c>
      <c r="AC356" s="25">
        <v>0</v>
      </c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>
        <f>1+1</f>
        <v>2</v>
      </c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2">
        <f t="shared" si="122"/>
        <v>2</v>
      </c>
      <c r="BC356" s="23">
        <v>2</v>
      </c>
      <c r="BD356" s="130">
        <f t="shared" si="123"/>
        <v>2</v>
      </c>
      <c r="BE356" s="130">
        <f t="shared" si="124"/>
        <v>2</v>
      </c>
      <c r="BF356" s="195">
        <f t="shared" si="125"/>
        <v>100</v>
      </c>
      <c r="BG356" s="373">
        <f t="shared" si="126"/>
        <v>0</v>
      </c>
    </row>
    <row r="357" spans="1:59" s="21" customFormat="1" ht="15.95" customHeight="1">
      <c r="A357" s="163">
        <v>100</v>
      </c>
      <c r="B357" s="9" t="s">
        <v>204</v>
      </c>
      <c r="C357" s="17" t="s">
        <v>205</v>
      </c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22">
        <f t="shared" si="121"/>
        <v>0</v>
      </c>
      <c r="AC357" s="25">
        <v>0</v>
      </c>
      <c r="AD357" s="24"/>
      <c r="AE357" s="24"/>
      <c r="AF357" s="24"/>
      <c r="AG357" s="24"/>
      <c r="AH357" s="24"/>
      <c r="AI357" s="24"/>
      <c r="AJ357" s="24"/>
      <c r="AK357" s="24"/>
      <c r="AL357" s="24">
        <v>10</v>
      </c>
      <c r="AM357" s="24"/>
      <c r="AN357" s="24"/>
      <c r="AO357" s="24"/>
      <c r="AP357" s="24">
        <f>5+5</f>
        <v>10</v>
      </c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2">
        <f t="shared" si="122"/>
        <v>20</v>
      </c>
      <c r="BC357" s="23">
        <v>17</v>
      </c>
      <c r="BD357" s="130">
        <f t="shared" si="123"/>
        <v>20</v>
      </c>
      <c r="BE357" s="130">
        <f t="shared" si="124"/>
        <v>17</v>
      </c>
      <c r="BF357" s="195">
        <f t="shared" si="125"/>
        <v>117.64705882352942</v>
      </c>
      <c r="BG357" s="373">
        <f t="shared" si="126"/>
        <v>-3</v>
      </c>
    </row>
    <row r="358" spans="1:59" s="21" customFormat="1" ht="15.95" customHeight="1">
      <c r="A358" s="163">
        <v>101</v>
      </c>
      <c r="B358" s="9" t="s">
        <v>3790</v>
      </c>
      <c r="C358" s="17" t="s">
        <v>3791</v>
      </c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22">
        <f t="shared" si="121"/>
        <v>0</v>
      </c>
      <c r="AC358" s="25">
        <v>0</v>
      </c>
      <c r="AD358" s="24"/>
      <c r="AE358" s="24"/>
      <c r="AF358" s="24"/>
      <c r="AG358" s="24"/>
      <c r="AH358" s="24">
        <v>1</v>
      </c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2">
        <f t="shared" si="122"/>
        <v>1</v>
      </c>
      <c r="BC358" s="23">
        <v>0</v>
      </c>
      <c r="BD358" s="130">
        <f t="shared" si="123"/>
        <v>1</v>
      </c>
      <c r="BE358" s="130">
        <f t="shared" si="124"/>
        <v>0</v>
      </c>
      <c r="BF358" s="195" t="e">
        <f t="shared" si="125"/>
        <v>#DIV/0!</v>
      </c>
      <c r="BG358" s="373"/>
    </row>
    <row r="359" spans="1:59" s="21" customFormat="1" ht="15.95" customHeight="1">
      <c r="A359" s="163">
        <v>102</v>
      </c>
      <c r="B359" s="9" t="s">
        <v>2584</v>
      </c>
      <c r="C359" s="17" t="s">
        <v>2585</v>
      </c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22">
        <f t="shared" si="121"/>
        <v>0</v>
      </c>
      <c r="AC359" s="25">
        <v>0</v>
      </c>
      <c r="AD359" s="24"/>
      <c r="AE359" s="24"/>
      <c r="AF359" s="24"/>
      <c r="AG359" s="24"/>
      <c r="AH359" s="24"/>
      <c r="AI359" s="24"/>
      <c r="AJ359" s="24"/>
      <c r="AK359" s="24"/>
      <c r="AL359" s="24">
        <v>1</v>
      </c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2">
        <f t="shared" si="122"/>
        <v>1</v>
      </c>
      <c r="BC359" s="23">
        <v>3</v>
      </c>
      <c r="BD359" s="130">
        <f t="shared" si="123"/>
        <v>1</v>
      </c>
      <c r="BE359" s="130">
        <f t="shared" si="124"/>
        <v>3</v>
      </c>
      <c r="BF359" s="195">
        <f t="shared" si="125"/>
        <v>33.333333333333329</v>
      </c>
      <c r="BG359" s="373">
        <f t="shared" ref="BG359:BG371" si="127">BE359-BD359</f>
        <v>2</v>
      </c>
    </row>
    <row r="360" spans="1:59" s="21" customFormat="1" ht="15.95" customHeight="1">
      <c r="A360" s="163">
        <v>103</v>
      </c>
      <c r="B360" s="9" t="s">
        <v>2622</v>
      </c>
      <c r="C360" s="17" t="s">
        <v>2623</v>
      </c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22">
        <f t="shared" si="121"/>
        <v>0</v>
      </c>
      <c r="AC360" s="25">
        <v>0</v>
      </c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2">
        <f t="shared" si="122"/>
        <v>0</v>
      </c>
      <c r="BC360" s="23">
        <v>1</v>
      </c>
      <c r="BD360" s="130">
        <f t="shared" si="123"/>
        <v>0</v>
      </c>
      <c r="BE360" s="130">
        <f t="shared" si="124"/>
        <v>1</v>
      </c>
      <c r="BF360" s="195">
        <f t="shared" si="125"/>
        <v>0</v>
      </c>
      <c r="BG360" s="373">
        <f t="shared" si="127"/>
        <v>1</v>
      </c>
    </row>
    <row r="361" spans="1:59" s="21" customFormat="1" ht="15.95" customHeight="1">
      <c r="A361" s="163">
        <v>104</v>
      </c>
      <c r="B361" s="9" t="s">
        <v>2764</v>
      </c>
      <c r="C361" s="17" t="s">
        <v>2765</v>
      </c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22">
        <f t="shared" si="121"/>
        <v>0</v>
      </c>
      <c r="AC361" s="25">
        <v>0</v>
      </c>
      <c r="AD361" s="24"/>
      <c r="AE361" s="24"/>
      <c r="AF361" s="24"/>
      <c r="AG361" s="24"/>
      <c r="AH361" s="24"/>
      <c r="AI361" s="24"/>
      <c r="AJ361" s="24"/>
      <c r="AK361" s="24"/>
      <c r="AL361" s="24">
        <v>2</v>
      </c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2">
        <f t="shared" si="122"/>
        <v>2</v>
      </c>
      <c r="BC361" s="23">
        <v>1</v>
      </c>
      <c r="BD361" s="130">
        <f t="shared" si="123"/>
        <v>2</v>
      </c>
      <c r="BE361" s="130">
        <f t="shared" si="124"/>
        <v>1</v>
      </c>
      <c r="BF361" s="195">
        <f t="shared" si="125"/>
        <v>200</v>
      </c>
      <c r="BG361" s="373">
        <f t="shared" si="127"/>
        <v>-1</v>
      </c>
    </row>
    <row r="362" spans="1:59" s="21" customFormat="1" ht="15.95" customHeight="1">
      <c r="A362" s="163">
        <v>105</v>
      </c>
      <c r="B362" s="9" t="s">
        <v>206</v>
      </c>
      <c r="C362" s="11" t="s">
        <v>207</v>
      </c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22">
        <f t="shared" si="121"/>
        <v>0</v>
      </c>
      <c r="AC362" s="25">
        <v>0</v>
      </c>
      <c r="AD362" s="24"/>
      <c r="AE362" s="24"/>
      <c r="AF362" s="24"/>
      <c r="AG362" s="24"/>
      <c r="AH362" s="24"/>
      <c r="AI362" s="24"/>
      <c r="AJ362" s="24"/>
      <c r="AK362" s="24"/>
      <c r="AL362" s="24">
        <v>1</v>
      </c>
      <c r="AM362" s="24"/>
      <c r="AN362" s="24"/>
      <c r="AO362" s="24"/>
      <c r="AP362" s="24">
        <f>3+3</f>
        <v>6</v>
      </c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2">
        <f t="shared" si="122"/>
        <v>7</v>
      </c>
      <c r="BC362" s="23">
        <v>8</v>
      </c>
      <c r="BD362" s="130">
        <f t="shared" si="123"/>
        <v>7</v>
      </c>
      <c r="BE362" s="130">
        <f t="shared" si="124"/>
        <v>8</v>
      </c>
      <c r="BF362" s="195">
        <f t="shared" si="125"/>
        <v>87.5</v>
      </c>
      <c r="BG362" s="373">
        <f t="shared" si="127"/>
        <v>1</v>
      </c>
    </row>
    <row r="363" spans="1:59" s="21" customFormat="1" ht="15.95" customHeight="1">
      <c r="A363" s="163">
        <v>106</v>
      </c>
      <c r="B363" s="9" t="s">
        <v>208</v>
      </c>
      <c r="C363" s="11" t="s">
        <v>209</v>
      </c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22">
        <f t="shared" si="121"/>
        <v>0</v>
      </c>
      <c r="AC363" s="25">
        <v>0</v>
      </c>
      <c r="AD363" s="24"/>
      <c r="AE363" s="24"/>
      <c r="AF363" s="24"/>
      <c r="AG363" s="24"/>
      <c r="AH363" s="24"/>
      <c r="AI363" s="24"/>
      <c r="AJ363" s="24"/>
      <c r="AK363" s="24"/>
      <c r="AL363" s="24">
        <v>6</v>
      </c>
      <c r="AM363" s="24"/>
      <c r="AN363" s="24"/>
      <c r="AO363" s="24"/>
      <c r="AP363" s="24">
        <f>6</f>
        <v>6</v>
      </c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2">
        <f t="shared" si="122"/>
        <v>12</v>
      </c>
      <c r="BC363" s="23">
        <v>13</v>
      </c>
      <c r="BD363" s="130">
        <f t="shared" si="123"/>
        <v>12</v>
      </c>
      <c r="BE363" s="130">
        <f t="shared" si="124"/>
        <v>13</v>
      </c>
      <c r="BF363" s="195">
        <f t="shared" si="125"/>
        <v>92.307692307692307</v>
      </c>
      <c r="BG363" s="373">
        <f t="shared" si="127"/>
        <v>1</v>
      </c>
    </row>
    <row r="364" spans="1:59" s="21" customFormat="1" ht="15.95" customHeight="1">
      <c r="A364" s="163">
        <v>107</v>
      </c>
      <c r="B364" s="415" t="s">
        <v>3034</v>
      </c>
      <c r="C364" s="412" t="s">
        <v>3035</v>
      </c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22">
        <f t="shared" si="121"/>
        <v>0</v>
      </c>
      <c r="AC364" s="25">
        <v>0</v>
      </c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2">
        <f t="shared" si="122"/>
        <v>0</v>
      </c>
      <c r="BC364" s="23">
        <v>1</v>
      </c>
      <c r="BD364" s="130">
        <f t="shared" si="123"/>
        <v>0</v>
      </c>
      <c r="BE364" s="130">
        <f t="shared" si="124"/>
        <v>1</v>
      </c>
      <c r="BF364" s="195">
        <f t="shared" si="125"/>
        <v>0</v>
      </c>
      <c r="BG364" s="373">
        <f t="shared" si="127"/>
        <v>1</v>
      </c>
    </row>
    <row r="365" spans="1:59" s="21" customFormat="1" ht="15.95" customHeight="1">
      <c r="A365" s="163">
        <v>108</v>
      </c>
      <c r="B365" s="9" t="s">
        <v>653</v>
      </c>
      <c r="C365" s="11" t="s">
        <v>654</v>
      </c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22">
        <f t="shared" si="121"/>
        <v>0</v>
      </c>
      <c r="AC365" s="25">
        <v>0</v>
      </c>
      <c r="AD365" s="24"/>
      <c r="AE365" s="24"/>
      <c r="AF365" s="24"/>
      <c r="AG365" s="24"/>
      <c r="AH365" s="24">
        <v>2</v>
      </c>
      <c r="AI365" s="24"/>
      <c r="AJ365" s="24"/>
      <c r="AK365" s="24"/>
      <c r="AL365" s="24">
        <v>1</v>
      </c>
      <c r="AM365" s="24"/>
      <c r="AN365" s="24"/>
      <c r="AO365" s="24"/>
      <c r="AP365" s="24">
        <f>2</f>
        <v>2</v>
      </c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2">
        <f t="shared" si="122"/>
        <v>5</v>
      </c>
      <c r="BC365" s="23">
        <v>7</v>
      </c>
      <c r="BD365" s="130">
        <f t="shared" si="123"/>
        <v>5</v>
      </c>
      <c r="BE365" s="130">
        <f t="shared" si="124"/>
        <v>7</v>
      </c>
      <c r="BF365" s="195">
        <f t="shared" si="125"/>
        <v>71.428571428571431</v>
      </c>
      <c r="BG365" s="373">
        <f t="shared" si="127"/>
        <v>2</v>
      </c>
    </row>
    <row r="366" spans="1:59" s="21" customFormat="1" ht="15.95" customHeight="1">
      <c r="A366" s="163">
        <v>109</v>
      </c>
      <c r="B366" s="9" t="s">
        <v>210</v>
      </c>
      <c r="C366" s="10" t="s">
        <v>211</v>
      </c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22">
        <f t="shared" si="121"/>
        <v>0</v>
      </c>
      <c r="AC366" s="25">
        <v>0</v>
      </c>
      <c r="AD366" s="24"/>
      <c r="AE366" s="24"/>
      <c r="AF366" s="24"/>
      <c r="AG366" s="24"/>
      <c r="AH366" s="24">
        <v>4</v>
      </c>
      <c r="AI366" s="24"/>
      <c r="AJ366" s="24"/>
      <c r="AK366" s="24"/>
      <c r="AL366" s="24"/>
      <c r="AM366" s="24"/>
      <c r="AN366" s="24"/>
      <c r="AO366" s="24"/>
      <c r="AP366" s="24">
        <f>1</f>
        <v>1</v>
      </c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2">
        <f t="shared" si="122"/>
        <v>5</v>
      </c>
      <c r="BC366" s="23">
        <v>8</v>
      </c>
      <c r="BD366" s="130">
        <f t="shared" si="123"/>
        <v>5</v>
      </c>
      <c r="BE366" s="130">
        <f t="shared" si="124"/>
        <v>8</v>
      </c>
      <c r="BF366" s="195">
        <f t="shared" si="125"/>
        <v>62.5</v>
      </c>
      <c r="BG366" s="373">
        <f t="shared" si="127"/>
        <v>3</v>
      </c>
    </row>
    <row r="367" spans="1:59" s="21" customFormat="1" ht="15.95" customHeight="1">
      <c r="A367" s="163">
        <v>110</v>
      </c>
      <c r="B367" s="9" t="s">
        <v>212</v>
      </c>
      <c r="C367" s="11" t="s">
        <v>213</v>
      </c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22">
        <f t="shared" si="121"/>
        <v>0</v>
      </c>
      <c r="AC367" s="25">
        <v>0</v>
      </c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2">
        <f t="shared" si="122"/>
        <v>0</v>
      </c>
      <c r="BC367" s="23">
        <v>1</v>
      </c>
      <c r="BD367" s="130">
        <f t="shared" si="123"/>
        <v>0</v>
      </c>
      <c r="BE367" s="130">
        <f t="shared" si="124"/>
        <v>1</v>
      </c>
      <c r="BF367" s="195">
        <f t="shared" si="125"/>
        <v>0</v>
      </c>
      <c r="BG367" s="373">
        <f t="shared" si="127"/>
        <v>1</v>
      </c>
    </row>
    <row r="368" spans="1:59" s="21" customFormat="1" ht="15.95" customHeight="1">
      <c r="A368" s="163">
        <v>111</v>
      </c>
      <c r="B368" s="9" t="s">
        <v>1922</v>
      </c>
      <c r="C368" s="10" t="s">
        <v>1923</v>
      </c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22">
        <f t="shared" si="121"/>
        <v>0</v>
      </c>
      <c r="AC368" s="25">
        <v>0</v>
      </c>
      <c r="AD368" s="24"/>
      <c r="AE368" s="24"/>
      <c r="AF368" s="24"/>
      <c r="AG368" s="24"/>
      <c r="AH368" s="24"/>
      <c r="AI368" s="24"/>
      <c r="AJ368" s="24"/>
      <c r="AK368" s="24"/>
      <c r="AL368" s="24">
        <v>1</v>
      </c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2">
        <f t="shared" si="122"/>
        <v>1</v>
      </c>
      <c r="BC368" s="23">
        <v>2</v>
      </c>
      <c r="BD368" s="130">
        <f t="shared" si="123"/>
        <v>1</v>
      </c>
      <c r="BE368" s="130">
        <f t="shared" si="124"/>
        <v>2</v>
      </c>
      <c r="BF368" s="195">
        <f t="shared" si="125"/>
        <v>50</v>
      </c>
      <c r="BG368" s="373">
        <f t="shared" si="127"/>
        <v>1</v>
      </c>
    </row>
    <row r="369" spans="1:59" s="21" customFormat="1" ht="15.95" customHeight="1">
      <c r="A369" s="163">
        <v>112</v>
      </c>
      <c r="B369" s="415" t="s">
        <v>3036</v>
      </c>
      <c r="C369" s="412" t="s">
        <v>3037</v>
      </c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22">
        <f t="shared" si="121"/>
        <v>0</v>
      </c>
      <c r="AC369" s="25">
        <v>0</v>
      </c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2">
        <f t="shared" si="122"/>
        <v>0</v>
      </c>
      <c r="BC369" s="23">
        <v>3</v>
      </c>
      <c r="BD369" s="130">
        <f t="shared" si="123"/>
        <v>0</v>
      </c>
      <c r="BE369" s="130">
        <f t="shared" si="124"/>
        <v>3</v>
      </c>
      <c r="BF369" s="195">
        <f t="shared" si="125"/>
        <v>0</v>
      </c>
      <c r="BG369" s="373">
        <f t="shared" si="127"/>
        <v>3</v>
      </c>
    </row>
    <row r="370" spans="1:59" s="21" customFormat="1" ht="15.95" customHeight="1">
      <c r="A370" s="163">
        <v>113</v>
      </c>
      <c r="B370" s="9" t="s">
        <v>3127</v>
      </c>
      <c r="C370" s="10" t="s">
        <v>3128</v>
      </c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22">
        <f t="shared" si="121"/>
        <v>0</v>
      </c>
      <c r="AC370" s="25">
        <v>0</v>
      </c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2">
        <f t="shared" si="122"/>
        <v>0</v>
      </c>
      <c r="BC370" s="23">
        <v>1</v>
      </c>
      <c r="BD370" s="130">
        <f t="shared" si="123"/>
        <v>0</v>
      </c>
      <c r="BE370" s="130">
        <f t="shared" si="124"/>
        <v>1</v>
      </c>
      <c r="BF370" s="195">
        <f t="shared" si="125"/>
        <v>0</v>
      </c>
      <c r="BG370" s="373">
        <f t="shared" si="127"/>
        <v>1</v>
      </c>
    </row>
    <row r="371" spans="1:59" s="21" customFormat="1" ht="15.95" customHeight="1">
      <c r="A371" s="163">
        <v>114</v>
      </c>
      <c r="B371" s="9" t="s">
        <v>3396</v>
      </c>
      <c r="C371" s="11" t="s">
        <v>3397</v>
      </c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22">
        <f t="shared" si="121"/>
        <v>0</v>
      </c>
      <c r="AC371" s="25">
        <v>0</v>
      </c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2">
        <f t="shared" si="122"/>
        <v>0</v>
      </c>
      <c r="BC371" s="23">
        <v>1</v>
      </c>
      <c r="BD371" s="130">
        <f t="shared" si="123"/>
        <v>0</v>
      </c>
      <c r="BE371" s="130">
        <f t="shared" si="124"/>
        <v>1</v>
      </c>
      <c r="BF371" s="195">
        <f t="shared" si="125"/>
        <v>0</v>
      </c>
      <c r="BG371" s="373">
        <f t="shared" si="127"/>
        <v>1</v>
      </c>
    </row>
    <row r="372" spans="1:59" s="21" customFormat="1" ht="15.95" customHeight="1">
      <c r="A372" s="163">
        <v>115</v>
      </c>
      <c r="B372" s="9" t="s">
        <v>4102</v>
      </c>
      <c r="C372" s="11" t="s">
        <v>4103</v>
      </c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22">
        <f t="shared" si="121"/>
        <v>0</v>
      </c>
      <c r="AC372" s="25">
        <v>0</v>
      </c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>
        <f>1</f>
        <v>1</v>
      </c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2">
        <f t="shared" si="122"/>
        <v>1</v>
      </c>
      <c r="BC372" s="23">
        <v>0</v>
      </c>
      <c r="BD372" s="130">
        <f t="shared" si="123"/>
        <v>1</v>
      </c>
      <c r="BE372" s="130">
        <f t="shared" si="124"/>
        <v>0</v>
      </c>
      <c r="BF372" s="195" t="e">
        <f t="shared" si="125"/>
        <v>#DIV/0!</v>
      </c>
      <c r="BG372" s="373"/>
    </row>
    <row r="373" spans="1:59" s="21" customFormat="1" ht="15.95" customHeight="1">
      <c r="A373" s="163">
        <v>116</v>
      </c>
      <c r="B373" s="9" t="s">
        <v>214</v>
      </c>
      <c r="C373" s="10" t="s">
        <v>215</v>
      </c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22">
        <f t="shared" si="121"/>
        <v>0</v>
      </c>
      <c r="AC373" s="25">
        <v>0</v>
      </c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>
        <f>4</f>
        <v>4</v>
      </c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2">
        <f t="shared" si="122"/>
        <v>4</v>
      </c>
      <c r="BC373" s="23">
        <v>11</v>
      </c>
      <c r="BD373" s="130">
        <f t="shared" si="123"/>
        <v>4</v>
      </c>
      <c r="BE373" s="130">
        <f t="shared" si="124"/>
        <v>11</v>
      </c>
      <c r="BF373" s="195">
        <f t="shared" si="125"/>
        <v>36.363636363636367</v>
      </c>
      <c r="BG373" s="373">
        <f>BE373-BD373</f>
        <v>7</v>
      </c>
    </row>
    <row r="374" spans="1:59" s="21" customFormat="1" ht="15.95" customHeight="1">
      <c r="A374" s="163">
        <v>117</v>
      </c>
      <c r="B374" s="9" t="s">
        <v>216</v>
      </c>
      <c r="C374" s="11" t="s">
        <v>217</v>
      </c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22">
        <f t="shared" si="121"/>
        <v>0</v>
      </c>
      <c r="AC374" s="25">
        <v>0</v>
      </c>
      <c r="AD374" s="24">
        <v>3</v>
      </c>
      <c r="AE374" s="24"/>
      <c r="AF374" s="24"/>
      <c r="AG374" s="24"/>
      <c r="AH374" s="24">
        <f>1+1</f>
        <v>2</v>
      </c>
      <c r="AI374" s="24"/>
      <c r="AJ374" s="24"/>
      <c r="AK374" s="24"/>
      <c r="AL374" s="24">
        <f>6+2+1</f>
        <v>9</v>
      </c>
      <c r="AM374" s="24"/>
      <c r="AN374" s="24"/>
      <c r="AO374" s="24"/>
      <c r="AP374" s="24">
        <f>13</f>
        <v>13</v>
      </c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2">
        <f t="shared" si="122"/>
        <v>27</v>
      </c>
      <c r="BC374" s="23">
        <v>41</v>
      </c>
      <c r="BD374" s="130">
        <f t="shared" si="123"/>
        <v>27</v>
      </c>
      <c r="BE374" s="130">
        <f t="shared" si="124"/>
        <v>41</v>
      </c>
      <c r="BF374" s="195">
        <f t="shared" si="125"/>
        <v>65.853658536585371</v>
      </c>
      <c r="BG374" s="373">
        <f>BE374-BD374</f>
        <v>14</v>
      </c>
    </row>
    <row r="375" spans="1:59" s="21" customFormat="1" ht="15.95" customHeight="1">
      <c r="A375" s="163">
        <v>118</v>
      </c>
      <c r="B375" s="9" t="s">
        <v>50</v>
      </c>
      <c r="C375" s="11" t="s">
        <v>51</v>
      </c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22">
        <f t="shared" si="121"/>
        <v>0</v>
      </c>
      <c r="AC375" s="25">
        <v>0</v>
      </c>
      <c r="AD375" s="99">
        <v>6</v>
      </c>
      <c r="AE375" s="99"/>
      <c r="AF375" s="99"/>
      <c r="AG375" s="99"/>
      <c r="AH375" s="99">
        <f>4+1</f>
        <v>5</v>
      </c>
      <c r="AI375" s="99"/>
      <c r="AJ375" s="99"/>
      <c r="AK375" s="99"/>
      <c r="AL375" s="99">
        <f>18+3</f>
        <v>21</v>
      </c>
      <c r="AM375" s="99"/>
      <c r="AN375" s="99"/>
      <c r="AO375" s="99"/>
      <c r="AP375" s="99">
        <f>36</f>
        <v>36</v>
      </c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22">
        <f t="shared" si="122"/>
        <v>68</v>
      </c>
      <c r="BC375" s="23">
        <v>166</v>
      </c>
      <c r="BD375" s="130">
        <f t="shared" si="123"/>
        <v>68</v>
      </c>
      <c r="BE375" s="130">
        <f t="shared" si="124"/>
        <v>166</v>
      </c>
      <c r="BF375" s="195">
        <f t="shared" si="125"/>
        <v>40.963855421686745</v>
      </c>
      <c r="BG375" s="373">
        <f>BE375-BD375</f>
        <v>98</v>
      </c>
    </row>
    <row r="376" spans="1:59" s="21" customFormat="1" ht="15.95" customHeight="1">
      <c r="A376" s="163">
        <v>119</v>
      </c>
      <c r="B376" s="9" t="s">
        <v>655</v>
      </c>
      <c r="C376" s="11" t="s">
        <v>656</v>
      </c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22">
        <f t="shared" si="121"/>
        <v>0</v>
      </c>
      <c r="AC376" s="25">
        <v>0</v>
      </c>
      <c r="AD376" s="99"/>
      <c r="AE376" s="99"/>
      <c r="AF376" s="99"/>
      <c r="AG376" s="99"/>
      <c r="AH376" s="99">
        <v>12</v>
      </c>
      <c r="AI376" s="99"/>
      <c r="AJ376" s="99"/>
      <c r="AK376" s="99"/>
      <c r="AL376" s="99">
        <v>33</v>
      </c>
      <c r="AM376" s="99"/>
      <c r="AN376" s="99"/>
      <c r="AO376" s="99"/>
      <c r="AP376" s="99">
        <f>48</f>
        <v>48</v>
      </c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22">
        <f t="shared" si="122"/>
        <v>93</v>
      </c>
      <c r="BC376" s="23">
        <v>87</v>
      </c>
      <c r="BD376" s="130">
        <f t="shared" si="123"/>
        <v>93</v>
      </c>
      <c r="BE376" s="130">
        <f t="shared" si="124"/>
        <v>87</v>
      </c>
      <c r="BF376" s="195">
        <f t="shared" si="125"/>
        <v>106.89655172413792</v>
      </c>
      <c r="BG376" s="373">
        <f>BE376-BD376</f>
        <v>-6</v>
      </c>
    </row>
    <row r="377" spans="1:59" s="21" customFormat="1" ht="15.95" customHeight="1">
      <c r="A377" s="163">
        <v>120</v>
      </c>
      <c r="B377" s="9" t="s">
        <v>3907</v>
      </c>
      <c r="C377" s="11" t="s">
        <v>3908</v>
      </c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22">
        <f t="shared" si="121"/>
        <v>0</v>
      </c>
      <c r="AC377" s="25">
        <v>0</v>
      </c>
      <c r="AD377" s="99"/>
      <c r="AE377" s="99"/>
      <c r="AF377" s="99"/>
      <c r="AG377" s="99"/>
      <c r="AH377" s="99"/>
      <c r="AI377" s="99"/>
      <c r="AJ377" s="99"/>
      <c r="AK377" s="99"/>
      <c r="AL377" s="99">
        <v>2</v>
      </c>
      <c r="AM377" s="99"/>
      <c r="AN377" s="99"/>
      <c r="AO377" s="99"/>
      <c r="AP377" s="99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22">
        <f t="shared" si="122"/>
        <v>2</v>
      </c>
      <c r="BC377" s="23">
        <v>0</v>
      </c>
      <c r="BD377" s="130">
        <f t="shared" si="123"/>
        <v>2</v>
      </c>
      <c r="BE377" s="130">
        <f t="shared" si="124"/>
        <v>0</v>
      </c>
      <c r="BF377" s="195" t="e">
        <f t="shared" si="125"/>
        <v>#DIV/0!</v>
      </c>
      <c r="BG377" s="373"/>
    </row>
    <row r="378" spans="1:59" s="21" customFormat="1" ht="15.95" customHeight="1">
      <c r="A378" s="163">
        <v>121</v>
      </c>
      <c r="B378" s="9" t="s">
        <v>2487</v>
      </c>
      <c r="C378" s="11" t="s">
        <v>2488</v>
      </c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22">
        <f t="shared" si="121"/>
        <v>0</v>
      </c>
      <c r="AC378" s="25">
        <v>0</v>
      </c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2">
        <f t="shared" si="122"/>
        <v>0</v>
      </c>
      <c r="BC378" s="23">
        <v>1</v>
      </c>
      <c r="BD378" s="130">
        <f t="shared" si="123"/>
        <v>0</v>
      </c>
      <c r="BE378" s="130">
        <f t="shared" si="124"/>
        <v>1</v>
      </c>
      <c r="BF378" s="195">
        <f t="shared" si="125"/>
        <v>0</v>
      </c>
      <c r="BG378" s="373">
        <f t="shared" ref="BG378:BG398" si="128">BE378-BD378</f>
        <v>1</v>
      </c>
    </row>
    <row r="379" spans="1:59" s="21" customFormat="1" ht="15.95" customHeight="1">
      <c r="A379" s="163">
        <v>122</v>
      </c>
      <c r="B379" s="9" t="s">
        <v>3303</v>
      </c>
      <c r="C379" s="11" t="s">
        <v>2488</v>
      </c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22">
        <f t="shared" si="121"/>
        <v>0</v>
      </c>
      <c r="AC379" s="25">
        <v>0</v>
      </c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>
        <f>1+1</f>
        <v>2</v>
      </c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2">
        <f t="shared" si="122"/>
        <v>2</v>
      </c>
      <c r="BC379" s="23">
        <v>2</v>
      </c>
      <c r="BD379" s="130">
        <f t="shared" si="123"/>
        <v>2</v>
      </c>
      <c r="BE379" s="130">
        <f t="shared" si="124"/>
        <v>2</v>
      </c>
      <c r="BF379" s="195">
        <f t="shared" si="125"/>
        <v>100</v>
      </c>
      <c r="BG379" s="373">
        <f t="shared" si="128"/>
        <v>0</v>
      </c>
    </row>
    <row r="380" spans="1:59" s="21" customFormat="1" ht="15.95" customHeight="1">
      <c r="A380" s="163">
        <v>123</v>
      </c>
      <c r="B380" s="9" t="s">
        <v>2409</v>
      </c>
      <c r="C380" s="16" t="s">
        <v>2410</v>
      </c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22">
        <f t="shared" si="121"/>
        <v>0</v>
      </c>
      <c r="AC380" s="25">
        <v>0</v>
      </c>
      <c r="AD380" s="24"/>
      <c r="AE380" s="24"/>
      <c r="AF380" s="24"/>
      <c r="AG380" s="24"/>
      <c r="AH380" s="24"/>
      <c r="AI380" s="24"/>
      <c r="AJ380" s="24"/>
      <c r="AK380" s="24"/>
      <c r="AL380" s="24">
        <v>1</v>
      </c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2">
        <f t="shared" si="122"/>
        <v>1</v>
      </c>
      <c r="BC380" s="23">
        <v>1</v>
      </c>
      <c r="BD380" s="130">
        <f t="shared" si="123"/>
        <v>1</v>
      </c>
      <c r="BE380" s="130">
        <f t="shared" si="124"/>
        <v>1</v>
      </c>
      <c r="BF380" s="195">
        <f t="shared" si="125"/>
        <v>100</v>
      </c>
      <c r="BG380" s="373">
        <f t="shared" si="128"/>
        <v>0</v>
      </c>
    </row>
    <row r="381" spans="1:59" s="21" customFormat="1" ht="15.95" customHeight="1">
      <c r="A381" s="163">
        <v>124</v>
      </c>
      <c r="B381" s="9" t="s">
        <v>2489</v>
      </c>
      <c r="C381" s="16" t="s">
        <v>2490</v>
      </c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22">
        <f t="shared" si="121"/>
        <v>0</v>
      </c>
      <c r="AC381" s="25">
        <v>0</v>
      </c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>
        <f>2+2</f>
        <v>4</v>
      </c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2">
        <f t="shared" si="122"/>
        <v>4</v>
      </c>
      <c r="BC381" s="23">
        <v>1</v>
      </c>
      <c r="BD381" s="130">
        <f t="shared" si="123"/>
        <v>4</v>
      </c>
      <c r="BE381" s="130">
        <f t="shared" si="124"/>
        <v>1</v>
      </c>
      <c r="BF381" s="195">
        <f t="shared" si="125"/>
        <v>400</v>
      </c>
      <c r="BG381" s="373">
        <f t="shared" si="128"/>
        <v>-3</v>
      </c>
    </row>
    <row r="382" spans="1:59" s="21" customFormat="1" ht="15.95" customHeight="1">
      <c r="A382" s="163">
        <v>125</v>
      </c>
      <c r="B382" s="9" t="s">
        <v>3331</v>
      </c>
      <c r="C382" s="11" t="s">
        <v>3332</v>
      </c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22">
        <f t="shared" si="121"/>
        <v>0</v>
      </c>
      <c r="AC382" s="25">
        <v>0</v>
      </c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2">
        <f t="shared" si="122"/>
        <v>0</v>
      </c>
      <c r="BC382" s="23">
        <f>2+1</f>
        <v>3</v>
      </c>
      <c r="BD382" s="130">
        <f t="shared" si="123"/>
        <v>0</v>
      </c>
      <c r="BE382" s="130">
        <f t="shared" si="124"/>
        <v>3</v>
      </c>
      <c r="BF382" s="195">
        <f t="shared" si="125"/>
        <v>0</v>
      </c>
      <c r="BG382" s="373">
        <f t="shared" si="128"/>
        <v>3</v>
      </c>
    </row>
    <row r="383" spans="1:59" s="21" customFormat="1" ht="15.95" customHeight="1">
      <c r="A383" s="163">
        <v>126</v>
      </c>
      <c r="B383" s="9" t="s">
        <v>2855</v>
      </c>
      <c r="C383" s="11" t="s">
        <v>2856</v>
      </c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22">
        <f t="shared" si="121"/>
        <v>0</v>
      </c>
      <c r="AC383" s="25">
        <v>0</v>
      </c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2">
        <f t="shared" si="122"/>
        <v>0</v>
      </c>
      <c r="BC383" s="23">
        <v>1</v>
      </c>
      <c r="BD383" s="130">
        <f t="shared" si="123"/>
        <v>0</v>
      </c>
      <c r="BE383" s="130">
        <f t="shared" si="124"/>
        <v>1</v>
      </c>
      <c r="BF383" s="195">
        <f t="shared" si="125"/>
        <v>0</v>
      </c>
      <c r="BG383" s="373">
        <f t="shared" si="128"/>
        <v>1</v>
      </c>
    </row>
    <row r="384" spans="1:59" s="21" customFormat="1" ht="15.95" customHeight="1">
      <c r="A384" s="163">
        <v>127</v>
      </c>
      <c r="B384" s="9" t="s">
        <v>2117</v>
      </c>
      <c r="C384" s="11" t="s">
        <v>2118</v>
      </c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22">
        <f t="shared" si="121"/>
        <v>0</v>
      </c>
      <c r="AC384" s="25">
        <v>0</v>
      </c>
      <c r="AD384" s="24"/>
      <c r="AE384" s="24"/>
      <c r="AF384" s="24"/>
      <c r="AG384" s="24"/>
      <c r="AH384" s="24"/>
      <c r="AI384" s="24"/>
      <c r="AJ384" s="24"/>
      <c r="AK384" s="24"/>
      <c r="AL384" s="24">
        <v>1</v>
      </c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2">
        <f t="shared" si="122"/>
        <v>1</v>
      </c>
      <c r="BC384" s="23">
        <v>3</v>
      </c>
      <c r="BD384" s="130">
        <f t="shared" si="123"/>
        <v>1</v>
      </c>
      <c r="BE384" s="130">
        <f t="shared" si="124"/>
        <v>3</v>
      </c>
      <c r="BF384" s="195">
        <f t="shared" si="125"/>
        <v>33.333333333333329</v>
      </c>
      <c r="BG384" s="373">
        <f t="shared" si="128"/>
        <v>2</v>
      </c>
    </row>
    <row r="385" spans="1:59" s="21" customFormat="1" ht="15.95" customHeight="1">
      <c r="A385" s="163">
        <v>128</v>
      </c>
      <c r="B385" s="415" t="s">
        <v>3038</v>
      </c>
      <c r="C385" s="412" t="s">
        <v>3039</v>
      </c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22">
        <f t="shared" si="121"/>
        <v>0</v>
      </c>
      <c r="AC385" s="25">
        <v>0</v>
      </c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2">
        <f t="shared" si="122"/>
        <v>0</v>
      </c>
      <c r="BC385" s="23">
        <v>6</v>
      </c>
      <c r="BD385" s="130">
        <f t="shared" si="123"/>
        <v>0</v>
      </c>
      <c r="BE385" s="130">
        <f t="shared" si="124"/>
        <v>6</v>
      </c>
      <c r="BF385" s="195">
        <f t="shared" si="125"/>
        <v>0</v>
      </c>
      <c r="BG385" s="373">
        <f t="shared" si="128"/>
        <v>6</v>
      </c>
    </row>
    <row r="386" spans="1:59" s="21" customFormat="1" ht="15.95" customHeight="1">
      <c r="A386" s="163">
        <v>129</v>
      </c>
      <c r="B386" s="9" t="s">
        <v>218</v>
      </c>
      <c r="C386" s="11" t="s">
        <v>219</v>
      </c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22">
        <f t="shared" ref="AB386:AB449" si="129">SUM(D386:AA386)</f>
        <v>0</v>
      </c>
      <c r="AC386" s="25">
        <v>0</v>
      </c>
      <c r="AD386" s="24"/>
      <c r="AE386" s="24"/>
      <c r="AF386" s="24"/>
      <c r="AG386" s="24"/>
      <c r="AH386" s="24"/>
      <c r="AI386" s="24"/>
      <c r="AJ386" s="24"/>
      <c r="AK386" s="24"/>
      <c r="AL386" s="24">
        <v>2</v>
      </c>
      <c r="AM386" s="24"/>
      <c r="AN386" s="24"/>
      <c r="AO386" s="24"/>
      <c r="AP386" s="24">
        <f>7</f>
        <v>7</v>
      </c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2">
        <f t="shared" ref="BB386:BB449" si="130">SUM(AD386:BA386)</f>
        <v>9</v>
      </c>
      <c r="BC386" s="23">
        <v>10</v>
      </c>
      <c r="BD386" s="130">
        <f t="shared" ref="BD386:BD449" si="131">AB386+BB386</f>
        <v>9</v>
      </c>
      <c r="BE386" s="130">
        <f t="shared" ref="BE386:BE449" si="132">AC386+BC386</f>
        <v>10</v>
      </c>
      <c r="BF386" s="195">
        <f t="shared" ref="BF386:BF449" si="133">BD386/BE386*100</f>
        <v>90</v>
      </c>
      <c r="BG386" s="373">
        <f t="shared" si="128"/>
        <v>1</v>
      </c>
    </row>
    <row r="387" spans="1:59" s="21" customFormat="1" ht="15.95" customHeight="1">
      <c r="A387" s="163">
        <v>130</v>
      </c>
      <c r="B387" s="9" t="s">
        <v>2562</v>
      </c>
      <c r="C387" s="11" t="s">
        <v>2566</v>
      </c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22">
        <f t="shared" si="129"/>
        <v>0</v>
      </c>
      <c r="AC387" s="25">
        <v>0</v>
      </c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2">
        <f t="shared" si="130"/>
        <v>0</v>
      </c>
      <c r="BC387" s="23">
        <v>3</v>
      </c>
      <c r="BD387" s="130">
        <f t="shared" si="131"/>
        <v>0</v>
      </c>
      <c r="BE387" s="130">
        <f t="shared" si="132"/>
        <v>3</v>
      </c>
      <c r="BF387" s="195">
        <f t="shared" si="133"/>
        <v>0</v>
      </c>
      <c r="BG387" s="373">
        <f t="shared" si="128"/>
        <v>3</v>
      </c>
    </row>
    <row r="388" spans="1:59" s="21" customFormat="1" ht="15.95" customHeight="1">
      <c r="A388" s="163">
        <v>131</v>
      </c>
      <c r="B388" s="9" t="s">
        <v>220</v>
      </c>
      <c r="C388" s="11" t="s">
        <v>221</v>
      </c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22">
        <f t="shared" si="129"/>
        <v>0</v>
      </c>
      <c r="AC388" s="25">
        <v>0</v>
      </c>
      <c r="AD388" s="24"/>
      <c r="AE388" s="24"/>
      <c r="AF388" s="24"/>
      <c r="AG388" s="24"/>
      <c r="AH388" s="24"/>
      <c r="AI388" s="24"/>
      <c r="AJ388" s="24"/>
      <c r="AK388" s="24"/>
      <c r="AL388" s="24">
        <v>2</v>
      </c>
      <c r="AM388" s="24"/>
      <c r="AN388" s="24"/>
      <c r="AO388" s="24"/>
      <c r="AP388" s="24">
        <f>1+1</f>
        <v>2</v>
      </c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2">
        <f t="shared" si="130"/>
        <v>4</v>
      </c>
      <c r="BC388" s="23">
        <v>5</v>
      </c>
      <c r="BD388" s="130">
        <f t="shared" si="131"/>
        <v>4</v>
      </c>
      <c r="BE388" s="130">
        <f t="shared" si="132"/>
        <v>5</v>
      </c>
      <c r="BF388" s="195">
        <f t="shared" si="133"/>
        <v>80</v>
      </c>
      <c r="BG388" s="373">
        <f t="shared" si="128"/>
        <v>1</v>
      </c>
    </row>
    <row r="389" spans="1:59" s="21" customFormat="1" ht="15.95" customHeight="1">
      <c r="A389" s="163">
        <v>132</v>
      </c>
      <c r="B389" s="9" t="s">
        <v>2192</v>
      </c>
      <c r="C389" s="11" t="s">
        <v>2193</v>
      </c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22">
        <f t="shared" si="129"/>
        <v>0</v>
      </c>
      <c r="AC389" s="25">
        <v>0</v>
      </c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2">
        <f t="shared" si="130"/>
        <v>0</v>
      </c>
      <c r="BC389" s="23">
        <v>1</v>
      </c>
      <c r="BD389" s="130">
        <f t="shared" si="131"/>
        <v>0</v>
      </c>
      <c r="BE389" s="130">
        <f t="shared" si="132"/>
        <v>1</v>
      </c>
      <c r="BF389" s="195">
        <f t="shared" si="133"/>
        <v>0</v>
      </c>
      <c r="BG389" s="373">
        <f t="shared" si="128"/>
        <v>1</v>
      </c>
    </row>
    <row r="390" spans="1:59" s="21" customFormat="1" ht="15.95" customHeight="1">
      <c r="A390" s="163">
        <v>133</v>
      </c>
      <c r="B390" s="9" t="s">
        <v>222</v>
      </c>
      <c r="C390" s="10" t="s">
        <v>223</v>
      </c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22">
        <f t="shared" si="129"/>
        <v>0</v>
      </c>
      <c r="AC390" s="25">
        <v>0</v>
      </c>
      <c r="AD390" s="99"/>
      <c r="AE390" s="99"/>
      <c r="AF390" s="99"/>
      <c r="AG390" s="99"/>
      <c r="AH390" s="99">
        <f>26+1</f>
        <v>27</v>
      </c>
      <c r="AI390" s="99"/>
      <c r="AJ390" s="99"/>
      <c r="AK390" s="99"/>
      <c r="AL390" s="99">
        <v>147</v>
      </c>
      <c r="AM390" s="99"/>
      <c r="AN390" s="99"/>
      <c r="AO390" s="99"/>
      <c r="AP390" s="99">
        <f>36</f>
        <v>36</v>
      </c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22">
        <f t="shared" si="130"/>
        <v>210</v>
      </c>
      <c r="BC390" s="23">
        <v>351</v>
      </c>
      <c r="BD390" s="130">
        <f t="shared" si="131"/>
        <v>210</v>
      </c>
      <c r="BE390" s="130">
        <f t="shared" si="132"/>
        <v>351</v>
      </c>
      <c r="BF390" s="195">
        <f t="shared" si="133"/>
        <v>59.82905982905983</v>
      </c>
      <c r="BG390" s="373">
        <f t="shared" si="128"/>
        <v>141</v>
      </c>
    </row>
    <row r="391" spans="1:59" s="21" customFormat="1" ht="15.95" customHeight="1">
      <c r="A391" s="163">
        <v>134</v>
      </c>
      <c r="B391" s="9" t="s">
        <v>224</v>
      </c>
      <c r="C391" s="10" t="s">
        <v>225</v>
      </c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22">
        <f t="shared" si="129"/>
        <v>0</v>
      </c>
      <c r="AC391" s="25">
        <v>0</v>
      </c>
      <c r="AD391" s="99"/>
      <c r="AE391" s="99"/>
      <c r="AF391" s="99"/>
      <c r="AG391" s="99"/>
      <c r="AH391" s="99">
        <v>2</v>
      </c>
      <c r="AI391" s="99"/>
      <c r="AJ391" s="99"/>
      <c r="AK391" s="99"/>
      <c r="AL391" s="99">
        <v>9</v>
      </c>
      <c r="AM391" s="99"/>
      <c r="AN391" s="99"/>
      <c r="AO391" s="99"/>
      <c r="AP391" s="99">
        <f>7</f>
        <v>7</v>
      </c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22">
        <f t="shared" si="130"/>
        <v>18</v>
      </c>
      <c r="BC391" s="23">
        <v>47</v>
      </c>
      <c r="BD391" s="130">
        <f t="shared" si="131"/>
        <v>18</v>
      </c>
      <c r="BE391" s="130">
        <f t="shared" si="132"/>
        <v>47</v>
      </c>
      <c r="BF391" s="195">
        <f t="shared" si="133"/>
        <v>38.297872340425535</v>
      </c>
      <c r="BG391" s="373">
        <f t="shared" si="128"/>
        <v>29</v>
      </c>
    </row>
    <row r="392" spans="1:59" s="21" customFormat="1" ht="15.95" customHeight="1">
      <c r="A392" s="163">
        <v>135</v>
      </c>
      <c r="B392" s="9" t="s">
        <v>226</v>
      </c>
      <c r="C392" s="10" t="s">
        <v>227</v>
      </c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22">
        <f t="shared" si="129"/>
        <v>0</v>
      </c>
      <c r="AC392" s="25">
        <v>0</v>
      </c>
      <c r="AD392" s="24"/>
      <c r="AE392" s="24"/>
      <c r="AF392" s="24"/>
      <c r="AG392" s="24"/>
      <c r="AH392" s="24">
        <f>2+1</f>
        <v>3</v>
      </c>
      <c r="AI392" s="24"/>
      <c r="AJ392" s="24"/>
      <c r="AK392" s="24"/>
      <c r="AL392" s="24">
        <v>5</v>
      </c>
      <c r="AM392" s="24"/>
      <c r="AN392" s="24"/>
      <c r="AO392" s="24"/>
      <c r="AP392" s="24">
        <f>16</f>
        <v>16</v>
      </c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2">
        <f t="shared" si="130"/>
        <v>24</v>
      </c>
      <c r="BC392" s="23">
        <v>31</v>
      </c>
      <c r="BD392" s="130">
        <f t="shared" si="131"/>
        <v>24</v>
      </c>
      <c r="BE392" s="130">
        <f t="shared" si="132"/>
        <v>31</v>
      </c>
      <c r="BF392" s="195">
        <f t="shared" si="133"/>
        <v>77.41935483870968</v>
      </c>
      <c r="BG392" s="373">
        <f t="shared" si="128"/>
        <v>7</v>
      </c>
    </row>
    <row r="393" spans="1:59" s="21" customFormat="1" ht="15.95" customHeight="1">
      <c r="A393" s="163">
        <v>136</v>
      </c>
      <c r="B393" s="9" t="s">
        <v>228</v>
      </c>
      <c r="C393" s="11" t="s">
        <v>229</v>
      </c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22">
        <f t="shared" si="129"/>
        <v>0</v>
      </c>
      <c r="AC393" s="25">
        <v>0</v>
      </c>
      <c r="AD393" s="24"/>
      <c r="AE393" s="24"/>
      <c r="AF393" s="24"/>
      <c r="AG393" s="24"/>
      <c r="AH393" s="24">
        <v>3</v>
      </c>
      <c r="AI393" s="24"/>
      <c r="AJ393" s="24"/>
      <c r="AK393" s="24"/>
      <c r="AL393" s="24">
        <f>1+27</f>
        <v>28</v>
      </c>
      <c r="AM393" s="24"/>
      <c r="AN393" s="24"/>
      <c r="AO393" s="24"/>
      <c r="AP393" s="24">
        <f>2</f>
        <v>2</v>
      </c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2">
        <f t="shared" si="130"/>
        <v>33</v>
      </c>
      <c r="BC393" s="23">
        <v>63</v>
      </c>
      <c r="BD393" s="130">
        <f t="shared" si="131"/>
        <v>33</v>
      </c>
      <c r="BE393" s="130">
        <f t="shared" si="132"/>
        <v>63</v>
      </c>
      <c r="BF393" s="195">
        <f t="shared" si="133"/>
        <v>52.380952380952387</v>
      </c>
      <c r="BG393" s="373">
        <f t="shared" si="128"/>
        <v>30</v>
      </c>
    </row>
    <row r="394" spans="1:59" s="21" customFormat="1" ht="15.95" customHeight="1">
      <c r="A394" s="163">
        <v>137</v>
      </c>
      <c r="B394" s="9" t="s">
        <v>230</v>
      </c>
      <c r="C394" s="11" t="s">
        <v>231</v>
      </c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22">
        <f t="shared" si="129"/>
        <v>0</v>
      </c>
      <c r="AC394" s="25">
        <v>0</v>
      </c>
      <c r="AD394" s="24"/>
      <c r="AE394" s="24"/>
      <c r="AF394" s="24"/>
      <c r="AG394" s="24"/>
      <c r="AH394" s="24"/>
      <c r="AI394" s="24"/>
      <c r="AJ394" s="24"/>
      <c r="AK394" s="24"/>
      <c r="AL394" s="24">
        <v>1</v>
      </c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2">
        <f t="shared" si="130"/>
        <v>1</v>
      </c>
      <c r="BC394" s="23">
        <v>15</v>
      </c>
      <c r="BD394" s="130">
        <f t="shared" si="131"/>
        <v>1</v>
      </c>
      <c r="BE394" s="130">
        <f t="shared" si="132"/>
        <v>15</v>
      </c>
      <c r="BF394" s="195">
        <f t="shared" si="133"/>
        <v>6.666666666666667</v>
      </c>
      <c r="BG394" s="373">
        <f t="shared" si="128"/>
        <v>14</v>
      </c>
    </row>
    <row r="395" spans="1:59" s="21" customFormat="1" ht="15.95" customHeight="1">
      <c r="A395" s="163">
        <v>138</v>
      </c>
      <c r="B395" s="9" t="s">
        <v>232</v>
      </c>
      <c r="C395" s="11" t="s">
        <v>233</v>
      </c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22">
        <f t="shared" si="129"/>
        <v>0</v>
      </c>
      <c r="AC395" s="25">
        <v>0</v>
      </c>
      <c r="AD395" s="24"/>
      <c r="AE395" s="24"/>
      <c r="AF395" s="24"/>
      <c r="AG395" s="24"/>
      <c r="AH395" s="24">
        <v>1</v>
      </c>
      <c r="AI395" s="24"/>
      <c r="AJ395" s="24"/>
      <c r="AK395" s="24"/>
      <c r="AL395" s="24">
        <v>2</v>
      </c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2">
        <f t="shared" si="130"/>
        <v>3</v>
      </c>
      <c r="BC395" s="23">
        <v>4</v>
      </c>
      <c r="BD395" s="130">
        <f t="shared" si="131"/>
        <v>3</v>
      </c>
      <c r="BE395" s="130">
        <f t="shared" si="132"/>
        <v>4</v>
      </c>
      <c r="BF395" s="195">
        <f t="shared" si="133"/>
        <v>75</v>
      </c>
      <c r="BG395" s="373">
        <f t="shared" si="128"/>
        <v>1</v>
      </c>
    </row>
    <row r="396" spans="1:59" s="21" customFormat="1" ht="15.95" customHeight="1">
      <c r="A396" s="163">
        <v>139</v>
      </c>
      <c r="B396" s="9" t="s">
        <v>234</v>
      </c>
      <c r="C396" s="11" t="s">
        <v>235</v>
      </c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22">
        <f t="shared" si="129"/>
        <v>0</v>
      </c>
      <c r="AC396" s="25">
        <v>0</v>
      </c>
      <c r="AD396" s="24"/>
      <c r="AE396" s="24"/>
      <c r="AF396" s="24"/>
      <c r="AG396" s="24"/>
      <c r="AH396" s="24">
        <v>2</v>
      </c>
      <c r="AI396" s="24"/>
      <c r="AJ396" s="24"/>
      <c r="AK396" s="24"/>
      <c r="AL396" s="24">
        <v>1</v>
      </c>
      <c r="AM396" s="24"/>
      <c r="AN396" s="24"/>
      <c r="AO396" s="24"/>
      <c r="AP396" s="24">
        <f>1+1</f>
        <v>2</v>
      </c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2">
        <f t="shared" si="130"/>
        <v>5</v>
      </c>
      <c r="BC396" s="23">
        <v>8</v>
      </c>
      <c r="BD396" s="130">
        <f t="shared" si="131"/>
        <v>5</v>
      </c>
      <c r="BE396" s="130">
        <f t="shared" si="132"/>
        <v>8</v>
      </c>
      <c r="BF396" s="195">
        <f t="shared" si="133"/>
        <v>62.5</v>
      </c>
      <c r="BG396" s="373">
        <f t="shared" si="128"/>
        <v>3</v>
      </c>
    </row>
    <row r="397" spans="1:59" s="21" customFormat="1" ht="15.95" customHeight="1">
      <c r="A397" s="163">
        <v>140</v>
      </c>
      <c r="B397" s="9" t="s">
        <v>237</v>
      </c>
      <c r="C397" s="11" t="s">
        <v>238</v>
      </c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22">
        <f t="shared" si="129"/>
        <v>0</v>
      </c>
      <c r="AC397" s="25">
        <v>0</v>
      </c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2">
        <f t="shared" si="130"/>
        <v>0</v>
      </c>
      <c r="BC397" s="23">
        <v>1</v>
      </c>
      <c r="BD397" s="130">
        <f t="shared" si="131"/>
        <v>0</v>
      </c>
      <c r="BE397" s="130">
        <f t="shared" si="132"/>
        <v>1</v>
      </c>
      <c r="BF397" s="195">
        <f t="shared" si="133"/>
        <v>0</v>
      </c>
      <c r="BG397" s="373">
        <f t="shared" si="128"/>
        <v>1</v>
      </c>
    </row>
    <row r="398" spans="1:59" s="21" customFormat="1" ht="15.95" customHeight="1">
      <c r="A398" s="163">
        <v>141</v>
      </c>
      <c r="B398" s="9" t="s">
        <v>239</v>
      </c>
      <c r="C398" s="11" t="s">
        <v>240</v>
      </c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22">
        <f t="shared" si="129"/>
        <v>0</v>
      </c>
      <c r="AC398" s="25">
        <v>0</v>
      </c>
      <c r="AD398" s="24"/>
      <c r="AE398" s="24"/>
      <c r="AF398" s="24"/>
      <c r="AG398" s="24"/>
      <c r="AH398" s="24">
        <f>3+4</f>
        <v>7</v>
      </c>
      <c r="AI398" s="24"/>
      <c r="AJ398" s="24"/>
      <c r="AK398" s="24"/>
      <c r="AL398" s="24">
        <f>5+11</f>
        <v>16</v>
      </c>
      <c r="AM398" s="24"/>
      <c r="AN398" s="24"/>
      <c r="AO398" s="24"/>
      <c r="AP398" s="24">
        <f>6</f>
        <v>6</v>
      </c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2">
        <f t="shared" si="130"/>
        <v>29</v>
      </c>
      <c r="BC398" s="23">
        <v>72</v>
      </c>
      <c r="BD398" s="130">
        <f t="shared" si="131"/>
        <v>29</v>
      </c>
      <c r="BE398" s="130">
        <f t="shared" si="132"/>
        <v>72</v>
      </c>
      <c r="BF398" s="195">
        <f t="shared" si="133"/>
        <v>40.277777777777779</v>
      </c>
      <c r="BG398" s="373">
        <f t="shared" si="128"/>
        <v>43</v>
      </c>
    </row>
    <row r="399" spans="1:59" s="21" customFormat="1" ht="15.95" customHeight="1">
      <c r="A399" s="163">
        <v>142</v>
      </c>
      <c r="B399" s="9" t="s">
        <v>3941</v>
      </c>
      <c r="C399" s="11" t="s">
        <v>3942</v>
      </c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22">
        <f t="shared" si="129"/>
        <v>0</v>
      </c>
      <c r="AC399" s="25">
        <v>0</v>
      </c>
      <c r="AD399" s="24"/>
      <c r="AE399" s="24"/>
      <c r="AF399" s="24"/>
      <c r="AG399" s="24"/>
      <c r="AH399" s="24"/>
      <c r="AI399" s="24"/>
      <c r="AJ399" s="24"/>
      <c r="AK399" s="24"/>
      <c r="AL399" s="24">
        <v>1</v>
      </c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2">
        <f t="shared" si="130"/>
        <v>1</v>
      </c>
      <c r="BC399" s="23">
        <v>0</v>
      </c>
      <c r="BD399" s="130">
        <f t="shared" si="131"/>
        <v>1</v>
      </c>
      <c r="BE399" s="130">
        <f t="shared" si="132"/>
        <v>0</v>
      </c>
      <c r="BF399" s="195" t="e">
        <f t="shared" si="133"/>
        <v>#DIV/0!</v>
      </c>
      <c r="BG399" s="373"/>
    </row>
    <row r="400" spans="1:59" s="21" customFormat="1" ht="15.95" customHeight="1">
      <c r="A400" s="163">
        <v>143</v>
      </c>
      <c r="B400" s="9" t="s">
        <v>241</v>
      </c>
      <c r="C400" s="10" t="s">
        <v>242</v>
      </c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22">
        <f t="shared" si="129"/>
        <v>0</v>
      </c>
      <c r="AC400" s="25">
        <v>0</v>
      </c>
      <c r="AD400" s="24"/>
      <c r="AE400" s="24"/>
      <c r="AF400" s="24"/>
      <c r="AG400" s="24"/>
      <c r="AH400" s="24">
        <v>32</v>
      </c>
      <c r="AI400" s="24"/>
      <c r="AJ400" s="24"/>
      <c r="AK400" s="24"/>
      <c r="AL400" s="24">
        <f>125+4</f>
        <v>129</v>
      </c>
      <c r="AM400" s="24"/>
      <c r="AN400" s="24"/>
      <c r="AO400" s="24"/>
      <c r="AP400" s="24">
        <f>12</f>
        <v>12</v>
      </c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2">
        <f t="shared" si="130"/>
        <v>173</v>
      </c>
      <c r="BC400" s="23">
        <v>534</v>
      </c>
      <c r="BD400" s="130">
        <f t="shared" si="131"/>
        <v>173</v>
      </c>
      <c r="BE400" s="130">
        <f t="shared" si="132"/>
        <v>534</v>
      </c>
      <c r="BF400" s="195">
        <f t="shared" si="133"/>
        <v>32.397003745318351</v>
      </c>
      <c r="BG400" s="373">
        <f t="shared" ref="BG400:BG422" si="134">BE400-BD400</f>
        <v>361</v>
      </c>
    </row>
    <row r="401" spans="1:59" s="21" customFormat="1" ht="15.95" customHeight="1">
      <c r="A401" s="163">
        <v>144</v>
      </c>
      <c r="B401" s="296" t="s">
        <v>367</v>
      </c>
      <c r="C401" s="384" t="s">
        <v>2686</v>
      </c>
      <c r="D401" s="305"/>
      <c r="E401" s="305"/>
      <c r="F401" s="305"/>
      <c r="G401" s="305"/>
      <c r="H401" s="305"/>
      <c r="I401" s="305"/>
      <c r="J401" s="305"/>
      <c r="K401" s="305"/>
      <c r="L401" s="305"/>
      <c r="M401" s="305"/>
      <c r="N401" s="305"/>
      <c r="O401" s="305"/>
      <c r="P401" s="305"/>
      <c r="Q401" s="305"/>
      <c r="R401" s="305"/>
      <c r="S401" s="305"/>
      <c r="T401" s="305"/>
      <c r="U401" s="305"/>
      <c r="V401" s="305"/>
      <c r="W401" s="305"/>
      <c r="X401" s="305"/>
      <c r="Y401" s="305"/>
      <c r="Z401" s="305"/>
      <c r="AA401" s="305"/>
      <c r="AB401" s="306">
        <f t="shared" si="129"/>
        <v>0</v>
      </c>
      <c r="AC401" s="307">
        <v>0</v>
      </c>
      <c r="AD401" s="308"/>
      <c r="AE401" s="308"/>
      <c r="AF401" s="308"/>
      <c r="AG401" s="308"/>
      <c r="AH401" s="308"/>
      <c r="AI401" s="308"/>
      <c r="AJ401" s="308"/>
      <c r="AK401" s="308"/>
      <c r="AL401" s="308"/>
      <c r="AM401" s="308"/>
      <c r="AN401" s="308"/>
      <c r="AO401" s="308"/>
      <c r="AP401" s="308"/>
      <c r="AQ401" s="308"/>
      <c r="AR401" s="308"/>
      <c r="AS401" s="308"/>
      <c r="AT401" s="308"/>
      <c r="AU401" s="308"/>
      <c r="AV401" s="308"/>
      <c r="AW401" s="308"/>
      <c r="AX401" s="308"/>
      <c r="AY401" s="308"/>
      <c r="AZ401" s="308"/>
      <c r="BA401" s="308"/>
      <c r="BB401" s="306">
        <f t="shared" si="130"/>
        <v>0</v>
      </c>
      <c r="BC401" s="309">
        <v>1</v>
      </c>
      <c r="BD401" s="310">
        <f t="shared" si="131"/>
        <v>0</v>
      </c>
      <c r="BE401" s="310">
        <f t="shared" si="132"/>
        <v>1</v>
      </c>
      <c r="BF401" s="195">
        <f t="shared" si="133"/>
        <v>0</v>
      </c>
      <c r="BG401" s="373">
        <f t="shared" si="134"/>
        <v>1</v>
      </c>
    </row>
    <row r="402" spans="1:59" s="21" customFormat="1" ht="15.95" customHeight="1">
      <c r="A402" s="163">
        <v>145</v>
      </c>
      <c r="B402" s="9" t="s">
        <v>243</v>
      </c>
      <c r="C402" s="10" t="s">
        <v>242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22">
        <f t="shared" si="129"/>
        <v>0</v>
      </c>
      <c r="AC402" s="25">
        <v>0</v>
      </c>
      <c r="AD402" s="24"/>
      <c r="AE402" s="24"/>
      <c r="AF402" s="24"/>
      <c r="AG402" s="24"/>
      <c r="AH402" s="24"/>
      <c r="AI402" s="24"/>
      <c r="AJ402" s="24"/>
      <c r="AK402" s="24"/>
      <c r="AL402" s="24">
        <v>1</v>
      </c>
      <c r="AM402" s="24"/>
      <c r="AN402" s="24"/>
      <c r="AO402" s="24"/>
      <c r="AP402" s="24">
        <f>1+1</f>
        <v>2</v>
      </c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2">
        <f t="shared" si="130"/>
        <v>3</v>
      </c>
      <c r="BC402" s="23">
        <v>1</v>
      </c>
      <c r="BD402" s="310">
        <f t="shared" si="131"/>
        <v>3</v>
      </c>
      <c r="BE402" s="310">
        <f t="shared" si="132"/>
        <v>1</v>
      </c>
      <c r="BF402" s="195">
        <f t="shared" si="133"/>
        <v>300</v>
      </c>
      <c r="BG402" s="373">
        <f t="shared" si="134"/>
        <v>-2</v>
      </c>
    </row>
    <row r="403" spans="1:59" s="21" customFormat="1" ht="15.95" customHeight="1">
      <c r="A403" s="163">
        <v>146</v>
      </c>
      <c r="B403" s="9" t="s">
        <v>538</v>
      </c>
      <c r="C403" s="10" t="s">
        <v>1948</v>
      </c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22">
        <f t="shared" si="129"/>
        <v>0</v>
      </c>
      <c r="AC403" s="25">
        <v>0</v>
      </c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>
        <f>1+1</f>
        <v>2</v>
      </c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2">
        <f t="shared" si="130"/>
        <v>2</v>
      </c>
      <c r="BC403" s="23">
        <v>2</v>
      </c>
      <c r="BD403" s="130">
        <f t="shared" si="131"/>
        <v>2</v>
      </c>
      <c r="BE403" s="130">
        <f t="shared" si="132"/>
        <v>2</v>
      </c>
      <c r="BF403" s="195">
        <f t="shared" si="133"/>
        <v>100</v>
      </c>
      <c r="BG403" s="373">
        <f t="shared" si="134"/>
        <v>0</v>
      </c>
    </row>
    <row r="404" spans="1:59" s="21" customFormat="1" ht="15.95" customHeight="1">
      <c r="A404" s="163">
        <v>147</v>
      </c>
      <c r="B404" s="9" t="s">
        <v>2940</v>
      </c>
      <c r="C404" s="10" t="s">
        <v>2942</v>
      </c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22">
        <f t="shared" si="129"/>
        <v>0</v>
      </c>
      <c r="AC404" s="25">
        <v>0</v>
      </c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2">
        <f t="shared" si="130"/>
        <v>0</v>
      </c>
      <c r="BC404" s="23">
        <v>1</v>
      </c>
      <c r="BD404" s="130">
        <f t="shared" si="131"/>
        <v>0</v>
      </c>
      <c r="BE404" s="130">
        <f t="shared" si="132"/>
        <v>1</v>
      </c>
      <c r="BF404" s="195">
        <f t="shared" si="133"/>
        <v>0</v>
      </c>
      <c r="BG404" s="373">
        <f t="shared" si="134"/>
        <v>1</v>
      </c>
    </row>
    <row r="405" spans="1:59" s="21" customFormat="1" ht="15.95" customHeight="1">
      <c r="A405" s="163">
        <v>148</v>
      </c>
      <c r="B405" s="9" t="s">
        <v>244</v>
      </c>
      <c r="C405" s="10" t="s">
        <v>245</v>
      </c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22">
        <f t="shared" si="129"/>
        <v>0</v>
      </c>
      <c r="AC405" s="25">
        <v>0</v>
      </c>
      <c r="AD405" s="24"/>
      <c r="AE405" s="24"/>
      <c r="AF405" s="24"/>
      <c r="AG405" s="24"/>
      <c r="AH405" s="24"/>
      <c r="AI405" s="24"/>
      <c r="AJ405" s="24"/>
      <c r="AK405" s="24"/>
      <c r="AL405" s="24">
        <v>1</v>
      </c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2">
        <f t="shared" si="130"/>
        <v>1</v>
      </c>
      <c r="BC405" s="23">
        <v>2</v>
      </c>
      <c r="BD405" s="130">
        <f t="shared" si="131"/>
        <v>1</v>
      </c>
      <c r="BE405" s="130">
        <f t="shared" si="132"/>
        <v>2</v>
      </c>
      <c r="BF405" s="195">
        <f t="shared" si="133"/>
        <v>50</v>
      </c>
      <c r="BG405" s="373">
        <f t="shared" si="134"/>
        <v>1</v>
      </c>
    </row>
    <row r="406" spans="1:59" s="21" customFormat="1" ht="15.95" customHeight="1">
      <c r="A406" s="163">
        <v>149</v>
      </c>
      <c r="B406" s="9" t="s">
        <v>3398</v>
      </c>
      <c r="C406" s="11" t="s">
        <v>3399</v>
      </c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22">
        <f t="shared" si="129"/>
        <v>0</v>
      </c>
      <c r="AC406" s="25">
        <v>0</v>
      </c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2">
        <f t="shared" si="130"/>
        <v>0</v>
      </c>
      <c r="BC406" s="23">
        <v>1</v>
      </c>
      <c r="BD406" s="130">
        <f t="shared" si="131"/>
        <v>0</v>
      </c>
      <c r="BE406" s="130">
        <f t="shared" si="132"/>
        <v>1</v>
      </c>
      <c r="BF406" s="195">
        <f t="shared" si="133"/>
        <v>0</v>
      </c>
      <c r="BG406" s="373">
        <f t="shared" si="134"/>
        <v>1</v>
      </c>
    </row>
    <row r="407" spans="1:59" s="21" customFormat="1" ht="15.95" customHeight="1">
      <c r="A407" s="163">
        <v>150</v>
      </c>
      <c r="B407" s="9" t="s">
        <v>246</v>
      </c>
      <c r="C407" s="10" t="s">
        <v>247</v>
      </c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22">
        <f t="shared" si="129"/>
        <v>0</v>
      </c>
      <c r="AC407" s="25">
        <v>0</v>
      </c>
      <c r="AD407" s="24"/>
      <c r="AE407" s="24"/>
      <c r="AF407" s="24"/>
      <c r="AG407" s="24"/>
      <c r="AH407" s="24"/>
      <c r="AI407" s="24"/>
      <c r="AJ407" s="24"/>
      <c r="AK407" s="24"/>
      <c r="AL407" s="24">
        <f>1+1</f>
        <v>2</v>
      </c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2">
        <f t="shared" si="130"/>
        <v>2</v>
      </c>
      <c r="BC407" s="23">
        <v>2</v>
      </c>
      <c r="BD407" s="130">
        <f t="shared" si="131"/>
        <v>2</v>
      </c>
      <c r="BE407" s="130">
        <f t="shared" si="132"/>
        <v>2</v>
      </c>
      <c r="BF407" s="195">
        <f t="shared" si="133"/>
        <v>100</v>
      </c>
      <c r="BG407" s="373">
        <f t="shared" si="134"/>
        <v>0</v>
      </c>
    </row>
    <row r="408" spans="1:59" s="21" customFormat="1" ht="15.95" customHeight="1">
      <c r="A408" s="163">
        <v>151</v>
      </c>
      <c r="B408" s="9" t="s">
        <v>19</v>
      </c>
      <c r="C408" s="10" t="s">
        <v>2491</v>
      </c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22">
        <f t="shared" si="129"/>
        <v>0</v>
      </c>
      <c r="AC408" s="25">
        <v>0</v>
      </c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2">
        <f t="shared" si="130"/>
        <v>0</v>
      </c>
      <c r="BC408" s="23">
        <v>1</v>
      </c>
      <c r="BD408" s="130">
        <f t="shared" si="131"/>
        <v>0</v>
      </c>
      <c r="BE408" s="130">
        <f t="shared" si="132"/>
        <v>1</v>
      </c>
      <c r="BF408" s="195">
        <f t="shared" si="133"/>
        <v>0</v>
      </c>
      <c r="BG408" s="373">
        <f t="shared" si="134"/>
        <v>1</v>
      </c>
    </row>
    <row r="409" spans="1:59" s="21" customFormat="1" ht="15.95" customHeight="1">
      <c r="A409" s="163">
        <v>152</v>
      </c>
      <c r="B409" s="9" t="s">
        <v>2962</v>
      </c>
      <c r="C409" s="10" t="s">
        <v>2963</v>
      </c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22">
        <f t="shared" si="129"/>
        <v>0</v>
      </c>
      <c r="AC409" s="25">
        <v>0</v>
      </c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2">
        <f t="shared" si="130"/>
        <v>0</v>
      </c>
      <c r="BC409" s="23">
        <v>1</v>
      </c>
      <c r="BD409" s="130">
        <f t="shared" si="131"/>
        <v>0</v>
      </c>
      <c r="BE409" s="130">
        <f t="shared" si="132"/>
        <v>1</v>
      </c>
      <c r="BF409" s="195">
        <f t="shared" si="133"/>
        <v>0</v>
      </c>
      <c r="BG409" s="373">
        <f t="shared" si="134"/>
        <v>1</v>
      </c>
    </row>
    <row r="410" spans="1:59" s="21" customFormat="1" ht="15.95" customHeight="1">
      <c r="A410" s="163">
        <v>153</v>
      </c>
      <c r="B410" s="9" t="s">
        <v>248</v>
      </c>
      <c r="C410" s="10" t="s">
        <v>249</v>
      </c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22">
        <f t="shared" si="129"/>
        <v>0</v>
      </c>
      <c r="AC410" s="25">
        <v>0</v>
      </c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>
        <f>2+2</f>
        <v>4</v>
      </c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2">
        <f t="shared" si="130"/>
        <v>4</v>
      </c>
      <c r="BC410" s="23">
        <v>1</v>
      </c>
      <c r="BD410" s="130">
        <f t="shared" si="131"/>
        <v>4</v>
      </c>
      <c r="BE410" s="130">
        <f t="shared" si="132"/>
        <v>1</v>
      </c>
      <c r="BF410" s="195">
        <f t="shared" si="133"/>
        <v>400</v>
      </c>
      <c r="BG410" s="373">
        <f t="shared" si="134"/>
        <v>-3</v>
      </c>
    </row>
    <row r="411" spans="1:59" s="21" customFormat="1" ht="15.95" customHeight="1">
      <c r="A411" s="163">
        <v>154</v>
      </c>
      <c r="B411" s="9" t="s">
        <v>2167</v>
      </c>
      <c r="C411" s="11" t="s">
        <v>2168</v>
      </c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22">
        <f t="shared" si="129"/>
        <v>0</v>
      </c>
      <c r="AC411" s="25">
        <v>0</v>
      </c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2">
        <f t="shared" si="130"/>
        <v>0</v>
      </c>
      <c r="BC411" s="23">
        <v>1</v>
      </c>
      <c r="BD411" s="130">
        <f t="shared" si="131"/>
        <v>0</v>
      </c>
      <c r="BE411" s="130">
        <f t="shared" si="132"/>
        <v>1</v>
      </c>
      <c r="BF411" s="195">
        <f t="shared" si="133"/>
        <v>0</v>
      </c>
      <c r="BG411" s="373">
        <f t="shared" si="134"/>
        <v>1</v>
      </c>
    </row>
    <row r="412" spans="1:59" s="21" customFormat="1" ht="15.95" customHeight="1">
      <c r="A412" s="163">
        <v>155</v>
      </c>
      <c r="B412" s="9" t="s">
        <v>250</v>
      </c>
      <c r="C412" s="10" t="s">
        <v>251</v>
      </c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22">
        <f t="shared" si="129"/>
        <v>0</v>
      </c>
      <c r="AC412" s="25">
        <v>0</v>
      </c>
      <c r="AD412" s="99"/>
      <c r="AE412" s="99"/>
      <c r="AF412" s="99"/>
      <c r="AG412" s="99"/>
      <c r="AH412" s="99"/>
      <c r="AI412" s="99"/>
      <c r="AJ412" s="99"/>
      <c r="AK412" s="99"/>
      <c r="AL412" s="99">
        <v>3</v>
      </c>
      <c r="AM412" s="99"/>
      <c r="AN412" s="99"/>
      <c r="AO412" s="99"/>
      <c r="AP412" s="99">
        <f>1+2+3</f>
        <v>6</v>
      </c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22">
        <f t="shared" si="130"/>
        <v>9</v>
      </c>
      <c r="BC412" s="23">
        <v>11</v>
      </c>
      <c r="BD412" s="130">
        <f t="shared" si="131"/>
        <v>9</v>
      </c>
      <c r="BE412" s="130">
        <f t="shared" si="132"/>
        <v>11</v>
      </c>
      <c r="BF412" s="195">
        <f t="shared" si="133"/>
        <v>81.818181818181827</v>
      </c>
      <c r="BG412" s="373">
        <f t="shared" si="134"/>
        <v>2</v>
      </c>
    </row>
    <row r="413" spans="1:59" s="21" customFormat="1" ht="15.95" customHeight="1">
      <c r="A413" s="163">
        <v>156</v>
      </c>
      <c r="B413" s="9" t="s">
        <v>1882</v>
      </c>
      <c r="C413" s="10" t="s">
        <v>3129</v>
      </c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22">
        <f t="shared" si="129"/>
        <v>0</v>
      </c>
      <c r="AC413" s="25">
        <v>0</v>
      </c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2">
        <f t="shared" si="130"/>
        <v>0</v>
      </c>
      <c r="BC413" s="23">
        <v>1</v>
      </c>
      <c r="BD413" s="130">
        <f t="shared" si="131"/>
        <v>0</v>
      </c>
      <c r="BE413" s="130">
        <f t="shared" si="132"/>
        <v>1</v>
      </c>
      <c r="BF413" s="195">
        <f t="shared" si="133"/>
        <v>0</v>
      </c>
      <c r="BG413" s="373">
        <f t="shared" si="134"/>
        <v>1</v>
      </c>
    </row>
    <row r="414" spans="1:59" s="21" customFormat="1" ht="15.95" customHeight="1">
      <c r="A414" s="163">
        <v>157</v>
      </c>
      <c r="B414" s="9" t="s">
        <v>252</v>
      </c>
      <c r="C414" s="11" t="s">
        <v>253</v>
      </c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22">
        <f t="shared" si="129"/>
        <v>0</v>
      </c>
      <c r="AC414" s="25">
        <v>0</v>
      </c>
      <c r="AD414" s="99"/>
      <c r="AE414" s="99"/>
      <c r="AF414" s="99"/>
      <c r="AG414" s="99"/>
      <c r="AH414" s="99"/>
      <c r="AI414" s="99"/>
      <c r="AJ414" s="99"/>
      <c r="AK414" s="99"/>
      <c r="AL414" s="99">
        <v>3</v>
      </c>
      <c r="AM414" s="99"/>
      <c r="AN414" s="99"/>
      <c r="AO414" s="99"/>
      <c r="AP414" s="99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22">
        <f t="shared" si="130"/>
        <v>3</v>
      </c>
      <c r="BC414" s="23">
        <v>36</v>
      </c>
      <c r="BD414" s="130">
        <f t="shared" si="131"/>
        <v>3</v>
      </c>
      <c r="BE414" s="130">
        <f t="shared" si="132"/>
        <v>36</v>
      </c>
      <c r="BF414" s="195">
        <f t="shared" si="133"/>
        <v>8.3333333333333321</v>
      </c>
      <c r="BG414" s="373">
        <f t="shared" si="134"/>
        <v>33</v>
      </c>
    </row>
    <row r="415" spans="1:59" s="21" customFormat="1" ht="15.95" customHeight="1">
      <c r="A415" s="163">
        <v>158</v>
      </c>
      <c r="B415" s="9" t="s">
        <v>2964</v>
      </c>
      <c r="C415" s="10" t="s">
        <v>2965</v>
      </c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22">
        <f t="shared" si="129"/>
        <v>0</v>
      </c>
      <c r="AC415" s="25">
        <v>0</v>
      </c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2">
        <f t="shared" si="130"/>
        <v>0</v>
      </c>
      <c r="BC415" s="23">
        <v>1</v>
      </c>
      <c r="BD415" s="130">
        <f t="shared" si="131"/>
        <v>0</v>
      </c>
      <c r="BE415" s="130">
        <f t="shared" si="132"/>
        <v>1</v>
      </c>
      <c r="BF415" s="195">
        <f t="shared" si="133"/>
        <v>0</v>
      </c>
      <c r="BG415" s="373">
        <f t="shared" si="134"/>
        <v>1</v>
      </c>
    </row>
    <row r="416" spans="1:59" s="21" customFormat="1" ht="15.95" customHeight="1">
      <c r="A416" s="163">
        <v>159</v>
      </c>
      <c r="B416" s="9" t="s">
        <v>657</v>
      </c>
      <c r="C416" s="11" t="s">
        <v>658</v>
      </c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22">
        <f t="shared" si="129"/>
        <v>0</v>
      </c>
      <c r="AC416" s="25">
        <v>0</v>
      </c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2">
        <f t="shared" si="130"/>
        <v>0</v>
      </c>
      <c r="BC416" s="23">
        <v>1</v>
      </c>
      <c r="BD416" s="130">
        <f t="shared" si="131"/>
        <v>0</v>
      </c>
      <c r="BE416" s="130">
        <f t="shared" si="132"/>
        <v>1</v>
      </c>
      <c r="BF416" s="195">
        <f t="shared" si="133"/>
        <v>0</v>
      </c>
      <c r="BG416" s="373">
        <f t="shared" si="134"/>
        <v>1</v>
      </c>
    </row>
    <row r="417" spans="1:59" s="21" customFormat="1" ht="15.95" customHeight="1">
      <c r="A417" s="163">
        <v>160</v>
      </c>
      <c r="B417" s="9" t="s">
        <v>254</v>
      </c>
      <c r="C417" s="10" t="s">
        <v>255</v>
      </c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22">
        <f t="shared" si="129"/>
        <v>0</v>
      </c>
      <c r="AC417" s="25">
        <v>0</v>
      </c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99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22">
        <f t="shared" si="130"/>
        <v>0</v>
      </c>
      <c r="BC417" s="23">
        <v>13</v>
      </c>
      <c r="BD417" s="130">
        <f t="shared" si="131"/>
        <v>0</v>
      </c>
      <c r="BE417" s="130">
        <f t="shared" si="132"/>
        <v>13</v>
      </c>
      <c r="BF417" s="195">
        <f t="shared" si="133"/>
        <v>0</v>
      </c>
      <c r="BG417" s="373">
        <f t="shared" si="134"/>
        <v>13</v>
      </c>
    </row>
    <row r="418" spans="1:59" s="21" customFormat="1" ht="15.95" customHeight="1">
      <c r="A418" s="163">
        <v>161</v>
      </c>
      <c r="B418" s="9" t="s">
        <v>256</v>
      </c>
      <c r="C418" s="10" t="s">
        <v>257</v>
      </c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22">
        <f t="shared" si="129"/>
        <v>0</v>
      </c>
      <c r="AC418" s="25">
        <v>0</v>
      </c>
      <c r="AD418" s="24"/>
      <c r="AE418" s="24"/>
      <c r="AF418" s="24"/>
      <c r="AG418" s="24"/>
      <c r="AH418" s="24"/>
      <c r="AI418" s="24"/>
      <c r="AJ418" s="24"/>
      <c r="AK418" s="24"/>
      <c r="AL418" s="24">
        <v>1</v>
      </c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2">
        <f t="shared" si="130"/>
        <v>1</v>
      </c>
      <c r="BC418" s="23">
        <v>2</v>
      </c>
      <c r="BD418" s="130">
        <f t="shared" si="131"/>
        <v>1</v>
      </c>
      <c r="BE418" s="130">
        <f t="shared" si="132"/>
        <v>2</v>
      </c>
      <c r="BF418" s="195">
        <f t="shared" si="133"/>
        <v>50</v>
      </c>
      <c r="BG418" s="373">
        <f t="shared" si="134"/>
        <v>1</v>
      </c>
    </row>
    <row r="419" spans="1:59" s="21" customFormat="1" ht="15.95" customHeight="1">
      <c r="A419" s="163">
        <v>162</v>
      </c>
      <c r="B419" s="9" t="s">
        <v>52</v>
      </c>
      <c r="C419" s="10" t="s">
        <v>53</v>
      </c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22">
        <f t="shared" si="129"/>
        <v>0</v>
      </c>
      <c r="AC419" s="25">
        <v>0</v>
      </c>
      <c r="AD419" s="99"/>
      <c r="AE419" s="99"/>
      <c r="AF419" s="99"/>
      <c r="AG419" s="99"/>
      <c r="AH419" s="99">
        <v>1</v>
      </c>
      <c r="AI419" s="99"/>
      <c r="AJ419" s="99"/>
      <c r="AK419" s="99"/>
      <c r="AL419" s="99">
        <v>4</v>
      </c>
      <c r="AM419" s="99"/>
      <c r="AN419" s="99"/>
      <c r="AO419" s="99"/>
      <c r="AP419" s="99">
        <f>5</f>
        <v>5</v>
      </c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22">
        <f t="shared" si="130"/>
        <v>10</v>
      </c>
      <c r="BC419" s="23">
        <v>13</v>
      </c>
      <c r="BD419" s="130">
        <f t="shared" si="131"/>
        <v>10</v>
      </c>
      <c r="BE419" s="130">
        <f t="shared" si="132"/>
        <v>13</v>
      </c>
      <c r="BF419" s="195">
        <f t="shared" si="133"/>
        <v>76.923076923076934</v>
      </c>
      <c r="BG419" s="373">
        <f t="shared" si="134"/>
        <v>3</v>
      </c>
    </row>
    <row r="420" spans="1:59" s="21" customFormat="1" ht="15.95" customHeight="1">
      <c r="A420" s="163">
        <v>163</v>
      </c>
      <c r="B420" s="9" t="s">
        <v>258</v>
      </c>
      <c r="C420" s="10" t="s">
        <v>259</v>
      </c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22">
        <f t="shared" si="129"/>
        <v>0</v>
      </c>
      <c r="AC420" s="25">
        <v>0</v>
      </c>
      <c r="AD420" s="99"/>
      <c r="AE420" s="99"/>
      <c r="AF420" s="99"/>
      <c r="AG420" s="99"/>
      <c r="AH420" s="99">
        <f>1+1</f>
        <v>2</v>
      </c>
      <c r="AI420" s="99"/>
      <c r="AJ420" s="99"/>
      <c r="AK420" s="99"/>
      <c r="AL420" s="99">
        <v>12</v>
      </c>
      <c r="AM420" s="99"/>
      <c r="AN420" s="99"/>
      <c r="AO420" s="99"/>
      <c r="AP420" s="99">
        <f>8</f>
        <v>8</v>
      </c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22">
        <f t="shared" si="130"/>
        <v>22</v>
      </c>
      <c r="BC420" s="23">
        <v>26</v>
      </c>
      <c r="BD420" s="130">
        <f t="shared" si="131"/>
        <v>22</v>
      </c>
      <c r="BE420" s="130">
        <f t="shared" si="132"/>
        <v>26</v>
      </c>
      <c r="BF420" s="195">
        <f t="shared" si="133"/>
        <v>84.615384615384613</v>
      </c>
      <c r="BG420" s="373">
        <f t="shared" si="134"/>
        <v>4</v>
      </c>
    </row>
    <row r="421" spans="1:59" s="21" customFormat="1" ht="15.95" customHeight="1">
      <c r="A421" s="163">
        <v>164</v>
      </c>
      <c r="B421" s="9" t="s">
        <v>659</v>
      </c>
      <c r="C421" s="10" t="s">
        <v>660</v>
      </c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22">
        <f t="shared" si="129"/>
        <v>0</v>
      </c>
      <c r="AC421" s="25">
        <v>0</v>
      </c>
      <c r="AD421" s="24"/>
      <c r="AE421" s="24"/>
      <c r="AF421" s="24"/>
      <c r="AG421" s="24"/>
      <c r="AH421" s="24"/>
      <c r="AI421" s="24"/>
      <c r="AJ421" s="24"/>
      <c r="AK421" s="24"/>
      <c r="AL421" s="24">
        <v>2</v>
      </c>
      <c r="AM421" s="24"/>
      <c r="AN421" s="24"/>
      <c r="AO421" s="24"/>
      <c r="AP421" s="24">
        <f>1+1</f>
        <v>2</v>
      </c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2">
        <f t="shared" si="130"/>
        <v>4</v>
      </c>
      <c r="BC421" s="23">
        <v>1</v>
      </c>
      <c r="BD421" s="130">
        <f t="shared" si="131"/>
        <v>4</v>
      </c>
      <c r="BE421" s="130">
        <f t="shared" si="132"/>
        <v>1</v>
      </c>
      <c r="BF421" s="195">
        <f t="shared" si="133"/>
        <v>400</v>
      </c>
      <c r="BG421" s="373">
        <f t="shared" si="134"/>
        <v>-3</v>
      </c>
    </row>
    <row r="422" spans="1:59" s="21" customFormat="1" ht="15.95" customHeight="1">
      <c r="A422" s="163">
        <v>165</v>
      </c>
      <c r="B422" s="9" t="s">
        <v>3400</v>
      </c>
      <c r="C422" s="11" t="s">
        <v>3401</v>
      </c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22">
        <f t="shared" si="129"/>
        <v>0</v>
      </c>
      <c r="AC422" s="25">
        <v>0</v>
      </c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2">
        <f t="shared" si="130"/>
        <v>0</v>
      </c>
      <c r="BC422" s="23">
        <v>1</v>
      </c>
      <c r="BD422" s="130">
        <f t="shared" si="131"/>
        <v>0</v>
      </c>
      <c r="BE422" s="130">
        <f t="shared" si="132"/>
        <v>1</v>
      </c>
      <c r="BF422" s="195">
        <f t="shared" si="133"/>
        <v>0</v>
      </c>
      <c r="BG422" s="373">
        <f t="shared" si="134"/>
        <v>1</v>
      </c>
    </row>
    <row r="423" spans="1:59" s="21" customFormat="1" ht="15.95" customHeight="1">
      <c r="A423" s="163">
        <v>166</v>
      </c>
      <c r="B423" s="9" t="s">
        <v>3792</v>
      </c>
      <c r="C423" s="11" t="s">
        <v>3793</v>
      </c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22">
        <f t="shared" si="129"/>
        <v>0</v>
      </c>
      <c r="AC423" s="25">
        <v>0</v>
      </c>
      <c r="AD423" s="24"/>
      <c r="AE423" s="24"/>
      <c r="AF423" s="24"/>
      <c r="AG423" s="24"/>
      <c r="AH423" s="24">
        <v>1</v>
      </c>
      <c r="AI423" s="24"/>
      <c r="AJ423" s="24"/>
      <c r="AK423" s="24"/>
      <c r="AL423" s="24">
        <f>1+1</f>
        <v>2</v>
      </c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2">
        <f t="shared" si="130"/>
        <v>3</v>
      </c>
      <c r="BC423" s="23">
        <v>0</v>
      </c>
      <c r="BD423" s="130">
        <f t="shared" si="131"/>
        <v>3</v>
      </c>
      <c r="BE423" s="130">
        <f t="shared" si="132"/>
        <v>0</v>
      </c>
      <c r="BF423" s="195" t="e">
        <f t="shared" si="133"/>
        <v>#DIV/0!</v>
      </c>
      <c r="BG423" s="373"/>
    </row>
    <row r="424" spans="1:59" s="21" customFormat="1" ht="15.95" customHeight="1">
      <c r="A424" s="163">
        <v>167</v>
      </c>
      <c r="B424" s="9" t="s">
        <v>628</v>
      </c>
      <c r="C424" s="10" t="s">
        <v>629</v>
      </c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22">
        <f t="shared" si="129"/>
        <v>0</v>
      </c>
      <c r="AC424" s="25">
        <v>0</v>
      </c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>
        <f>1+1</f>
        <v>2</v>
      </c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22">
        <f t="shared" si="130"/>
        <v>2</v>
      </c>
      <c r="BC424" s="23">
        <v>2</v>
      </c>
      <c r="BD424" s="130">
        <f t="shared" si="131"/>
        <v>2</v>
      </c>
      <c r="BE424" s="130">
        <f t="shared" si="132"/>
        <v>2</v>
      </c>
      <c r="BF424" s="195">
        <f t="shared" si="133"/>
        <v>100</v>
      </c>
      <c r="BG424" s="373">
        <f t="shared" ref="BG424:BG431" si="135">BE424-BD424</f>
        <v>0</v>
      </c>
    </row>
    <row r="425" spans="1:59" s="21" customFormat="1" ht="15.95" customHeight="1">
      <c r="A425" s="163">
        <v>168</v>
      </c>
      <c r="B425" s="9" t="s">
        <v>260</v>
      </c>
      <c r="C425" s="11" t="s">
        <v>261</v>
      </c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22">
        <f t="shared" si="129"/>
        <v>0</v>
      </c>
      <c r="AC425" s="25">
        <v>0</v>
      </c>
      <c r="AD425" s="99"/>
      <c r="AE425" s="99"/>
      <c r="AF425" s="99"/>
      <c r="AG425" s="99"/>
      <c r="AH425" s="99">
        <v>1</v>
      </c>
      <c r="AI425" s="99"/>
      <c r="AJ425" s="99"/>
      <c r="AK425" s="99"/>
      <c r="AL425" s="99">
        <v>1</v>
      </c>
      <c r="AM425" s="99"/>
      <c r="AN425" s="99"/>
      <c r="AO425" s="99"/>
      <c r="AP425" s="99">
        <f>1+1</f>
        <v>2</v>
      </c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22">
        <f t="shared" si="130"/>
        <v>4</v>
      </c>
      <c r="BC425" s="23">
        <v>17</v>
      </c>
      <c r="BD425" s="130">
        <f t="shared" si="131"/>
        <v>4</v>
      </c>
      <c r="BE425" s="130">
        <f t="shared" si="132"/>
        <v>17</v>
      </c>
      <c r="BF425" s="195">
        <f t="shared" si="133"/>
        <v>23.52941176470588</v>
      </c>
      <c r="BG425" s="373">
        <f t="shared" si="135"/>
        <v>13</v>
      </c>
    </row>
    <row r="426" spans="1:59" s="21" customFormat="1" ht="15.95" customHeight="1">
      <c r="A426" s="163">
        <v>169</v>
      </c>
      <c r="B426" s="9" t="s">
        <v>661</v>
      </c>
      <c r="C426" s="11" t="s">
        <v>662</v>
      </c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22">
        <f t="shared" si="129"/>
        <v>0</v>
      </c>
      <c r="AC426" s="25">
        <v>0</v>
      </c>
      <c r="AD426" s="99"/>
      <c r="AE426" s="99"/>
      <c r="AF426" s="99"/>
      <c r="AG426" s="99"/>
      <c r="AH426" s="99">
        <v>1</v>
      </c>
      <c r="AI426" s="99"/>
      <c r="AJ426" s="99"/>
      <c r="AK426" s="99"/>
      <c r="AL426" s="99"/>
      <c r="AM426" s="99"/>
      <c r="AN426" s="99"/>
      <c r="AO426" s="99"/>
      <c r="AP426" s="99">
        <f>2+2</f>
        <v>4</v>
      </c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22">
        <f t="shared" si="130"/>
        <v>5</v>
      </c>
      <c r="BC426" s="23">
        <v>6</v>
      </c>
      <c r="BD426" s="130">
        <f t="shared" si="131"/>
        <v>5</v>
      </c>
      <c r="BE426" s="130">
        <f t="shared" si="132"/>
        <v>6</v>
      </c>
      <c r="BF426" s="195">
        <f t="shared" si="133"/>
        <v>83.333333333333343</v>
      </c>
      <c r="BG426" s="373">
        <f t="shared" si="135"/>
        <v>1</v>
      </c>
    </row>
    <row r="427" spans="1:59" s="21" customFormat="1" ht="15.95" customHeight="1">
      <c r="A427" s="163">
        <v>170</v>
      </c>
      <c r="B427" s="9" t="s">
        <v>1298</v>
      </c>
      <c r="C427" s="11" t="s">
        <v>1299</v>
      </c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22">
        <f t="shared" si="129"/>
        <v>0</v>
      </c>
      <c r="AC427" s="25">
        <v>0</v>
      </c>
      <c r="AD427" s="99"/>
      <c r="AE427" s="99"/>
      <c r="AF427" s="99"/>
      <c r="AG427" s="99"/>
      <c r="AH427" s="99">
        <v>1</v>
      </c>
      <c r="AI427" s="99"/>
      <c r="AJ427" s="99"/>
      <c r="AK427" s="99"/>
      <c r="AL427" s="99"/>
      <c r="AM427" s="99"/>
      <c r="AN427" s="99"/>
      <c r="AO427" s="99"/>
      <c r="AP427" s="99">
        <f>1+1</f>
        <v>2</v>
      </c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22">
        <f t="shared" si="130"/>
        <v>3</v>
      </c>
      <c r="BC427" s="23">
        <v>1</v>
      </c>
      <c r="BD427" s="130">
        <f t="shared" si="131"/>
        <v>3</v>
      </c>
      <c r="BE427" s="130">
        <f t="shared" si="132"/>
        <v>1</v>
      </c>
      <c r="BF427" s="195">
        <f t="shared" si="133"/>
        <v>300</v>
      </c>
      <c r="BG427" s="373">
        <f t="shared" si="135"/>
        <v>-2</v>
      </c>
    </row>
    <row r="428" spans="1:59" s="21" customFormat="1" ht="15.95" customHeight="1">
      <c r="A428" s="163">
        <v>171</v>
      </c>
      <c r="B428" s="9" t="s">
        <v>262</v>
      </c>
      <c r="C428" s="11" t="s">
        <v>263</v>
      </c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22">
        <f t="shared" si="129"/>
        <v>0</v>
      </c>
      <c r="AC428" s="25">
        <v>0</v>
      </c>
      <c r="AD428" s="24"/>
      <c r="AE428" s="24"/>
      <c r="AF428" s="24"/>
      <c r="AG428" s="24"/>
      <c r="AH428" s="24"/>
      <c r="AI428" s="24"/>
      <c r="AJ428" s="24"/>
      <c r="AK428" s="24"/>
      <c r="AL428" s="24">
        <v>5</v>
      </c>
      <c r="AM428" s="24"/>
      <c r="AN428" s="24"/>
      <c r="AO428" s="24"/>
      <c r="AP428" s="24">
        <f>3+3</f>
        <v>6</v>
      </c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2">
        <f t="shared" si="130"/>
        <v>11</v>
      </c>
      <c r="BC428" s="23">
        <v>22</v>
      </c>
      <c r="BD428" s="130">
        <f t="shared" si="131"/>
        <v>11</v>
      </c>
      <c r="BE428" s="130">
        <f t="shared" si="132"/>
        <v>22</v>
      </c>
      <c r="BF428" s="195">
        <f t="shared" si="133"/>
        <v>50</v>
      </c>
      <c r="BG428" s="373">
        <f t="shared" si="135"/>
        <v>11</v>
      </c>
    </row>
    <row r="429" spans="1:59" s="21" customFormat="1" ht="15.95" customHeight="1">
      <c r="A429" s="163">
        <v>172</v>
      </c>
      <c r="B429" s="9" t="s">
        <v>264</v>
      </c>
      <c r="C429" s="11" t="s">
        <v>265</v>
      </c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22">
        <f t="shared" si="129"/>
        <v>0</v>
      </c>
      <c r="AC429" s="25">
        <v>0</v>
      </c>
      <c r="AD429" s="24"/>
      <c r="AE429" s="24"/>
      <c r="AF429" s="24"/>
      <c r="AG429" s="24"/>
      <c r="AH429" s="24">
        <v>2</v>
      </c>
      <c r="AI429" s="24"/>
      <c r="AJ429" s="24"/>
      <c r="AK429" s="24"/>
      <c r="AL429" s="24">
        <v>2</v>
      </c>
      <c r="AM429" s="24"/>
      <c r="AN429" s="24"/>
      <c r="AO429" s="24"/>
      <c r="AP429" s="24">
        <f>4+4</f>
        <v>8</v>
      </c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2">
        <f t="shared" si="130"/>
        <v>12</v>
      </c>
      <c r="BC429" s="23">
        <v>14</v>
      </c>
      <c r="BD429" s="130">
        <f t="shared" si="131"/>
        <v>12</v>
      </c>
      <c r="BE429" s="130">
        <f t="shared" si="132"/>
        <v>14</v>
      </c>
      <c r="BF429" s="195">
        <f t="shared" si="133"/>
        <v>85.714285714285708</v>
      </c>
      <c r="BG429" s="373">
        <f t="shared" si="135"/>
        <v>2</v>
      </c>
    </row>
    <row r="430" spans="1:59" s="21" customFormat="1" ht="15.95" customHeight="1">
      <c r="A430" s="163">
        <v>173</v>
      </c>
      <c r="B430" s="9" t="s">
        <v>266</v>
      </c>
      <c r="C430" s="11" t="s">
        <v>267</v>
      </c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22">
        <f t="shared" si="129"/>
        <v>0</v>
      </c>
      <c r="AC430" s="25">
        <v>0</v>
      </c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2">
        <f t="shared" si="130"/>
        <v>0</v>
      </c>
      <c r="BC430" s="23">
        <v>2</v>
      </c>
      <c r="BD430" s="130">
        <f t="shared" si="131"/>
        <v>0</v>
      </c>
      <c r="BE430" s="130">
        <f t="shared" si="132"/>
        <v>2</v>
      </c>
      <c r="BF430" s="195">
        <f t="shared" si="133"/>
        <v>0</v>
      </c>
      <c r="BG430" s="373">
        <f t="shared" si="135"/>
        <v>2</v>
      </c>
    </row>
    <row r="431" spans="1:59" s="21" customFormat="1" ht="15.95" customHeight="1">
      <c r="A431" s="163">
        <v>174</v>
      </c>
      <c r="B431" s="9" t="s">
        <v>2492</v>
      </c>
      <c r="C431" s="11" t="s">
        <v>2493</v>
      </c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22">
        <f t="shared" si="129"/>
        <v>0</v>
      </c>
      <c r="AC431" s="25">
        <v>0</v>
      </c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2">
        <f t="shared" si="130"/>
        <v>0</v>
      </c>
      <c r="BC431" s="23">
        <v>1</v>
      </c>
      <c r="BD431" s="130">
        <f t="shared" si="131"/>
        <v>0</v>
      </c>
      <c r="BE431" s="130">
        <f t="shared" si="132"/>
        <v>1</v>
      </c>
      <c r="BF431" s="195">
        <f t="shared" si="133"/>
        <v>0</v>
      </c>
      <c r="BG431" s="373">
        <f t="shared" si="135"/>
        <v>1</v>
      </c>
    </row>
    <row r="432" spans="1:59" s="21" customFormat="1" ht="15.95" customHeight="1">
      <c r="A432" s="163">
        <v>175</v>
      </c>
      <c r="B432" s="9" t="s">
        <v>4104</v>
      </c>
      <c r="C432" s="11" t="s">
        <v>4105</v>
      </c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22">
        <f t="shared" si="129"/>
        <v>0</v>
      </c>
      <c r="AC432" s="25">
        <v>0</v>
      </c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>
        <f>1+1</f>
        <v>2</v>
      </c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2">
        <f t="shared" si="130"/>
        <v>2</v>
      </c>
      <c r="BC432" s="23">
        <v>0</v>
      </c>
      <c r="BD432" s="130">
        <f t="shared" si="131"/>
        <v>2</v>
      </c>
      <c r="BE432" s="130">
        <f t="shared" si="132"/>
        <v>0</v>
      </c>
      <c r="BF432" s="195" t="e">
        <f t="shared" si="133"/>
        <v>#DIV/0!</v>
      </c>
      <c r="BG432" s="373"/>
    </row>
    <row r="433" spans="1:59" s="21" customFormat="1" ht="15.95" customHeight="1">
      <c r="A433" s="163">
        <v>176</v>
      </c>
      <c r="B433" s="9" t="s">
        <v>268</v>
      </c>
      <c r="C433" s="11" t="s">
        <v>269</v>
      </c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22">
        <f t="shared" si="129"/>
        <v>0</v>
      </c>
      <c r="AC433" s="25">
        <v>0</v>
      </c>
      <c r="AD433" s="24">
        <v>1</v>
      </c>
      <c r="AE433" s="24"/>
      <c r="AF433" s="24"/>
      <c r="AG433" s="24"/>
      <c r="AH433" s="24">
        <v>1</v>
      </c>
      <c r="AI433" s="24"/>
      <c r="AJ433" s="24"/>
      <c r="AK433" s="24"/>
      <c r="AL433" s="24">
        <v>5</v>
      </c>
      <c r="AM433" s="24"/>
      <c r="AN433" s="24"/>
      <c r="AO433" s="24"/>
      <c r="AP433" s="24">
        <f>13</f>
        <v>13</v>
      </c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2">
        <f t="shared" si="130"/>
        <v>20</v>
      </c>
      <c r="BC433" s="23">
        <v>25</v>
      </c>
      <c r="BD433" s="130">
        <f t="shared" si="131"/>
        <v>20</v>
      </c>
      <c r="BE433" s="130">
        <f t="shared" si="132"/>
        <v>25</v>
      </c>
      <c r="BF433" s="195">
        <f t="shared" si="133"/>
        <v>80</v>
      </c>
      <c r="BG433" s="373">
        <f t="shared" ref="BG433:BG443" si="136">BE433-BD433</f>
        <v>5</v>
      </c>
    </row>
    <row r="434" spans="1:59" s="21" customFormat="1" ht="15.95" customHeight="1">
      <c r="A434" s="163">
        <v>177</v>
      </c>
      <c r="B434" s="9" t="s">
        <v>270</v>
      </c>
      <c r="C434" s="11" t="s">
        <v>271</v>
      </c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22">
        <f t="shared" si="129"/>
        <v>0</v>
      </c>
      <c r="AC434" s="25">
        <v>0</v>
      </c>
      <c r="AD434" s="24"/>
      <c r="AE434" s="24"/>
      <c r="AF434" s="24"/>
      <c r="AG434" s="24"/>
      <c r="AH434" s="24">
        <v>1</v>
      </c>
      <c r="AI434" s="24"/>
      <c r="AJ434" s="24"/>
      <c r="AK434" s="24"/>
      <c r="AL434" s="24">
        <v>3</v>
      </c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2">
        <f t="shared" si="130"/>
        <v>4</v>
      </c>
      <c r="BC434" s="23">
        <v>10</v>
      </c>
      <c r="BD434" s="130">
        <f t="shared" si="131"/>
        <v>4</v>
      </c>
      <c r="BE434" s="130">
        <f t="shared" si="132"/>
        <v>10</v>
      </c>
      <c r="BF434" s="195">
        <f t="shared" si="133"/>
        <v>40</v>
      </c>
      <c r="BG434" s="373">
        <f t="shared" si="136"/>
        <v>6</v>
      </c>
    </row>
    <row r="435" spans="1:59" s="21" customFormat="1" ht="15.95" customHeight="1">
      <c r="A435" s="163">
        <v>178</v>
      </c>
      <c r="B435" s="9" t="s">
        <v>272</v>
      </c>
      <c r="C435" s="11" t="s">
        <v>273</v>
      </c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22">
        <f t="shared" si="129"/>
        <v>0</v>
      </c>
      <c r="AC435" s="25">
        <v>0</v>
      </c>
      <c r="AD435" s="24"/>
      <c r="AE435" s="24"/>
      <c r="AF435" s="24"/>
      <c r="AG435" s="24"/>
      <c r="AH435" s="24">
        <v>1</v>
      </c>
      <c r="AI435" s="24"/>
      <c r="AJ435" s="24"/>
      <c r="AK435" s="24"/>
      <c r="AL435" s="24">
        <v>1</v>
      </c>
      <c r="AM435" s="24"/>
      <c r="AN435" s="24"/>
      <c r="AO435" s="24"/>
      <c r="AP435" s="24">
        <f>1+1</f>
        <v>2</v>
      </c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2">
        <f t="shared" si="130"/>
        <v>4</v>
      </c>
      <c r="BC435" s="23">
        <v>3</v>
      </c>
      <c r="BD435" s="130">
        <f t="shared" si="131"/>
        <v>4</v>
      </c>
      <c r="BE435" s="130">
        <f t="shared" si="132"/>
        <v>3</v>
      </c>
      <c r="BF435" s="195">
        <f t="shared" si="133"/>
        <v>133.33333333333331</v>
      </c>
      <c r="BG435" s="373">
        <f t="shared" si="136"/>
        <v>-1</v>
      </c>
    </row>
    <row r="436" spans="1:59" s="21" customFormat="1" ht="15.95" customHeight="1">
      <c r="A436" s="163">
        <v>179</v>
      </c>
      <c r="B436" s="9" t="s">
        <v>3130</v>
      </c>
      <c r="C436" s="11" t="s">
        <v>3131</v>
      </c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22">
        <f t="shared" si="129"/>
        <v>0</v>
      </c>
      <c r="AC436" s="25">
        <v>0</v>
      </c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2">
        <f t="shared" si="130"/>
        <v>0</v>
      </c>
      <c r="BC436" s="23">
        <v>1</v>
      </c>
      <c r="BD436" s="130">
        <f t="shared" si="131"/>
        <v>0</v>
      </c>
      <c r="BE436" s="130">
        <f t="shared" si="132"/>
        <v>1</v>
      </c>
      <c r="BF436" s="195">
        <f t="shared" si="133"/>
        <v>0</v>
      </c>
      <c r="BG436" s="373">
        <f t="shared" si="136"/>
        <v>1</v>
      </c>
    </row>
    <row r="437" spans="1:59" s="21" customFormat="1" ht="15.95" customHeight="1">
      <c r="A437" s="163">
        <v>180</v>
      </c>
      <c r="B437" s="9" t="s">
        <v>3402</v>
      </c>
      <c r="C437" s="11" t="s">
        <v>3403</v>
      </c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22">
        <f t="shared" si="129"/>
        <v>0</v>
      </c>
      <c r="AC437" s="25">
        <v>0</v>
      </c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2">
        <f t="shared" si="130"/>
        <v>0</v>
      </c>
      <c r="BC437" s="23">
        <v>1</v>
      </c>
      <c r="BD437" s="130">
        <f t="shared" si="131"/>
        <v>0</v>
      </c>
      <c r="BE437" s="130">
        <f t="shared" si="132"/>
        <v>1</v>
      </c>
      <c r="BF437" s="195">
        <f t="shared" si="133"/>
        <v>0</v>
      </c>
      <c r="BG437" s="373">
        <f t="shared" si="136"/>
        <v>1</v>
      </c>
    </row>
    <row r="438" spans="1:59" s="21" customFormat="1" ht="15.95" customHeight="1">
      <c r="A438" s="163">
        <v>181</v>
      </c>
      <c r="B438" s="9" t="s">
        <v>1924</v>
      </c>
      <c r="C438" s="11" t="s">
        <v>1925</v>
      </c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22">
        <f t="shared" si="129"/>
        <v>0</v>
      </c>
      <c r="AC438" s="25">
        <v>0</v>
      </c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2">
        <f t="shared" si="130"/>
        <v>0</v>
      </c>
      <c r="BC438" s="23">
        <v>2</v>
      </c>
      <c r="BD438" s="130">
        <f t="shared" si="131"/>
        <v>0</v>
      </c>
      <c r="BE438" s="130">
        <f t="shared" si="132"/>
        <v>2</v>
      </c>
      <c r="BF438" s="195">
        <f t="shared" si="133"/>
        <v>0</v>
      </c>
      <c r="BG438" s="373">
        <f t="shared" si="136"/>
        <v>2</v>
      </c>
    </row>
    <row r="439" spans="1:59" s="21" customFormat="1" ht="15.95" customHeight="1">
      <c r="A439" s="163">
        <v>182</v>
      </c>
      <c r="B439" s="9" t="s">
        <v>2766</v>
      </c>
      <c r="C439" s="11" t="s">
        <v>2767</v>
      </c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22">
        <f t="shared" si="129"/>
        <v>0</v>
      </c>
      <c r="AC439" s="25">
        <v>0</v>
      </c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2">
        <f t="shared" si="130"/>
        <v>0</v>
      </c>
      <c r="BC439" s="23">
        <v>1</v>
      </c>
      <c r="BD439" s="130">
        <f t="shared" si="131"/>
        <v>0</v>
      </c>
      <c r="BE439" s="130">
        <f t="shared" si="132"/>
        <v>1</v>
      </c>
      <c r="BF439" s="195">
        <f t="shared" si="133"/>
        <v>0</v>
      </c>
      <c r="BG439" s="373">
        <f t="shared" si="136"/>
        <v>1</v>
      </c>
    </row>
    <row r="440" spans="1:59" s="21" customFormat="1" ht="15.95" customHeight="1">
      <c r="A440" s="163">
        <v>183</v>
      </c>
      <c r="B440" s="9" t="s">
        <v>274</v>
      </c>
      <c r="C440" s="11" t="s">
        <v>275</v>
      </c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22">
        <f t="shared" si="129"/>
        <v>0</v>
      </c>
      <c r="AC440" s="25">
        <v>0</v>
      </c>
      <c r="AD440" s="24"/>
      <c r="AE440" s="24"/>
      <c r="AF440" s="24"/>
      <c r="AG440" s="24"/>
      <c r="AH440" s="24">
        <v>1</v>
      </c>
      <c r="AI440" s="24"/>
      <c r="AJ440" s="24"/>
      <c r="AK440" s="24"/>
      <c r="AL440" s="24">
        <v>4</v>
      </c>
      <c r="AM440" s="24"/>
      <c r="AN440" s="24"/>
      <c r="AO440" s="24"/>
      <c r="AP440" s="24">
        <f>4+4</f>
        <v>8</v>
      </c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2">
        <f t="shared" si="130"/>
        <v>13</v>
      </c>
      <c r="BC440" s="23">
        <v>29</v>
      </c>
      <c r="BD440" s="130">
        <f t="shared" si="131"/>
        <v>13</v>
      </c>
      <c r="BE440" s="130">
        <f t="shared" si="132"/>
        <v>29</v>
      </c>
      <c r="BF440" s="195">
        <f t="shared" si="133"/>
        <v>44.827586206896555</v>
      </c>
      <c r="BG440" s="373">
        <f t="shared" si="136"/>
        <v>16</v>
      </c>
    </row>
    <row r="441" spans="1:59" s="21" customFormat="1" ht="15.95" customHeight="1">
      <c r="A441" s="163">
        <v>184</v>
      </c>
      <c r="B441" s="9" t="s">
        <v>276</v>
      </c>
      <c r="C441" s="11" t="s">
        <v>277</v>
      </c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22">
        <f t="shared" si="129"/>
        <v>0</v>
      </c>
      <c r="AC441" s="25">
        <v>0</v>
      </c>
      <c r="AD441" s="24"/>
      <c r="AE441" s="24"/>
      <c r="AF441" s="24"/>
      <c r="AG441" s="24"/>
      <c r="AH441" s="24">
        <f>1+1</f>
        <v>2</v>
      </c>
      <c r="AI441" s="24"/>
      <c r="AJ441" s="24"/>
      <c r="AK441" s="24"/>
      <c r="AL441" s="24">
        <f>1+5</f>
        <v>6</v>
      </c>
      <c r="AM441" s="24"/>
      <c r="AN441" s="24"/>
      <c r="AO441" s="24"/>
      <c r="AP441" s="24">
        <f>1+1</f>
        <v>2</v>
      </c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2">
        <f t="shared" si="130"/>
        <v>10</v>
      </c>
      <c r="BC441" s="23">
        <v>4</v>
      </c>
      <c r="BD441" s="130">
        <f t="shared" si="131"/>
        <v>10</v>
      </c>
      <c r="BE441" s="130">
        <f t="shared" si="132"/>
        <v>4</v>
      </c>
      <c r="BF441" s="195">
        <f t="shared" si="133"/>
        <v>250</v>
      </c>
      <c r="BG441" s="373">
        <f t="shared" si="136"/>
        <v>-6</v>
      </c>
    </row>
    <row r="442" spans="1:59" s="21" customFormat="1" ht="15.95" customHeight="1">
      <c r="A442" s="163">
        <v>185</v>
      </c>
      <c r="B442" s="9" t="s">
        <v>278</v>
      </c>
      <c r="C442" s="11" t="s">
        <v>279</v>
      </c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22">
        <f t="shared" si="129"/>
        <v>0</v>
      </c>
      <c r="AC442" s="25">
        <v>0</v>
      </c>
      <c r="AD442" s="24"/>
      <c r="AE442" s="24"/>
      <c r="AF442" s="24"/>
      <c r="AG442" s="24"/>
      <c r="AH442" s="24">
        <v>2</v>
      </c>
      <c r="AI442" s="24"/>
      <c r="AJ442" s="24"/>
      <c r="AK442" s="24"/>
      <c r="AL442" s="24">
        <v>3</v>
      </c>
      <c r="AM442" s="24"/>
      <c r="AN442" s="24"/>
      <c r="AO442" s="24"/>
      <c r="AP442" s="24">
        <f>3+3</f>
        <v>6</v>
      </c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2">
        <f t="shared" si="130"/>
        <v>11</v>
      </c>
      <c r="BC442" s="23">
        <v>8</v>
      </c>
      <c r="BD442" s="130">
        <f t="shared" si="131"/>
        <v>11</v>
      </c>
      <c r="BE442" s="130">
        <f t="shared" si="132"/>
        <v>8</v>
      </c>
      <c r="BF442" s="195">
        <f t="shared" si="133"/>
        <v>137.5</v>
      </c>
      <c r="BG442" s="373">
        <f t="shared" si="136"/>
        <v>-3</v>
      </c>
    </row>
    <row r="443" spans="1:59" s="21" customFormat="1" ht="15.95" customHeight="1">
      <c r="A443" s="163">
        <v>186</v>
      </c>
      <c r="B443" s="9" t="s">
        <v>3404</v>
      </c>
      <c r="C443" s="11" t="s">
        <v>3405</v>
      </c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22">
        <f t="shared" si="129"/>
        <v>0</v>
      </c>
      <c r="AC443" s="25">
        <v>0</v>
      </c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2">
        <f t="shared" si="130"/>
        <v>0</v>
      </c>
      <c r="BC443" s="23">
        <v>1</v>
      </c>
      <c r="BD443" s="130">
        <f t="shared" si="131"/>
        <v>0</v>
      </c>
      <c r="BE443" s="130">
        <f t="shared" si="132"/>
        <v>1</v>
      </c>
      <c r="BF443" s="195">
        <f t="shared" si="133"/>
        <v>0</v>
      </c>
      <c r="BG443" s="373">
        <f t="shared" si="136"/>
        <v>1</v>
      </c>
    </row>
    <row r="444" spans="1:59" s="21" customFormat="1" ht="15.95" customHeight="1">
      <c r="A444" s="163">
        <v>187</v>
      </c>
      <c r="B444" s="9" t="s">
        <v>3909</v>
      </c>
      <c r="C444" s="11" t="s">
        <v>3910</v>
      </c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22">
        <f t="shared" si="129"/>
        <v>0</v>
      </c>
      <c r="AC444" s="25">
        <v>0</v>
      </c>
      <c r="AD444" s="24"/>
      <c r="AE444" s="24"/>
      <c r="AF444" s="24"/>
      <c r="AG444" s="24"/>
      <c r="AH444" s="24"/>
      <c r="AI444" s="24"/>
      <c r="AJ444" s="24"/>
      <c r="AK444" s="24"/>
      <c r="AL444" s="24">
        <v>1</v>
      </c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2">
        <f t="shared" si="130"/>
        <v>1</v>
      </c>
      <c r="BC444" s="23">
        <v>0</v>
      </c>
      <c r="BD444" s="130">
        <f t="shared" si="131"/>
        <v>1</v>
      </c>
      <c r="BE444" s="130">
        <f t="shared" si="132"/>
        <v>0</v>
      </c>
      <c r="BF444" s="195" t="e">
        <f t="shared" si="133"/>
        <v>#DIV/0!</v>
      </c>
      <c r="BG444" s="373"/>
    </row>
    <row r="445" spans="1:59" s="21" customFormat="1" ht="15.95" customHeight="1">
      <c r="A445" s="163">
        <v>188</v>
      </c>
      <c r="B445" s="9" t="s">
        <v>2322</v>
      </c>
      <c r="C445" s="11" t="s">
        <v>2323</v>
      </c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22">
        <f t="shared" si="129"/>
        <v>0</v>
      </c>
      <c r="AC445" s="25">
        <v>0</v>
      </c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2">
        <f t="shared" si="130"/>
        <v>0</v>
      </c>
      <c r="BC445" s="23">
        <v>2</v>
      </c>
      <c r="BD445" s="130">
        <f t="shared" si="131"/>
        <v>0</v>
      </c>
      <c r="BE445" s="130">
        <f t="shared" si="132"/>
        <v>2</v>
      </c>
      <c r="BF445" s="195">
        <f t="shared" si="133"/>
        <v>0</v>
      </c>
      <c r="BG445" s="373">
        <f t="shared" ref="BG445:BG451" si="137">BE445-BD445</f>
        <v>2</v>
      </c>
    </row>
    <row r="446" spans="1:59" s="21" customFormat="1" ht="15.95" customHeight="1">
      <c r="A446" s="163">
        <v>189</v>
      </c>
      <c r="B446" s="9" t="s">
        <v>2966</v>
      </c>
      <c r="C446" s="11" t="s">
        <v>2967</v>
      </c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22">
        <f t="shared" si="129"/>
        <v>0</v>
      </c>
      <c r="AC446" s="25">
        <v>0</v>
      </c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2">
        <f t="shared" si="130"/>
        <v>0</v>
      </c>
      <c r="BC446" s="23">
        <v>1</v>
      </c>
      <c r="BD446" s="130">
        <f t="shared" si="131"/>
        <v>0</v>
      </c>
      <c r="BE446" s="130">
        <f t="shared" si="132"/>
        <v>1</v>
      </c>
      <c r="BF446" s="195">
        <f t="shared" si="133"/>
        <v>0</v>
      </c>
      <c r="BG446" s="373">
        <f t="shared" si="137"/>
        <v>1</v>
      </c>
    </row>
    <row r="447" spans="1:59" s="21" customFormat="1" ht="15.95" customHeight="1">
      <c r="A447" s="163">
        <v>190</v>
      </c>
      <c r="B447" s="9" t="s">
        <v>1306</v>
      </c>
      <c r="C447" s="11" t="s">
        <v>1926</v>
      </c>
      <c r="D447" s="14"/>
      <c r="E447" s="14"/>
      <c r="F447" s="14"/>
      <c r="G447" s="14"/>
      <c r="H447" s="14">
        <v>1</v>
      </c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22">
        <f t="shared" si="129"/>
        <v>1</v>
      </c>
      <c r="AC447" s="25">
        <v>0</v>
      </c>
      <c r="AD447" s="24"/>
      <c r="AE447" s="24"/>
      <c r="AF447" s="24"/>
      <c r="AG447" s="24"/>
      <c r="AH447" s="24"/>
      <c r="AI447" s="24"/>
      <c r="AJ447" s="24"/>
      <c r="AK447" s="24"/>
      <c r="AL447" s="24">
        <v>1</v>
      </c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2">
        <f t="shared" si="130"/>
        <v>1</v>
      </c>
      <c r="BC447" s="23">
        <v>3</v>
      </c>
      <c r="BD447" s="130">
        <f t="shared" si="131"/>
        <v>2</v>
      </c>
      <c r="BE447" s="130">
        <f t="shared" si="132"/>
        <v>3</v>
      </c>
      <c r="BF447" s="195">
        <f t="shared" si="133"/>
        <v>66.666666666666657</v>
      </c>
      <c r="BG447" s="373">
        <f t="shared" si="137"/>
        <v>1</v>
      </c>
    </row>
    <row r="448" spans="1:59" s="21" customFormat="1" ht="15.95" customHeight="1">
      <c r="A448" s="163">
        <v>191</v>
      </c>
      <c r="B448" s="9" t="s">
        <v>280</v>
      </c>
      <c r="C448" s="11" t="s">
        <v>281</v>
      </c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22">
        <f t="shared" si="129"/>
        <v>0</v>
      </c>
      <c r="AC448" s="25">
        <v>0</v>
      </c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>
        <f>1+1</f>
        <v>2</v>
      </c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2">
        <f t="shared" si="130"/>
        <v>2</v>
      </c>
      <c r="BC448" s="23">
        <v>3</v>
      </c>
      <c r="BD448" s="130">
        <f t="shared" si="131"/>
        <v>2</v>
      </c>
      <c r="BE448" s="130">
        <f t="shared" si="132"/>
        <v>3</v>
      </c>
      <c r="BF448" s="195">
        <f t="shared" si="133"/>
        <v>66.666666666666657</v>
      </c>
      <c r="BG448" s="373">
        <f t="shared" si="137"/>
        <v>1</v>
      </c>
    </row>
    <row r="449" spans="1:59" s="21" customFormat="1" ht="15.95" customHeight="1">
      <c r="A449" s="163">
        <v>192</v>
      </c>
      <c r="B449" s="9" t="s">
        <v>282</v>
      </c>
      <c r="C449" s="11" t="s">
        <v>283</v>
      </c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22">
        <f t="shared" si="129"/>
        <v>0</v>
      </c>
      <c r="AC449" s="25">
        <v>0</v>
      </c>
      <c r="AD449" s="24"/>
      <c r="AE449" s="24"/>
      <c r="AF449" s="24"/>
      <c r="AG449" s="24"/>
      <c r="AH449" s="24"/>
      <c r="AI449" s="24"/>
      <c r="AJ449" s="24"/>
      <c r="AK449" s="24"/>
      <c r="AL449" s="24">
        <v>3</v>
      </c>
      <c r="AM449" s="24"/>
      <c r="AN449" s="24"/>
      <c r="AO449" s="24"/>
      <c r="AP449" s="24">
        <f>2+2</f>
        <v>4</v>
      </c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2">
        <f t="shared" si="130"/>
        <v>7</v>
      </c>
      <c r="BC449" s="23">
        <v>13</v>
      </c>
      <c r="BD449" s="130">
        <f t="shared" si="131"/>
        <v>7</v>
      </c>
      <c r="BE449" s="130">
        <f t="shared" si="132"/>
        <v>13</v>
      </c>
      <c r="BF449" s="195">
        <f t="shared" si="133"/>
        <v>53.846153846153847</v>
      </c>
      <c r="BG449" s="373">
        <f t="shared" si="137"/>
        <v>6</v>
      </c>
    </row>
    <row r="450" spans="1:59" s="21" customFormat="1" ht="15.95" customHeight="1">
      <c r="A450" s="163">
        <v>193</v>
      </c>
      <c r="B450" s="9" t="s">
        <v>284</v>
      </c>
      <c r="C450" s="10" t="s">
        <v>285</v>
      </c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22">
        <f t="shared" ref="AB450:AB513" si="138">SUM(D450:AA450)</f>
        <v>0</v>
      </c>
      <c r="AC450" s="25">
        <v>0</v>
      </c>
      <c r="AD450" s="24">
        <v>2</v>
      </c>
      <c r="AE450" s="24"/>
      <c r="AF450" s="24"/>
      <c r="AG450" s="24"/>
      <c r="AH450" s="24">
        <v>2</v>
      </c>
      <c r="AI450" s="24"/>
      <c r="AJ450" s="24"/>
      <c r="AK450" s="24"/>
      <c r="AL450" s="24">
        <f>6+1</f>
        <v>7</v>
      </c>
      <c r="AM450" s="24"/>
      <c r="AN450" s="24"/>
      <c r="AO450" s="24"/>
      <c r="AP450" s="24">
        <f>4+4</f>
        <v>8</v>
      </c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2">
        <f t="shared" ref="BB450:BB513" si="139">SUM(AD450:BA450)</f>
        <v>19</v>
      </c>
      <c r="BC450" s="23">
        <v>14</v>
      </c>
      <c r="BD450" s="130">
        <f t="shared" ref="BD450:BD513" si="140">AB450+BB450</f>
        <v>19</v>
      </c>
      <c r="BE450" s="130">
        <f t="shared" ref="BE450:BE513" si="141">AC450+BC450</f>
        <v>14</v>
      </c>
      <c r="BF450" s="195">
        <f t="shared" ref="BF450:BF513" si="142">BD450/BE450*100</f>
        <v>135.71428571428572</v>
      </c>
      <c r="BG450" s="373">
        <f t="shared" si="137"/>
        <v>-5</v>
      </c>
    </row>
    <row r="451" spans="1:59" s="21" customFormat="1" ht="15.95" customHeight="1">
      <c r="A451" s="163">
        <v>194</v>
      </c>
      <c r="B451" s="9" t="s">
        <v>2411</v>
      </c>
      <c r="C451" s="10" t="s">
        <v>2412</v>
      </c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22">
        <f t="shared" si="138"/>
        <v>0</v>
      </c>
      <c r="AC451" s="25">
        <v>0</v>
      </c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2">
        <f t="shared" si="139"/>
        <v>0</v>
      </c>
      <c r="BC451" s="23">
        <v>1</v>
      </c>
      <c r="BD451" s="130">
        <f t="shared" si="140"/>
        <v>0</v>
      </c>
      <c r="BE451" s="130">
        <f t="shared" si="141"/>
        <v>1</v>
      </c>
      <c r="BF451" s="195">
        <f t="shared" si="142"/>
        <v>0</v>
      </c>
      <c r="BG451" s="373">
        <f t="shared" si="137"/>
        <v>1</v>
      </c>
    </row>
    <row r="452" spans="1:59" s="21" customFormat="1" ht="15.95" customHeight="1">
      <c r="A452" s="163">
        <v>195</v>
      </c>
      <c r="B452" s="9" t="s">
        <v>3911</v>
      </c>
      <c r="C452" s="10" t="s">
        <v>3912</v>
      </c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22">
        <f t="shared" si="138"/>
        <v>0</v>
      </c>
      <c r="AC452" s="25">
        <v>0</v>
      </c>
      <c r="AD452" s="24"/>
      <c r="AE452" s="24"/>
      <c r="AF452" s="24"/>
      <c r="AG452" s="24"/>
      <c r="AH452" s="24"/>
      <c r="AI452" s="24"/>
      <c r="AJ452" s="24"/>
      <c r="AK452" s="24"/>
      <c r="AL452" s="24">
        <v>1</v>
      </c>
      <c r="AM452" s="24"/>
      <c r="AN452" s="24"/>
      <c r="AO452" s="24"/>
      <c r="AP452" s="24">
        <f>1+1</f>
        <v>2</v>
      </c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2">
        <f t="shared" si="139"/>
        <v>3</v>
      </c>
      <c r="BC452" s="23">
        <v>0</v>
      </c>
      <c r="BD452" s="130">
        <f t="shared" si="140"/>
        <v>3</v>
      </c>
      <c r="BE452" s="130">
        <f t="shared" si="141"/>
        <v>0</v>
      </c>
      <c r="BF452" s="195" t="e">
        <f t="shared" si="142"/>
        <v>#DIV/0!</v>
      </c>
      <c r="BG452" s="373"/>
    </row>
    <row r="453" spans="1:59" s="21" customFormat="1" ht="15.95" customHeight="1">
      <c r="A453" s="163">
        <v>196</v>
      </c>
      <c r="B453" s="9" t="s">
        <v>286</v>
      </c>
      <c r="C453" s="10" t="s">
        <v>287</v>
      </c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22">
        <f t="shared" si="138"/>
        <v>0</v>
      </c>
      <c r="AC453" s="25">
        <v>0</v>
      </c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2">
        <f t="shared" si="139"/>
        <v>0</v>
      </c>
      <c r="BC453" s="23">
        <v>1</v>
      </c>
      <c r="BD453" s="130">
        <f t="shared" si="140"/>
        <v>0</v>
      </c>
      <c r="BE453" s="130">
        <f t="shared" si="141"/>
        <v>1</v>
      </c>
      <c r="BF453" s="195">
        <f t="shared" si="142"/>
        <v>0</v>
      </c>
      <c r="BG453" s="373">
        <f>BE453-BD453</f>
        <v>1</v>
      </c>
    </row>
    <row r="454" spans="1:59" s="21" customFormat="1" ht="15.95" customHeight="1">
      <c r="A454" s="163">
        <v>197</v>
      </c>
      <c r="B454" s="9" t="s">
        <v>2119</v>
      </c>
      <c r="C454" s="10" t="s">
        <v>287</v>
      </c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22">
        <f t="shared" si="138"/>
        <v>0</v>
      </c>
      <c r="AC454" s="25">
        <v>0</v>
      </c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2">
        <f t="shared" si="139"/>
        <v>0</v>
      </c>
      <c r="BC454" s="23">
        <v>1</v>
      </c>
      <c r="BD454" s="130">
        <f t="shared" si="140"/>
        <v>0</v>
      </c>
      <c r="BE454" s="130">
        <f t="shared" si="141"/>
        <v>1</v>
      </c>
      <c r="BF454" s="195">
        <f t="shared" si="142"/>
        <v>0</v>
      </c>
      <c r="BG454" s="373">
        <f>BE454-BD454</f>
        <v>1</v>
      </c>
    </row>
    <row r="455" spans="1:59" s="21" customFormat="1" ht="15.95" customHeight="1">
      <c r="A455" s="163">
        <v>198</v>
      </c>
      <c r="B455" s="9" t="s">
        <v>4106</v>
      </c>
      <c r="C455" s="10" t="s">
        <v>4107</v>
      </c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22">
        <f t="shared" si="138"/>
        <v>0</v>
      </c>
      <c r="AC455" s="25">
        <v>0</v>
      </c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>
        <f>2+2</f>
        <v>4</v>
      </c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2">
        <f t="shared" si="139"/>
        <v>4</v>
      </c>
      <c r="BC455" s="23">
        <v>0</v>
      </c>
      <c r="BD455" s="130">
        <f t="shared" si="140"/>
        <v>4</v>
      </c>
      <c r="BE455" s="130">
        <f t="shared" si="141"/>
        <v>0</v>
      </c>
      <c r="BF455" s="195" t="e">
        <f t="shared" si="142"/>
        <v>#DIV/0!</v>
      </c>
      <c r="BG455" s="373"/>
    </row>
    <row r="456" spans="1:59" s="21" customFormat="1" ht="15.95" customHeight="1">
      <c r="A456" s="163">
        <v>199</v>
      </c>
      <c r="B456" s="9" t="s">
        <v>3406</v>
      </c>
      <c r="C456" s="11" t="s">
        <v>3407</v>
      </c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22">
        <f t="shared" si="138"/>
        <v>0</v>
      </c>
      <c r="AC456" s="25">
        <v>0</v>
      </c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2">
        <f t="shared" si="139"/>
        <v>0</v>
      </c>
      <c r="BC456" s="23">
        <v>1</v>
      </c>
      <c r="BD456" s="130">
        <f t="shared" si="140"/>
        <v>0</v>
      </c>
      <c r="BE456" s="130">
        <f t="shared" si="141"/>
        <v>1</v>
      </c>
      <c r="BF456" s="195">
        <f t="shared" si="142"/>
        <v>0</v>
      </c>
      <c r="BG456" s="373">
        <f>BE456-BD456</f>
        <v>1</v>
      </c>
    </row>
    <row r="457" spans="1:59" s="21" customFormat="1" ht="15.95" customHeight="1">
      <c r="A457" s="163">
        <v>200</v>
      </c>
      <c r="B457" s="9" t="s">
        <v>288</v>
      </c>
      <c r="C457" s="10" t="s">
        <v>289</v>
      </c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22">
        <f t="shared" si="138"/>
        <v>0</v>
      </c>
      <c r="AC457" s="25">
        <v>0</v>
      </c>
      <c r="AD457" s="99"/>
      <c r="AE457" s="99"/>
      <c r="AF457" s="99"/>
      <c r="AG457" s="99"/>
      <c r="AH457" s="99"/>
      <c r="AI457" s="99"/>
      <c r="AJ457" s="99"/>
      <c r="AK457" s="99"/>
      <c r="AL457" s="99">
        <v>1</v>
      </c>
      <c r="AM457" s="99"/>
      <c r="AN457" s="99"/>
      <c r="AO457" s="99"/>
      <c r="AP457" s="99">
        <f>1+1</f>
        <v>2</v>
      </c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22">
        <f t="shared" si="139"/>
        <v>3</v>
      </c>
      <c r="BC457" s="23">
        <v>3</v>
      </c>
      <c r="BD457" s="130">
        <f t="shared" si="140"/>
        <v>3</v>
      </c>
      <c r="BE457" s="130">
        <f t="shared" si="141"/>
        <v>3</v>
      </c>
      <c r="BF457" s="195">
        <f t="shared" si="142"/>
        <v>100</v>
      </c>
      <c r="BG457" s="373">
        <f>BE457-BD457</f>
        <v>0</v>
      </c>
    </row>
    <row r="458" spans="1:59" s="21" customFormat="1" ht="15.95" customHeight="1">
      <c r="A458" s="163">
        <v>201</v>
      </c>
      <c r="B458" s="9" t="s">
        <v>290</v>
      </c>
      <c r="C458" s="10" t="s">
        <v>291</v>
      </c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22">
        <f t="shared" si="138"/>
        <v>0</v>
      </c>
      <c r="AC458" s="25">
        <v>0</v>
      </c>
      <c r="AD458" s="99"/>
      <c r="AE458" s="99"/>
      <c r="AF458" s="99"/>
      <c r="AG458" s="99"/>
      <c r="AH458" s="99"/>
      <c r="AI458" s="99"/>
      <c r="AJ458" s="99"/>
      <c r="AK458" s="99"/>
      <c r="AL458" s="99">
        <v>1</v>
      </c>
      <c r="AM458" s="99"/>
      <c r="AN458" s="99"/>
      <c r="AO458" s="99"/>
      <c r="AP458" s="99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22">
        <f t="shared" si="139"/>
        <v>1</v>
      </c>
      <c r="BC458" s="23">
        <v>4</v>
      </c>
      <c r="BD458" s="130">
        <f t="shared" si="140"/>
        <v>1</v>
      </c>
      <c r="BE458" s="130">
        <f t="shared" si="141"/>
        <v>4</v>
      </c>
      <c r="BF458" s="195">
        <f t="shared" si="142"/>
        <v>25</v>
      </c>
      <c r="BG458" s="373">
        <f>BE458-BD458</f>
        <v>3</v>
      </c>
    </row>
    <row r="459" spans="1:59" s="21" customFormat="1" ht="15.95" customHeight="1">
      <c r="A459" s="163">
        <v>202</v>
      </c>
      <c r="B459" s="9" t="s">
        <v>3408</v>
      </c>
      <c r="C459" s="11" t="s">
        <v>3409</v>
      </c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22">
        <f t="shared" si="138"/>
        <v>0</v>
      </c>
      <c r="AC459" s="25">
        <v>0</v>
      </c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2">
        <f t="shared" si="139"/>
        <v>0</v>
      </c>
      <c r="BC459" s="23">
        <v>1</v>
      </c>
      <c r="BD459" s="130">
        <f t="shared" si="140"/>
        <v>0</v>
      </c>
      <c r="BE459" s="130">
        <f t="shared" si="141"/>
        <v>1</v>
      </c>
      <c r="BF459" s="195">
        <f t="shared" si="142"/>
        <v>0</v>
      </c>
      <c r="BG459" s="373">
        <f>BE459-BD459</f>
        <v>1</v>
      </c>
    </row>
    <row r="460" spans="1:59" s="21" customFormat="1" ht="15.95" customHeight="1">
      <c r="A460" s="163">
        <v>203</v>
      </c>
      <c r="B460" s="9" t="s">
        <v>4108</v>
      </c>
      <c r="C460" s="11" t="s">
        <v>4107</v>
      </c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22">
        <f t="shared" si="138"/>
        <v>0</v>
      </c>
      <c r="AC460" s="25">
        <v>0</v>
      </c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>
        <f>1+1</f>
        <v>2</v>
      </c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2">
        <f t="shared" si="139"/>
        <v>2</v>
      </c>
      <c r="BC460" s="23">
        <v>0</v>
      </c>
      <c r="BD460" s="130">
        <f t="shared" si="140"/>
        <v>2</v>
      </c>
      <c r="BE460" s="130">
        <f t="shared" si="141"/>
        <v>0</v>
      </c>
      <c r="BF460" s="195" t="e">
        <f t="shared" si="142"/>
        <v>#DIV/0!</v>
      </c>
      <c r="BG460" s="373"/>
    </row>
    <row r="461" spans="1:59" s="21" customFormat="1" ht="15.95" customHeight="1">
      <c r="A461" s="163">
        <v>204</v>
      </c>
      <c r="B461" s="9" t="s">
        <v>3943</v>
      </c>
      <c r="C461" s="11" t="s">
        <v>3944</v>
      </c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22">
        <f t="shared" si="138"/>
        <v>0</v>
      </c>
      <c r="AC461" s="25">
        <v>0</v>
      </c>
      <c r="AD461" s="24"/>
      <c r="AE461" s="24"/>
      <c r="AF461" s="24"/>
      <c r="AG461" s="24"/>
      <c r="AH461" s="24"/>
      <c r="AI461" s="24"/>
      <c r="AJ461" s="24"/>
      <c r="AK461" s="24"/>
      <c r="AL461" s="24">
        <v>1</v>
      </c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2">
        <f t="shared" si="139"/>
        <v>1</v>
      </c>
      <c r="BC461" s="23">
        <v>0</v>
      </c>
      <c r="BD461" s="130">
        <f t="shared" si="140"/>
        <v>1</v>
      </c>
      <c r="BE461" s="130">
        <f t="shared" si="141"/>
        <v>0</v>
      </c>
      <c r="BF461" s="195" t="e">
        <f t="shared" si="142"/>
        <v>#DIV/0!</v>
      </c>
      <c r="BG461" s="373"/>
    </row>
    <row r="462" spans="1:59" s="21" customFormat="1" ht="15.95" customHeight="1">
      <c r="A462" s="163">
        <v>205</v>
      </c>
      <c r="B462" s="9" t="s">
        <v>292</v>
      </c>
      <c r="C462" s="10" t="s">
        <v>293</v>
      </c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22">
        <f t="shared" si="138"/>
        <v>0</v>
      </c>
      <c r="AC462" s="25">
        <v>0</v>
      </c>
      <c r="AD462" s="99"/>
      <c r="AE462" s="99"/>
      <c r="AF462" s="99"/>
      <c r="AG462" s="99"/>
      <c r="AH462" s="99"/>
      <c r="AI462" s="99"/>
      <c r="AJ462" s="99"/>
      <c r="AK462" s="99"/>
      <c r="AL462" s="99">
        <v>1</v>
      </c>
      <c r="AM462" s="99"/>
      <c r="AN462" s="99"/>
      <c r="AO462" s="99"/>
      <c r="AP462" s="99">
        <f>2+2</f>
        <v>4</v>
      </c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22">
        <f t="shared" si="139"/>
        <v>5</v>
      </c>
      <c r="BC462" s="23">
        <v>9</v>
      </c>
      <c r="BD462" s="130">
        <f t="shared" si="140"/>
        <v>5</v>
      </c>
      <c r="BE462" s="130">
        <f t="shared" si="141"/>
        <v>9</v>
      </c>
      <c r="BF462" s="195">
        <f t="shared" si="142"/>
        <v>55.555555555555557</v>
      </c>
      <c r="BG462" s="373">
        <f>BE462-BD462</f>
        <v>4</v>
      </c>
    </row>
    <row r="463" spans="1:59" s="21" customFormat="1" ht="15.95" customHeight="1">
      <c r="A463" s="163">
        <v>206</v>
      </c>
      <c r="B463" s="9" t="s">
        <v>3945</v>
      </c>
      <c r="C463" s="10" t="s">
        <v>3946</v>
      </c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22">
        <f t="shared" si="138"/>
        <v>0</v>
      </c>
      <c r="AC463" s="25">
        <v>0</v>
      </c>
      <c r="AD463" s="99"/>
      <c r="AE463" s="99"/>
      <c r="AF463" s="99"/>
      <c r="AG463" s="99"/>
      <c r="AH463" s="99"/>
      <c r="AI463" s="99"/>
      <c r="AJ463" s="99"/>
      <c r="AK463" s="99"/>
      <c r="AL463" s="99">
        <v>1</v>
      </c>
      <c r="AM463" s="99"/>
      <c r="AN463" s="99"/>
      <c r="AO463" s="99"/>
      <c r="AP463" s="99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22">
        <f t="shared" si="139"/>
        <v>1</v>
      </c>
      <c r="BC463" s="23">
        <v>0</v>
      </c>
      <c r="BD463" s="130">
        <f t="shared" si="140"/>
        <v>1</v>
      </c>
      <c r="BE463" s="130">
        <f t="shared" si="141"/>
        <v>0</v>
      </c>
      <c r="BF463" s="195" t="e">
        <f t="shared" si="142"/>
        <v>#DIV/0!</v>
      </c>
      <c r="BG463" s="373"/>
    </row>
    <row r="464" spans="1:59" s="21" customFormat="1" ht="15.95" customHeight="1">
      <c r="A464" s="163">
        <v>207</v>
      </c>
      <c r="B464" s="9" t="s">
        <v>3410</v>
      </c>
      <c r="C464" s="11" t="s">
        <v>3411</v>
      </c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22">
        <f t="shared" si="138"/>
        <v>0</v>
      </c>
      <c r="AC464" s="25">
        <v>0</v>
      </c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2">
        <f t="shared" si="139"/>
        <v>0</v>
      </c>
      <c r="BC464" s="23">
        <v>1</v>
      </c>
      <c r="BD464" s="130">
        <f t="shared" si="140"/>
        <v>0</v>
      </c>
      <c r="BE464" s="130">
        <f t="shared" si="141"/>
        <v>1</v>
      </c>
      <c r="BF464" s="195">
        <f t="shared" si="142"/>
        <v>0</v>
      </c>
      <c r="BG464" s="373">
        <f>BE464-BD464</f>
        <v>1</v>
      </c>
    </row>
    <row r="465" spans="1:59" s="21" customFormat="1" ht="15.95" customHeight="1">
      <c r="A465" s="163">
        <v>208</v>
      </c>
      <c r="B465" s="9" t="s">
        <v>3412</v>
      </c>
      <c r="C465" s="11" t="s">
        <v>3414</v>
      </c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22">
        <f t="shared" si="138"/>
        <v>0</v>
      </c>
      <c r="AC465" s="25">
        <v>0</v>
      </c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>
        <f>1+1</f>
        <v>2</v>
      </c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2">
        <f t="shared" si="139"/>
        <v>2</v>
      </c>
      <c r="BC465" s="23">
        <v>1</v>
      </c>
      <c r="BD465" s="130">
        <f t="shared" si="140"/>
        <v>2</v>
      </c>
      <c r="BE465" s="130">
        <f t="shared" si="141"/>
        <v>1</v>
      </c>
      <c r="BF465" s="195">
        <f t="shared" si="142"/>
        <v>200</v>
      </c>
      <c r="BG465" s="373">
        <f>BE465-BD465</f>
        <v>-1</v>
      </c>
    </row>
    <row r="466" spans="1:59" s="21" customFormat="1" ht="15.95" customHeight="1">
      <c r="A466" s="163">
        <v>209</v>
      </c>
      <c r="B466" s="9" t="s">
        <v>3413</v>
      </c>
      <c r="C466" s="11" t="s">
        <v>3415</v>
      </c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22">
        <f t="shared" si="138"/>
        <v>0</v>
      </c>
      <c r="AC466" s="25">
        <v>0</v>
      </c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2">
        <f t="shared" si="139"/>
        <v>0</v>
      </c>
      <c r="BC466" s="23">
        <v>1</v>
      </c>
      <c r="BD466" s="130">
        <f t="shared" si="140"/>
        <v>0</v>
      </c>
      <c r="BE466" s="130">
        <f t="shared" si="141"/>
        <v>1</v>
      </c>
      <c r="BF466" s="195">
        <f t="shared" si="142"/>
        <v>0</v>
      </c>
      <c r="BG466" s="373">
        <f>BE466-BD466</f>
        <v>1</v>
      </c>
    </row>
    <row r="467" spans="1:59" s="21" customFormat="1" ht="15.95" customHeight="1">
      <c r="A467" s="163">
        <v>210</v>
      </c>
      <c r="B467" s="9" t="s">
        <v>2586</v>
      </c>
      <c r="C467" s="10" t="s">
        <v>2587</v>
      </c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22">
        <f t="shared" si="138"/>
        <v>0</v>
      </c>
      <c r="AC467" s="25">
        <v>0</v>
      </c>
      <c r="AD467" s="24"/>
      <c r="AE467" s="24"/>
      <c r="AF467" s="24"/>
      <c r="AG467" s="24"/>
      <c r="AH467" s="24">
        <v>1</v>
      </c>
      <c r="AI467" s="24"/>
      <c r="AJ467" s="24"/>
      <c r="AK467" s="24"/>
      <c r="AL467" s="24">
        <v>1</v>
      </c>
      <c r="AM467" s="24"/>
      <c r="AN467" s="24"/>
      <c r="AO467" s="24"/>
      <c r="AP467" s="24">
        <f>1+1</f>
        <v>2</v>
      </c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2">
        <f t="shared" si="139"/>
        <v>4</v>
      </c>
      <c r="BC467" s="23">
        <v>1</v>
      </c>
      <c r="BD467" s="130">
        <f t="shared" si="140"/>
        <v>4</v>
      </c>
      <c r="BE467" s="130">
        <f t="shared" si="141"/>
        <v>1</v>
      </c>
      <c r="BF467" s="195">
        <f t="shared" si="142"/>
        <v>400</v>
      </c>
      <c r="BG467" s="373">
        <f>BE467-BD467</f>
        <v>-3</v>
      </c>
    </row>
    <row r="468" spans="1:59" s="21" customFormat="1" ht="15.95" customHeight="1">
      <c r="A468" s="163">
        <v>211</v>
      </c>
      <c r="B468" s="9" t="s">
        <v>3794</v>
      </c>
      <c r="C468" s="10" t="s">
        <v>3795</v>
      </c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22">
        <f t="shared" si="138"/>
        <v>0</v>
      </c>
      <c r="AC468" s="25">
        <v>0</v>
      </c>
      <c r="AD468" s="24"/>
      <c r="AE468" s="24"/>
      <c r="AF468" s="24"/>
      <c r="AG468" s="24"/>
      <c r="AH468" s="24">
        <v>1</v>
      </c>
      <c r="AI468" s="24"/>
      <c r="AJ468" s="24"/>
      <c r="AK468" s="24"/>
      <c r="AL468" s="24">
        <v>1</v>
      </c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2">
        <f t="shared" si="139"/>
        <v>2</v>
      </c>
      <c r="BC468" s="23">
        <v>0</v>
      </c>
      <c r="BD468" s="130">
        <f t="shared" si="140"/>
        <v>2</v>
      </c>
      <c r="BE468" s="130">
        <f t="shared" si="141"/>
        <v>0</v>
      </c>
      <c r="BF468" s="195" t="e">
        <f t="shared" si="142"/>
        <v>#DIV/0!</v>
      </c>
      <c r="BG468" s="373"/>
    </row>
    <row r="469" spans="1:59" s="21" customFormat="1" ht="15.95" customHeight="1">
      <c r="A469" s="163">
        <v>212</v>
      </c>
      <c r="B469" s="9" t="s">
        <v>294</v>
      </c>
      <c r="C469" s="10" t="s">
        <v>295</v>
      </c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22">
        <f t="shared" si="138"/>
        <v>0</v>
      </c>
      <c r="AC469" s="25">
        <v>0</v>
      </c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2">
        <f t="shared" si="139"/>
        <v>0</v>
      </c>
      <c r="BC469" s="23">
        <v>1</v>
      </c>
      <c r="BD469" s="130">
        <f t="shared" si="140"/>
        <v>0</v>
      </c>
      <c r="BE469" s="130">
        <f t="shared" si="141"/>
        <v>1</v>
      </c>
      <c r="BF469" s="195">
        <f t="shared" si="142"/>
        <v>0</v>
      </c>
      <c r="BG469" s="373">
        <f t="shared" ref="BG469:BG476" si="143">BE469-BD469</f>
        <v>1</v>
      </c>
    </row>
    <row r="470" spans="1:59" s="21" customFormat="1" ht="15.95" customHeight="1">
      <c r="A470" s="163">
        <v>213</v>
      </c>
      <c r="B470" s="9" t="s">
        <v>2968</v>
      </c>
      <c r="C470" s="10" t="s">
        <v>2969</v>
      </c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22">
        <f t="shared" si="138"/>
        <v>0</v>
      </c>
      <c r="AC470" s="25">
        <v>0</v>
      </c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2">
        <f t="shared" si="139"/>
        <v>0</v>
      </c>
      <c r="BC470" s="23">
        <v>1</v>
      </c>
      <c r="BD470" s="130">
        <f t="shared" si="140"/>
        <v>0</v>
      </c>
      <c r="BE470" s="130">
        <f t="shared" si="141"/>
        <v>1</v>
      </c>
      <c r="BF470" s="195">
        <f t="shared" si="142"/>
        <v>0</v>
      </c>
      <c r="BG470" s="373">
        <f t="shared" si="143"/>
        <v>1</v>
      </c>
    </row>
    <row r="471" spans="1:59" s="21" customFormat="1" ht="15.95" customHeight="1">
      <c r="A471" s="163">
        <v>214</v>
      </c>
      <c r="B471" s="9" t="s">
        <v>2324</v>
      </c>
      <c r="C471" s="16" t="s">
        <v>2325</v>
      </c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22">
        <f t="shared" si="138"/>
        <v>0</v>
      </c>
      <c r="AC471" s="25">
        <v>0</v>
      </c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2">
        <f t="shared" si="139"/>
        <v>0</v>
      </c>
      <c r="BC471" s="23">
        <v>1</v>
      </c>
      <c r="BD471" s="130">
        <f t="shared" si="140"/>
        <v>0</v>
      </c>
      <c r="BE471" s="130">
        <f t="shared" si="141"/>
        <v>1</v>
      </c>
      <c r="BF471" s="195">
        <f t="shared" si="142"/>
        <v>0</v>
      </c>
      <c r="BG471" s="373">
        <f t="shared" si="143"/>
        <v>1</v>
      </c>
    </row>
    <row r="472" spans="1:59" s="21" customFormat="1" ht="15.95" customHeight="1">
      <c r="A472" s="163">
        <v>215</v>
      </c>
      <c r="B472" s="9" t="s">
        <v>296</v>
      </c>
      <c r="C472" s="10" t="s">
        <v>297</v>
      </c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22">
        <f t="shared" si="138"/>
        <v>0</v>
      </c>
      <c r="AC472" s="25">
        <v>0</v>
      </c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>
        <f>1+1</f>
        <v>2</v>
      </c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2">
        <f t="shared" si="139"/>
        <v>2</v>
      </c>
      <c r="BC472" s="23">
        <v>2</v>
      </c>
      <c r="BD472" s="130">
        <f t="shared" si="140"/>
        <v>2</v>
      </c>
      <c r="BE472" s="130">
        <f t="shared" si="141"/>
        <v>2</v>
      </c>
      <c r="BF472" s="195">
        <f t="shared" si="142"/>
        <v>100</v>
      </c>
      <c r="BG472" s="373">
        <f t="shared" si="143"/>
        <v>0</v>
      </c>
    </row>
    <row r="473" spans="1:59" s="21" customFormat="1" ht="15.95" customHeight="1">
      <c r="A473" s="163">
        <v>216</v>
      </c>
      <c r="B473" s="9" t="s">
        <v>3132</v>
      </c>
      <c r="C473" s="10" t="s">
        <v>3133</v>
      </c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22">
        <f t="shared" si="138"/>
        <v>0</v>
      </c>
      <c r="AC473" s="25">
        <v>0</v>
      </c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>
        <f>1+1</f>
        <v>2</v>
      </c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2">
        <f t="shared" si="139"/>
        <v>2</v>
      </c>
      <c r="BC473" s="23">
        <v>1</v>
      </c>
      <c r="BD473" s="130">
        <f t="shared" si="140"/>
        <v>2</v>
      </c>
      <c r="BE473" s="130">
        <f t="shared" si="141"/>
        <v>1</v>
      </c>
      <c r="BF473" s="195">
        <f t="shared" si="142"/>
        <v>200</v>
      </c>
      <c r="BG473" s="373">
        <f t="shared" si="143"/>
        <v>-1</v>
      </c>
    </row>
    <row r="474" spans="1:59" s="21" customFormat="1" ht="15.95" customHeight="1">
      <c r="A474" s="163">
        <v>217</v>
      </c>
      <c r="B474" s="9" t="s">
        <v>2970</v>
      </c>
      <c r="C474" s="10" t="s">
        <v>2971</v>
      </c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22">
        <f t="shared" si="138"/>
        <v>0</v>
      </c>
      <c r="AC474" s="25">
        <v>0</v>
      </c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2">
        <f t="shared" si="139"/>
        <v>0</v>
      </c>
      <c r="BC474" s="23">
        <v>1</v>
      </c>
      <c r="BD474" s="130">
        <f t="shared" si="140"/>
        <v>0</v>
      </c>
      <c r="BE474" s="130">
        <f t="shared" si="141"/>
        <v>1</v>
      </c>
      <c r="BF474" s="195">
        <f t="shared" si="142"/>
        <v>0</v>
      </c>
      <c r="BG474" s="373">
        <f t="shared" si="143"/>
        <v>1</v>
      </c>
    </row>
    <row r="475" spans="1:59" s="21" customFormat="1" ht="15.95" customHeight="1">
      <c r="A475" s="163">
        <v>218</v>
      </c>
      <c r="B475" s="9" t="s">
        <v>1307</v>
      </c>
      <c r="C475" s="10" t="s">
        <v>1308</v>
      </c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22">
        <f t="shared" si="138"/>
        <v>0</v>
      </c>
      <c r="AC475" s="25">
        <v>0</v>
      </c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2">
        <f t="shared" si="139"/>
        <v>0</v>
      </c>
      <c r="BC475" s="23">
        <v>2</v>
      </c>
      <c r="BD475" s="130">
        <f t="shared" si="140"/>
        <v>0</v>
      </c>
      <c r="BE475" s="130">
        <f t="shared" si="141"/>
        <v>2</v>
      </c>
      <c r="BF475" s="195">
        <f t="shared" si="142"/>
        <v>0</v>
      </c>
      <c r="BG475" s="373">
        <f t="shared" si="143"/>
        <v>2</v>
      </c>
    </row>
    <row r="476" spans="1:59" s="21" customFormat="1" ht="15.95" customHeight="1">
      <c r="A476" s="163">
        <v>219</v>
      </c>
      <c r="B476" s="9" t="s">
        <v>2286</v>
      </c>
      <c r="C476" s="16" t="s">
        <v>2287</v>
      </c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22">
        <f t="shared" si="138"/>
        <v>0</v>
      </c>
      <c r="AC476" s="25">
        <v>0</v>
      </c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2">
        <f t="shared" si="139"/>
        <v>0</v>
      </c>
      <c r="BC476" s="23">
        <v>1</v>
      </c>
      <c r="BD476" s="130">
        <f t="shared" si="140"/>
        <v>0</v>
      </c>
      <c r="BE476" s="130">
        <f t="shared" si="141"/>
        <v>1</v>
      </c>
      <c r="BF476" s="195">
        <f t="shared" si="142"/>
        <v>0</v>
      </c>
      <c r="BG476" s="373">
        <f t="shared" si="143"/>
        <v>1</v>
      </c>
    </row>
    <row r="477" spans="1:59" s="21" customFormat="1" ht="15.95" customHeight="1">
      <c r="A477" s="163">
        <v>220</v>
      </c>
      <c r="B477" s="9" t="s">
        <v>3378</v>
      </c>
      <c r="C477" s="16" t="s">
        <v>3379</v>
      </c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22">
        <f t="shared" si="138"/>
        <v>0</v>
      </c>
      <c r="AC477" s="25">
        <v>0</v>
      </c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>
        <f>1+1</f>
        <v>2</v>
      </c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2">
        <f t="shared" si="139"/>
        <v>2</v>
      </c>
      <c r="BC477" s="23">
        <v>0</v>
      </c>
      <c r="BD477" s="130">
        <f t="shared" si="140"/>
        <v>2</v>
      </c>
      <c r="BE477" s="130">
        <f t="shared" si="141"/>
        <v>0</v>
      </c>
      <c r="BF477" s="195" t="e">
        <f t="shared" si="142"/>
        <v>#DIV/0!</v>
      </c>
      <c r="BG477" s="373"/>
    </row>
    <row r="478" spans="1:59" s="21" customFormat="1" ht="15.95" customHeight="1">
      <c r="A478" s="163">
        <v>221</v>
      </c>
      <c r="B478" s="9" t="s">
        <v>2759</v>
      </c>
      <c r="C478" s="16" t="s">
        <v>2760</v>
      </c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22">
        <f t="shared" si="138"/>
        <v>0</v>
      </c>
      <c r="AC478" s="25">
        <v>0</v>
      </c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2">
        <f t="shared" si="139"/>
        <v>0</v>
      </c>
      <c r="BC478" s="23">
        <v>3</v>
      </c>
      <c r="BD478" s="130">
        <f t="shared" si="140"/>
        <v>0</v>
      </c>
      <c r="BE478" s="130">
        <f t="shared" si="141"/>
        <v>3</v>
      </c>
      <c r="BF478" s="195">
        <f t="shared" si="142"/>
        <v>0</v>
      </c>
      <c r="BG478" s="373">
        <f t="shared" ref="BG478:BG490" si="144">BE478-BD478</f>
        <v>3</v>
      </c>
    </row>
    <row r="479" spans="1:59" s="21" customFormat="1" ht="15.95" customHeight="1">
      <c r="A479" s="163">
        <v>222</v>
      </c>
      <c r="B479" s="9" t="s">
        <v>298</v>
      </c>
      <c r="C479" s="16" t="s">
        <v>299</v>
      </c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22">
        <f t="shared" si="138"/>
        <v>0</v>
      </c>
      <c r="AC479" s="25">
        <v>0</v>
      </c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2">
        <f t="shared" si="139"/>
        <v>0</v>
      </c>
      <c r="BC479" s="23">
        <v>1</v>
      </c>
      <c r="BD479" s="130">
        <f t="shared" si="140"/>
        <v>0</v>
      </c>
      <c r="BE479" s="130">
        <f t="shared" si="141"/>
        <v>1</v>
      </c>
      <c r="BF479" s="195">
        <f t="shared" si="142"/>
        <v>0</v>
      </c>
      <c r="BG479" s="373">
        <f t="shared" si="144"/>
        <v>1</v>
      </c>
    </row>
    <row r="480" spans="1:59" s="21" customFormat="1" ht="15.95" customHeight="1">
      <c r="A480" s="163">
        <v>223</v>
      </c>
      <c r="B480" s="9" t="s">
        <v>2494</v>
      </c>
      <c r="C480" s="11" t="s">
        <v>2495</v>
      </c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22">
        <f t="shared" si="138"/>
        <v>0</v>
      </c>
      <c r="AC480" s="25">
        <v>0</v>
      </c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2">
        <f t="shared" si="139"/>
        <v>0</v>
      </c>
      <c r="BC480" s="23">
        <v>1</v>
      </c>
      <c r="BD480" s="130">
        <f t="shared" si="140"/>
        <v>0</v>
      </c>
      <c r="BE480" s="130">
        <f t="shared" si="141"/>
        <v>1</v>
      </c>
      <c r="BF480" s="195">
        <f t="shared" si="142"/>
        <v>0</v>
      </c>
      <c r="BG480" s="373">
        <f t="shared" si="144"/>
        <v>1</v>
      </c>
    </row>
    <row r="481" spans="1:59" s="21" customFormat="1" ht="15.95" customHeight="1">
      <c r="A481" s="163">
        <v>224</v>
      </c>
      <c r="B481" s="9" t="s">
        <v>27</v>
      </c>
      <c r="C481" s="10" t="s">
        <v>300</v>
      </c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22">
        <f t="shared" si="138"/>
        <v>0</v>
      </c>
      <c r="AC481" s="25">
        <v>0</v>
      </c>
      <c r="AD481" s="24"/>
      <c r="AE481" s="24"/>
      <c r="AF481" s="24"/>
      <c r="AG481" s="24"/>
      <c r="AH481" s="24"/>
      <c r="AI481" s="24"/>
      <c r="AJ481" s="24"/>
      <c r="AK481" s="24"/>
      <c r="AL481" s="24">
        <f>4+1</f>
        <v>5</v>
      </c>
      <c r="AM481" s="24"/>
      <c r="AN481" s="24"/>
      <c r="AO481" s="24"/>
      <c r="AP481" s="24">
        <f>4</f>
        <v>4</v>
      </c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2">
        <f t="shared" si="139"/>
        <v>9</v>
      </c>
      <c r="BC481" s="23">
        <v>67</v>
      </c>
      <c r="BD481" s="130">
        <f t="shared" si="140"/>
        <v>9</v>
      </c>
      <c r="BE481" s="130">
        <f t="shared" si="141"/>
        <v>67</v>
      </c>
      <c r="BF481" s="195">
        <f t="shared" si="142"/>
        <v>13.432835820895523</v>
      </c>
      <c r="BG481" s="373">
        <f t="shared" si="144"/>
        <v>58</v>
      </c>
    </row>
    <row r="482" spans="1:59" s="21" customFormat="1" ht="15.95" customHeight="1">
      <c r="A482" s="163">
        <v>225</v>
      </c>
      <c r="B482" s="9" t="s">
        <v>663</v>
      </c>
      <c r="C482" s="10" t="s">
        <v>664</v>
      </c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22">
        <f t="shared" si="138"/>
        <v>0</v>
      </c>
      <c r="AC482" s="25">
        <v>0</v>
      </c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>
        <f>1+1</f>
        <v>2</v>
      </c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2">
        <f t="shared" si="139"/>
        <v>2</v>
      </c>
      <c r="BC482" s="23">
        <v>1</v>
      </c>
      <c r="BD482" s="130">
        <f t="shared" si="140"/>
        <v>2</v>
      </c>
      <c r="BE482" s="130">
        <f t="shared" si="141"/>
        <v>1</v>
      </c>
      <c r="BF482" s="195">
        <f t="shared" si="142"/>
        <v>200</v>
      </c>
      <c r="BG482" s="373">
        <f t="shared" si="144"/>
        <v>-1</v>
      </c>
    </row>
    <row r="483" spans="1:59" s="21" customFormat="1" ht="15.95" customHeight="1">
      <c r="A483" s="163">
        <v>226</v>
      </c>
      <c r="B483" s="9" t="s">
        <v>301</v>
      </c>
      <c r="C483" s="10" t="s">
        <v>302</v>
      </c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22">
        <f t="shared" si="138"/>
        <v>0</v>
      </c>
      <c r="AC483" s="25">
        <v>0</v>
      </c>
      <c r="AD483" s="24"/>
      <c r="AE483" s="24"/>
      <c r="AF483" s="24"/>
      <c r="AG483" s="24"/>
      <c r="AH483" s="24">
        <v>1</v>
      </c>
      <c r="AI483" s="24"/>
      <c r="AJ483" s="24"/>
      <c r="AK483" s="24"/>
      <c r="AL483" s="24"/>
      <c r="AM483" s="24"/>
      <c r="AN483" s="24"/>
      <c r="AO483" s="24"/>
      <c r="AP483" s="24">
        <f>2+2</f>
        <v>4</v>
      </c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2">
        <f t="shared" si="139"/>
        <v>5</v>
      </c>
      <c r="BC483" s="23">
        <v>19</v>
      </c>
      <c r="BD483" s="130">
        <f t="shared" si="140"/>
        <v>5</v>
      </c>
      <c r="BE483" s="130">
        <f t="shared" si="141"/>
        <v>19</v>
      </c>
      <c r="BF483" s="195">
        <f t="shared" si="142"/>
        <v>26.315789473684209</v>
      </c>
      <c r="BG483" s="373">
        <f t="shared" si="144"/>
        <v>14</v>
      </c>
    </row>
    <row r="484" spans="1:59" s="21" customFormat="1" ht="15.95" customHeight="1">
      <c r="A484" s="163">
        <v>227</v>
      </c>
      <c r="B484" s="9" t="s">
        <v>2332</v>
      </c>
      <c r="C484" s="10" t="s">
        <v>2333</v>
      </c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22">
        <f t="shared" si="138"/>
        <v>0</v>
      </c>
      <c r="AC484" s="25">
        <v>0</v>
      </c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2">
        <f t="shared" si="139"/>
        <v>0</v>
      </c>
      <c r="BC484" s="23">
        <v>1</v>
      </c>
      <c r="BD484" s="130">
        <f t="shared" si="140"/>
        <v>0</v>
      </c>
      <c r="BE484" s="130">
        <f t="shared" si="141"/>
        <v>1</v>
      </c>
      <c r="BF484" s="195">
        <f t="shared" si="142"/>
        <v>0</v>
      </c>
      <c r="BG484" s="373">
        <f t="shared" si="144"/>
        <v>1</v>
      </c>
    </row>
    <row r="485" spans="1:59" s="21" customFormat="1" ht="15.95" customHeight="1">
      <c r="A485" s="163">
        <v>228</v>
      </c>
      <c r="B485" s="9" t="s">
        <v>2857</v>
      </c>
      <c r="C485" s="10" t="s">
        <v>2858</v>
      </c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22">
        <f t="shared" si="138"/>
        <v>0</v>
      </c>
      <c r="AC485" s="25">
        <v>0</v>
      </c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2">
        <f t="shared" si="139"/>
        <v>0</v>
      </c>
      <c r="BC485" s="23">
        <v>1</v>
      </c>
      <c r="BD485" s="130">
        <f t="shared" si="140"/>
        <v>0</v>
      </c>
      <c r="BE485" s="130">
        <f t="shared" si="141"/>
        <v>1</v>
      </c>
      <c r="BF485" s="195">
        <f t="shared" si="142"/>
        <v>0</v>
      </c>
      <c r="BG485" s="373">
        <f t="shared" si="144"/>
        <v>1</v>
      </c>
    </row>
    <row r="486" spans="1:59" s="21" customFormat="1" ht="15.95" customHeight="1">
      <c r="A486" s="163">
        <v>229</v>
      </c>
      <c r="B486" s="9" t="s">
        <v>58</v>
      </c>
      <c r="C486" s="10" t="s">
        <v>3134</v>
      </c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22">
        <f t="shared" si="138"/>
        <v>0</v>
      </c>
      <c r="AC486" s="25">
        <v>0</v>
      </c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2">
        <f t="shared" si="139"/>
        <v>0</v>
      </c>
      <c r="BC486" s="23">
        <v>2</v>
      </c>
      <c r="BD486" s="130">
        <f t="shared" si="140"/>
        <v>0</v>
      </c>
      <c r="BE486" s="130">
        <f t="shared" si="141"/>
        <v>2</v>
      </c>
      <c r="BF486" s="195">
        <f t="shared" si="142"/>
        <v>0</v>
      </c>
      <c r="BG486" s="373">
        <f t="shared" si="144"/>
        <v>2</v>
      </c>
    </row>
    <row r="487" spans="1:59" s="21" customFormat="1" ht="15.95" customHeight="1">
      <c r="A487" s="163">
        <v>230</v>
      </c>
      <c r="B487" s="9" t="s">
        <v>62</v>
      </c>
      <c r="C487" s="10" t="s">
        <v>1927</v>
      </c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22">
        <f t="shared" si="138"/>
        <v>0</v>
      </c>
      <c r="AC487" s="25">
        <v>0</v>
      </c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2">
        <f t="shared" si="139"/>
        <v>0</v>
      </c>
      <c r="BC487" s="23">
        <v>1</v>
      </c>
      <c r="BD487" s="130">
        <f t="shared" si="140"/>
        <v>0</v>
      </c>
      <c r="BE487" s="130">
        <f t="shared" si="141"/>
        <v>1</v>
      </c>
      <c r="BF487" s="195">
        <f t="shared" si="142"/>
        <v>0</v>
      </c>
      <c r="BG487" s="373">
        <f t="shared" si="144"/>
        <v>1</v>
      </c>
    </row>
    <row r="488" spans="1:59" s="21" customFormat="1" ht="15.95" customHeight="1">
      <c r="A488" s="163">
        <v>231</v>
      </c>
      <c r="B488" s="9" t="s">
        <v>3416</v>
      </c>
      <c r="C488" s="11" t="s">
        <v>3417</v>
      </c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22">
        <f t="shared" si="138"/>
        <v>0</v>
      </c>
      <c r="AC488" s="25">
        <v>0</v>
      </c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2">
        <f t="shared" si="139"/>
        <v>0</v>
      </c>
      <c r="BC488" s="23">
        <v>1</v>
      </c>
      <c r="BD488" s="130">
        <f t="shared" si="140"/>
        <v>0</v>
      </c>
      <c r="BE488" s="130">
        <f t="shared" si="141"/>
        <v>1</v>
      </c>
      <c r="BF488" s="195">
        <f t="shared" si="142"/>
        <v>0</v>
      </c>
      <c r="BG488" s="373">
        <f t="shared" si="144"/>
        <v>1</v>
      </c>
    </row>
    <row r="489" spans="1:59" s="21" customFormat="1" ht="15.95" customHeight="1">
      <c r="A489" s="163">
        <v>232</v>
      </c>
      <c r="B489" s="9" t="s">
        <v>2972</v>
      </c>
      <c r="C489" s="10" t="s">
        <v>2973</v>
      </c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22">
        <f t="shared" si="138"/>
        <v>0</v>
      </c>
      <c r="AC489" s="25">
        <v>0</v>
      </c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2">
        <f t="shared" si="139"/>
        <v>0</v>
      </c>
      <c r="BC489" s="23">
        <v>1</v>
      </c>
      <c r="BD489" s="130">
        <f t="shared" si="140"/>
        <v>0</v>
      </c>
      <c r="BE489" s="130">
        <f t="shared" si="141"/>
        <v>1</v>
      </c>
      <c r="BF489" s="195">
        <f t="shared" si="142"/>
        <v>0</v>
      </c>
      <c r="BG489" s="373">
        <f t="shared" si="144"/>
        <v>1</v>
      </c>
    </row>
    <row r="490" spans="1:59" s="21" customFormat="1" ht="15.95" customHeight="1">
      <c r="A490" s="163">
        <v>233</v>
      </c>
      <c r="B490" s="9" t="s">
        <v>74</v>
      </c>
      <c r="C490" s="10" t="s">
        <v>2496</v>
      </c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22">
        <f t="shared" si="138"/>
        <v>0</v>
      </c>
      <c r="AC490" s="25">
        <v>0</v>
      </c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2">
        <f t="shared" si="139"/>
        <v>0</v>
      </c>
      <c r="BC490" s="23">
        <v>1</v>
      </c>
      <c r="BD490" s="130">
        <f t="shared" si="140"/>
        <v>0</v>
      </c>
      <c r="BE490" s="130">
        <f t="shared" si="141"/>
        <v>1</v>
      </c>
      <c r="BF490" s="195">
        <f t="shared" si="142"/>
        <v>0</v>
      </c>
      <c r="BG490" s="373">
        <f t="shared" si="144"/>
        <v>1</v>
      </c>
    </row>
    <row r="491" spans="1:59" s="21" customFormat="1" ht="15.95" customHeight="1">
      <c r="A491" s="163">
        <v>234</v>
      </c>
      <c r="B491" s="9" t="s">
        <v>3899</v>
      </c>
      <c r="C491" s="10" t="s">
        <v>3900</v>
      </c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22">
        <f t="shared" si="138"/>
        <v>0</v>
      </c>
      <c r="AC491" s="25">
        <v>0</v>
      </c>
      <c r="AD491" s="24"/>
      <c r="AE491" s="24"/>
      <c r="AF491" s="24"/>
      <c r="AG491" s="24"/>
      <c r="AH491" s="24"/>
      <c r="AI491" s="24"/>
      <c r="AJ491" s="24"/>
      <c r="AK491" s="24"/>
      <c r="AL491" s="24">
        <v>1</v>
      </c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2">
        <f t="shared" si="139"/>
        <v>1</v>
      </c>
      <c r="BC491" s="23">
        <v>0</v>
      </c>
      <c r="BD491" s="130">
        <f t="shared" si="140"/>
        <v>1</v>
      </c>
      <c r="BE491" s="130">
        <f t="shared" si="141"/>
        <v>0</v>
      </c>
      <c r="BF491" s="195" t="e">
        <f t="shared" si="142"/>
        <v>#DIV/0!</v>
      </c>
      <c r="BG491" s="373"/>
    </row>
    <row r="492" spans="1:59" s="21" customFormat="1" ht="15.95" customHeight="1">
      <c r="A492" s="163">
        <v>235</v>
      </c>
      <c r="B492" s="9" t="s">
        <v>2768</v>
      </c>
      <c r="C492" s="10" t="s">
        <v>2769</v>
      </c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22">
        <f t="shared" si="138"/>
        <v>0</v>
      </c>
      <c r="AC492" s="25">
        <v>0</v>
      </c>
      <c r="AD492" s="24"/>
      <c r="AE492" s="24"/>
      <c r="AF492" s="24"/>
      <c r="AG492" s="24"/>
      <c r="AH492" s="24">
        <v>1</v>
      </c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2">
        <f t="shared" si="139"/>
        <v>1</v>
      </c>
      <c r="BC492" s="23">
        <v>1</v>
      </c>
      <c r="BD492" s="130">
        <f t="shared" si="140"/>
        <v>1</v>
      </c>
      <c r="BE492" s="130">
        <f t="shared" si="141"/>
        <v>1</v>
      </c>
      <c r="BF492" s="195">
        <f t="shared" si="142"/>
        <v>100</v>
      </c>
      <c r="BG492" s="373">
        <f t="shared" ref="BG492:BG497" si="145">BE492-BD492</f>
        <v>0</v>
      </c>
    </row>
    <row r="493" spans="1:59" s="21" customFormat="1" ht="15.95" customHeight="1">
      <c r="A493" s="163">
        <v>236</v>
      </c>
      <c r="B493" s="9" t="s">
        <v>76</v>
      </c>
      <c r="C493" s="10" t="s">
        <v>77</v>
      </c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22">
        <f t="shared" si="138"/>
        <v>0</v>
      </c>
      <c r="AC493" s="25">
        <v>0</v>
      </c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2">
        <f t="shared" si="139"/>
        <v>0</v>
      </c>
      <c r="BC493" s="23">
        <v>1</v>
      </c>
      <c r="BD493" s="130">
        <f t="shared" si="140"/>
        <v>0</v>
      </c>
      <c r="BE493" s="130">
        <f t="shared" si="141"/>
        <v>1</v>
      </c>
      <c r="BF493" s="195">
        <f t="shared" si="142"/>
        <v>0</v>
      </c>
      <c r="BG493" s="373">
        <f t="shared" si="145"/>
        <v>1</v>
      </c>
    </row>
    <row r="494" spans="1:59" s="21" customFormat="1" ht="15.95" customHeight="1">
      <c r="A494" s="163">
        <v>237</v>
      </c>
      <c r="B494" s="9" t="s">
        <v>2440</v>
      </c>
      <c r="C494" s="10" t="s">
        <v>2441</v>
      </c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22">
        <f t="shared" si="138"/>
        <v>0</v>
      </c>
      <c r="AC494" s="25">
        <v>0</v>
      </c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2">
        <f t="shared" si="139"/>
        <v>0</v>
      </c>
      <c r="BC494" s="23">
        <v>1</v>
      </c>
      <c r="BD494" s="130">
        <f t="shared" si="140"/>
        <v>0</v>
      </c>
      <c r="BE494" s="130">
        <f t="shared" si="141"/>
        <v>1</v>
      </c>
      <c r="BF494" s="195">
        <f t="shared" si="142"/>
        <v>0</v>
      </c>
      <c r="BG494" s="373">
        <f t="shared" si="145"/>
        <v>1</v>
      </c>
    </row>
    <row r="495" spans="1:59" s="21" customFormat="1" ht="15.95" customHeight="1">
      <c r="A495" s="163">
        <v>238</v>
      </c>
      <c r="B495" s="9" t="s">
        <v>82</v>
      </c>
      <c r="C495" s="10" t="s">
        <v>83</v>
      </c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22">
        <f t="shared" si="138"/>
        <v>0</v>
      </c>
      <c r="AC495" s="25">
        <v>0</v>
      </c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2">
        <f t="shared" si="139"/>
        <v>0</v>
      </c>
      <c r="BC495" s="23">
        <v>3</v>
      </c>
      <c r="BD495" s="130">
        <f t="shared" si="140"/>
        <v>0</v>
      </c>
      <c r="BE495" s="130">
        <f t="shared" si="141"/>
        <v>3</v>
      </c>
      <c r="BF495" s="195">
        <f t="shared" si="142"/>
        <v>0</v>
      </c>
      <c r="BG495" s="373">
        <f t="shared" si="145"/>
        <v>3</v>
      </c>
    </row>
    <row r="496" spans="1:59" s="21" customFormat="1" ht="15.95" customHeight="1">
      <c r="A496" s="163">
        <v>239</v>
      </c>
      <c r="B496" s="9" t="s">
        <v>84</v>
      </c>
      <c r="C496" s="10" t="s">
        <v>85</v>
      </c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22">
        <f t="shared" si="138"/>
        <v>0</v>
      </c>
      <c r="AC496" s="25">
        <v>0</v>
      </c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2">
        <f t="shared" si="139"/>
        <v>0</v>
      </c>
      <c r="BC496" s="23">
        <v>1</v>
      </c>
      <c r="BD496" s="130">
        <f t="shared" si="140"/>
        <v>0</v>
      </c>
      <c r="BE496" s="130">
        <f t="shared" si="141"/>
        <v>1</v>
      </c>
      <c r="BF496" s="195">
        <f t="shared" si="142"/>
        <v>0</v>
      </c>
      <c r="BG496" s="373">
        <f t="shared" si="145"/>
        <v>1</v>
      </c>
    </row>
    <row r="497" spans="1:59" s="21" customFormat="1" ht="15.95" customHeight="1">
      <c r="A497" s="163">
        <v>240</v>
      </c>
      <c r="B497" s="9" t="s">
        <v>86</v>
      </c>
      <c r="C497" s="10" t="s">
        <v>87</v>
      </c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22">
        <f t="shared" si="138"/>
        <v>0</v>
      </c>
      <c r="AC497" s="25">
        <v>0</v>
      </c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99">
        <f>1+1</f>
        <v>2</v>
      </c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22">
        <f t="shared" si="139"/>
        <v>2</v>
      </c>
      <c r="BC497" s="23">
        <v>1</v>
      </c>
      <c r="BD497" s="130">
        <f t="shared" si="140"/>
        <v>2</v>
      </c>
      <c r="BE497" s="130">
        <f t="shared" si="141"/>
        <v>1</v>
      </c>
      <c r="BF497" s="195">
        <f t="shared" si="142"/>
        <v>200</v>
      </c>
      <c r="BG497" s="373">
        <f t="shared" si="145"/>
        <v>-1</v>
      </c>
    </row>
    <row r="498" spans="1:59" s="21" customFormat="1" ht="15.95" customHeight="1">
      <c r="A498" s="163">
        <v>241</v>
      </c>
      <c r="B498" s="9" t="s">
        <v>2165</v>
      </c>
      <c r="C498" s="10" t="s">
        <v>2166</v>
      </c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22">
        <f t="shared" si="138"/>
        <v>0</v>
      </c>
      <c r="AC498" s="25">
        <v>0</v>
      </c>
      <c r="AD498" s="99"/>
      <c r="AE498" s="99"/>
      <c r="AF498" s="99"/>
      <c r="AG498" s="99"/>
      <c r="AH498" s="99"/>
      <c r="AI498" s="99"/>
      <c r="AJ498" s="99"/>
      <c r="AK498" s="99"/>
      <c r="AL498" s="99">
        <v>1</v>
      </c>
      <c r="AM498" s="99"/>
      <c r="AN498" s="99"/>
      <c r="AO498" s="99"/>
      <c r="AP498" s="99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22">
        <f t="shared" si="139"/>
        <v>1</v>
      </c>
      <c r="BC498" s="23">
        <v>0</v>
      </c>
      <c r="BD498" s="130">
        <f t="shared" si="140"/>
        <v>1</v>
      </c>
      <c r="BE498" s="130">
        <f t="shared" si="141"/>
        <v>0</v>
      </c>
      <c r="BF498" s="195" t="e">
        <f t="shared" si="142"/>
        <v>#DIV/0!</v>
      </c>
      <c r="BG498" s="373"/>
    </row>
    <row r="499" spans="1:59" s="21" customFormat="1" ht="15.95" customHeight="1">
      <c r="A499" s="163">
        <v>242</v>
      </c>
      <c r="B499" s="9" t="s">
        <v>96</v>
      </c>
      <c r="C499" s="11" t="s">
        <v>305</v>
      </c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22">
        <f t="shared" si="138"/>
        <v>0</v>
      </c>
      <c r="AC499" s="25">
        <v>0</v>
      </c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2">
        <f t="shared" si="139"/>
        <v>0</v>
      </c>
      <c r="BC499" s="23">
        <v>1</v>
      </c>
      <c r="BD499" s="130">
        <f t="shared" si="140"/>
        <v>0</v>
      </c>
      <c r="BE499" s="130">
        <f t="shared" si="141"/>
        <v>1</v>
      </c>
      <c r="BF499" s="195">
        <f t="shared" si="142"/>
        <v>0</v>
      </c>
      <c r="BG499" s="373">
        <f t="shared" ref="BG499:BG504" si="146">BE499-BD499</f>
        <v>1</v>
      </c>
    </row>
    <row r="500" spans="1:59" s="21" customFormat="1" ht="15.95" customHeight="1">
      <c r="A500" s="163">
        <v>243</v>
      </c>
      <c r="B500" s="9" t="s">
        <v>98</v>
      </c>
      <c r="C500" s="11" t="s">
        <v>99</v>
      </c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22">
        <f t="shared" si="138"/>
        <v>0</v>
      </c>
      <c r="AC500" s="25">
        <v>0</v>
      </c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2">
        <f t="shared" si="139"/>
        <v>0</v>
      </c>
      <c r="BC500" s="23">
        <v>1</v>
      </c>
      <c r="BD500" s="130">
        <f t="shared" si="140"/>
        <v>0</v>
      </c>
      <c r="BE500" s="130">
        <f t="shared" si="141"/>
        <v>1</v>
      </c>
      <c r="BF500" s="195">
        <f t="shared" si="142"/>
        <v>0</v>
      </c>
      <c r="BG500" s="373">
        <f t="shared" si="146"/>
        <v>1</v>
      </c>
    </row>
    <row r="501" spans="1:59" s="21" customFormat="1" ht="15.95" customHeight="1">
      <c r="A501" s="163">
        <v>244</v>
      </c>
      <c r="B501" s="9" t="s">
        <v>306</v>
      </c>
      <c r="C501" s="10" t="s">
        <v>307</v>
      </c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22">
        <f t="shared" si="138"/>
        <v>0</v>
      </c>
      <c r="AC501" s="25">
        <v>0</v>
      </c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2">
        <f t="shared" si="139"/>
        <v>0</v>
      </c>
      <c r="BC501" s="23">
        <v>1</v>
      </c>
      <c r="BD501" s="130">
        <f t="shared" si="140"/>
        <v>0</v>
      </c>
      <c r="BE501" s="130">
        <f t="shared" si="141"/>
        <v>1</v>
      </c>
      <c r="BF501" s="195">
        <f t="shared" si="142"/>
        <v>0</v>
      </c>
      <c r="BG501" s="373">
        <f t="shared" si="146"/>
        <v>1</v>
      </c>
    </row>
    <row r="502" spans="1:59" s="21" customFormat="1" ht="15.95" customHeight="1">
      <c r="A502" s="163">
        <v>245</v>
      </c>
      <c r="B502" s="9" t="s">
        <v>100</v>
      </c>
      <c r="C502" s="11" t="s">
        <v>101</v>
      </c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22">
        <f t="shared" si="138"/>
        <v>0</v>
      </c>
      <c r="AC502" s="25">
        <v>0</v>
      </c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>
        <f>1+1</f>
        <v>2</v>
      </c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2">
        <f t="shared" si="139"/>
        <v>2</v>
      </c>
      <c r="BC502" s="23">
        <v>1</v>
      </c>
      <c r="BD502" s="130">
        <f t="shared" si="140"/>
        <v>2</v>
      </c>
      <c r="BE502" s="130">
        <f t="shared" si="141"/>
        <v>1</v>
      </c>
      <c r="BF502" s="195">
        <f t="shared" si="142"/>
        <v>200</v>
      </c>
      <c r="BG502" s="373">
        <f t="shared" si="146"/>
        <v>-1</v>
      </c>
    </row>
    <row r="503" spans="1:59" s="21" customFormat="1" ht="15.95" customHeight="1">
      <c r="A503" s="163">
        <v>246</v>
      </c>
      <c r="B503" s="9" t="s">
        <v>102</v>
      </c>
      <c r="C503" s="11" t="s">
        <v>2497</v>
      </c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22">
        <f t="shared" si="138"/>
        <v>0</v>
      </c>
      <c r="AC503" s="25">
        <v>0</v>
      </c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2">
        <f t="shared" si="139"/>
        <v>0</v>
      </c>
      <c r="BC503" s="23">
        <v>1</v>
      </c>
      <c r="BD503" s="130">
        <f t="shared" si="140"/>
        <v>0</v>
      </c>
      <c r="BE503" s="130">
        <f t="shared" si="141"/>
        <v>1</v>
      </c>
      <c r="BF503" s="195">
        <f t="shared" si="142"/>
        <v>0</v>
      </c>
      <c r="BG503" s="373">
        <f t="shared" si="146"/>
        <v>1</v>
      </c>
    </row>
    <row r="504" spans="1:59" s="21" customFormat="1" ht="15.95" customHeight="1">
      <c r="A504" s="163">
        <v>247</v>
      </c>
      <c r="B504" s="9" t="s">
        <v>104</v>
      </c>
      <c r="C504" s="11" t="s">
        <v>667</v>
      </c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22">
        <f t="shared" si="138"/>
        <v>0</v>
      </c>
      <c r="AC504" s="25">
        <v>0</v>
      </c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2">
        <f t="shared" si="139"/>
        <v>0</v>
      </c>
      <c r="BC504" s="23">
        <v>3</v>
      </c>
      <c r="BD504" s="130">
        <f t="shared" si="140"/>
        <v>0</v>
      </c>
      <c r="BE504" s="130">
        <f t="shared" si="141"/>
        <v>3</v>
      </c>
      <c r="BF504" s="195">
        <f t="shared" si="142"/>
        <v>0</v>
      </c>
      <c r="BG504" s="373">
        <f t="shared" si="146"/>
        <v>3</v>
      </c>
    </row>
    <row r="505" spans="1:59" s="21" customFormat="1" ht="15.95" customHeight="1">
      <c r="A505" s="163">
        <v>248</v>
      </c>
      <c r="B505" s="9" t="s">
        <v>4109</v>
      </c>
      <c r="C505" s="11" t="s">
        <v>4110</v>
      </c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22">
        <f t="shared" si="138"/>
        <v>0</v>
      </c>
      <c r="AC505" s="25">
        <v>0</v>
      </c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>
        <f>1+1</f>
        <v>2</v>
      </c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2">
        <f t="shared" si="139"/>
        <v>2</v>
      </c>
      <c r="BC505" s="23">
        <v>0</v>
      </c>
      <c r="BD505" s="130">
        <f t="shared" si="140"/>
        <v>2</v>
      </c>
      <c r="BE505" s="130">
        <f t="shared" si="141"/>
        <v>0</v>
      </c>
      <c r="BF505" s="195" t="e">
        <f t="shared" si="142"/>
        <v>#DIV/0!</v>
      </c>
      <c r="BG505" s="373"/>
    </row>
    <row r="506" spans="1:59" s="21" customFormat="1" ht="15.95" customHeight="1">
      <c r="A506" s="163">
        <v>249</v>
      </c>
      <c r="B506" s="9" t="s">
        <v>2264</v>
      </c>
      <c r="C506" s="11" t="s">
        <v>2859</v>
      </c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22">
        <f t="shared" si="138"/>
        <v>0</v>
      </c>
      <c r="AC506" s="25">
        <v>0</v>
      </c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2">
        <f t="shared" si="139"/>
        <v>0</v>
      </c>
      <c r="BC506" s="23">
        <v>1</v>
      </c>
      <c r="BD506" s="130">
        <f t="shared" si="140"/>
        <v>0</v>
      </c>
      <c r="BE506" s="130">
        <f t="shared" si="141"/>
        <v>1</v>
      </c>
      <c r="BF506" s="195">
        <f t="shared" si="142"/>
        <v>0</v>
      </c>
      <c r="BG506" s="373">
        <f t="shared" ref="BG506:BG511" si="147">BE506-BD506</f>
        <v>1</v>
      </c>
    </row>
    <row r="507" spans="1:59" s="21" customFormat="1" ht="15.95" customHeight="1">
      <c r="A507" s="163">
        <v>250</v>
      </c>
      <c r="B507" s="9" t="s">
        <v>634</v>
      </c>
      <c r="C507" s="11" t="s">
        <v>3135</v>
      </c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22">
        <f t="shared" si="138"/>
        <v>0</v>
      </c>
      <c r="AC507" s="25">
        <v>0</v>
      </c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2">
        <f t="shared" si="139"/>
        <v>0</v>
      </c>
      <c r="BC507" s="23">
        <v>2</v>
      </c>
      <c r="BD507" s="130">
        <f t="shared" si="140"/>
        <v>0</v>
      </c>
      <c r="BE507" s="130">
        <f t="shared" si="141"/>
        <v>2</v>
      </c>
      <c r="BF507" s="195">
        <f t="shared" si="142"/>
        <v>0</v>
      </c>
      <c r="BG507" s="373">
        <f t="shared" si="147"/>
        <v>2</v>
      </c>
    </row>
    <row r="508" spans="1:59" s="21" customFormat="1" ht="15.95" customHeight="1">
      <c r="A508" s="163">
        <v>251</v>
      </c>
      <c r="B508" s="9" t="s">
        <v>2385</v>
      </c>
      <c r="C508" s="11" t="s">
        <v>3333</v>
      </c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22">
        <f t="shared" si="138"/>
        <v>0</v>
      </c>
      <c r="AC508" s="25">
        <v>0</v>
      </c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2">
        <f t="shared" si="139"/>
        <v>0</v>
      </c>
      <c r="BC508" s="23">
        <v>1</v>
      </c>
      <c r="BD508" s="130">
        <f t="shared" si="140"/>
        <v>0</v>
      </c>
      <c r="BE508" s="130">
        <f t="shared" si="141"/>
        <v>1</v>
      </c>
      <c r="BF508" s="195">
        <f t="shared" si="142"/>
        <v>0</v>
      </c>
      <c r="BG508" s="373">
        <f t="shared" si="147"/>
        <v>1</v>
      </c>
    </row>
    <row r="509" spans="1:59" s="21" customFormat="1" ht="15.95" customHeight="1">
      <c r="A509" s="163">
        <v>252</v>
      </c>
      <c r="B509" s="9" t="s">
        <v>310</v>
      </c>
      <c r="C509" s="10" t="s">
        <v>311</v>
      </c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22">
        <f t="shared" si="138"/>
        <v>0</v>
      </c>
      <c r="AC509" s="25">
        <v>0</v>
      </c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2">
        <f t="shared" si="139"/>
        <v>0</v>
      </c>
      <c r="BC509" s="23">
        <v>2</v>
      </c>
      <c r="BD509" s="130">
        <f t="shared" si="140"/>
        <v>0</v>
      </c>
      <c r="BE509" s="130">
        <f t="shared" si="141"/>
        <v>2</v>
      </c>
      <c r="BF509" s="195">
        <f t="shared" si="142"/>
        <v>0</v>
      </c>
      <c r="BG509" s="373">
        <f t="shared" si="147"/>
        <v>2</v>
      </c>
    </row>
    <row r="510" spans="1:59" s="21" customFormat="1" ht="15.95" customHeight="1">
      <c r="A510" s="163">
        <v>253</v>
      </c>
      <c r="B510" s="9" t="s">
        <v>2445</v>
      </c>
      <c r="C510" s="11" t="s">
        <v>2446</v>
      </c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22">
        <f t="shared" si="138"/>
        <v>0</v>
      </c>
      <c r="AC510" s="25">
        <v>0</v>
      </c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2">
        <f t="shared" si="139"/>
        <v>0</v>
      </c>
      <c r="BC510" s="23">
        <v>1</v>
      </c>
      <c r="BD510" s="130">
        <f t="shared" si="140"/>
        <v>0</v>
      </c>
      <c r="BE510" s="130">
        <f t="shared" si="141"/>
        <v>1</v>
      </c>
      <c r="BF510" s="195">
        <f t="shared" si="142"/>
        <v>0</v>
      </c>
      <c r="BG510" s="373">
        <f t="shared" si="147"/>
        <v>1</v>
      </c>
    </row>
    <row r="511" spans="1:59" s="21" customFormat="1" ht="15.95" customHeight="1">
      <c r="A511" s="163">
        <v>254</v>
      </c>
      <c r="B511" s="9" t="s">
        <v>2860</v>
      </c>
      <c r="C511" s="11" t="s">
        <v>2861</v>
      </c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22">
        <f t="shared" si="138"/>
        <v>0</v>
      </c>
      <c r="AC511" s="25">
        <v>0</v>
      </c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2">
        <f t="shared" si="139"/>
        <v>0</v>
      </c>
      <c r="BC511" s="23">
        <v>1</v>
      </c>
      <c r="BD511" s="130">
        <f t="shared" si="140"/>
        <v>0</v>
      </c>
      <c r="BE511" s="130">
        <f t="shared" si="141"/>
        <v>1</v>
      </c>
      <c r="BF511" s="195">
        <f t="shared" si="142"/>
        <v>0</v>
      </c>
      <c r="BG511" s="373">
        <f t="shared" si="147"/>
        <v>1</v>
      </c>
    </row>
    <row r="512" spans="1:59" s="21" customFormat="1" ht="15.95" customHeight="1">
      <c r="A512" s="163">
        <v>255</v>
      </c>
      <c r="B512" s="9" t="s">
        <v>4111</v>
      </c>
      <c r="C512" s="11" t="s">
        <v>4112</v>
      </c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22">
        <f t="shared" si="138"/>
        <v>0</v>
      </c>
      <c r="AC512" s="25">
        <v>0</v>
      </c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>
        <f>1+1</f>
        <v>2</v>
      </c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2">
        <f t="shared" si="139"/>
        <v>2</v>
      </c>
      <c r="BC512" s="23">
        <v>0</v>
      </c>
      <c r="BD512" s="130">
        <f t="shared" si="140"/>
        <v>2</v>
      </c>
      <c r="BE512" s="130">
        <f t="shared" si="141"/>
        <v>0</v>
      </c>
      <c r="BF512" s="195" t="e">
        <f t="shared" si="142"/>
        <v>#DIV/0!</v>
      </c>
      <c r="BG512" s="373"/>
    </row>
    <row r="513" spans="1:59" s="21" customFormat="1" ht="15.95" customHeight="1">
      <c r="A513" s="163">
        <v>256</v>
      </c>
      <c r="B513" s="9" t="s">
        <v>3304</v>
      </c>
      <c r="C513" s="11" t="s">
        <v>3305</v>
      </c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22">
        <f t="shared" si="138"/>
        <v>0</v>
      </c>
      <c r="AC513" s="25">
        <v>0</v>
      </c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2">
        <f t="shared" si="139"/>
        <v>0</v>
      </c>
      <c r="BC513" s="23">
        <v>1</v>
      </c>
      <c r="BD513" s="130">
        <f t="shared" si="140"/>
        <v>0</v>
      </c>
      <c r="BE513" s="130">
        <f t="shared" si="141"/>
        <v>1</v>
      </c>
      <c r="BF513" s="195">
        <f t="shared" si="142"/>
        <v>0</v>
      </c>
      <c r="BG513" s="373">
        <f>BE513-BD513</f>
        <v>1</v>
      </c>
    </row>
    <row r="514" spans="1:59" s="21" customFormat="1" ht="15.95" customHeight="1">
      <c r="A514" s="163">
        <v>257</v>
      </c>
      <c r="B514" s="9" t="s">
        <v>2556</v>
      </c>
      <c r="C514" s="11" t="s">
        <v>2624</v>
      </c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22">
        <f t="shared" ref="AB514:AB566" si="148">SUM(D514:AA514)</f>
        <v>0</v>
      </c>
      <c r="AC514" s="25">
        <v>0</v>
      </c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2">
        <f t="shared" ref="BB514:BB566" si="149">SUM(AD514:BA514)</f>
        <v>0</v>
      </c>
      <c r="BC514" s="23">
        <v>1</v>
      </c>
      <c r="BD514" s="130">
        <f t="shared" ref="BD514:BD566" si="150">AB514+BB514</f>
        <v>0</v>
      </c>
      <c r="BE514" s="130">
        <f t="shared" ref="BE514:BE566" si="151">AC514+BC514</f>
        <v>1</v>
      </c>
      <c r="BF514" s="195">
        <f t="shared" ref="BF514:BF566" si="152">BD514/BE514*100</f>
        <v>0</v>
      </c>
      <c r="BG514" s="373">
        <f>BE514-BD514</f>
        <v>1</v>
      </c>
    </row>
    <row r="515" spans="1:59" s="21" customFormat="1" ht="15.95" customHeight="1">
      <c r="A515" s="163">
        <v>258</v>
      </c>
      <c r="B515" s="9" t="s">
        <v>107</v>
      </c>
      <c r="C515" s="10" t="s">
        <v>2770</v>
      </c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22">
        <f t="shared" si="148"/>
        <v>0</v>
      </c>
      <c r="AC515" s="25">
        <v>0</v>
      </c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>
        <f>1+1</f>
        <v>2</v>
      </c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2">
        <f t="shared" si="149"/>
        <v>2</v>
      </c>
      <c r="BC515" s="23">
        <v>2</v>
      </c>
      <c r="BD515" s="130">
        <f t="shared" si="150"/>
        <v>2</v>
      </c>
      <c r="BE515" s="130">
        <f t="shared" si="151"/>
        <v>2</v>
      </c>
      <c r="BF515" s="195">
        <f t="shared" si="152"/>
        <v>100</v>
      </c>
      <c r="BG515" s="373">
        <f>BE515-BD515</f>
        <v>0</v>
      </c>
    </row>
    <row r="516" spans="1:59" s="21" customFormat="1" ht="21.75" customHeight="1">
      <c r="A516" s="163">
        <v>259</v>
      </c>
      <c r="B516" s="9" t="s">
        <v>21</v>
      </c>
      <c r="C516" s="10" t="s">
        <v>3639</v>
      </c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22">
        <f t="shared" si="148"/>
        <v>0</v>
      </c>
      <c r="AC516" s="25">
        <v>0</v>
      </c>
      <c r="AD516" s="24">
        <v>1</v>
      </c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2">
        <f t="shared" si="149"/>
        <v>1</v>
      </c>
      <c r="BC516" s="23">
        <v>0</v>
      </c>
      <c r="BD516" s="130">
        <f t="shared" si="150"/>
        <v>1</v>
      </c>
      <c r="BE516" s="130">
        <f t="shared" si="151"/>
        <v>0</v>
      </c>
      <c r="BF516" s="195" t="e">
        <f t="shared" si="152"/>
        <v>#DIV/0!</v>
      </c>
      <c r="BG516" s="373"/>
    </row>
    <row r="517" spans="1:59" s="21" customFormat="1" ht="15.95" customHeight="1">
      <c r="A517" s="163">
        <v>260</v>
      </c>
      <c r="B517" s="9" t="s">
        <v>3418</v>
      </c>
      <c r="C517" s="11" t="s">
        <v>3419</v>
      </c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22">
        <f t="shared" si="148"/>
        <v>0</v>
      </c>
      <c r="AC517" s="25">
        <v>0</v>
      </c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2">
        <f t="shared" si="149"/>
        <v>0</v>
      </c>
      <c r="BC517" s="23">
        <v>1</v>
      </c>
      <c r="BD517" s="130">
        <f t="shared" si="150"/>
        <v>0</v>
      </c>
      <c r="BE517" s="130">
        <f t="shared" si="151"/>
        <v>1</v>
      </c>
      <c r="BF517" s="195">
        <f t="shared" si="152"/>
        <v>0</v>
      </c>
      <c r="BG517" s="373">
        <f>BE517-BD517</f>
        <v>1</v>
      </c>
    </row>
    <row r="518" spans="1:59" s="21" customFormat="1" ht="15.95" customHeight="1">
      <c r="A518" s="163">
        <v>261</v>
      </c>
      <c r="B518" s="9" t="s">
        <v>108</v>
      </c>
      <c r="C518" s="10" t="s">
        <v>109</v>
      </c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22">
        <f t="shared" si="148"/>
        <v>0</v>
      </c>
      <c r="AC518" s="25">
        <v>0</v>
      </c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2">
        <f t="shared" si="149"/>
        <v>0</v>
      </c>
      <c r="BC518" s="23">
        <v>1</v>
      </c>
      <c r="BD518" s="130">
        <f t="shared" si="150"/>
        <v>0</v>
      </c>
      <c r="BE518" s="130">
        <f t="shared" si="151"/>
        <v>1</v>
      </c>
      <c r="BF518" s="195">
        <f t="shared" si="152"/>
        <v>0</v>
      </c>
      <c r="BG518" s="373">
        <f>BE518-BD518</f>
        <v>1</v>
      </c>
    </row>
    <row r="519" spans="1:59" s="21" customFormat="1" ht="15.95" customHeight="1">
      <c r="A519" s="163">
        <v>262</v>
      </c>
      <c r="B519" s="9" t="s">
        <v>668</v>
      </c>
      <c r="C519" s="10" t="s">
        <v>669</v>
      </c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22">
        <f t="shared" si="148"/>
        <v>0</v>
      </c>
      <c r="AC519" s="25">
        <v>0</v>
      </c>
      <c r="AD519" s="24">
        <v>14</v>
      </c>
      <c r="AE519" s="24"/>
      <c r="AF519" s="24"/>
      <c r="AG519" s="24"/>
      <c r="AH519" s="24">
        <v>16</v>
      </c>
      <c r="AI519" s="24"/>
      <c r="AJ519" s="24"/>
      <c r="AK519" s="24"/>
      <c r="AL519" s="24">
        <f>9+10</f>
        <v>19</v>
      </c>
      <c r="AM519" s="24"/>
      <c r="AN519" s="24"/>
      <c r="AO519" s="24"/>
      <c r="AP519" s="24">
        <f>6</f>
        <v>6</v>
      </c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2">
        <f t="shared" si="149"/>
        <v>55</v>
      </c>
      <c r="BC519" s="23">
        <v>7</v>
      </c>
      <c r="BD519" s="130">
        <f t="shared" si="150"/>
        <v>55</v>
      </c>
      <c r="BE519" s="130">
        <f t="shared" si="151"/>
        <v>7</v>
      </c>
      <c r="BF519" s="195">
        <f t="shared" si="152"/>
        <v>785.71428571428567</v>
      </c>
      <c r="BG519" s="373">
        <f>BE519-BD519</f>
        <v>-48</v>
      </c>
    </row>
    <row r="520" spans="1:59" s="21" customFormat="1" ht="15.95" customHeight="1">
      <c r="A520" s="163">
        <v>263</v>
      </c>
      <c r="B520" s="9" t="s">
        <v>684</v>
      </c>
      <c r="C520" s="10" t="s">
        <v>685</v>
      </c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22">
        <f t="shared" si="148"/>
        <v>0</v>
      </c>
      <c r="AC520" s="25">
        <v>0</v>
      </c>
      <c r="AD520" s="24"/>
      <c r="AE520" s="24"/>
      <c r="AF520" s="24"/>
      <c r="AG520" s="24"/>
      <c r="AH520" s="24"/>
      <c r="AI520" s="24"/>
      <c r="AJ520" s="24"/>
      <c r="AK520" s="24"/>
      <c r="AL520" s="24">
        <v>1</v>
      </c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2">
        <f t="shared" si="149"/>
        <v>1</v>
      </c>
      <c r="BC520" s="23">
        <v>0</v>
      </c>
      <c r="BD520" s="130">
        <f t="shared" si="150"/>
        <v>1</v>
      </c>
      <c r="BE520" s="130">
        <f t="shared" si="151"/>
        <v>0</v>
      </c>
      <c r="BF520" s="195" t="e">
        <f t="shared" si="152"/>
        <v>#DIV/0!</v>
      </c>
      <c r="BG520" s="373"/>
    </row>
    <row r="521" spans="1:59" s="21" customFormat="1" ht="15.95" customHeight="1">
      <c r="A521" s="163">
        <v>264</v>
      </c>
      <c r="B521" s="9" t="s">
        <v>423</v>
      </c>
      <c r="C521" s="10" t="s">
        <v>3640</v>
      </c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22">
        <f t="shared" si="148"/>
        <v>0</v>
      </c>
      <c r="AC521" s="25">
        <v>0</v>
      </c>
      <c r="AD521" s="24">
        <v>1</v>
      </c>
      <c r="AE521" s="24"/>
      <c r="AF521" s="24"/>
      <c r="AG521" s="24"/>
      <c r="AH521" s="24">
        <v>1</v>
      </c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2">
        <f t="shared" si="149"/>
        <v>2</v>
      </c>
      <c r="BC521" s="23">
        <v>0</v>
      </c>
      <c r="BD521" s="130">
        <f t="shared" si="150"/>
        <v>2</v>
      </c>
      <c r="BE521" s="130">
        <f t="shared" si="151"/>
        <v>0</v>
      </c>
      <c r="BF521" s="195" t="e">
        <f t="shared" si="152"/>
        <v>#DIV/0!</v>
      </c>
      <c r="BG521" s="373"/>
    </row>
    <row r="522" spans="1:59" s="21" customFormat="1" ht="15.95" customHeight="1">
      <c r="A522" s="163">
        <v>265</v>
      </c>
      <c r="B522" s="9" t="s">
        <v>8</v>
      </c>
      <c r="C522" s="16" t="s">
        <v>316</v>
      </c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22">
        <f t="shared" si="148"/>
        <v>0</v>
      </c>
      <c r="AC522" s="25">
        <v>0</v>
      </c>
      <c r="AD522" s="24">
        <v>2</v>
      </c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2">
        <f t="shared" si="149"/>
        <v>2</v>
      </c>
      <c r="BC522" s="23">
        <v>2</v>
      </c>
      <c r="BD522" s="130">
        <f t="shared" si="150"/>
        <v>2</v>
      </c>
      <c r="BE522" s="130">
        <f t="shared" si="151"/>
        <v>2</v>
      </c>
      <c r="BF522" s="195">
        <f t="shared" si="152"/>
        <v>100</v>
      </c>
      <c r="BG522" s="373">
        <f>BE522-BD522</f>
        <v>0</v>
      </c>
    </row>
    <row r="523" spans="1:59" s="21" customFormat="1" ht="15.95" customHeight="1">
      <c r="A523" s="163">
        <v>266</v>
      </c>
      <c r="B523" s="9" t="s">
        <v>34</v>
      </c>
      <c r="C523" s="16" t="s">
        <v>1930</v>
      </c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22">
        <f t="shared" si="148"/>
        <v>0</v>
      </c>
      <c r="AC523" s="25">
        <v>0</v>
      </c>
      <c r="AD523" s="24"/>
      <c r="AE523" s="24"/>
      <c r="AF523" s="24"/>
      <c r="AG523" s="24"/>
      <c r="AH523" s="24">
        <v>1</v>
      </c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2">
        <f t="shared" si="149"/>
        <v>1</v>
      </c>
      <c r="BC523" s="23">
        <v>1</v>
      </c>
      <c r="BD523" s="130">
        <f t="shared" si="150"/>
        <v>1</v>
      </c>
      <c r="BE523" s="130">
        <f t="shared" si="151"/>
        <v>1</v>
      </c>
      <c r="BF523" s="195">
        <f t="shared" si="152"/>
        <v>100</v>
      </c>
      <c r="BG523" s="373">
        <f>BE523-BD523</f>
        <v>0</v>
      </c>
    </row>
    <row r="524" spans="1:59" s="21" customFormat="1" ht="15.95" customHeight="1">
      <c r="A524" s="163">
        <v>267</v>
      </c>
      <c r="B524" s="9" t="s">
        <v>317</v>
      </c>
      <c r="C524" s="11" t="s">
        <v>318</v>
      </c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22">
        <f t="shared" si="148"/>
        <v>0</v>
      </c>
      <c r="AC524" s="25">
        <v>0</v>
      </c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2">
        <f t="shared" si="149"/>
        <v>0</v>
      </c>
      <c r="BC524" s="23">
        <v>1</v>
      </c>
      <c r="BD524" s="130">
        <f t="shared" si="150"/>
        <v>0</v>
      </c>
      <c r="BE524" s="130">
        <f t="shared" si="151"/>
        <v>1</v>
      </c>
      <c r="BF524" s="195">
        <f t="shared" si="152"/>
        <v>0</v>
      </c>
      <c r="BG524" s="373">
        <f>BE524-BD524</f>
        <v>1</v>
      </c>
    </row>
    <row r="525" spans="1:59" s="21" customFormat="1" ht="15.95" customHeight="1">
      <c r="A525" s="163">
        <v>268</v>
      </c>
      <c r="B525" s="9" t="s">
        <v>3937</v>
      </c>
      <c r="C525" s="11" t="s">
        <v>3938</v>
      </c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22">
        <f t="shared" si="148"/>
        <v>0</v>
      </c>
      <c r="AC525" s="25">
        <v>0</v>
      </c>
      <c r="AD525" s="24"/>
      <c r="AE525" s="24"/>
      <c r="AF525" s="24"/>
      <c r="AG525" s="24"/>
      <c r="AH525" s="24"/>
      <c r="AI525" s="24"/>
      <c r="AJ525" s="24"/>
      <c r="AK525" s="24"/>
      <c r="AL525" s="24">
        <v>1</v>
      </c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2">
        <f t="shared" si="149"/>
        <v>1</v>
      </c>
      <c r="BC525" s="23">
        <v>0</v>
      </c>
      <c r="BD525" s="130">
        <f t="shared" si="150"/>
        <v>1</v>
      </c>
      <c r="BE525" s="130">
        <f t="shared" si="151"/>
        <v>0</v>
      </c>
      <c r="BF525" s="195" t="e">
        <f t="shared" si="152"/>
        <v>#DIV/0!</v>
      </c>
      <c r="BG525" s="373"/>
    </row>
    <row r="526" spans="1:59" s="21" customFormat="1" ht="15.95" customHeight="1">
      <c r="A526" s="163">
        <v>269</v>
      </c>
      <c r="B526" s="9" t="s">
        <v>319</v>
      </c>
      <c r="C526" s="11" t="s">
        <v>320</v>
      </c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22">
        <f t="shared" si="148"/>
        <v>0</v>
      </c>
      <c r="AC526" s="25">
        <v>0</v>
      </c>
      <c r="AD526" s="24"/>
      <c r="AE526" s="24"/>
      <c r="AF526" s="24"/>
      <c r="AG526" s="24"/>
      <c r="AH526" s="24"/>
      <c r="AI526" s="24"/>
      <c r="AJ526" s="24"/>
      <c r="AK526" s="24"/>
      <c r="AL526" s="24">
        <f>2+8</f>
        <v>10</v>
      </c>
      <c r="AM526" s="24"/>
      <c r="AN526" s="24"/>
      <c r="AO526" s="24"/>
      <c r="AP526" s="24">
        <f>1</f>
        <v>1</v>
      </c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2">
        <f t="shared" si="149"/>
        <v>11</v>
      </c>
      <c r="BC526" s="23">
        <v>59</v>
      </c>
      <c r="BD526" s="130">
        <f t="shared" si="150"/>
        <v>11</v>
      </c>
      <c r="BE526" s="130">
        <f t="shared" si="151"/>
        <v>59</v>
      </c>
      <c r="BF526" s="195">
        <f t="shared" si="152"/>
        <v>18.64406779661017</v>
      </c>
      <c r="BG526" s="373">
        <f t="shared" ref="BG526:BG544" si="153">BE526-BD526</f>
        <v>48</v>
      </c>
    </row>
    <row r="527" spans="1:59" s="21" customFormat="1" ht="15.95" customHeight="1">
      <c r="A527" s="163">
        <v>270</v>
      </c>
      <c r="B527" s="9" t="s">
        <v>321</v>
      </c>
      <c r="C527" s="11" t="s">
        <v>322</v>
      </c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22">
        <f t="shared" si="148"/>
        <v>0</v>
      </c>
      <c r="AC527" s="25">
        <v>0</v>
      </c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2">
        <f t="shared" si="149"/>
        <v>0</v>
      </c>
      <c r="BC527" s="23">
        <v>2</v>
      </c>
      <c r="BD527" s="130">
        <f t="shared" si="150"/>
        <v>0</v>
      </c>
      <c r="BE527" s="130">
        <f t="shared" si="151"/>
        <v>2</v>
      </c>
      <c r="BF527" s="195">
        <f t="shared" si="152"/>
        <v>0</v>
      </c>
      <c r="BG527" s="373">
        <f t="shared" si="153"/>
        <v>2</v>
      </c>
    </row>
    <row r="528" spans="1:59" s="21" customFormat="1" ht="15.95" customHeight="1">
      <c r="A528" s="163">
        <v>271</v>
      </c>
      <c r="B528" s="9" t="s">
        <v>323</v>
      </c>
      <c r="C528" s="11" t="s">
        <v>324</v>
      </c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22">
        <f t="shared" si="148"/>
        <v>0</v>
      </c>
      <c r="AC528" s="25">
        <v>0</v>
      </c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>
        <f>1+1</f>
        <v>2</v>
      </c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2">
        <f t="shared" si="149"/>
        <v>2</v>
      </c>
      <c r="BC528" s="23">
        <v>3</v>
      </c>
      <c r="BD528" s="130">
        <f t="shared" si="150"/>
        <v>2</v>
      </c>
      <c r="BE528" s="130">
        <f t="shared" si="151"/>
        <v>3</v>
      </c>
      <c r="BF528" s="195">
        <f t="shared" si="152"/>
        <v>66.666666666666657</v>
      </c>
      <c r="BG528" s="373">
        <f t="shared" si="153"/>
        <v>1</v>
      </c>
    </row>
    <row r="529" spans="1:59" s="21" customFormat="1" ht="15.95" customHeight="1">
      <c r="A529" s="163">
        <v>272</v>
      </c>
      <c r="B529" s="9" t="s">
        <v>325</v>
      </c>
      <c r="C529" s="11" t="s">
        <v>326</v>
      </c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22">
        <f t="shared" si="148"/>
        <v>0</v>
      </c>
      <c r="AC529" s="25">
        <v>0</v>
      </c>
      <c r="AD529" s="24">
        <f>3+2</f>
        <v>5</v>
      </c>
      <c r="AE529" s="24"/>
      <c r="AF529" s="24"/>
      <c r="AG529" s="24"/>
      <c r="AH529" s="24">
        <f>4+1+1</f>
        <v>6</v>
      </c>
      <c r="AI529" s="24"/>
      <c r="AJ529" s="24"/>
      <c r="AK529" s="24"/>
      <c r="AL529" s="24">
        <f>9+1</f>
        <v>10</v>
      </c>
      <c r="AM529" s="24"/>
      <c r="AN529" s="24"/>
      <c r="AO529" s="24"/>
      <c r="AP529" s="24">
        <f>19</f>
        <v>19</v>
      </c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2">
        <f t="shared" si="149"/>
        <v>40</v>
      </c>
      <c r="BC529" s="23">
        <v>73</v>
      </c>
      <c r="BD529" s="130">
        <f t="shared" si="150"/>
        <v>40</v>
      </c>
      <c r="BE529" s="130">
        <f t="shared" si="151"/>
        <v>73</v>
      </c>
      <c r="BF529" s="195">
        <f t="shared" si="152"/>
        <v>54.794520547945204</v>
      </c>
      <c r="BG529" s="373">
        <f t="shared" si="153"/>
        <v>33</v>
      </c>
    </row>
    <row r="530" spans="1:59" s="21" customFormat="1" ht="15.95" customHeight="1">
      <c r="A530" s="163">
        <v>273</v>
      </c>
      <c r="B530" s="9" t="s">
        <v>2194</v>
      </c>
      <c r="C530" s="11" t="s">
        <v>2195</v>
      </c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22">
        <f t="shared" si="148"/>
        <v>0</v>
      </c>
      <c r="AC530" s="25">
        <v>0</v>
      </c>
      <c r="AD530" s="24"/>
      <c r="AE530" s="24"/>
      <c r="AF530" s="24"/>
      <c r="AG530" s="24"/>
      <c r="AH530" s="24"/>
      <c r="AI530" s="24"/>
      <c r="AJ530" s="24"/>
      <c r="AK530" s="24"/>
      <c r="AL530" s="24">
        <v>1</v>
      </c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2">
        <f t="shared" si="149"/>
        <v>1</v>
      </c>
      <c r="BC530" s="23">
        <v>9</v>
      </c>
      <c r="BD530" s="130">
        <f t="shared" si="150"/>
        <v>1</v>
      </c>
      <c r="BE530" s="130">
        <f t="shared" si="151"/>
        <v>9</v>
      </c>
      <c r="BF530" s="195">
        <f t="shared" si="152"/>
        <v>11.111111111111111</v>
      </c>
      <c r="BG530" s="373">
        <f t="shared" si="153"/>
        <v>8</v>
      </c>
    </row>
    <row r="531" spans="1:59" s="21" customFormat="1" ht="15.95" customHeight="1">
      <c r="A531" s="163">
        <v>274</v>
      </c>
      <c r="B531" s="9" t="s">
        <v>327</v>
      </c>
      <c r="C531" s="11" t="s">
        <v>328</v>
      </c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22">
        <f t="shared" si="148"/>
        <v>0</v>
      </c>
      <c r="AC531" s="25">
        <v>0</v>
      </c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>
        <f>3+3</f>
        <v>6</v>
      </c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2">
        <f t="shared" si="149"/>
        <v>6</v>
      </c>
      <c r="BC531" s="23">
        <v>11</v>
      </c>
      <c r="BD531" s="130">
        <f t="shared" si="150"/>
        <v>6</v>
      </c>
      <c r="BE531" s="130">
        <f t="shared" si="151"/>
        <v>11</v>
      </c>
      <c r="BF531" s="195">
        <f t="shared" si="152"/>
        <v>54.54545454545454</v>
      </c>
      <c r="BG531" s="373">
        <f t="shared" si="153"/>
        <v>5</v>
      </c>
    </row>
    <row r="532" spans="1:59" s="21" customFormat="1" ht="15.95" customHeight="1">
      <c r="A532" s="163">
        <v>275</v>
      </c>
      <c r="B532" s="9" t="s">
        <v>329</v>
      </c>
      <c r="C532" s="11" t="s">
        <v>330</v>
      </c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22">
        <f t="shared" si="148"/>
        <v>0</v>
      </c>
      <c r="AC532" s="25">
        <v>0</v>
      </c>
      <c r="AD532" s="24"/>
      <c r="AE532" s="24"/>
      <c r="AF532" s="24"/>
      <c r="AG532" s="24"/>
      <c r="AH532" s="24"/>
      <c r="AI532" s="24"/>
      <c r="AJ532" s="24"/>
      <c r="AK532" s="24"/>
      <c r="AL532" s="24">
        <v>1</v>
      </c>
      <c r="AM532" s="24"/>
      <c r="AN532" s="24"/>
      <c r="AO532" s="24"/>
      <c r="AP532" s="24">
        <f>1+1</f>
        <v>2</v>
      </c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2">
        <f t="shared" si="149"/>
        <v>3</v>
      </c>
      <c r="BC532" s="23">
        <v>6</v>
      </c>
      <c r="BD532" s="130">
        <f t="shared" si="150"/>
        <v>3</v>
      </c>
      <c r="BE532" s="130">
        <f t="shared" si="151"/>
        <v>6</v>
      </c>
      <c r="BF532" s="195">
        <f t="shared" si="152"/>
        <v>50</v>
      </c>
      <c r="BG532" s="373">
        <f t="shared" si="153"/>
        <v>3</v>
      </c>
    </row>
    <row r="533" spans="1:59" s="21" customFormat="1" ht="15.95" customHeight="1">
      <c r="A533" s="163">
        <v>276</v>
      </c>
      <c r="B533" s="9" t="s">
        <v>2974</v>
      </c>
      <c r="C533" s="11" t="s">
        <v>2975</v>
      </c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22">
        <f t="shared" si="148"/>
        <v>0</v>
      </c>
      <c r="AC533" s="25">
        <v>0</v>
      </c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2">
        <f t="shared" si="149"/>
        <v>0</v>
      </c>
      <c r="BC533" s="23">
        <v>1</v>
      </c>
      <c r="BD533" s="130">
        <f t="shared" si="150"/>
        <v>0</v>
      </c>
      <c r="BE533" s="130">
        <f t="shared" si="151"/>
        <v>1</v>
      </c>
      <c r="BF533" s="195">
        <f t="shared" si="152"/>
        <v>0</v>
      </c>
      <c r="BG533" s="373">
        <f t="shared" si="153"/>
        <v>1</v>
      </c>
    </row>
    <row r="534" spans="1:59" s="21" customFormat="1" ht="15.95" customHeight="1">
      <c r="A534" s="163">
        <v>277</v>
      </c>
      <c r="B534" s="9" t="s">
        <v>331</v>
      </c>
      <c r="C534" s="11" t="s">
        <v>332</v>
      </c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22">
        <f t="shared" si="148"/>
        <v>0</v>
      </c>
      <c r="AC534" s="25">
        <v>0</v>
      </c>
      <c r="AD534" s="24"/>
      <c r="AE534" s="24"/>
      <c r="AF534" s="24"/>
      <c r="AG534" s="24"/>
      <c r="AH534" s="24"/>
      <c r="AI534" s="24"/>
      <c r="AJ534" s="24"/>
      <c r="AK534" s="24"/>
      <c r="AL534" s="24">
        <v>1</v>
      </c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2">
        <f t="shared" si="149"/>
        <v>1</v>
      </c>
      <c r="BC534" s="23">
        <v>2</v>
      </c>
      <c r="BD534" s="130">
        <f t="shared" si="150"/>
        <v>1</v>
      </c>
      <c r="BE534" s="130">
        <f t="shared" si="151"/>
        <v>2</v>
      </c>
      <c r="BF534" s="195">
        <f t="shared" si="152"/>
        <v>50</v>
      </c>
      <c r="BG534" s="373">
        <f t="shared" si="153"/>
        <v>1</v>
      </c>
    </row>
    <row r="535" spans="1:59" s="21" customFormat="1" ht="15.95" customHeight="1">
      <c r="A535" s="163">
        <v>278</v>
      </c>
      <c r="B535" s="9" t="s">
        <v>2847</v>
      </c>
      <c r="C535" s="11" t="s">
        <v>2848</v>
      </c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22">
        <f t="shared" si="148"/>
        <v>0</v>
      </c>
      <c r="AC535" s="25">
        <v>0</v>
      </c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2">
        <f t="shared" si="149"/>
        <v>0</v>
      </c>
      <c r="BC535" s="23">
        <v>1</v>
      </c>
      <c r="BD535" s="130">
        <f t="shared" si="150"/>
        <v>0</v>
      </c>
      <c r="BE535" s="130">
        <f t="shared" si="151"/>
        <v>1</v>
      </c>
      <c r="BF535" s="195">
        <f t="shared" si="152"/>
        <v>0</v>
      </c>
      <c r="BG535" s="373">
        <f t="shared" si="153"/>
        <v>1</v>
      </c>
    </row>
    <row r="536" spans="1:59" s="21" customFormat="1" ht="15.95" customHeight="1">
      <c r="A536" s="163">
        <v>279</v>
      </c>
      <c r="B536" s="9" t="s">
        <v>2943</v>
      </c>
      <c r="C536" s="11" t="s">
        <v>2944</v>
      </c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22">
        <f t="shared" si="148"/>
        <v>0</v>
      </c>
      <c r="AC536" s="25">
        <v>0</v>
      </c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2">
        <f t="shared" si="149"/>
        <v>0</v>
      </c>
      <c r="BC536" s="23">
        <v>1</v>
      </c>
      <c r="BD536" s="130">
        <f t="shared" si="150"/>
        <v>0</v>
      </c>
      <c r="BE536" s="130">
        <f t="shared" si="151"/>
        <v>1</v>
      </c>
      <c r="BF536" s="195">
        <f t="shared" si="152"/>
        <v>0</v>
      </c>
      <c r="BG536" s="373">
        <f t="shared" si="153"/>
        <v>1</v>
      </c>
    </row>
    <row r="537" spans="1:59" s="21" customFormat="1" ht="15.95" customHeight="1">
      <c r="A537" s="163">
        <v>280</v>
      </c>
      <c r="B537" s="9" t="s">
        <v>2682</v>
      </c>
      <c r="C537" s="11" t="s">
        <v>2683</v>
      </c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22">
        <f t="shared" si="148"/>
        <v>0</v>
      </c>
      <c r="AC537" s="25">
        <v>0</v>
      </c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2">
        <f t="shared" si="149"/>
        <v>0</v>
      </c>
      <c r="BC537" s="23">
        <v>2</v>
      </c>
      <c r="BD537" s="130">
        <f t="shared" si="150"/>
        <v>0</v>
      </c>
      <c r="BE537" s="130">
        <f t="shared" si="151"/>
        <v>2</v>
      </c>
      <c r="BF537" s="195">
        <f t="shared" si="152"/>
        <v>0</v>
      </c>
      <c r="BG537" s="373">
        <f t="shared" si="153"/>
        <v>2</v>
      </c>
    </row>
    <row r="538" spans="1:59" s="21" customFormat="1" ht="15.95" customHeight="1">
      <c r="A538" s="163">
        <v>281</v>
      </c>
      <c r="B538" s="9" t="s">
        <v>333</v>
      </c>
      <c r="C538" s="11" t="s">
        <v>334</v>
      </c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22">
        <f t="shared" si="148"/>
        <v>0</v>
      </c>
      <c r="AC538" s="25">
        <v>0</v>
      </c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2">
        <f t="shared" si="149"/>
        <v>0</v>
      </c>
      <c r="BC538" s="23">
        <v>12</v>
      </c>
      <c r="BD538" s="130">
        <f t="shared" si="150"/>
        <v>0</v>
      </c>
      <c r="BE538" s="130">
        <f t="shared" si="151"/>
        <v>12</v>
      </c>
      <c r="BF538" s="195">
        <f t="shared" si="152"/>
        <v>0</v>
      </c>
      <c r="BG538" s="373">
        <f t="shared" si="153"/>
        <v>12</v>
      </c>
    </row>
    <row r="539" spans="1:59" s="21" customFormat="1" ht="15.95" customHeight="1">
      <c r="A539" s="163">
        <v>282</v>
      </c>
      <c r="B539" s="9" t="s">
        <v>335</v>
      </c>
      <c r="C539" s="11" t="s">
        <v>336</v>
      </c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22">
        <f t="shared" si="148"/>
        <v>0</v>
      </c>
      <c r="AC539" s="25">
        <v>0</v>
      </c>
      <c r="AD539" s="24"/>
      <c r="AE539" s="24"/>
      <c r="AF539" s="24"/>
      <c r="AG539" s="24"/>
      <c r="AH539" s="24">
        <v>6</v>
      </c>
      <c r="AI539" s="24"/>
      <c r="AJ539" s="24"/>
      <c r="AK539" s="24"/>
      <c r="AL539" s="24">
        <v>10</v>
      </c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2">
        <f t="shared" si="149"/>
        <v>16</v>
      </c>
      <c r="BC539" s="23">
        <v>47</v>
      </c>
      <c r="BD539" s="130">
        <f t="shared" si="150"/>
        <v>16</v>
      </c>
      <c r="BE539" s="130">
        <f t="shared" si="151"/>
        <v>47</v>
      </c>
      <c r="BF539" s="195">
        <f t="shared" si="152"/>
        <v>34.042553191489361</v>
      </c>
      <c r="BG539" s="373">
        <f t="shared" si="153"/>
        <v>31</v>
      </c>
    </row>
    <row r="540" spans="1:59" s="21" customFormat="1" ht="15.95" customHeight="1">
      <c r="A540" s="163">
        <v>283</v>
      </c>
      <c r="B540" s="9" t="s">
        <v>1918</v>
      </c>
      <c r="C540" s="11" t="s">
        <v>1919</v>
      </c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22">
        <f t="shared" si="148"/>
        <v>0</v>
      </c>
      <c r="AC540" s="25">
        <v>0</v>
      </c>
      <c r="AD540" s="24"/>
      <c r="AE540" s="24"/>
      <c r="AF540" s="24"/>
      <c r="AG540" s="24"/>
      <c r="AH540" s="24">
        <v>7</v>
      </c>
      <c r="AI540" s="24"/>
      <c r="AJ540" s="24"/>
      <c r="AK540" s="24"/>
      <c r="AL540" s="24">
        <v>4</v>
      </c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2">
        <f t="shared" si="149"/>
        <v>11</v>
      </c>
      <c r="BC540" s="23">
        <v>27</v>
      </c>
      <c r="BD540" s="130">
        <f t="shared" si="150"/>
        <v>11</v>
      </c>
      <c r="BE540" s="130">
        <f t="shared" si="151"/>
        <v>27</v>
      </c>
      <c r="BF540" s="195">
        <f t="shared" si="152"/>
        <v>40.74074074074074</v>
      </c>
      <c r="BG540" s="373">
        <f t="shared" si="153"/>
        <v>16</v>
      </c>
    </row>
    <row r="541" spans="1:59" s="21" customFormat="1" ht="15.95" customHeight="1">
      <c r="A541" s="163">
        <v>284</v>
      </c>
      <c r="B541" s="9" t="s">
        <v>2447</v>
      </c>
      <c r="C541" s="11" t="s">
        <v>2448</v>
      </c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22">
        <f t="shared" si="148"/>
        <v>0</v>
      </c>
      <c r="AC541" s="25">
        <v>0</v>
      </c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>
        <f>1+1</f>
        <v>2</v>
      </c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2">
        <f t="shared" si="149"/>
        <v>2</v>
      </c>
      <c r="BC541" s="23">
        <v>1</v>
      </c>
      <c r="BD541" s="130">
        <f t="shared" si="150"/>
        <v>2</v>
      </c>
      <c r="BE541" s="130">
        <f t="shared" si="151"/>
        <v>1</v>
      </c>
      <c r="BF541" s="195">
        <f t="shared" si="152"/>
        <v>200</v>
      </c>
      <c r="BG541" s="373">
        <f t="shared" si="153"/>
        <v>-1</v>
      </c>
    </row>
    <row r="542" spans="1:59" s="21" customFormat="1" ht="15.95" customHeight="1">
      <c r="A542" s="163">
        <v>285</v>
      </c>
      <c r="B542" s="9" t="s">
        <v>1316</v>
      </c>
      <c r="C542" s="10" t="s">
        <v>2120</v>
      </c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22">
        <f t="shared" si="148"/>
        <v>0</v>
      </c>
      <c r="AC542" s="25">
        <v>0</v>
      </c>
      <c r="AD542" s="24"/>
      <c r="AE542" s="24"/>
      <c r="AF542" s="24"/>
      <c r="AG542" s="24"/>
      <c r="AH542" s="24"/>
      <c r="AI542" s="24"/>
      <c r="AJ542" s="24"/>
      <c r="AK542" s="24"/>
      <c r="AL542" s="24">
        <v>1</v>
      </c>
      <c r="AM542" s="24"/>
      <c r="AN542" s="24"/>
      <c r="AO542" s="24"/>
      <c r="AP542" s="24">
        <f>2+2</f>
        <v>4</v>
      </c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2">
        <f t="shared" si="149"/>
        <v>5</v>
      </c>
      <c r="BC542" s="23">
        <v>4</v>
      </c>
      <c r="BD542" s="130">
        <f t="shared" si="150"/>
        <v>5</v>
      </c>
      <c r="BE542" s="130">
        <f t="shared" si="151"/>
        <v>4</v>
      </c>
      <c r="BF542" s="195">
        <f t="shared" si="152"/>
        <v>125</v>
      </c>
      <c r="BG542" s="373">
        <f t="shared" si="153"/>
        <v>-1</v>
      </c>
    </row>
    <row r="543" spans="1:59" s="21" customFormat="1" ht="15.95" customHeight="1">
      <c r="A543" s="163">
        <v>286</v>
      </c>
      <c r="B543" s="9" t="s">
        <v>339</v>
      </c>
      <c r="C543" s="10" t="s">
        <v>340</v>
      </c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22">
        <f t="shared" si="148"/>
        <v>0</v>
      </c>
      <c r="AC543" s="25">
        <v>0</v>
      </c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2">
        <f t="shared" si="149"/>
        <v>0</v>
      </c>
      <c r="BC543" s="23">
        <v>2</v>
      </c>
      <c r="BD543" s="130">
        <f t="shared" si="150"/>
        <v>0</v>
      </c>
      <c r="BE543" s="130">
        <f t="shared" si="151"/>
        <v>2</v>
      </c>
      <c r="BF543" s="195">
        <f t="shared" si="152"/>
        <v>0</v>
      </c>
      <c r="BG543" s="373">
        <f t="shared" si="153"/>
        <v>2</v>
      </c>
    </row>
    <row r="544" spans="1:59" s="21" customFormat="1" ht="15.95" customHeight="1">
      <c r="A544" s="163">
        <v>287</v>
      </c>
      <c r="B544" s="9" t="s">
        <v>2266</v>
      </c>
      <c r="C544" s="11" t="s">
        <v>670</v>
      </c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22">
        <f t="shared" si="148"/>
        <v>0</v>
      </c>
      <c r="AC544" s="25">
        <v>0</v>
      </c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2">
        <f t="shared" si="149"/>
        <v>0</v>
      </c>
      <c r="BC544" s="23">
        <v>1</v>
      </c>
      <c r="BD544" s="130">
        <f t="shared" si="150"/>
        <v>0</v>
      </c>
      <c r="BE544" s="130">
        <f t="shared" si="151"/>
        <v>1</v>
      </c>
      <c r="BF544" s="195">
        <f t="shared" si="152"/>
        <v>0</v>
      </c>
      <c r="BG544" s="373">
        <f t="shared" si="153"/>
        <v>1</v>
      </c>
    </row>
    <row r="545" spans="1:59" s="21" customFormat="1" ht="15.95" customHeight="1">
      <c r="A545" s="163">
        <v>288</v>
      </c>
      <c r="B545" s="9" t="s">
        <v>3382</v>
      </c>
      <c r="C545" s="11" t="s">
        <v>3383</v>
      </c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22">
        <f t="shared" si="148"/>
        <v>0</v>
      </c>
      <c r="AC545" s="25">
        <v>0</v>
      </c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>
        <f>1+1</f>
        <v>2</v>
      </c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2">
        <f t="shared" si="149"/>
        <v>2</v>
      </c>
      <c r="BC545" s="23">
        <v>0</v>
      </c>
      <c r="BD545" s="130">
        <f t="shared" si="150"/>
        <v>2</v>
      </c>
      <c r="BE545" s="130">
        <f t="shared" si="151"/>
        <v>0</v>
      </c>
      <c r="BF545" s="195" t="e">
        <f t="shared" si="152"/>
        <v>#DIV/0!</v>
      </c>
      <c r="BG545" s="373"/>
    </row>
    <row r="546" spans="1:59" s="21" customFormat="1" ht="15.95" customHeight="1">
      <c r="A546" s="163">
        <v>289</v>
      </c>
      <c r="B546" s="9" t="s">
        <v>1954</v>
      </c>
      <c r="C546" s="10" t="s">
        <v>1955</v>
      </c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22">
        <f t="shared" si="148"/>
        <v>0</v>
      </c>
      <c r="AC546" s="25">
        <v>0</v>
      </c>
      <c r="AD546" s="24"/>
      <c r="AE546" s="24"/>
      <c r="AF546" s="24"/>
      <c r="AG546" s="24"/>
      <c r="AH546" s="24"/>
      <c r="AI546" s="24"/>
      <c r="AJ546" s="24"/>
      <c r="AK546" s="24"/>
      <c r="AL546" s="24">
        <v>1</v>
      </c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2">
        <f t="shared" si="149"/>
        <v>1</v>
      </c>
      <c r="BC546" s="23">
        <v>2</v>
      </c>
      <c r="BD546" s="130">
        <f t="shared" si="150"/>
        <v>1</v>
      </c>
      <c r="BE546" s="130">
        <f t="shared" si="151"/>
        <v>2</v>
      </c>
      <c r="BF546" s="195">
        <f t="shared" si="152"/>
        <v>50</v>
      </c>
      <c r="BG546" s="373">
        <f t="shared" ref="BG546:BG566" si="154">BE546-BD546</f>
        <v>1</v>
      </c>
    </row>
    <row r="547" spans="1:59" s="21" customFormat="1" ht="15.95" customHeight="1">
      <c r="A547" s="163">
        <v>290</v>
      </c>
      <c r="B547" s="9" t="s">
        <v>341</v>
      </c>
      <c r="C547" s="11" t="s">
        <v>342</v>
      </c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22">
        <f t="shared" si="148"/>
        <v>0</v>
      </c>
      <c r="AC547" s="25">
        <v>0</v>
      </c>
      <c r="AD547" s="24"/>
      <c r="AE547" s="24"/>
      <c r="AF547" s="24"/>
      <c r="AG547" s="24"/>
      <c r="AH547" s="24"/>
      <c r="AI547" s="24"/>
      <c r="AJ547" s="24"/>
      <c r="AK547" s="24"/>
      <c r="AL547" s="24">
        <v>1</v>
      </c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2">
        <f t="shared" si="149"/>
        <v>1</v>
      </c>
      <c r="BC547" s="23">
        <v>1</v>
      </c>
      <c r="BD547" s="130">
        <f t="shared" si="150"/>
        <v>1</v>
      </c>
      <c r="BE547" s="130">
        <f t="shared" si="151"/>
        <v>1</v>
      </c>
      <c r="BF547" s="195">
        <f t="shared" si="152"/>
        <v>100</v>
      </c>
      <c r="BG547" s="373">
        <f t="shared" si="154"/>
        <v>0</v>
      </c>
    </row>
    <row r="548" spans="1:59" s="21" customFormat="1" ht="15.95" customHeight="1">
      <c r="A548" s="163">
        <v>291</v>
      </c>
      <c r="B548" s="9" t="s">
        <v>2771</v>
      </c>
      <c r="C548" s="11" t="s">
        <v>2772</v>
      </c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22">
        <f t="shared" si="148"/>
        <v>0</v>
      </c>
      <c r="AC548" s="25">
        <v>0</v>
      </c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2">
        <f t="shared" si="149"/>
        <v>0</v>
      </c>
      <c r="BC548" s="23">
        <v>1</v>
      </c>
      <c r="BD548" s="130">
        <f t="shared" si="150"/>
        <v>0</v>
      </c>
      <c r="BE548" s="130">
        <f t="shared" si="151"/>
        <v>1</v>
      </c>
      <c r="BF548" s="195">
        <f t="shared" si="152"/>
        <v>0</v>
      </c>
      <c r="BG548" s="373">
        <f t="shared" si="154"/>
        <v>1</v>
      </c>
    </row>
    <row r="549" spans="1:59" s="21" customFormat="1" ht="15.95" customHeight="1">
      <c r="A549" s="163">
        <v>292</v>
      </c>
      <c r="B549" s="9" t="s">
        <v>2169</v>
      </c>
      <c r="C549" s="11" t="s">
        <v>2170</v>
      </c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22">
        <f t="shared" si="148"/>
        <v>0</v>
      </c>
      <c r="AC549" s="25">
        <v>0</v>
      </c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2">
        <f t="shared" si="149"/>
        <v>0</v>
      </c>
      <c r="BC549" s="23">
        <v>2</v>
      </c>
      <c r="BD549" s="130">
        <f t="shared" si="150"/>
        <v>0</v>
      </c>
      <c r="BE549" s="130">
        <f t="shared" si="151"/>
        <v>2</v>
      </c>
      <c r="BF549" s="195">
        <f t="shared" si="152"/>
        <v>0</v>
      </c>
      <c r="BG549" s="373">
        <f t="shared" si="154"/>
        <v>2</v>
      </c>
    </row>
    <row r="550" spans="1:59" s="21" customFormat="1" ht="15.95" customHeight="1">
      <c r="A550" s="163">
        <v>293</v>
      </c>
      <c r="B550" s="9" t="s">
        <v>2121</v>
      </c>
      <c r="C550" s="11" t="s">
        <v>2122</v>
      </c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22">
        <f t="shared" si="148"/>
        <v>0</v>
      </c>
      <c r="AC550" s="25">
        <v>0</v>
      </c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2">
        <f t="shared" si="149"/>
        <v>0</v>
      </c>
      <c r="BC550" s="23">
        <v>2</v>
      </c>
      <c r="BD550" s="130">
        <f t="shared" si="150"/>
        <v>0</v>
      </c>
      <c r="BE550" s="130">
        <f t="shared" si="151"/>
        <v>2</v>
      </c>
      <c r="BF550" s="195">
        <f t="shared" si="152"/>
        <v>0</v>
      </c>
      <c r="BG550" s="373">
        <f t="shared" si="154"/>
        <v>2</v>
      </c>
    </row>
    <row r="551" spans="1:59" s="21" customFormat="1" ht="15.95" customHeight="1">
      <c r="A551" s="163">
        <v>294</v>
      </c>
      <c r="B551" s="9" t="s">
        <v>3420</v>
      </c>
      <c r="C551" s="11" t="s">
        <v>3421</v>
      </c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22">
        <f t="shared" si="148"/>
        <v>0</v>
      </c>
      <c r="AC551" s="25">
        <v>0</v>
      </c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2">
        <f t="shared" si="149"/>
        <v>0</v>
      </c>
      <c r="BC551" s="23">
        <v>4</v>
      </c>
      <c r="BD551" s="130">
        <f t="shared" si="150"/>
        <v>0</v>
      </c>
      <c r="BE551" s="130">
        <f t="shared" si="151"/>
        <v>4</v>
      </c>
      <c r="BF551" s="195">
        <f t="shared" si="152"/>
        <v>0</v>
      </c>
      <c r="BG551" s="373">
        <f t="shared" si="154"/>
        <v>4</v>
      </c>
    </row>
    <row r="552" spans="1:59" s="21" customFormat="1" ht="15.95" customHeight="1">
      <c r="A552" s="163">
        <v>295</v>
      </c>
      <c r="B552" s="9" t="s">
        <v>343</v>
      </c>
      <c r="C552" s="11" t="s">
        <v>344</v>
      </c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22">
        <f t="shared" si="148"/>
        <v>0</v>
      </c>
      <c r="AC552" s="25">
        <v>0</v>
      </c>
      <c r="AD552" s="24"/>
      <c r="AE552" s="24"/>
      <c r="AF552" s="24"/>
      <c r="AG552" s="24"/>
      <c r="AH552" s="24"/>
      <c r="AI552" s="24"/>
      <c r="AJ552" s="24"/>
      <c r="AK552" s="24"/>
      <c r="AL552" s="24">
        <v>4</v>
      </c>
      <c r="AM552" s="24"/>
      <c r="AN552" s="24"/>
      <c r="AO552" s="24"/>
      <c r="AP552" s="24">
        <f>2+2</f>
        <v>4</v>
      </c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2">
        <f t="shared" si="149"/>
        <v>8</v>
      </c>
      <c r="BC552" s="23">
        <v>12</v>
      </c>
      <c r="BD552" s="130">
        <f t="shared" si="150"/>
        <v>8</v>
      </c>
      <c r="BE552" s="130">
        <f t="shared" si="151"/>
        <v>12</v>
      </c>
      <c r="BF552" s="195">
        <f t="shared" si="152"/>
        <v>66.666666666666657</v>
      </c>
      <c r="BG552" s="373">
        <f t="shared" si="154"/>
        <v>4</v>
      </c>
    </row>
    <row r="553" spans="1:59" s="21" customFormat="1" ht="15.95" customHeight="1">
      <c r="A553" s="163">
        <v>296</v>
      </c>
      <c r="B553" s="9" t="s">
        <v>2976</v>
      </c>
      <c r="C553" s="11" t="s">
        <v>2977</v>
      </c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22">
        <f t="shared" si="148"/>
        <v>0</v>
      </c>
      <c r="AC553" s="25">
        <v>0</v>
      </c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2">
        <f t="shared" si="149"/>
        <v>0</v>
      </c>
      <c r="BC553" s="23">
        <v>1</v>
      </c>
      <c r="BD553" s="130">
        <f t="shared" si="150"/>
        <v>0</v>
      </c>
      <c r="BE553" s="130">
        <f t="shared" si="151"/>
        <v>1</v>
      </c>
      <c r="BF553" s="195">
        <f t="shared" si="152"/>
        <v>0</v>
      </c>
      <c r="BG553" s="373">
        <f t="shared" si="154"/>
        <v>1</v>
      </c>
    </row>
    <row r="554" spans="1:59" s="21" customFormat="1" ht="15.95" customHeight="1">
      <c r="A554" s="163">
        <v>297</v>
      </c>
      <c r="B554" s="9" t="s">
        <v>671</v>
      </c>
      <c r="C554" s="11" t="s">
        <v>345</v>
      </c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22">
        <f t="shared" si="148"/>
        <v>0</v>
      </c>
      <c r="AC554" s="25">
        <v>0</v>
      </c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>
        <f>1+1</f>
        <v>2</v>
      </c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2">
        <f t="shared" si="149"/>
        <v>2</v>
      </c>
      <c r="BC554" s="23">
        <v>1</v>
      </c>
      <c r="BD554" s="130">
        <f t="shared" si="150"/>
        <v>2</v>
      </c>
      <c r="BE554" s="130">
        <f t="shared" si="151"/>
        <v>1</v>
      </c>
      <c r="BF554" s="195">
        <f t="shared" si="152"/>
        <v>200</v>
      </c>
      <c r="BG554" s="373">
        <f t="shared" si="154"/>
        <v>-1</v>
      </c>
    </row>
    <row r="555" spans="1:59" s="21" customFormat="1" ht="15.95" customHeight="1">
      <c r="A555" s="163">
        <v>298</v>
      </c>
      <c r="B555" s="9" t="s">
        <v>2498</v>
      </c>
      <c r="C555" s="11" t="s">
        <v>2499</v>
      </c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22">
        <f t="shared" si="148"/>
        <v>0</v>
      </c>
      <c r="AC555" s="25">
        <v>0</v>
      </c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2">
        <f t="shared" si="149"/>
        <v>0</v>
      </c>
      <c r="BC555" s="23">
        <v>2</v>
      </c>
      <c r="BD555" s="130">
        <f t="shared" si="150"/>
        <v>0</v>
      </c>
      <c r="BE555" s="130">
        <f t="shared" si="151"/>
        <v>2</v>
      </c>
      <c r="BF555" s="195">
        <f t="shared" si="152"/>
        <v>0</v>
      </c>
      <c r="BG555" s="373">
        <f t="shared" si="154"/>
        <v>2</v>
      </c>
    </row>
    <row r="556" spans="1:59" s="21" customFormat="1" ht="15.95" customHeight="1">
      <c r="A556" s="163">
        <v>299</v>
      </c>
      <c r="B556" s="9" t="s">
        <v>2123</v>
      </c>
      <c r="C556" s="11" t="s">
        <v>2124</v>
      </c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22">
        <f t="shared" si="148"/>
        <v>0</v>
      </c>
      <c r="AC556" s="25">
        <v>0</v>
      </c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2">
        <f t="shared" si="149"/>
        <v>0</v>
      </c>
      <c r="BC556" s="23">
        <v>1</v>
      </c>
      <c r="BD556" s="130">
        <f t="shared" si="150"/>
        <v>0</v>
      </c>
      <c r="BE556" s="130">
        <f t="shared" si="151"/>
        <v>1</v>
      </c>
      <c r="BF556" s="195">
        <f t="shared" si="152"/>
        <v>0</v>
      </c>
      <c r="BG556" s="373">
        <f t="shared" si="154"/>
        <v>1</v>
      </c>
    </row>
    <row r="557" spans="1:59" s="21" customFormat="1" ht="15.95" customHeight="1">
      <c r="A557" s="163">
        <v>300</v>
      </c>
      <c r="B557" s="9" t="s">
        <v>1172</v>
      </c>
      <c r="C557" s="11" t="s">
        <v>1173</v>
      </c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22">
        <f t="shared" si="148"/>
        <v>0</v>
      </c>
      <c r="AC557" s="25">
        <v>0</v>
      </c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2">
        <f t="shared" si="149"/>
        <v>0</v>
      </c>
      <c r="BC557" s="23">
        <v>1</v>
      </c>
      <c r="BD557" s="130">
        <f t="shared" si="150"/>
        <v>0</v>
      </c>
      <c r="BE557" s="130">
        <f t="shared" si="151"/>
        <v>1</v>
      </c>
      <c r="BF557" s="195">
        <f t="shared" si="152"/>
        <v>0</v>
      </c>
      <c r="BG557" s="373">
        <f t="shared" si="154"/>
        <v>1</v>
      </c>
    </row>
    <row r="558" spans="1:59" s="21" customFormat="1" ht="15.95" customHeight="1">
      <c r="A558" s="163">
        <v>301</v>
      </c>
      <c r="B558" s="9" t="s">
        <v>3136</v>
      </c>
      <c r="C558" s="11" t="s">
        <v>3137</v>
      </c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22">
        <f t="shared" si="148"/>
        <v>0</v>
      </c>
      <c r="AC558" s="25">
        <v>0</v>
      </c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2">
        <f t="shared" si="149"/>
        <v>0</v>
      </c>
      <c r="BC558" s="23">
        <v>1</v>
      </c>
      <c r="BD558" s="130">
        <f t="shared" si="150"/>
        <v>0</v>
      </c>
      <c r="BE558" s="130">
        <f t="shared" si="151"/>
        <v>1</v>
      </c>
      <c r="BF558" s="195">
        <f t="shared" si="152"/>
        <v>0</v>
      </c>
      <c r="BG558" s="373">
        <f t="shared" si="154"/>
        <v>1</v>
      </c>
    </row>
    <row r="559" spans="1:59" s="21" customFormat="1" ht="15.95" customHeight="1">
      <c r="A559" s="163">
        <v>302</v>
      </c>
      <c r="B559" s="9" t="s">
        <v>138</v>
      </c>
      <c r="C559" s="11" t="s">
        <v>139</v>
      </c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22">
        <f t="shared" si="148"/>
        <v>0</v>
      </c>
      <c r="AC559" s="25">
        <v>0</v>
      </c>
      <c r="AD559" s="24"/>
      <c r="AE559" s="24"/>
      <c r="AF559" s="24"/>
      <c r="AG559" s="24"/>
      <c r="AH559" s="24"/>
      <c r="AI559" s="24"/>
      <c r="AJ559" s="24"/>
      <c r="AK559" s="24"/>
      <c r="AL559" s="24">
        <v>1</v>
      </c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2">
        <f t="shared" si="149"/>
        <v>1</v>
      </c>
      <c r="BC559" s="23">
        <v>1</v>
      </c>
      <c r="BD559" s="130">
        <f t="shared" si="150"/>
        <v>1</v>
      </c>
      <c r="BE559" s="130">
        <f t="shared" si="151"/>
        <v>1</v>
      </c>
      <c r="BF559" s="195">
        <f t="shared" si="152"/>
        <v>100</v>
      </c>
      <c r="BG559" s="373">
        <f t="shared" si="154"/>
        <v>0</v>
      </c>
    </row>
    <row r="560" spans="1:59" s="21" customFormat="1" ht="15.95" customHeight="1">
      <c r="A560" s="163">
        <v>303</v>
      </c>
      <c r="B560" s="9" t="s">
        <v>3422</v>
      </c>
      <c r="C560" s="11" t="s">
        <v>3423</v>
      </c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22">
        <f t="shared" si="148"/>
        <v>0</v>
      </c>
      <c r="AC560" s="25">
        <v>0</v>
      </c>
      <c r="AD560" s="24"/>
      <c r="AE560" s="24"/>
      <c r="AF560" s="24"/>
      <c r="AG560" s="24"/>
      <c r="AH560" s="24"/>
      <c r="AI560" s="24"/>
      <c r="AJ560" s="24"/>
      <c r="AK560" s="24"/>
      <c r="AL560" s="24">
        <v>1</v>
      </c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2">
        <f t="shared" si="149"/>
        <v>1</v>
      </c>
      <c r="BC560" s="23">
        <v>1</v>
      </c>
      <c r="BD560" s="130">
        <f t="shared" si="150"/>
        <v>1</v>
      </c>
      <c r="BE560" s="130">
        <f t="shared" si="151"/>
        <v>1</v>
      </c>
      <c r="BF560" s="195">
        <f t="shared" si="152"/>
        <v>100</v>
      </c>
      <c r="BG560" s="373">
        <f t="shared" si="154"/>
        <v>0</v>
      </c>
    </row>
    <row r="561" spans="1:62" s="21" customFormat="1" ht="15.95" customHeight="1">
      <c r="A561" s="163">
        <v>304</v>
      </c>
      <c r="B561" s="9" t="s">
        <v>1498</v>
      </c>
      <c r="C561" s="11" t="s">
        <v>1946</v>
      </c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22">
        <f t="shared" si="148"/>
        <v>0</v>
      </c>
      <c r="AC561" s="25">
        <v>0</v>
      </c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2">
        <f t="shared" si="149"/>
        <v>0</v>
      </c>
      <c r="BC561" s="23">
        <v>1</v>
      </c>
      <c r="BD561" s="130">
        <f t="shared" si="150"/>
        <v>0</v>
      </c>
      <c r="BE561" s="130">
        <f t="shared" si="151"/>
        <v>1</v>
      </c>
      <c r="BF561" s="195">
        <f t="shared" si="152"/>
        <v>0</v>
      </c>
      <c r="BG561" s="373">
        <f t="shared" si="154"/>
        <v>1</v>
      </c>
    </row>
    <row r="562" spans="1:62" s="21" customFormat="1" ht="15.95" customHeight="1">
      <c r="A562" s="163">
        <v>305</v>
      </c>
      <c r="B562" s="9" t="s">
        <v>672</v>
      </c>
      <c r="C562" s="11" t="s">
        <v>673</v>
      </c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22">
        <f t="shared" si="148"/>
        <v>0</v>
      </c>
      <c r="AC562" s="25">
        <v>0</v>
      </c>
      <c r="AD562" s="24"/>
      <c r="AE562" s="24"/>
      <c r="AF562" s="24"/>
      <c r="AG562" s="24"/>
      <c r="AH562" s="24">
        <v>1</v>
      </c>
      <c r="AI562" s="24"/>
      <c r="AJ562" s="24"/>
      <c r="AK562" s="24"/>
      <c r="AL562" s="24">
        <v>2</v>
      </c>
      <c r="AM562" s="24"/>
      <c r="AN562" s="24"/>
      <c r="AO562" s="24"/>
      <c r="AP562" s="24">
        <f>4+4</f>
        <v>8</v>
      </c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2">
        <f t="shared" si="149"/>
        <v>11</v>
      </c>
      <c r="BC562" s="23">
        <v>4</v>
      </c>
      <c r="BD562" s="130">
        <f t="shared" si="150"/>
        <v>11</v>
      </c>
      <c r="BE562" s="130">
        <f t="shared" si="151"/>
        <v>4</v>
      </c>
      <c r="BF562" s="195">
        <f t="shared" si="152"/>
        <v>275</v>
      </c>
      <c r="BG562" s="373">
        <f t="shared" si="154"/>
        <v>-7</v>
      </c>
    </row>
    <row r="563" spans="1:62" s="21" customFormat="1" ht="15.95" customHeight="1">
      <c r="A563" s="163">
        <v>306</v>
      </c>
      <c r="B563" s="9" t="s">
        <v>3272</v>
      </c>
      <c r="C563" s="11" t="s">
        <v>3273</v>
      </c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22">
        <f t="shared" si="148"/>
        <v>0</v>
      </c>
      <c r="AC563" s="25">
        <v>0</v>
      </c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2">
        <f t="shared" si="149"/>
        <v>0</v>
      </c>
      <c r="BC563" s="23">
        <v>1</v>
      </c>
      <c r="BD563" s="130">
        <f t="shared" si="150"/>
        <v>0</v>
      </c>
      <c r="BE563" s="130">
        <f t="shared" si="151"/>
        <v>1</v>
      </c>
      <c r="BF563" s="195">
        <f t="shared" si="152"/>
        <v>0</v>
      </c>
      <c r="BG563" s="373">
        <f t="shared" si="154"/>
        <v>1</v>
      </c>
    </row>
    <row r="564" spans="1:62" s="21" customFormat="1" ht="15.95" customHeight="1">
      <c r="A564" s="163">
        <v>307</v>
      </c>
      <c r="B564" s="9" t="s">
        <v>1928</v>
      </c>
      <c r="C564" s="11" t="s">
        <v>1929</v>
      </c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22">
        <f t="shared" si="148"/>
        <v>0</v>
      </c>
      <c r="AC564" s="25">
        <v>0</v>
      </c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>
        <f>2+2</f>
        <v>4</v>
      </c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2">
        <f t="shared" si="149"/>
        <v>4</v>
      </c>
      <c r="BC564" s="23">
        <v>3</v>
      </c>
      <c r="BD564" s="130">
        <f t="shared" si="150"/>
        <v>4</v>
      </c>
      <c r="BE564" s="130">
        <f t="shared" si="151"/>
        <v>3</v>
      </c>
      <c r="BF564" s="195">
        <f t="shared" si="152"/>
        <v>133.33333333333331</v>
      </c>
      <c r="BG564" s="373">
        <f t="shared" si="154"/>
        <v>-1</v>
      </c>
    </row>
    <row r="565" spans="1:62" s="21" customFormat="1" ht="15.95" customHeight="1">
      <c r="A565" s="163">
        <v>308</v>
      </c>
      <c r="B565" s="9" t="s">
        <v>2863</v>
      </c>
      <c r="C565" s="11" t="s">
        <v>2864</v>
      </c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22">
        <f t="shared" si="148"/>
        <v>0</v>
      </c>
      <c r="AC565" s="25">
        <v>0</v>
      </c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2">
        <f t="shared" si="149"/>
        <v>0</v>
      </c>
      <c r="BC565" s="23">
        <v>1</v>
      </c>
      <c r="BD565" s="130">
        <f t="shared" si="150"/>
        <v>0</v>
      </c>
      <c r="BE565" s="130">
        <f t="shared" si="151"/>
        <v>1</v>
      </c>
      <c r="BF565" s="195">
        <f t="shared" si="152"/>
        <v>0</v>
      </c>
      <c r="BG565" s="373">
        <f t="shared" si="154"/>
        <v>1</v>
      </c>
    </row>
    <row r="566" spans="1:62" s="21" customFormat="1" ht="15.95" customHeight="1">
      <c r="A566" s="163">
        <v>309</v>
      </c>
      <c r="B566" s="9" t="s">
        <v>119</v>
      </c>
      <c r="C566" s="16" t="s">
        <v>120</v>
      </c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22">
        <f t="shared" si="148"/>
        <v>0</v>
      </c>
      <c r="AC566" s="25">
        <v>0</v>
      </c>
      <c r="AD566" s="24"/>
      <c r="AE566" s="24"/>
      <c r="AF566" s="24"/>
      <c r="AG566" s="24"/>
      <c r="AH566" s="24"/>
      <c r="AI566" s="24"/>
      <c r="AJ566" s="24"/>
      <c r="AK566" s="24"/>
      <c r="AL566" s="24">
        <v>2</v>
      </c>
      <c r="AM566" s="24"/>
      <c r="AN566" s="24"/>
      <c r="AO566" s="24"/>
      <c r="AP566" s="24">
        <f>1+1</f>
        <v>2</v>
      </c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2">
        <f t="shared" si="149"/>
        <v>4</v>
      </c>
      <c r="BC566" s="23">
        <v>6</v>
      </c>
      <c r="BD566" s="130">
        <f t="shared" si="150"/>
        <v>4</v>
      </c>
      <c r="BE566" s="130">
        <f t="shared" si="151"/>
        <v>6</v>
      </c>
      <c r="BF566" s="195">
        <f t="shared" si="152"/>
        <v>66.666666666666657</v>
      </c>
      <c r="BG566" s="373">
        <f t="shared" si="154"/>
        <v>2</v>
      </c>
    </row>
    <row r="567" spans="1:62" s="21" customFormat="1" ht="15.95" customHeight="1">
      <c r="A567" s="623" t="s">
        <v>346</v>
      </c>
      <c r="B567" s="624"/>
      <c r="C567" s="624"/>
      <c r="D567" s="159">
        <f t="shared" ref="D567:AI567" si="155">SUM(D568:D568)</f>
        <v>0</v>
      </c>
      <c r="E567" s="159">
        <f t="shared" si="155"/>
        <v>0</v>
      </c>
      <c r="F567" s="159">
        <f t="shared" si="155"/>
        <v>0</v>
      </c>
      <c r="G567" s="159">
        <f t="shared" si="155"/>
        <v>0</v>
      </c>
      <c r="H567" s="159">
        <f t="shared" si="155"/>
        <v>0</v>
      </c>
      <c r="I567" s="159">
        <f t="shared" si="155"/>
        <v>0</v>
      </c>
      <c r="J567" s="159">
        <f t="shared" si="155"/>
        <v>0</v>
      </c>
      <c r="K567" s="159">
        <f t="shared" si="155"/>
        <v>0</v>
      </c>
      <c r="L567" s="159">
        <f t="shared" si="155"/>
        <v>0</v>
      </c>
      <c r="M567" s="159">
        <f t="shared" si="155"/>
        <v>0</v>
      </c>
      <c r="N567" s="159">
        <f t="shared" si="155"/>
        <v>0</v>
      </c>
      <c r="O567" s="159">
        <f t="shared" si="155"/>
        <v>0</v>
      </c>
      <c r="P567" s="159">
        <f t="shared" si="155"/>
        <v>0</v>
      </c>
      <c r="Q567" s="159">
        <f t="shared" si="155"/>
        <v>0</v>
      </c>
      <c r="R567" s="159">
        <f t="shared" si="155"/>
        <v>0</v>
      </c>
      <c r="S567" s="159">
        <f t="shared" si="155"/>
        <v>0</v>
      </c>
      <c r="T567" s="159">
        <f t="shared" si="155"/>
        <v>0</v>
      </c>
      <c r="U567" s="159">
        <f t="shared" si="155"/>
        <v>0</v>
      </c>
      <c r="V567" s="159">
        <f t="shared" si="155"/>
        <v>0</v>
      </c>
      <c r="W567" s="159">
        <f t="shared" si="155"/>
        <v>0</v>
      </c>
      <c r="X567" s="159">
        <f t="shared" si="155"/>
        <v>0</v>
      </c>
      <c r="Y567" s="159">
        <f t="shared" si="155"/>
        <v>0</v>
      </c>
      <c r="Z567" s="159">
        <f t="shared" si="155"/>
        <v>0</v>
      </c>
      <c r="AA567" s="159">
        <f t="shared" si="155"/>
        <v>0</v>
      </c>
      <c r="AB567" s="159">
        <f t="shared" si="155"/>
        <v>0</v>
      </c>
      <c r="AC567" s="161">
        <f t="shared" si="155"/>
        <v>0</v>
      </c>
      <c r="AD567" s="160">
        <f t="shared" si="155"/>
        <v>0</v>
      </c>
      <c r="AE567" s="160">
        <f t="shared" si="155"/>
        <v>0</v>
      </c>
      <c r="AF567" s="160">
        <f t="shared" si="155"/>
        <v>0</v>
      </c>
      <c r="AG567" s="160">
        <f t="shared" si="155"/>
        <v>0</v>
      </c>
      <c r="AH567" s="160">
        <f t="shared" si="155"/>
        <v>0</v>
      </c>
      <c r="AI567" s="160">
        <f t="shared" si="155"/>
        <v>0</v>
      </c>
      <c r="AJ567" s="160">
        <f t="shared" ref="AJ567:BC567" si="156">SUM(AJ568:AJ568)</f>
        <v>0</v>
      </c>
      <c r="AK567" s="160">
        <f t="shared" si="156"/>
        <v>0</v>
      </c>
      <c r="AL567" s="160">
        <f t="shared" si="156"/>
        <v>0</v>
      </c>
      <c r="AM567" s="160">
        <f t="shared" si="156"/>
        <v>0</v>
      </c>
      <c r="AN567" s="160">
        <f t="shared" si="156"/>
        <v>0</v>
      </c>
      <c r="AO567" s="160">
        <f t="shared" si="156"/>
        <v>0</v>
      </c>
      <c r="AP567" s="160">
        <f t="shared" si="156"/>
        <v>0</v>
      </c>
      <c r="AQ567" s="160">
        <f t="shared" si="156"/>
        <v>0</v>
      </c>
      <c r="AR567" s="160">
        <f t="shared" si="156"/>
        <v>0</v>
      </c>
      <c r="AS567" s="160">
        <f t="shared" si="156"/>
        <v>0</v>
      </c>
      <c r="AT567" s="160">
        <f t="shared" si="156"/>
        <v>0</v>
      </c>
      <c r="AU567" s="160">
        <f t="shared" si="156"/>
        <v>0</v>
      </c>
      <c r="AV567" s="160">
        <f t="shared" si="156"/>
        <v>0</v>
      </c>
      <c r="AW567" s="160">
        <f t="shared" si="156"/>
        <v>0</v>
      </c>
      <c r="AX567" s="160">
        <f t="shared" si="156"/>
        <v>0</v>
      </c>
      <c r="AY567" s="160">
        <f t="shared" si="156"/>
        <v>0</v>
      </c>
      <c r="AZ567" s="160">
        <f t="shared" si="156"/>
        <v>0</v>
      </c>
      <c r="BA567" s="160">
        <f t="shared" si="156"/>
        <v>0</v>
      </c>
      <c r="BB567" s="160">
        <f t="shared" si="156"/>
        <v>0</v>
      </c>
      <c r="BC567" s="103">
        <f t="shared" si="156"/>
        <v>0</v>
      </c>
      <c r="BD567" s="130">
        <f t="shared" ref="BD567:BD569" si="157">AB567+BB567</f>
        <v>0</v>
      </c>
      <c r="BE567" s="130">
        <f t="shared" ref="BE567:BE569" si="158">AC567+BC567</f>
        <v>0</v>
      </c>
      <c r="BF567" s="195" t="e">
        <f t="shared" ref="BF567:BF569" si="159">BD567/BE567*100</f>
        <v>#DIV/0!</v>
      </c>
      <c r="BG567" s="374">
        <f t="shared" ref="BG567:BG569" si="160">BE567-BD567</f>
        <v>0</v>
      </c>
    </row>
    <row r="568" spans="1:62" s="21" customFormat="1" ht="15.95" customHeight="1">
      <c r="A568" s="163"/>
      <c r="B568" s="9"/>
      <c r="C568" s="10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22">
        <f>SUM(D568:AA568)</f>
        <v>0</v>
      </c>
      <c r="AC568" s="25">
        <v>0</v>
      </c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2">
        <f t="shared" ref="BB568" si="161">SUM(AD568:BA568)</f>
        <v>0</v>
      </c>
      <c r="BC568" s="23">
        <v>0</v>
      </c>
      <c r="BD568" s="130">
        <f t="shared" si="157"/>
        <v>0</v>
      </c>
      <c r="BE568" s="130">
        <f t="shared" si="158"/>
        <v>0</v>
      </c>
      <c r="BF568" s="195" t="e">
        <f t="shared" si="159"/>
        <v>#DIV/0!</v>
      </c>
      <c r="BG568" s="373">
        <f t="shared" si="160"/>
        <v>0</v>
      </c>
    </row>
    <row r="569" spans="1:62" s="21" customFormat="1" ht="15.95" customHeight="1">
      <c r="A569" s="625" t="s">
        <v>357</v>
      </c>
      <c r="B569" s="622"/>
      <c r="C569" s="622"/>
      <c r="D569" s="159">
        <f t="shared" ref="D569:AI569" si="162">SUM(D570:D671)</f>
        <v>5</v>
      </c>
      <c r="E569" s="159">
        <f t="shared" si="162"/>
        <v>0</v>
      </c>
      <c r="F569" s="159">
        <f t="shared" si="162"/>
        <v>0</v>
      </c>
      <c r="G569" s="159">
        <f t="shared" si="162"/>
        <v>0</v>
      </c>
      <c r="H569" s="159">
        <f t="shared" si="162"/>
        <v>6</v>
      </c>
      <c r="I569" s="159">
        <f t="shared" si="162"/>
        <v>0</v>
      </c>
      <c r="J569" s="159">
        <f t="shared" si="162"/>
        <v>0</v>
      </c>
      <c r="K569" s="159">
        <f t="shared" si="162"/>
        <v>0</v>
      </c>
      <c r="L569" s="159">
        <f t="shared" si="162"/>
        <v>0</v>
      </c>
      <c r="M569" s="159">
        <f t="shared" si="162"/>
        <v>0</v>
      </c>
      <c r="N569" s="159">
        <f t="shared" si="162"/>
        <v>0</v>
      </c>
      <c r="O569" s="159">
        <f t="shared" si="162"/>
        <v>0</v>
      </c>
      <c r="P569" s="159">
        <f t="shared" si="162"/>
        <v>0</v>
      </c>
      <c r="Q569" s="159">
        <f t="shared" si="162"/>
        <v>0</v>
      </c>
      <c r="R569" s="159">
        <f t="shared" si="162"/>
        <v>0</v>
      </c>
      <c r="S569" s="159">
        <f t="shared" si="162"/>
        <v>0</v>
      </c>
      <c r="T569" s="159">
        <f t="shared" si="162"/>
        <v>0</v>
      </c>
      <c r="U569" s="159">
        <f t="shared" si="162"/>
        <v>0</v>
      </c>
      <c r="V569" s="159">
        <f t="shared" si="162"/>
        <v>0</v>
      </c>
      <c r="W569" s="159">
        <f t="shared" si="162"/>
        <v>0</v>
      </c>
      <c r="X569" s="159">
        <f t="shared" si="162"/>
        <v>0</v>
      </c>
      <c r="Y569" s="159">
        <f t="shared" si="162"/>
        <v>0</v>
      </c>
      <c r="Z569" s="159">
        <f t="shared" si="162"/>
        <v>0</v>
      </c>
      <c r="AA569" s="159">
        <f t="shared" si="162"/>
        <v>0</v>
      </c>
      <c r="AB569" s="159">
        <f t="shared" si="162"/>
        <v>11</v>
      </c>
      <c r="AC569" s="161">
        <f t="shared" si="162"/>
        <v>0</v>
      </c>
      <c r="AD569" s="160">
        <f t="shared" si="162"/>
        <v>0</v>
      </c>
      <c r="AE569" s="160">
        <f t="shared" si="162"/>
        <v>0</v>
      </c>
      <c r="AF569" s="160">
        <f t="shared" si="162"/>
        <v>0</v>
      </c>
      <c r="AG569" s="160">
        <f t="shared" si="162"/>
        <v>0</v>
      </c>
      <c r="AH569" s="160">
        <f t="shared" si="162"/>
        <v>26</v>
      </c>
      <c r="AI569" s="160">
        <f t="shared" si="162"/>
        <v>0</v>
      </c>
      <c r="AJ569" s="160">
        <f t="shared" ref="AJ569:BC569" si="163">SUM(AJ570:AJ671)</f>
        <v>0</v>
      </c>
      <c r="AK569" s="160">
        <f t="shared" si="163"/>
        <v>0</v>
      </c>
      <c r="AL569" s="160">
        <f t="shared" si="163"/>
        <v>167</v>
      </c>
      <c r="AM569" s="160">
        <f t="shared" si="163"/>
        <v>0</v>
      </c>
      <c r="AN569" s="160">
        <f t="shared" si="163"/>
        <v>0</v>
      </c>
      <c r="AO569" s="160">
        <f t="shared" si="163"/>
        <v>0</v>
      </c>
      <c r="AP569" s="160">
        <f t="shared" si="163"/>
        <v>242</v>
      </c>
      <c r="AQ569" s="160">
        <f t="shared" si="163"/>
        <v>0</v>
      </c>
      <c r="AR569" s="160">
        <f t="shared" si="163"/>
        <v>0</v>
      </c>
      <c r="AS569" s="160">
        <f t="shared" si="163"/>
        <v>0</v>
      </c>
      <c r="AT569" s="160">
        <f t="shared" si="163"/>
        <v>0</v>
      </c>
      <c r="AU569" s="160">
        <f t="shared" si="163"/>
        <v>0</v>
      </c>
      <c r="AV569" s="160">
        <f t="shared" si="163"/>
        <v>0</v>
      </c>
      <c r="AW569" s="160">
        <f t="shared" si="163"/>
        <v>0</v>
      </c>
      <c r="AX569" s="160">
        <f t="shared" si="163"/>
        <v>0</v>
      </c>
      <c r="AY569" s="160">
        <f t="shared" si="163"/>
        <v>0</v>
      </c>
      <c r="AZ569" s="160">
        <f t="shared" si="163"/>
        <v>0</v>
      </c>
      <c r="BA569" s="160">
        <f t="shared" si="163"/>
        <v>0</v>
      </c>
      <c r="BB569" s="160">
        <f t="shared" si="163"/>
        <v>435</v>
      </c>
      <c r="BC569" s="103">
        <f t="shared" si="163"/>
        <v>989</v>
      </c>
      <c r="BD569" s="130">
        <f t="shared" si="157"/>
        <v>446</v>
      </c>
      <c r="BE569" s="130">
        <f t="shared" si="158"/>
        <v>989</v>
      </c>
      <c r="BF569" s="195">
        <f t="shared" si="159"/>
        <v>45.096056622851364</v>
      </c>
      <c r="BG569" s="374">
        <f t="shared" si="160"/>
        <v>543</v>
      </c>
      <c r="BH569" s="21">
        <f>980</f>
        <v>980</v>
      </c>
      <c r="BI569" s="21">
        <v>446</v>
      </c>
      <c r="BJ569" s="343">
        <f>BI569-BD569</f>
        <v>0</v>
      </c>
    </row>
    <row r="570" spans="1:62" s="21" customFormat="1" ht="15.95" customHeight="1">
      <c r="A570" s="163">
        <v>1</v>
      </c>
      <c r="B570" s="9" t="s">
        <v>144</v>
      </c>
      <c r="C570" s="11" t="s">
        <v>145</v>
      </c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22">
        <f t="shared" ref="AB570:AB601" si="164">SUM(D570:AA570)</f>
        <v>0</v>
      </c>
      <c r="AC570" s="25">
        <v>0</v>
      </c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2">
        <f t="shared" ref="BB570:BB601" si="165">SUM(AD570:BA570)</f>
        <v>0</v>
      </c>
      <c r="BC570" s="23">
        <v>2</v>
      </c>
      <c r="BD570" s="130">
        <f t="shared" ref="BD570:BD601" si="166">AB570+BB570</f>
        <v>0</v>
      </c>
      <c r="BE570" s="130">
        <f t="shared" ref="BE570:BE601" si="167">AC570+BC570</f>
        <v>2</v>
      </c>
      <c r="BF570" s="195">
        <f t="shared" ref="BF570:BF601" si="168">BD570/BE570*100</f>
        <v>0</v>
      </c>
      <c r="BG570" s="373">
        <f t="shared" ref="BG570:BG586" si="169">BE570-BD570</f>
        <v>2</v>
      </c>
    </row>
    <row r="571" spans="1:62" s="21" customFormat="1" ht="15.95" customHeight="1">
      <c r="A571" s="163">
        <v>2</v>
      </c>
      <c r="B571" s="9" t="s">
        <v>613</v>
      </c>
      <c r="C571" s="11" t="s">
        <v>614</v>
      </c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22">
        <f t="shared" si="164"/>
        <v>0</v>
      </c>
      <c r="AC571" s="25">
        <v>0</v>
      </c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2">
        <f t="shared" si="165"/>
        <v>0</v>
      </c>
      <c r="BC571" s="23">
        <v>2</v>
      </c>
      <c r="BD571" s="130">
        <f t="shared" si="166"/>
        <v>0</v>
      </c>
      <c r="BE571" s="130">
        <f t="shared" si="167"/>
        <v>2</v>
      </c>
      <c r="BF571" s="195">
        <f t="shared" si="168"/>
        <v>0</v>
      </c>
      <c r="BG571" s="373">
        <f t="shared" si="169"/>
        <v>2</v>
      </c>
    </row>
    <row r="572" spans="1:62" s="21" customFormat="1" ht="15.95" customHeight="1">
      <c r="A572" s="163">
        <v>3</v>
      </c>
      <c r="B572" s="9" t="s">
        <v>358</v>
      </c>
      <c r="C572" s="11" t="s">
        <v>359</v>
      </c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22">
        <f t="shared" si="164"/>
        <v>0</v>
      </c>
      <c r="AC572" s="25">
        <v>0</v>
      </c>
      <c r="AD572" s="24"/>
      <c r="AE572" s="24"/>
      <c r="AF572" s="24"/>
      <c r="AG572" s="24"/>
      <c r="AH572" s="24"/>
      <c r="AI572" s="24"/>
      <c r="AJ572" s="24"/>
      <c r="AK572" s="24"/>
      <c r="AL572" s="24">
        <v>1</v>
      </c>
      <c r="AM572" s="24"/>
      <c r="AN572" s="24"/>
      <c r="AO572" s="24"/>
      <c r="AP572" s="24">
        <v>5</v>
      </c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2">
        <f t="shared" si="165"/>
        <v>6</v>
      </c>
      <c r="BC572" s="23">
        <v>2</v>
      </c>
      <c r="BD572" s="130">
        <f t="shared" si="166"/>
        <v>6</v>
      </c>
      <c r="BE572" s="130">
        <f t="shared" si="167"/>
        <v>2</v>
      </c>
      <c r="BF572" s="195">
        <f t="shared" si="168"/>
        <v>300</v>
      </c>
      <c r="BG572" s="373">
        <f t="shared" si="169"/>
        <v>-4</v>
      </c>
    </row>
    <row r="573" spans="1:62" s="21" customFormat="1" ht="15.95" customHeight="1">
      <c r="A573" s="163">
        <v>4</v>
      </c>
      <c r="B573" s="9" t="s">
        <v>2879</v>
      </c>
      <c r="C573" s="11" t="s">
        <v>2880</v>
      </c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22">
        <f t="shared" si="164"/>
        <v>0</v>
      </c>
      <c r="AC573" s="25">
        <v>0</v>
      </c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2">
        <f t="shared" si="165"/>
        <v>0</v>
      </c>
      <c r="BC573" s="23">
        <v>1</v>
      </c>
      <c r="BD573" s="130">
        <f t="shared" si="166"/>
        <v>0</v>
      </c>
      <c r="BE573" s="130">
        <f t="shared" si="167"/>
        <v>1</v>
      </c>
      <c r="BF573" s="195">
        <f t="shared" si="168"/>
        <v>0</v>
      </c>
      <c r="BG573" s="373">
        <f t="shared" si="169"/>
        <v>1</v>
      </c>
    </row>
    <row r="574" spans="1:62" s="21" customFormat="1" ht="15.95" customHeight="1">
      <c r="A574" s="163">
        <v>5</v>
      </c>
      <c r="B574" s="9" t="s">
        <v>2554</v>
      </c>
      <c r="C574" s="11" t="s">
        <v>2555</v>
      </c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22">
        <f t="shared" si="164"/>
        <v>0</v>
      </c>
      <c r="AC574" s="25">
        <v>0</v>
      </c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2">
        <f t="shared" si="165"/>
        <v>0</v>
      </c>
      <c r="BC574" s="23">
        <v>2</v>
      </c>
      <c r="BD574" s="130">
        <f t="shared" si="166"/>
        <v>0</v>
      </c>
      <c r="BE574" s="130">
        <f t="shared" si="167"/>
        <v>2</v>
      </c>
      <c r="BF574" s="195">
        <f t="shared" si="168"/>
        <v>0</v>
      </c>
      <c r="BG574" s="373">
        <f t="shared" si="169"/>
        <v>2</v>
      </c>
    </row>
    <row r="575" spans="1:62" s="21" customFormat="1" ht="15.95" customHeight="1">
      <c r="A575" s="163">
        <v>6</v>
      </c>
      <c r="B575" s="9" t="s">
        <v>2688</v>
      </c>
      <c r="C575" s="11" t="s">
        <v>2689</v>
      </c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22">
        <f t="shared" si="164"/>
        <v>0</v>
      </c>
      <c r="AC575" s="25">
        <v>0</v>
      </c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2">
        <f t="shared" si="165"/>
        <v>0</v>
      </c>
      <c r="BC575" s="23">
        <v>2</v>
      </c>
      <c r="BD575" s="130">
        <f t="shared" si="166"/>
        <v>0</v>
      </c>
      <c r="BE575" s="130">
        <f t="shared" si="167"/>
        <v>2</v>
      </c>
      <c r="BF575" s="195">
        <f t="shared" si="168"/>
        <v>0</v>
      </c>
      <c r="BG575" s="373">
        <f t="shared" si="169"/>
        <v>2</v>
      </c>
    </row>
    <row r="576" spans="1:62" s="21" customFormat="1" ht="15.95" customHeight="1">
      <c r="A576" s="163">
        <v>7</v>
      </c>
      <c r="B576" s="9" t="s">
        <v>615</v>
      </c>
      <c r="C576" s="11" t="s">
        <v>616</v>
      </c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22">
        <f t="shared" si="164"/>
        <v>0</v>
      </c>
      <c r="AC576" s="25">
        <v>0</v>
      </c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>
        <v>5</v>
      </c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2">
        <f t="shared" si="165"/>
        <v>5</v>
      </c>
      <c r="BC576" s="23">
        <v>8</v>
      </c>
      <c r="BD576" s="130">
        <f t="shared" si="166"/>
        <v>5</v>
      </c>
      <c r="BE576" s="130">
        <f t="shared" si="167"/>
        <v>8</v>
      </c>
      <c r="BF576" s="195">
        <f t="shared" si="168"/>
        <v>62.5</v>
      </c>
      <c r="BG576" s="373">
        <f t="shared" si="169"/>
        <v>3</v>
      </c>
    </row>
    <row r="577" spans="1:59" s="21" customFormat="1" ht="15.95" customHeight="1">
      <c r="A577" s="163">
        <v>8</v>
      </c>
      <c r="B577" s="9" t="s">
        <v>720</v>
      </c>
      <c r="C577" s="11" t="s">
        <v>721</v>
      </c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22">
        <f t="shared" si="164"/>
        <v>0</v>
      </c>
      <c r="AC577" s="25">
        <v>0</v>
      </c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2">
        <f t="shared" si="165"/>
        <v>0</v>
      </c>
      <c r="BC577" s="23">
        <v>1</v>
      </c>
      <c r="BD577" s="130">
        <f t="shared" si="166"/>
        <v>0</v>
      </c>
      <c r="BE577" s="130">
        <f t="shared" si="167"/>
        <v>1</v>
      </c>
      <c r="BF577" s="195">
        <f t="shared" si="168"/>
        <v>0</v>
      </c>
      <c r="BG577" s="373">
        <f t="shared" si="169"/>
        <v>1</v>
      </c>
    </row>
    <row r="578" spans="1:59" s="21" customFormat="1" ht="15.95" customHeight="1">
      <c r="A578" s="163">
        <v>9</v>
      </c>
      <c r="B578" s="9" t="s">
        <v>42</v>
      </c>
      <c r="C578" s="11" t="s">
        <v>43</v>
      </c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22">
        <f t="shared" si="164"/>
        <v>0</v>
      </c>
      <c r="AC578" s="25">
        <v>0</v>
      </c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>
        <v>4</v>
      </c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2">
        <f t="shared" si="165"/>
        <v>4</v>
      </c>
      <c r="BC578" s="23">
        <v>2</v>
      </c>
      <c r="BD578" s="130">
        <f t="shared" si="166"/>
        <v>4</v>
      </c>
      <c r="BE578" s="130">
        <f t="shared" si="167"/>
        <v>2</v>
      </c>
      <c r="BF578" s="195">
        <f t="shared" si="168"/>
        <v>200</v>
      </c>
      <c r="BG578" s="373">
        <f t="shared" si="169"/>
        <v>-2</v>
      </c>
    </row>
    <row r="579" spans="1:59" s="21" customFormat="1" ht="15.95" customHeight="1">
      <c r="A579" s="163">
        <v>10</v>
      </c>
      <c r="B579" s="9" t="s">
        <v>42</v>
      </c>
      <c r="C579" s="11" t="s">
        <v>43</v>
      </c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22">
        <f t="shared" si="164"/>
        <v>0</v>
      </c>
      <c r="AC579" s="25">
        <v>0</v>
      </c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2">
        <f t="shared" si="165"/>
        <v>0</v>
      </c>
      <c r="BC579" s="23">
        <v>1</v>
      </c>
      <c r="BD579" s="130">
        <f t="shared" si="166"/>
        <v>0</v>
      </c>
      <c r="BE579" s="130">
        <f t="shared" si="167"/>
        <v>1</v>
      </c>
      <c r="BF579" s="195">
        <f t="shared" si="168"/>
        <v>0</v>
      </c>
      <c r="BG579" s="373">
        <f t="shared" si="169"/>
        <v>1</v>
      </c>
    </row>
    <row r="580" spans="1:59" s="21" customFormat="1" ht="15.95" customHeight="1">
      <c r="A580" s="163">
        <v>11</v>
      </c>
      <c r="B580" s="9" t="s">
        <v>167</v>
      </c>
      <c r="C580" s="11" t="s">
        <v>168</v>
      </c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22">
        <f t="shared" si="164"/>
        <v>0</v>
      </c>
      <c r="AC580" s="25">
        <v>0</v>
      </c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2">
        <f t="shared" si="165"/>
        <v>0</v>
      </c>
      <c r="BC580" s="23">
        <v>1</v>
      </c>
      <c r="BD580" s="130">
        <f t="shared" si="166"/>
        <v>0</v>
      </c>
      <c r="BE580" s="130">
        <f t="shared" si="167"/>
        <v>1</v>
      </c>
      <c r="BF580" s="195">
        <f t="shared" si="168"/>
        <v>0</v>
      </c>
      <c r="BG580" s="373">
        <f t="shared" si="169"/>
        <v>1</v>
      </c>
    </row>
    <row r="581" spans="1:59" s="21" customFormat="1" ht="15.95" customHeight="1">
      <c r="A581" s="163">
        <v>12</v>
      </c>
      <c r="B581" s="9" t="s">
        <v>2684</v>
      </c>
      <c r="C581" s="11" t="s">
        <v>2685</v>
      </c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22">
        <f t="shared" si="164"/>
        <v>0</v>
      </c>
      <c r="AC581" s="25">
        <v>0</v>
      </c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2">
        <f t="shared" si="165"/>
        <v>0</v>
      </c>
      <c r="BC581" s="23">
        <v>1</v>
      </c>
      <c r="BD581" s="130">
        <f t="shared" si="166"/>
        <v>0</v>
      </c>
      <c r="BE581" s="130">
        <f t="shared" si="167"/>
        <v>1</v>
      </c>
      <c r="BF581" s="195">
        <f t="shared" si="168"/>
        <v>0</v>
      </c>
      <c r="BG581" s="373">
        <f t="shared" si="169"/>
        <v>1</v>
      </c>
    </row>
    <row r="582" spans="1:59" s="21" customFormat="1" ht="15.95" customHeight="1">
      <c r="A582" s="163">
        <v>13</v>
      </c>
      <c r="B582" s="9" t="s">
        <v>3424</v>
      </c>
      <c r="C582" s="11" t="s">
        <v>3425</v>
      </c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22">
        <f t="shared" si="164"/>
        <v>0</v>
      </c>
      <c r="AC582" s="25">
        <v>0</v>
      </c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2">
        <f t="shared" si="165"/>
        <v>0</v>
      </c>
      <c r="BC582" s="23">
        <v>1</v>
      </c>
      <c r="BD582" s="130">
        <f t="shared" si="166"/>
        <v>0</v>
      </c>
      <c r="BE582" s="130">
        <f t="shared" si="167"/>
        <v>1</v>
      </c>
      <c r="BF582" s="195">
        <f t="shared" si="168"/>
        <v>0</v>
      </c>
      <c r="BG582" s="373">
        <f t="shared" si="169"/>
        <v>1</v>
      </c>
    </row>
    <row r="583" spans="1:59" s="21" customFormat="1" ht="15.95" customHeight="1">
      <c r="A583" s="163">
        <v>14</v>
      </c>
      <c r="B583" s="9" t="s">
        <v>674</v>
      </c>
      <c r="C583" s="11" t="s">
        <v>3161</v>
      </c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22">
        <f t="shared" si="164"/>
        <v>0</v>
      </c>
      <c r="AC583" s="25">
        <v>0</v>
      </c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2">
        <f t="shared" si="165"/>
        <v>0</v>
      </c>
      <c r="BC583" s="23">
        <v>1</v>
      </c>
      <c r="BD583" s="130">
        <f t="shared" si="166"/>
        <v>0</v>
      </c>
      <c r="BE583" s="130">
        <f t="shared" si="167"/>
        <v>1</v>
      </c>
      <c r="BF583" s="195">
        <f t="shared" si="168"/>
        <v>0</v>
      </c>
      <c r="BG583" s="373">
        <f t="shared" si="169"/>
        <v>1</v>
      </c>
    </row>
    <row r="584" spans="1:59" s="21" customFormat="1" ht="15.95" customHeight="1">
      <c r="A584" s="163">
        <v>15</v>
      </c>
      <c r="B584" s="9" t="s">
        <v>46</v>
      </c>
      <c r="C584" s="11" t="s">
        <v>360</v>
      </c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22">
        <f t="shared" si="164"/>
        <v>0</v>
      </c>
      <c r="AC584" s="25">
        <v>0</v>
      </c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2">
        <f t="shared" si="165"/>
        <v>0</v>
      </c>
      <c r="BC584" s="23">
        <v>5</v>
      </c>
      <c r="BD584" s="130">
        <f t="shared" si="166"/>
        <v>0</v>
      </c>
      <c r="BE584" s="130">
        <f t="shared" si="167"/>
        <v>5</v>
      </c>
      <c r="BF584" s="195">
        <f t="shared" si="168"/>
        <v>0</v>
      </c>
      <c r="BG584" s="373">
        <f t="shared" si="169"/>
        <v>5</v>
      </c>
    </row>
    <row r="585" spans="1:59" s="21" customFormat="1" ht="15.95" customHeight="1">
      <c r="A585" s="163">
        <v>16</v>
      </c>
      <c r="B585" s="9" t="s">
        <v>624</v>
      </c>
      <c r="C585" s="11" t="s">
        <v>625</v>
      </c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22">
        <f t="shared" si="164"/>
        <v>0</v>
      </c>
      <c r="AC585" s="25">
        <v>0</v>
      </c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>
        <v>4</v>
      </c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2">
        <f t="shared" si="165"/>
        <v>4</v>
      </c>
      <c r="BC585" s="23">
        <v>4</v>
      </c>
      <c r="BD585" s="130">
        <f t="shared" si="166"/>
        <v>4</v>
      </c>
      <c r="BE585" s="130">
        <f t="shared" si="167"/>
        <v>4</v>
      </c>
      <c r="BF585" s="195">
        <f t="shared" si="168"/>
        <v>100</v>
      </c>
      <c r="BG585" s="373">
        <f t="shared" si="169"/>
        <v>0</v>
      </c>
    </row>
    <row r="586" spans="1:59" s="21" customFormat="1" ht="15.95" customHeight="1">
      <c r="A586" s="163">
        <v>17</v>
      </c>
      <c r="B586" s="9" t="s">
        <v>171</v>
      </c>
      <c r="C586" s="11" t="s">
        <v>2198</v>
      </c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22">
        <f t="shared" si="164"/>
        <v>0</v>
      </c>
      <c r="AC586" s="25">
        <v>0</v>
      </c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>
        <v>1</v>
      </c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2">
        <f t="shared" si="165"/>
        <v>1</v>
      </c>
      <c r="BC586" s="23">
        <v>3</v>
      </c>
      <c r="BD586" s="130">
        <f t="shared" si="166"/>
        <v>1</v>
      </c>
      <c r="BE586" s="130">
        <f t="shared" si="167"/>
        <v>3</v>
      </c>
      <c r="BF586" s="195">
        <f t="shared" si="168"/>
        <v>33.333333333333329</v>
      </c>
      <c r="BG586" s="373">
        <f t="shared" si="169"/>
        <v>2</v>
      </c>
    </row>
    <row r="587" spans="1:59" s="21" customFormat="1" ht="15.95" customHeight="1">
      <c r="A587" s="163">
        <v>18</v>
      </c>
      <c r="B587" s="9" t="s">
        <v>175</v>
      </c>
      <c r="C587" s="11" t="s">
        <v>4143</v>
      </c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22">
        <f t="shared" si="164"/>
        <v>0</v>
      </c>
      <c r="AC587" s="25">
        <v>0</v>
      </c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>
        <v>1</v>
      </c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2">
        <f t="shared" si="165"/>
        <v>1</v>
      </c>
      <c r="BC587" s="23">
        <v>0</v>
      </c>
      <c r="BD587" s="130">
        <f t="shared" si="166"/>
        <v>1</v>
      </c>
      <c r="BE587" s="130">
        <f t="shared" si="167"/>
        <v>0</v>
      </c>
      <c r="BF587" s="195" t="e">
        <f t="shared" si="168"/>
        <v>#DIV/0!</v>
      </c>
      <c r="BG587" s="373"/>
    </row>
    <row r="588" spans="1:59" s="21" customFormat="1" ht="15.95" customHeight="1">
      <c r="A588" s="163">
        <v>19</v>
      </c>
      <c r="B588" s="9" t="s">
        <v>617</v>
      </c>
      <c r="C588" s="11" t="s">
        <v>618</v>
      </c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22">
        <f t="shared" si="164"/>
        <v>0</v>
      </c>
      <c r="AC588" s="25">
        <v>0</v>
      </c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2">
        <f t="shared" si="165"/>
        <v>0</v>
      </c>
      <c r="BC588" s="23">
        <v>1</v>
      </c>
      <c r="BD588" s="130">
        <f t="shared" si="166"/>
        <v>0</v>
      </c>
      <c r="BE588" s="130">
        <f t="shared" si="167"/>
        <v>1</v>
      </c>
      <c r="BF588" s="195">
        <f t="shared" si="168"/>
        <v>0</v>
      </c>
      <c r="BG588" s="373">
        <f t="shared" ref="BG588:BG617" si="170">BE588-BD588</f>
        <v>1</v>
      </c>
    </row>
    <row r="589" spans="1:59" s="21" customFormat="1" ht="15.95" customHeight="1">
      <c r="A589" s="163">
        <v>20</v>
      </c>
      <c r="B589" s="9" t="s">
        <v>179</v>
      </c>
      <c r="C589" s="11" t="s">
        <v>180</v>
      </c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22">
        <f t="shared" si="164"/>
        <v>0</v>
      </c>
      <c r="AC589" s="25">
        <v>0</v>
      </c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2">
        <f t="shared" si="165"/>
        <v>0</v>
      </c>
      <c r="BC589" s="23">
        <v>1</v>
      </c>
      <c r="BD589" s="130">
        <f t="shared" si="166"/>
        <v>0</v>
      </c>
      <c r="BE589" s="130">
        <f t="shared" si="167"/>
        <v>1</v>
      </c>
      <c r="BF589" s="195">
        <f t="shared" si="168"/>
        <v>0</v>
      </c>
      <c r="BG589" s="373">
        <f t="shared" si="170"/>
        <v>1</v>
      </c>
    </row>
    <row r="590" spans="1:59" s="21" customFormat="1" ht="15.95" customHeight="1">
      <c r="A590" s="163">
        <v>21</v>
      </c>
      <c r="B590" s="9" t="s">
        <v>183</v>
      </c>
      <c r="C590" s="11" t="s">
        <v>184</v>
      </c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22">
        <f t="shared" si="164"/>
        <v>0</v>
      </c>
      <c r="AC590" s="25">
        <v>0</v>
      </c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2">
        <f t="shared" si="165"/>
        <v>0</v>
      </c>
      <c r="BC590" s="23">
        <v>1</v>
      </c>
      <c r="BD590" s="130">
        <f t="shared" si="166"/>
        <v>0</v>
      </c>
      <c r="BE590" s="130">
        <f t="shared" si="167"/>
        <v>1</v>
      </c>
      <c r="BF590" s="195">
        <f t="shared" si="168"/>
        <v>0</v>
      </c>
      <c r="BG590" s="373">
        <f t="shared" si="170"/>
        <v>1</v>
      </c>
    </row>
    <row r="591" spans="1:59" s="21" customFormat="1" ht="15.95" customHeight="1">
      <c r="A591" s="163">
        <v>22</v>
      </c>
      <c r="B591" s="9" t="s">
        <v>187</v>
      </c>
      <c r="C591" s="11" t="s">
        <v>2881</v>
      </c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22">
        <f t="shared" si="164"/>
        <v>0</v>
      </c>
      <c r="AC591" s="25">
        <v>0</v>
      </c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2">
        <f t="shared" si="165"/>
        <v>0</v>
      </c>
      <c r="BC591" s="23">
        <v>2</v>
      </c>
      <c r="BD591" s="130">
        <f t="shared" si="166"/>
        <v>0</v>
      </c>
      <c r="BE591" s="130">
        <f t="shared" si="167"/>
        <v>2</v>
      </c>
      <c r="BF591" s="195">
        <f t="shared" si="168"/>
        <v>0</v>
      </c>
      <c r="BG591" s="373">
        <f t="shared" si="170"/>
        <v>2</v>
      </c>
    </row>
    <row r="592" spans="1:59" s="21" customFormat="1" ht="15.95" customHeight="1">
      <c r="A592" s="163">
        <v>23</v>
      </c>
      <c r="B592" s="9" t="s">
        <v>216</v>
      </c>
      <c r="C592" s="11" t="s">
        <v>217</v>
      </c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22">
        <f t="shared" si="164"/>
        <v>0</v>
      </c>
      <c r="AC592" s="25">
        <v>0</v>
      </c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2">
        <f t="shared" si="165"/>
        <v>0</v>
      </c>
      <c r="BC592" s="23">
        <v>1</v>
      </c>
      <c r="BD592" s="130">
        <f t="shared" si="166"/>
        <v>0</v>
      </c>
      <c r="BE592" s="130">
        <f t="shared" si="167"/>
        <v>1</v>
      </c>
      <c r="BF592" s="195">
        <f t="shared" si="168"/>
        <v>0</v>
      </c>
      <c r="BG592" s="373">
        <f t="shared" si="170"/>
        <v>1</v>
      </c>
    </row>
    <row r="593" spans="1:59" s="21" customFormat="1" ht="15.95" customHeight="1">
      <c r="A593" s="163">
        <v>24</v>
      </c>
      <c r="B593" s="9" t="s">
        <v>50</v>
      </c>
      <c r="C593" s="11" t="s">
        <v>51</v>
      </c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22">
        <f t="shared" si="164"/>
        <v>0</v>
      </c>
      <c r="AC593" s="25">
        <v>0</v>
      </c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2">
        <f t="shared" si="165"/>
        <v>0</v>
      </c>
      <c r="BC593" s="23">
        <v>2</v>
      </c>
      <c r="BD593" s="130">
        <f t="shared" si="166"/>
        <v>0</v>
      </c>
      <c r="BE593" s="130">
        <f t="shared" si="167"/>
        <v>2</v>
      </c>
      <c r="BF593" s="195">
        <f t="shared" si="168"/>
        <v>0</v>
      </c>
      <c r="BG593" s="373">
        <f t="shared" si="170"/>
        <v>2</v>
      </c>
    </row>
    <row r="594" spans="1:59" s="21" customFormat="1" ht="15.95" customHeight="1">
      <c r="A594" s="163">
        <v>25</v>
      </c>
      <c r="B594" s="9" t="s">
        <v>655</v>
      </c>
      <c r="C594" s="11" t="s">
        <v>656</v>
      </c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22">
        <f t="shared" si="164"/>
        <v>0</v>
      </c>
      <c r="AC594" s="25">
        <v>0</v>
      </c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2">
        <f t="shared" si="165"/>
        <v>0</v>
      </c>
      <c r="BC594" s="23">
        <v>1</v>
      </c>
      <c r="BD594" s="130">
        <f t="shared" si="166"/>
        <v>0</v>
      </c>
      <c r="BE594" s="130">
        <f t="shared" si="167"/>
        <v>1</v>
      </c>
      <c r="BF594" s="195">
        <f t="shared" si="168"/>
        <v>0</v>
      </c>
      <c r="BG594" s="373">
        <f t="shared" si="170"/>
        <v>1</v>
      </c>
    </row>
    <row r="595" spans="1:59" s="21" customFormat="1" ht="15.95" customHeight="1">
      <c r="A595" s="163">
        <v>26</v>
      </c>
      <c r="B595" s="9" t="s">
        <v>2409</v>
      </c>
      <c r="C595" s="11" t="s">
        <v>2410</v>
      </c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22">
        <f t="shared" si="164"/>
        <v>0</v>
      </c>
      <c r="AC595" s="25">
        <v>0</v>
      </c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2">
        <f t="shared" si="165"/>
        <v>0</v>
      </c>
      <c r="BC595" s="23">
        <v>1</v>
      </c>
      <c r="BD595" s="130">
        <f t="shared" si="166"/>
        <v>0</v>
      </c>
      <c r="BE595" s="130">
        <f t="shared" si="167"/>
        <v>1</v>
      </c>
      <c r="BF595" s="195">
        <f t="shared" si="168"/>
        <v>0</v>
      </c>
      <c r="BG595" s="373">
        <f t="shared" si="170"/>
        <v>1</v>
      </c>
    </row>
    <row r="596" spans="1:59" s="21" customFormat="1" ht="15.95" customHeight="1">
      <c r="A596" s="163">
        <v>27</v>
      </c>
      <c r="B596" s="9" t="s">
        <v>218</v>
      </c>
      <c r="C596" s="11" t="s">
        <v>219</v>
      </c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22">
        <f t="shared" si="164"/>
        <v>0</v>
      </c>
      <c r="AC596" s="25">
        <v>0</v>
      </c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2">
        <f t="shared" si="165"/>
        <v>0</v>
      </c>
      <c r="BC596" s="23">
        <v>1</v>
      </c>
      <c r="BD596" s="130">
        <f t="shared" si="166"/>
        <v>0</v>
      </c>
      <c r="BE596" s="130">
        <f t="shared" si="167"/>
        <v>1</v>
      </c>
      <c r="BF596" s="195">
        <f t="shared" si="168"/>
        <v>0</v>
      </c>
      <c r="BG596" s="373">
        <f t="shared" si="170"/>
        <v>1</v>
      </c>
    </row>
    <row r="597" spans="1:59" s="21" customFormat="1" ht="15.95" customHeight="1">
      <c r="A597" s="163">
        <v>28</v>
      </c>
      <c r="B597" s="9" t="s">
        <v>222</v>
      </c>
      <c r="C597" s="10" t="s">
        <v>223</v>
      </c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22">
        <f t="shared" si="164"/>
        <v>0</v>
      </c>
      <c r="AC597" s="25">
        <v>0</v>
      </c>
      <c r="AD597" s="99"/>
      <c r="AE597" s="99"/>
      <c r="AF597" s="99"/>
      <c r="AG597" s="99"/>
      <c r="AH597" s="99"/>
      <c r="AI597" s="99"/>
      <c r="AJ597" s="99"/>
      <c r="AK597" s="99"/>
      <c r="AL597" s="99">
        <v>1</v>
      </c>
      <c r="AM597" s="99"/>
      <c r="AN597" s="99"/>
      <c r="AO597" s="99"/>
      <c r="AP597" s="99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22">
        <f t="shared" si="165"/>
        <v>1</v>
      </c>
      <c r="BC597" s="23">
        <v>1</v>
      </c>
      <c r="BD597" s="130">
        <f t="shared" si="166"/>
        <v>1</v>
      </c>
      <c r="BE597" s="130">
        <f t="shared" si="167"/>
        <v>1</v>
      </c>
      <c r="BF597" s="195">
        <f t="shared" si="168"/>
        <v>100</v>
      </c>
      <c r="BG597" s="373">
        <f t="shared" si="170"/>
        <v>0</v>
      </c>
    </row>
    <row r="598" spans="1:59" s="21" customFormat="1" ht="15.95" customHeight="1">
      <c r="A598" s="163">
        <v>29</v>
      </c>
      <c r="B598" s="9" t="s">
        <v>234</v>
      </c>
      <c r="C598" s="11" t="s">
        <v>235</v>
      </c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22">
        <f t="shared" si="164"/>
        <v>0</v>
      </c>
      <c r="AC598" s="25">
        <v>0</v>
      </c>
      <c r="AD598" s="24"/>
      <c r="AE598" s="24"/>
      <c r="AF598" s="24"/>
      <c r="AG598" s="24"/>
      <c r="AH598" s="24"/>
      <c r="AI598" s="24"/>
      <c r="AJ598" s="24"/>
      <c r="AK598" s="24"/>
      <c r="AL598" s="24">
        <v>5</v>
      </c>
      <c r="AM598" s="24"/>
      <c r="AN598" s="24"/>
      <c r="AO598" s="24"/>
      <c r="AP598" s="24">
        <f>3+10</f>
        <v>13</v>
      </c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2">
        <f t="shared" si="165"/>
        <v>18</v>
      </c>
      <c r="BC598" s="23">
        <v>39</v>
      </c>
      <c r="BD598" s="130">
        <f t="shared" si="166"/>
        <v>18</v>
      </c>
      <c r="BE598" s="130">
        <f t="shared" si="167"/>
        <v>39</v>
      </c>
      <c r="BF598" s="195">
        <f t="shared" si="168"/>
        <v>46.153846153846153</v>
      </c>
      <c r="BG598" s="373">
        <f t="shared" si="170"/>
        <v>21</v>
      </c>
    </row>
    <row r="599" spans="1:59" s="21" customFormat="1" ht="15.95" customHeight="1">
      <c r="A599" s="163">
        <v>30</v>
      </c>
      <c r="B599" s="9" t="s">
        <v>236</v>
      </c>
      <c r="C599" s="11" t="s">
        <v>2129</v>
      </c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22">
        <f t="shared" si="164"/>
        <v>0</v>
      </c>
      <c r="AC599" s="25">
        <v>0</v>
      </c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2">
        <f t="shared" si="165"/>
        <v>0</v>
      </c>
      <c r="BC599" s="23">
        <v>2</v>
      </c>
      <c r="BD599" s="130">
        <f t="shared" si="166"/>
        <v>0</v>
      </c>
      <c r="BE599" s="130">
        <f t="shared" si="167"/>
        <v>2</v>
      </c>
      <c r="BF599" s="195">
        <f t="shared" si="168"/>
        <v>0</v>
      </c>
      <c r="BG599" s="373">
        <f t="shared" si="170"/>
        <v>2</v>
      </c>
    </row>
    <row r="600" spans="1:59" s="21" customFormat="1" ht="15.95" customHeight="1">
      <c r="A600" s="163">
        <v>31</v>
      </c>
      <c r="B600" s="9" t="s">
        <v>237</v>
      </c>
      <c r="C600" s="11" t="s">
        <v>238</v>
      </c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22">
        <f t="shared" si="164"/>
        <v>0</v>
      </c>
      <c r="AC600" s="25">
        <v>0</v>
      </c>
      <c r="AD600" s="24"/>
      <c r="AE600" s="24"/>
      <c r="AF600" s="24"/>
      <c r="AG600" s="24"/>
      <c r="AH600" s="24"/>
      <c r="AI600" s="24"/>
      <c r="AJ600" s="24"/>
      <c r="AK600" s="24"/>
      <c r="AL600" s="24">
        <v>3</v>
      </c>
      <c r="AM600" s="24"/>
      <c r="AN600" s="24"/>
      <c r="AO600" s="24"/>
      <c r="AP600" s="24">
        <f>4+4</f>
        <v>8</v>
      </c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2">
        <f t="shared" si="165"/>
        <v>11</v>
      </c>
      <c r="BC600" s="23">
        <v>14</v>
      </c>
      <c r="BD600" s="130">
        <f t="shared" si="166"/>
        <v>11</v>
      </c>
      <c r="BE600" s="130">
        <f t="shared" si="167"/>
        <v>14</v>
      </c>
      <c r="BF600" s="195">
        <f t="shared" si="168"/>
        <v>78.571428571428569</v>
      </c>
      <c r="BG600" s="373">
        <f t="shared" si="170"/>
        <v>3</v>
      </c>
    </row>
    <row r="601" spans="1:59" s="21" customFormat="1" ht="15.95" customHeight="1">
      <c r="A601" s="163">
        <v>32</v>
      </c>
      <c r="B601" s="413" t="s">
        <v>361</v>
      </c>
      <c r="C601" s="414" t="s">
        <v>3040</v>
      </c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22">
        <f t="shared" si="164"/>
        <v>0</v>
      </c>
      <c r="AC601" s="25">
        <v>0</v>
      </c>
      <c r="AD601" s="24"/>
      <c r="AE601" s="24"/>
      <c r="AF601" s="24"/>
      <c r="AG601" s="24"/>
      <c r="AH601" s="24"/>
      <c r="AI601" s="24"/>
      <c r="AJ601" s="24"/>
      <c r="AK601" s="24"/>
      <c r="AL601" s="24">
        <v>3</v>
      </c>
      <c r="AM601" s="24"/>
      <c r="AN601" s="24"/>
      <c r="AO601" s="24"/>
      <c r="AP601" s="24">
        <v>6</v>
      </c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2">
        <f t="shared" si="165"/>
        <v>9</v>
      </c>
      <c r="BC601" s="23">
        <v>11</v>
      </c>
      <c r="BD601" s="130">
        <f t="shared" si="166"/>
        <v>9</v>
      </c>
      <c r="BE601" s="130">
        <f t="shared" si="167"/>
        <v>11</v>
      </c>
      <c r="BF601" s="195">
        <f t="shared" si="168"/>
        <v>81.818181818181827</v>
      </c>
      <c r="BG601" s="373">
        <f t="shared" si="170"/>
        <v>2</v>
      </c>
    </row>
    <row r="602" spans="1:59" s="21" customFormat="1" ht="15.95" customHeight="1">
      <c r="A602" s="163">
        <v>33</v>
      </c>
      <c r="B602" s="9" t="s">
        <v>361</v>
      </c>
      <c r="C602" s="11" t="s">
        <v>362</v>
      </c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22">
        <f t="shared" ref="AB602:AB633" si="171">SUM(D602:AA602)</f>
        <v>0</v>
      </c>
      <c r="AC602" s="25">
        <v>0</v>
      </c>
      <c r="AD602" s="24"/>
      <c r="AE602" s="24"/>
      <c r="AF602" s="24"/>
      <c r="AG602" s="24"/>
      <c r="AH602" s="24">
        <v>1</v>
      </c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2">
        <f t="shared" ref="BB602:BB633" si="172">SUM(AD602:BA602)</f>
        <v>1</v>
      </c>
      <c r="BC602" s="23">
        <v>13</v>
      </c>
      <c r="BD602" s="130">
        <f t="shared" ref="BD602:BD633" si="173">AB602+BB602</f>
        <v>1</v>
      </c>
      <c r="BE602" s="130">
        <f t="shared" ref="BE602:BE633" si="174">AC602+BC602</f>
        <v>13</v>
      </c>
      <c r="BF602" s="195">
        <f t="shared" ref="BF602:BF633" si="175">BD602/BE602*100</f>
        <v>7.6923076923076925</v>
      </c>
      <c r="BG602" s="373">
        <f t="shared" si="170"/>
        <v>12</v>
      </c>
    </row>
    <row r="603" spans="1:59" s="21" customFormat="1" ht="15.95" customHeight="1">
      <c r="A603" s="163">
        <v>34</v>
      </c>
      <c r="B603" s="9" t="s">
        <v>363</v>
      </c>
      <c r="C603" s="11" t="s">
        <v>364</v>
      </c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22">
        <f t="shared" si="171"/>
        <v>0</v>
      </c>
      <c r="AC603" s="25">
        <v>0</v>
      </c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2">
        <f t="shared" si="172"/>
        <v>0</v>
      </c>
      <c r="BC603" s="23">
        <v>7</v>
      </c>
      <c r="BD603" s="130">
        <f t="shared" si="173"/>
        <v>0</v>
      </c>
      <c r="BE603" s="130">
        <f t="shared" si="174"/>
        <v>7</v>
      </c>
      <c r="BF603" s="195">
        <f t="shared" si="175"/>
        <v>0</v>
      </c>
      <c r="BG603" s="373">
        <f t="shared" si="170"/>
        <v>7</v>
      </c>
    </row>
    <row r="604" spans="1:59" s="21" customFormat="1" ht="15.95" customHeight="1">
      <c r="A604" s="163">
        <v>35</v>
      </c>
      <c r="B604" s="9" t="s">
        <v>3006</v>
      </c>
      <c r="C604" s="11" t="s">
        <v>3007</v>
      </c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22">
        <f t="shared" si="171"/>
        <v>0</v>
      </c>
      <c r="AC604" s="25">
        <v>0</v>
      </c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2">
        <f t="shared" si="172"/>
        <v>0</v>
      </c>
      <c r="BC604" s="23">
        <v>1</v>
      </c>
      <c r="BD604" s="130">
        <f t="shared" si="173"/>
        <v>0</v>
      </c>
      <c r="BE604" s="130">
        <f t="shared" si="174"/>
        <v>1</v>
      </c>
      <c r="BF604" s="195">
        <f t="shared" si="175"/>
        <v>0</v>
      </c>
      <c r="BG604" s="373">
        <f t="shared" si="170"/>
        <v>1</v>
      </c>
    </row>
    <row r="605" spans="1:59" s="21" customFormat="1" ht="15.95" customHeight="1">
      <c r="A605" s="163">
        <v>36</v>
      </c>
      <c r="B605" s="9" t="s">
        <v>365</v>
      </c>
      <c r="C605" s="11" t="s">
        <v>366</v>
      </c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22">
        <f t="shared" si="171"/>
        <v>0</v>
      </c>
      <c r="AC605" s="25">
        <v>0</v>
      </c>
      <c r="AD605" s="24"/>
      <c r="AE605" s="24"/>
      <c r="AF605" s="24"/>
      <c r="AG605" s="24"/>
      <c r="AH605" s="24">
        <f>2+1</f>
        <v>3</v>
      </c>
      <c r="AI605" s="24"/>
      <c r="AJ605" s="24"/>
      <c r="AK605" s="24"/>
      <c r="AL605" s="24">
        <f>9+1</f>
        <v>10</v>
      </c>
      <c r="AM605" s="24"/>
      <c r="AN605" s="24"/>
      <c r="AO605" s="24"/>
      <c r="AP605" s="24">
        <v>10</v>
      </c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2">
        <f t="shared" si="172"/>
        <v>23</v>
      </c>
      <c r="BC605" s="23">
        <v>50</v>
      </c>
      <c r="BD605" s="130">
        <f t="shared" si="173"/>
        <v>23</v>
      </c>
      <c r="BE605" s="130">
        <f t="shared" si="174"/>
        <v>50</v>
      </c>
      <c r="BF605" s="195">
        <f t="shared" si="175"/>
        <v>46</v>
      </c>
      <c r="BG605" s="373">
        <f t="shared" si="170"/>
        <v>27</v>
      </c>
    </row>
    <row r="606" spans="1:59" s="21" customFormat="1" ht="15.95" customHeight="1">
      <c r="A606" s="163">
        <v>37</v>
      </c>
      <c r="B606" s="9" t="s">
        <v>241</v>
      </c>
      <c r="C606" s="11" t="s">
        <v>3162</v>
      </c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22">
        <f t="shared" si="171"/>
        <v>0</v>
      </c>
      <c r="AC606" s="25">
        <v>0</v>
      </c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2">
        <f t="shared" si="172"/>
        <v>0</v>
      </c>
      <c r="BC606" s="23">
        <v>2</v>
      </c>
      <c r="BD606" s="130">
        <f t="shared" si="173"/>
        <v>0</v>
      </c>
      <c r="BE606" s="130">
        <f t="shared" si="174"/>
        <v>2</v>
      </c>
      <c r="BF606" s="195">
        <f t="shared" si="175"/>
        <v>0</v>
      </c>
      <c r="BG606" s="373">
        <f t="shared" si="170"/>
        <v>2</v>
      </c>
    </row>
    <row r="607" spans="1:59" s="21" customFormat="1" ht="15.95" customHeight="1">
      <c r="A607" s="163">
        <v>38</v>
      </c>
      <c r="B607" s="9" t="s">
        <v>367</v>
      </c>
      <c r="C607" s="11" t="s">
        <v>368</v>
      </c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22">
        <f t="shared" si="171"/>
        <v>0</v>
      </c>
      <c r="AC607" s="25">
        <v>0</v>
      </c>
      <c r="AD607" s="24"/>
      <c r="AE607" s="24"/>
      <c r="AF607" s="24"/>
      <c r="AG607" s="24"/>
      <c r="AH607" s="24"/>
      <c r="AI607" s="24"/>
      <c r="AJ607" s="24"/>
      <c r="AK607" s="24"/>
      <c r="AL607" s="24">
        <v>2</v>
      </c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2">
        <f t="shared" si="172"/>
        <v>2</v>
      </c>
      <c r="BC607" s="23">
        <v>1</v>
      </c>
      <c r="BD607" s="130">
        <f t="shared" si="173"/>
        <v>2</v>
      </c>
      <c r="BE607" s="130">
        <f t="shared" si="174"/>
        <v>1</v>
      </c>
      <c r="BF607" s="195">
        <f t="shared" si="175"/>
        <v>200</v>
      </c>
      <c r="BG607" s="373">
        <f t="shared" si="170"/>
        <v>-1</v>
      </c>
    </row>
    <row r="608" spans="1:59" s="21" customFormat="1" ht="15.95" customHeight="1">
      <c r="A608" s="163">
        <v>39</v>
      </c>
      <c r="B608" s="9" t="s">
        <v>19</v>
      </c>
      <c r="C608" s="11" t="s">
        <v>20</v>
      </c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22">
        <f t="shared" si="171"/>
        <v>0</v>
      </c>
      <c r="AC608" s="25">
        <v>0</v>
      </c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2">
        <f t="shared" si="172"/>
        <v>0</v>
      </c>
      <c r="BC608" s="23">
        <v>1</v>
      </c>
      <c r="BD608" s="130">
        <f t="shared" si="173"/>
        <v>0</v>
      </c>
      <c r="BE608" s="130">
        <f t="shared" si="174"/>
        <v>1</v>
      </c>
      <c r="BF608" s="195">
        <f t="shared" si="175"/>
        <v>0</v>
      </c>
      <c r="BG608" s="373">
        <f t="shared" si="170"/>
        <v>1</v>
      </c>
    </row>
    <row r="609" spans="1:59" s="21" customFormat="1" ht="15.95" customHeight="1">
      <c r="A609" s="163">
        <v>40</v>
      </c>
      <c r="B609" s="9" t="s">
        <v>54</v>
      </c>
      <c r="C609" s="11" t="s">
        <v>55</v>
      </c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22">
        <f t="shared" si="171"/>
        <v>0</v>
      </c>
      <c r="AC609" s="25">
        <v>0</v>
      </c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2">
        <f t="shared" si="172"/>
        <v>0</v>
      </c>
      <c r="BC609" s="23">
        <v>1</v>
      </c>
      <c r="BD609" s="130">
        <f t="shared" si="173"/>
        <v>0</v>
      </c>
      <c r="BE609" s="130">
        <f t="shared" si="174"/>
        <v>1</v>
      </c>
      <c r="BF609" s="195">
        <f t="shared" si="175"/>
        <v>0</v>
      </c>
      <c r="BG609" s="373">
        <f t="shared" si="170"/>
        <v>1</v>
      </c>
    </row>
    <row r="610" spans="1:59" s="21" customFormat="1" ht="15.95" customHeight="1">
      <c r="A610" s="163">
        <v>41</v>
      </c>
      <c r="B610" s="9" t="s">
        <v>3426</v>
      </c>
      <c r="C610" s="11" t="s">
        <v>3427</v>
      </c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22">
        <f t="shared" si="171"/>
        <v>0</v>
      </c>
      <c r="AC610" s="25">
        <v>0</v>
      </c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2">
        <f t="shared" si="172"/>
        <v>0</v>
      </c>
      <c r="BC610" s="23">
        <v>1</v>
      </c>
      <c r="BD610" s="130">
        <f t="shared" si="173"/>
        <v>0</v>
      </c>
      <c r="BE610" s="130">
        <f t="shared" si="174"/>
        <v>1</v>
      </c>
      <c r="BF610" s="195">
        <f t="shared" si="175"/>
        <v>0</v>
      </c>
      <c r="BG610" s="373">
        <f t="shared" si="170"/>
        <v>1</v>
      </c>
    </row>
    <row r="611" spans="1:59" s="21" customFormat="1" ht="15.95" customHeight="1">
      <c r="A611" s="163">
        <v>42</v>
      </c>
      <c r="B611" s="9" t="s">
        <v>3159</v>
      </c>
      <c r="C611" s="11" t="s">
        <v>3160</v>
      </c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22">
        <f t="shared" si="171"/>
        <v>0</v>
      </c>
      <c r="AC611" s="25">
        <v>0</v>
      </c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>
        <v>2</v>
      </c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2">
        <f t="shared" si="172"/>
        <v>2</v>
      </c>
      <c r="BC611" s="23">
        <v>4</v>
      </c>
      <c r="BD611" s="130">
        <f t="shared" si="173"/>
        <v>2</v>
      </c>
      <c r="BE611" s="130">
        <f t="shared" si="174"/>
        <v>4</v>
      </c>
      <c r="BF611" s="195">
        <f t="shared" si="175"/>
        <v>50</v>
      </c>
      <c r="BG611" s="373">
        <f t="shared" si="170"/>
        <v>2</v>
      </c>
    </row>
    <row r="612" spans="1:59" s="21" customFormat="1" ht="15.95" customHeight="1">
      <c r="A612" s="163">
        <v>43</v>
      </c>
      <c r="B612" s="9" t="s">
        <v>675</v>
      </c>
      <c r="C612" s="11" t="s">
        <v>676</v>
      </c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22">
        <f t="shared" si="171"/>
        <v>0</v>
      </c>
      <c r="AC612" s="25">
        <v>0</v>
      </c>
      <c r="AD612" s="24"/>
      <c r="AE612" s="24"/>
      <c r="AF612" s="24"/>
      <c r="AG612" s="24"/>
      <c r="AH612" s="24"/>
      <c r="AI612" s="24"/>
      <c r="AJ612" s="24"/>
      <c r="AK612" s="24"/>
      <c r="AL612" s="24">
        <v>2</v>
      </c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2">
        <f t="shared" si="172"/>
        <v>2</v>
      </c>
      <c r="BC612" s="23">
        <v>37</v>
      </c>
      <c r="BD612" s="130">
        <f t="shared" si="173"/>
        <v>2</v>
      </c>
      <c r="BE612" s="130">
        <f t="shared" si="174"/>
        <v>37</v>
      </c>
      <c r="BF612" s="195">
        <f t="shared" si="175"/>
        <v>5.4054054054054053</v>
      </c>
      <c r="BG612" s="373">
        <f t="shared" si="170"/>
        <v>35</v>
      </c>
    </row>
    <row r="613" spans="1:59" s="21" customFormat="1" ht="15.95" customHeight="1">
      <c r="A613" s="163">
        <v>44</v>
      </c>
      <c r="B613" s="9" t="s">
        <v>84</v>
      </c>
      <c r="C613" s="11" t="s">
        <v>2882</v>
      </c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22">
        <f t="shared" si="171"/>
        <v>0</v>
      </c>
      <c r="AC613" s="25">
        <v>0</v>
      </c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2">
        <f t="shared" si="172"/>
        <v>0</v>
      </c>
      <c r="BC613" s="23">
        <v>1</v>
      </c>
      <c r="BD613" s="130">
        <f t="shared" si="173"/>
        <v>0</v>
      </c>
      <c r="BE613" s="130">
        <f t="shared" si="174"/>
        <v>1</v>
      </c>
      <c r="BF613" s="195">
        <f t="shared" si="175"/>
        <v>0</v>
      </c>
      <c r="BG613" s="373">
        <f t="shared" si="170"/>
        <v>1</v>
      </c>
    </row>
    <row r="614" spans="1:59" s="21" customFormat="1" ht="15.95" customHeight="1">
      <c r="A614" s="163">
        <v>45</v>
      </c>
      <c r="B614" s="9" t="s">
        <v>86</v>
      </c>
      <c r="C614" s="11" t="s">
        <v>87</v>
      </c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22">
        <f t="shared" si="171"/>
        <v>0</v>
      </c>
      <c r="AC614" s="25">
        <v>0</v>
      </c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2">
        <f t="shared" si="172"/>
        <v>0</v>
      </c>
      <c r="BC614" s="23">
        <v>1</v>
      </c>
      <c r="BD614" s="130">
        <f t="shared" si="173"/>
        <v>0</v>
      </c>
      <c r="BE614" s="130">
        <f t="shared" si="174"/>
        <v>1</v>
      </c>
      <c r="BF614" s="195">
        <f t="shared" si="175"/>
        <v>0</v>
      </c>
      <c r="BG614" s="373">
        <f t="shared" si="170"/>
        <v>1</v>
      </c>
    </row>
    <row r="615" spans="1:59" s="21" customFormat="1" ht="15.95" customHeight="1">
      <c r="A615" s="163">
        <v>46</v>
      </c>
      <c r="B615" s="9" t="s">
        <v>86</v>
      </c>
      <c r="C615" s="11" t="s">
        <v>87</v>
      </c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22">
        <f t="shared" si="171"/>
        <v>0</v>
      </c>
      <c r="AC615" s="25">
        <v>0</v>
      </c>
      <c r="AD615" s="99"/>
      <c r="AE615" s="99"/>
      <c r="AF615" s="99"/>
      <c r="AG615" s="99"/>
      <c r="AH615" s="99"/>
      <c r="AI615" s="99"/>
      <c r="AJ615" s="99"/>
      <c r="AK615" s="99"/>
      <c r="AL615" s="99"/>
      <c r="AM615" s="99"/>
      <c r="AN615" s="99"/>
      <c r="AO615" s="99"/>
      <c r="AP615" s="99"/>
      <c r="AQ615" s="99"/>
      <c r="AR615" s="99"/>
      <c r="AS615" s="99"/>
      <c r="AT615" s="99"/>
      <c r="AU615" s="99"/>
      <c r="AV615" s="99"/>
      <c r="AW615" s="99"/>
      <c r="AX615" s="99"/>
      <c r="AY615" s="99"/>
      <c r="AZ615" s="99"/>
      <c r="BA615" s="99"/>
      <c r="BB615" s="22">
        <f t="shared" si="172"/>
        <v>0</v>
      </c>
      <c r="BC615" s="23">
        <v>1</v>
      </c>
      <c r="BD615" s="130">
        <f t="shared" si="173"/>
        <v>0</v>
      </c>
      <c r="BE615" s="130">
        <f t="shared" si="174"/>
        <v>1</v>
      </c>
      <c r="BF615" s="195">
        <f t="shared" si="175"/>
        <v>0</v>
      </c>
      <c r="BG615" s="373">
        <f t="shared" si="170"/>
        <v>1</v>
      </c>
    </row>
    <row r="616" spans="1:59" s="21" customFormat="1" ht="15.95" customHeight="1">
      <c r="A616" s="163">
        <v>47</v>
      </c>
      <c r="B616" s="9" t="s">
        <v>369</v>
      </c>
      <c r="C616" s="11" t="s">
        <v>370</v>
      </c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22">
        <f t="shared" si="171"/>
        <v>0</v>
      </c>
      <c r="AC616" s="25">
        <v>0</v>
      </c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2">
        <f t="shared" si="172"/>
        <v>0</v>
      </c>
      <c r="BC616" s="23">
        <v>4</v>
      </c>
      <c r="BD616" s="130">
        <f t="shared" si="173"/>
        <v>0</v>
      </c>
      <c r="BE616" s="130">
        <f t="shared" si="174"/>
        <v>4</v>
      </c>
      <c r="BF616" s="195">
        <f t="shared" si="175"/>
        <v>0</v>
      </c>
      <c r="BG616" s="373">
        <f t="shared" si="170"/>
        <v>4</v>
      </c>
    </row>
    <row r="617" spans="1:59" s="21" customFormat="1" ht="15.95" customHeight="1">
      <c r="A617" s="163">
        <v>48</v>
      </c>
      <c r="B617" s="9" t="s">
        <v>310</v>
      </c>
      <c r="C617" s="10" t="s">
        <v>311</v>
      </c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22">
        <f t="shared" si="171"/>
        <v>0</v>
      </c>
      <c r="AC617" s="25">
        <v>0</v>
      </c>
      <c r="AD617" s="24"/>
      <c r="AE617" s="24"/>
      <c r="AF617" s="24"/>
      <c r="AG617" s="24"/>
      <c r="AH617" s="24"/>
      <c r="AI617" s="24"/>
      <c r="AJ617" s="24"/>
      <c r="AK617" s="24"/>
      <c r="AL617" s="24">
        <v>5</v>
      </c>
      <c r="AM617" s="24"/>
      <c r="AN617" s="24"/>
      <c r="AO617" s="24"/>
      <c r="AP617" s="24">
        <v>2</v>
      </c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2">
        <f t="shared" si="172"/>
        <v>7</v>
      </c>
      <c r="BC617" s="23">
        <v>24</v>
      </c>
      <c r="BD617" s="130">
        <f t="shared" si="173"/>
        <v>7</v>
      </c>
      <c r="BE617" s="130">
        <f t="shared" si="174"/>
        <v>24</v>
      </c>
      <c r="BF617" s="195">
        <f t="shared" si="175"/>
        <v>29.166666666666668</v>
      </c>
      <c r="BG617" s="373">
        <f t="shared" si="170"/>
        <v>17</v>
      </c>
    </row>
    <row r="618" spans="1:59" s="21" customFormat="1" ht="15.95" customHeight="1">
      <c r="A618" s="163">
        <v>49</v>
      </c>
      <c r="B618" s="9" t="s">
        <v>1441</v>
      </c>
      <c r="C618" s="10" t="s">
        <v>311</v>
      </c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22">
        <f t="shared" si="171"/>
        <v>0</v>
      </c>
      <c r="AC618" s="25">
        <v>0</v>
      </c>
      <c r="AD618" s="24"/>
      <c r="AE618" s="24"/>
      <c r="AF618" s="24"/>
      <c r="AG618" s="24"/>
      <c r="AH618" s="24"/>
      <c r="AI618" s="24"/>
      <c r="AJ618" s="24"/>
      <c r="AK618" s="24"/>
      <c r="AL618" s="24">
        <v>1</v>
      </c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2">
        <f t="shared" si="172"/>
        <v>1</v>
      </c>
      <c r="BC618" s="23">
        <v>0</v>
      </c>
      <c r="BD618" s="130">
        <f t="shared" si="173"/>
        <v>1</v>
      </c>
      <c r="BE618" s="130">
        <f t="shared" si="174"/>
        <v>0</v>
      </c>
      <c r="BF618" s="195" t="e">
        <f t="shared" si="175"/>
        <v>#DIV/0!</v>
      </c>
      <c r="BG618" s="373"/>
    </row>
    <row r="619" spans="1:59" s="21" customFormat="1" ht="15.95" customHeight="1">
      <c r="A619" s="163">
        <v>50</v>
      </c>
      <c r="B619" s="79" t="s">
        <v>2159</v>
      </c>
      <c r="C619" s="216" t="s">
        <v>372</v>
      </c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22">
        <f t="shared" si="171"/>
        <v>0</v>
      </c>
      <c r="AC619" s="25">
        <v>0</v>
      </c>
      <c r="AD619" s="24"/>
      <c r="AE619" s="24"/>
      <c r="AF619" s="24"/>
      <c r="AG619" s="24"/>
      <c r="AH619" s="24">
        <v>1</v>
      </c>
      <c r="AI619" s="24"/>
      <c r="AJ619" s="24"/>
      <c r="AK619" s="24"/>
      <c r="AL619" s="24">
        <v>3</v>
      </c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2">
        <f t="shared" si="172"/>
        <v>4</v>
      </c>
      <c r="BC619" s="23">
        <v>1</v>
      </c>
      <c r="BD619" s="130">
        <f t="shared" si="173"/>
        <v>4</v>
      </c>
      <c r="BE619" s="130">
        <f t="shared" si="174"/>
        <v>1</v>
      </c>
      <c r="BF619" s="195">
        <f t="shared" si="175"/>
        <v>400</v>
      </c>
      <c r="BG619" s="373">
        <f t="shared" ref="BG619:BG627" si="176">BE619-BD619</f>
        <v>-3</v>
      </c>
    </row>
    <row r="620" spans="1:59" s="21" customFormat="1" ht="17.25" customHeight="1">
      <c r="A620" s="163">
        <v>51</v>
      </c>
      <c r="B620" s="9" t="s">
        <v>371</v>
      </c>
      <c r="C620" s="11" t="s">
        <v>372</v>
      </c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22">
        <f t="shared" si="171"/>
        <v>0</v>
      </c>
      <c r="AC620" s="25">
        <v>0</v>
      </c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>
        <f>2+2</f>
        <v>4</v>
      </c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2">
        <f t="shared" si="172"/>
        <v>4</v>
      </c>
      <c r="BC620" s="23">
        <v>11</v>
      </c>
      <c r="BD620" s="130">
        <f t="shared" si="173"/>
        <v>4</v>
      </c>
      <c r="BE620" s="130">
        <f t="shared" si="174"/>
        <v>11</v>
      </c>
      <c r="BF620" s="195">
        <f t="shared" si="175"/>
        <v>36.363636363636367</v>
      </c>
      <c r="BG620" s="373">
        <f t="shared" si="176"/>
        <v>7</v>
      </c>
    </row>
    <row r="621" spans="1:59" s="21" customFormat="1" ht="15.95" customHeight="1">
      <c r="A621" s="163">
        <v>52</v>
      </c>
      <c r="B621" s="9" t="s">
        <v>373</v>
      </c>
      <c r="C621" s="10" t="s">
        <v>374</v>
      </c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22">
        <f t="shared" si="171"/>
        <v>0</v>
      </c>
      <c r="AC621" s="25">
        <v>0</v>
      </c>
      <c r="AD621" s="24"/>
      <c r="AE621" s="24"/>
      <c r="AF621" s="24"/>
      <c r="AG621" s="24"/>
      <c r="AH621" s="24"/>
      <c r="AI621" s="24"/>
      <c r="AJ621" s="24"/>
      <c r="AK621" s="24"/>
      <c r="AL621" s="24">
        <v>1</v>
      </c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2">
        <f t="shared" si="172"/>
        <v>1</v>
      </c>
      <c r="BC621" s="23">
        <v>9</v>
      </c>
      <c r="BD621" s="130">
        <f t="shared" si="173"/>
        <v>1</v>
      </c>
      <c r="BE621" s="130">
        <f t="shared" si="174"/>
        <v>9</v>
      </c>
      <c r="BF621" s="195">
        <f t="shared" si="175"/>
        <v>11.111111111111111</v>
      </c>
      <c r="BG621" s="373">
        <f t="shared" si="176"/>
        <v>8</v>
      </c>
    </row>
    <row r="622" spans="1:59" s="21" customFormat="1" ht="15.95" customHeight="1">
      <c r="A622" s="163">
        <v>53</v>
      </c>
      <c r="B622" s="9" t="s">
        <v>375</v>
      </c>
      <c r="C622" s="11" t="s">
        <v>376</v>
      </c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22">
        <f t="shared" si="171"/>
        <v>0</v>
      </c>
      <c r="AC622" s="25">
        <v>0</v>
      </c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2">
        <f t="shared" si="172"/>
        <v>0</v>
      </c>
      <c r="BC622" s="23">
        <v>2</v>
      </c>
      <c r="BD622" s="130">
        <f t="shared" si="173"/>
        <v>0</v>
      </c>
      <c r="BE622" s="130">
        <f t="shared" si="174"/>
        <v>2</v>
      </c>
      <c r="BF622" s="195">
        <f t="shared" si="175"/>
        <v>0</v>
      </c>
      <c r="BG622" s="373">
        <f t="shared" si="176"/>
        <v>2</v>
      </c>
    </row>
    <row r="623" spans="1:59" s="21" customFormat="1" ht="15.95" customHeight="1">
      <c r="A623" s="163">
        <v>54</v>
      </c>
      <c r="B623" s="9" t="s">
        <v>2883</v>
      </c>
      <c r="C623" s="11" t="s">
        <v>2884</v>
      </c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22">
        <f t="shared" si="171"/>
        <v>0</v>
      </c>
      <c r="AC623" s="25">
        <v>0</v>
      </c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2">
        <f t="shared" si="172"/>
        <v>0</v>
      </c>
      <c r="BC623" s="23">
        <v>2</v>
      </c>
      <c r="BD623" s="130">
        <f t="shared" si="173"/>
        <v>0</v>
      </c>
      <c r="BE623" s="130">
        <f t="shared" si="174"/>
        <v>2</v>
      </c>
      <c r="BF623" s="195">
        <f t="shared" si="175"/>
        <v>0</v>
      </c>
      <c r="BG623" s="373">
        <f t="shared" si="176"/>
        <v>2</v>
      </c>
    </row>
    <row r="624" spans="1:59" s="21" customFormat="1" ht="15.95" customHeight="1">
      <c r="A624" s="163">
        <v>55</v>
      </c>
      <c r="B624" s="9" t="s">
        <v>2445</v>
      </c>
      <c r="C624" s="11" t="s">
        <v>2446</v>
      </c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22">
        <f t="shared" si="171"/>
        <v>0</v>
      </c>
      <c r="AC624" s="25">
        <v>0</v>
      </c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2">
        <f t="shared" si="172"/>
        <v>0</v>
      </c>
      <c r="BC624" s="23">
        <v>1</v>
      </c>
      <c r="BD624" s="130">
        <f t="shared" si="173"/>
        <v>0</v>
      </c>
      <c r="BE624" s="130">
        <f t="shared" si="174"/>
        <v>1</v>
      </c>
      <c r="BF624" s="195">
        <f t="shared" si="175"/>
        <v>0</v>
      </c>
      <c r="BG624" s="373">
        <f t="shared" si="176"/>
        <v>1</v>
      </c>
    </row>
    <row r="625" spans="1:59" s="21" customFormat="1" ht="15.95" customHeight="1">
      <c r="A625" s="163">
        <v>56</v>
      </c>
      <c r="B625" s="9" t="s">
        <v>2790</v>
      </c>
      <c r="C625" s="11" t="s">
        <v>2791</v>
      </c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22">
        <f t="shared" si="171"/>
        <v>0</v>
      </c>
      <c r="AC625" s="25">
        <v>0</v>
      </c>
      <c r="AD625" s="24"/>
      <c r="AE625" s="24"/>
      <c r="AF625" s="24"/>
      <c r="AG625" s="24"/>
      <c r="AH625" s="24">
        <v>4</v>
      </c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2">
        <f t="shared" si="172"/>
        <v>4</v>
      </c>
      <c r="BC625" s="23">
        <v>3</v>
      </c>
      <c r="BD625" s="130">
        <f t="shared" si="173"/>
        <v>4</v>
      </c>
      <c r="BE625" s="130">
        <f t="shared" si="174"/>
        <v>3</v>
      </c>
      <c r="BF625" s="195">
        <f t="shared" si="175"/>
        <v>133.33333333333331</v>
      </c>
      <c r="BG625" s="373">
        <f t="shared" si="176"/>
        <v>-1</v>
      </c>
    </row>
    <row r="626" spans="1:59" s="21" customFormat="1" ht="15.95" customHeight="1">
      <c r="A626" s="163">
        <v>57</v>
      </c>
      <c r="B626" s="9" t="s">
        <v>677</v>
      </c>
      <c r="C626" s="11" t="s">
        <v>678</v>
      </c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22">
        <f t="shared" si="171"/>
        <v>0</v>
      </c>
      <c r="AC626" s="25">
        <v>0</v>
      </c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2">
        <f t="shared" si="172"/>
        <v>0</v>
      </c>
      <c r="BC626" s="23">
        <v>1</v>
      </c>
      <c r="BD626" s="130">
        <f t="shared" si="173"/>
        <v>0</v>
      </c>
      <c r="BE626" s="130">
        <f t="shared" si="174"/>
        <v>1</v>
      </c>
      <c r="BF626" s="195">
        <f t="shared" si="175"/>
        <v>0</v>
      </c>
      <c r="BG626" s="373">
        <f t="shared" si="176"/>
        <v>1</v>
      </c>
    </row>
    <row r="627" spans="1:59" s="21" customFormat="1" ht="15.95" customHeight="1">
      <c r="A627" s="163">
        <v>58</v>
      </c>
      <c r="B627" s="9" t="s">
        <v>2404</v>
      </c>
      <c r="C627" s="11" t="s">
        <v>2405</v>
      </c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22">
        <f t="shared" si="171"/>
        <v>0</v>
      </c>
      <c r="AC627" s="25">
        <v>0</v>
      </c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2">
        <f t="shared" si="172"/>
        <v>0</v>
      </c>
      <c r="BC627" s="23">
        <v>1</v>
      </c>
      <c r="BD627" s="130">
        <f t="shared" si="173"/>
        <v>0</v>
      </c>
      <c r="BE627" s="130">
        <f t="shared" si="174"/>
        <v>1</v>
      </c>
      <c r="BF627" s="195">
        <f t="shared" si="175"/>
        <v>0</v>
      </c>
      <c r="BG627" s="373">
        <f t="shared" si="176"/>
        <v>1</v>
      </c>
    </row>
    <row r="628" spans="1:59" s="21" customFormat="1" ht="15.95" customHeight="1">
      <c r="A628" s="163">
        <v>59</v>
      </c>
      <c r="B628" s="9" t="s">
        <v>4144</v>
      </c>
      <c r="C628" s="11" t="s">
        <v>2861</v>
      </c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22">
        <f t="shared" si="171"/>
        <v>0</v>
      </c>
      <c r="AC628" s="25">
        <v>0</v>
      </c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>
        <v>2</v>
      </c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2">
        <f t="shared" si="172"/>
        <v>2</v>
      </c>
      <c r="BC628" s="23">
        <v>0</v>
      </c>
      <c r="BD628" s="130">
        <f t="shared" si="173"/>
        <v>2</v>
      </c>
      <c r="BE628" s="130">
        <f t="shared" si="174"/>
        <v>0</v>
      </c>
      <c r="BF628" s="195" t="e">
        <f t="shared" si="175"/>
        <v>#DIV/0!</v>
      </c>
      <c r="BG628" s="373"/>
    </row>
    <row r="629" spans="1:59" s="21" customFormat="1" ht="15.95" customHeight="1">
      <c r="A629" s="163">
        <v>60</v>
      </c>
      <c r="B629" s="9" t="s">
        <v>1949</v>
      </c>
      <c r="C629" s="11" t="s">
        <v>1950</v>
      </c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22">
        <f t="shared" si="171"/>
        <v>0</v>
      </c>
      <c r="AC629" s="25">
        <v>0</v>
      </c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2">
        <f t="shared" si="172"/>
        <v>0</v>
      </c>
      <c r="BC629" s="23">
        <v>4</v>
      </c>
      <c r="BD629" s="130">
        <f t="shared" si="173"/>
        <v>0</v>
      </c>
      <c r="BE629" s="130">
        <f t="shared" si="174"/>
        <v>4</v>
      </c>
      <c r="BF629" s="195">
        <f t="shared" si="175"/>
        <v>0</v>
      </c>
      <c r="BG629" s="373">
        <f t="shared" ref="BG629:BG642" si="177">BE629-BD629</f>
        <v>4</v>
      </c>
    </row>
    <row r="630" spans="1:59" s="21" customFormat="1" ht="15.95" customHeight="1">
      <c r="A630" s="163">
        <v>61</v>
      </c>
      <c r="B630" s="9" t="s">
        <v>1951</v>
      </c>
      <c r="C630" s="11" t="s">
        <v>1952</v>
      </c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22">
        <f t="shared" si="171"/>
        <v>0</v>
      </c>
      <c r="AC630" s="25">
        <v>0</v>
      </c>
      <c r="AD630" s="24"/>
      <c r="AE630" s="24"/>
      <c r="AF630" s="24"/>
      <c r="AG630" s="24"/>
      <c r="AH630" s="24"/>
      <c r="AI630" s="24"/>
      <c r="AJ630" s="24"/>
      <c r="AK630" s="24"/>
      <c r="AL630" s="24">
        <v>1</v>
      </c>
      <c r="AM630" s="24"/>
      <c r="AN630" s="24"/>
      <c r="AO630" s="24"/>
      <c r="AP630" s="24">
        <v>2</v>
      </c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2">
        <f t="shared" si="172"/>
        <v>3</v>
      </c>
      <c r="BC630" s="23">
        <v>6</v>
      </c>
      <c r="BD630" s="130">
        <f t="shared" si="173"/>
        <v>3</v>
      </c>
      <c r="BE630" s="130">
        <f t="shared" si="174"/>
        <v>6</v>
      </c>
      <c r="BF630" s="195">
        <f t="shared" si="175"/>
        <v>50</v>
      </c>
      <c r="BG630" s="373">
        <f t="shared" si="177"/>
        <v>3</v>
      </c>
    </row>
    <row r="631" spans="1:59" s="21" customFormat="1" ht="15.95" customHeight="1">
      <c r="A631" s="163">
        <v>62</v>
      </c>
      <c r="B631" s="9" t="s">
        <v>679</v>
      </c>
      <c r="C631" s="11" t="s">
        <v>680</v>
      </c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22">
        <f t="shared" si="171"/>
        <v>0</v>
      </c>
      <c r="AC631" s="25">
        <v>0</v>
      </c>
      <c r="AD631" s="24"/>
      <c r="AE631" s="24"/>
      <c r="AF631" s="24"/>
      <c r="AG631" s="24"/>
      <c r="AH631" s="24">
        <v>6</v>
      </c>
      <c r="AI631" s="24"/>
      <c r="AJ631" s="24"/>
      <c r="AK631" s="24"/>
      <c r="AL631" s="24">
        <v>16</v>
      </c>
      <c r="AM631" s="24"/>
      <c r="AN631" s="24"/>
      <c r="AO631" s="24"/>
      <c r="AP631" s="24">
        <f>2+20</f>
        <v>22</v>
      </c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2">
        <f t="shared" si="172"/>
        <v>44</v>
      </c>
      <c r="BC631" s="23">
        <v>121</v>
      </c>
      <c r="BD631" s="130">
        <f t="shared" si="173"/>
        <v>44</v>
      </c>
      <c r="BE631" s="130">
        <f t="shared" si="174"/>
        <v>121</v>
      </c>
      <c r="BF631" s="195">
        <f t="shared" si="175"/>
        <v>36.363636363636367</v>
      </c>
      <c r="BG631" s="373">
        <f t="shared" si="177"/>
        <v>77</v>
      </c>
    </row>
    <row r="632" spans="1:59" s="21" customFormat="1" ht="15.95" customHeight="1">
      <c r="A632" s="163">
        <v>63</v>
      </c>
      <c r="B632" s="9" t="s">
        <v>1953</v>
      </c>
      <c r="C632" s="11" t="s">
        <v>1956</v>
      </c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22">
        <f t="shared" si="171"/>
        <v>0</v>
      </c>
      <c r="AC632" s="25">
        <v>0</v>
      </c>
      <c r="AD632" s="24"/>
      <c r="AE632" s="24"/>
      <c r="AF632" s="24"/>
      <c r="AG632" s="24"/>
      <c r="AH632" s="24"/>
      <c r="AI632" s="24"/>
      <c r="AJ632" s="24"/>
      <c r="AK632" s="24"/>
      <c r="AL632" s="24">
        <v>3</v>
      </c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2">
        <f t="shared" si="172"/>
        <v>3</v>
      </c>
      <c r="BC632" s="23">
        <v>3</v>
      </c>
      <c r="BD632" s="130">
        <f t="shared" si="173"/>
        <v>3</v>
      </c>
      <c r="BE632" s="130">
        <f t="shared" si="174"/>
        <v>3</v>
      </c>
      <c r="BF632" s="195">
        <f t="shared" si="175"/>
        <v>100</v>
      </c>
      <c r="BG632" s="373">
        <f t="shared" si="177"/>
        <v>0</v>
      </c>
    </row>
    <row r="633" spans="1:59" s="21" customFormat="1" ht="15.95" customHeight="1">
      <c r="A633" s="163">
        <v>64</v>
      </c>
      <c r="B633" s="9" t="s">
        <v>377</v>
      </c>
      <c r="C633" s="11" t="s">
        <v>378</v>
      </c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22">
        <f t="shared" si="171"/>
        <v>0</v>
      </c>
      <c r="AC633" s="25">
        <v>0</v>
      </c>
      <c r="AD633" s="24"/>
      <c r="AE633" s="24"/>
      <c r="AF633" s="24"/>
      <c r="AG633" s="24"/>
      <c r="AH633" s="24"/>
      <c r="AI633" s="24"/>
      <c r="AJ633" s="24"/>
      <c r="AK633" s="24"/>
      <c r="AL633" s="24">
        <v>2</v>
      </c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2">
        <f t="shared" si="172"/>
        <v>2</v>
      </c>
      <c r="BC633" s="23">
        <v>3</v>
      </c>
      <c r="BD633" s="130">
        <f t="shared" si="173"/>
        <v>2</v>
      </c>
      <c r="BE633" s="130">
        <f t="shared" si="174"/>
        <v>3</v>
      </c>
      <c r="BF633" s="195">
        <f t="shared" si="175"/>
        <v>66.666666666666657</v>
      </c>
      <c r="BG633" s="373">
        <f t="shared" si="177"/>
        <v>1</v>
      </c>
    </row>
    <row r="634" spans="1:59" s="21" customFormat="1" ht="15.95" customHeight="1">
      <c r="A634" s="163">
        <v>65</v>
      </c>
      <c r="B634" s="9" t="s">
        <v>379</v>
      </c>
      <c r="C634" s="11" t="s">
        <v>380</v>
      </c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22">
        <f t="shared" ref="AB634:AB665" si="178">SUM(D634:AA634)</f>
        <v>0</v>
      </c>
      <c r="AC634" s="25">
        <v>0</v>
      </c>
      <c r="AD634" s="24"/>
      <c r="AE634" s="24"/>
      <c r="AF634" s="24"/>
      <c r="AG634" s="24"/>
      <c r="AH634" s="24"/>
      <c r="AI634" s="24"/>
      <c r="AJ634" s="24"/>
      <c r="AK634" s="24"/>
      <c r="AL634" s="24">
        <v>6</v>
      </c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2">
        <f t="shared" ref="BB634:BB665" si="179">SUM(AD634:BA634)</f>
        <v>6</v>
      </c>
      <c r="BC634" s="23">
        <v>17</v>
      </c>
      <c r="BD634" s="130">
        <f t="shared" ref="BD634:BD665" si="180">AB634+BB634</f>
        <v>6</v>
      </c>
      <c r="BE634" s="130">
        <f t="shared" ref="BE634:BE665" si="181">AC634+BC634</f>
        <v>17</v>
      </c>
      <c r="BF634" s="195">
        <f t="shared" ref="BF634:BF665" si="182">BD634/BE634*100</f>
        <v>35.294117647058826</v>
      </c>
      <c r="BG634" s="373">
        <f t="shared" si="177"/>
        <v>11</v>
      </c>
    </row>
    <row r="635" spans="1:59" s="21" customFormat="1" ht="15.95" customHeight="1">
      <c r="A635" s="163">
        <v>66</v>
      </c>
      <c r="B635" s="9" t="s">
        <v>3008</v>
      </c>
      <c r="C635" s="11" t="s">
        <v>3009</v>
      </c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22">
        <f t="shared" si="178"/>
        <v>0</v>
      </c>
      <c r="AC635" s="25">
        <v>0</v>
      </c>
      <c r="AD635" s="24"/>
      <c r="AE635" s="24"/>
      <c r="AF635" s="24"/>
      <c r="AG635" s="24"/>
      <c r="AH635" s="24"/>
      <c r="AI635" s="24"/>
      <c r="AJ635" s="24"/>
      <c r="AK635" s="24"/>
      <c r="AL635" s="24">
        <v>1</v>
      </c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2">
        <f t="shared" si="179"/>
        <v>1</v>
      </c>
      <c r="BC635" s="23">
        <v>1</v>
      </c>
      <c r="BD635" s="130">
        <f t="shared" si="180"/>
        <v>1</v>
      </c>
      <c r="BE635" s="130">
        <f t="shared" si="181"/>
        <v>1</v>
      </c>
      <c r="BF635" s="195">
        <f t="shared" si="182"/>
        <v>100</v>
      </c>
      <c r="BG635" s="373">
        <f t="shared" si="177"/>
        <v>0</v>
      </c>
    </row>
    <row r="636" spans="1:59" s="21" customFormat="1" ht="15.95" customHeight="1">
      <c r="A636" s="163">
        <v>67</v>
      </c>
      <c r="B636" s="9" t="s">
        <v>381</v>
      </c>
      <c r="C636" s="11" t="s">
        <v>382</v>
      </c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22">
        <f t="shared" si="178"/>
        <v>0</v>
      </c>
      <c r="AC636" s="25">
        <v>0</v>
      </c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2">
        <f t="shared" si="179"/>
        <v>0</v>
      </c>
      <c r="BC636" s="23">
        <v>7</v>
      </c>
      <c r="BD636" s="130">
        <f t="shared" si="180"/>
        <v>0</v>
      </c>
      <c r="BE636" s="130">
        <f t="shared" si="181"/>
        <v>7</v>
      </c>
      <c r="BF636" s="195">
        <f t="shared" si="182"/>
        <v>0</v>
      </c>
      <c r="BG636" s="373">
        <f t="shared" si="177"/>
        <v>7</v>
      </c>
    </row>
    <row r="637" spans="1:59" s="21" customFormat="1" ht="15.95" customHeight="1">
      <c r="A637" s="163">
        <v>68</v>
      </c>
      <c r="B637" s="9" t="s">
        <v>385</v>
      </c>
      <c r="C637" s="11" t="s">
        <v>386</v>
      </c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22">
        <f t="shared" si="178"/>
        <v>0</v>
      </c>
      <c r="AC637" s="25">
        <v>0</v>
      </c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>
        <f>2+2</f>
        <v>4</v>
      </c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2">
        <f t="shared" si="179"/>
        <v>4</v>
      </c>
      <c r="BC637" s="23">
        <v>2</v>
      </c>
      <c r="BD637" s="130">
        <f t="shared" si="180"/>
        <v>4</v>
      </c>
      <c r="BE637" s="130">
        <f t="shared" si="181"/>
        <v>2</v>
      </c>
      <c r="BF637" s="195">
        <f t="shared" si="182"/>
        <v>200</v>
      </c>
      <c r="BG637" s="373">
        <f t="shared" si="177"/>
        <v>-2</v>
      </c>
    </row>
    <row r="638" spans="1:59" s="21" customFormat="1" ht="15.95" customHeight="1">
      <c r="A638" s="163">
        <v>69</v>
      </c>
      <c r="B638" s="9" t="s">
        <v>387</v>
      </c>
      <c r="C638" s="10" t="s">
        <v>388</v>
      </c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22">
        <f t="shared" si="178"/>
        <v>0</v>
      </c>
      <c r="AC638" s="25">
        <v>0</v>
      </c>
      <c r="AD638" s="24"/>
      <c r="AE638" s="24"/>
      <c r="AF638" s="24"/>
      <c r="AG638" s="24"/>
      <c r="AH638" s="24"/>
      <c r="AI638" s="24"/>
      <c r="AJ638" s="24"/>
      <c r="AK638" s="24"/>
      <c r="AL638" s="24">
        <v>6</v>
      </c>
      <c r="AM638" s="24"/>
      <c r="AN638" s="24"/>
      <c r="AO638" s="24"/>
      <c r="AP638" s="24">
        <f>6+6</f>
        <v>12</v>
      </c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2">
        <f t="shared" si="179"/>
        <v>18</v>
      </c>
      <c r="BC638" s="23">
        <v>44</v>
      </c>
      <c r="BD638" s="130">
        <f t="shared" si="180"/>
        <v>18</v>
      </c>
      <c r="BE638" s="130">
        <f t="shared" si="181"/>
        <v>44</v>
      </c>
      <c r="BF638" s="195">
        <f t="shared" si="182"/>
        <v>40.909090909090914</v>
      </c>
      <c r="BG638" s="373">
        <f t="shared" si="177"/>
        <v>26</v>
      </c>
    </row>
    <row r="639" spans="1:59" s="21" customFormat="1" ht="15.95" customHeight="1">
      <c r="A639" s="163">
        <v>70</v>
      </c>
      <c r="B639" s="9" t="s">
        <v>682</v>
      </c>
      <c r="C639" s="10" t="s">
        <v>683</v>
      </c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22">
        <f t="shared" si="178"/>
        <v>0</v>
      </c>
      <c r="AC639" s="25">
        <v>0</v>
      </c>
      <c r="AD639" s="24"/>
      <c r="AE639" s="24"/>
      <c r="AF639" s="24"/>
      <c r="AG639" s="24"/>
      <c r="AH639" s="24">
        <v>4</v>
      </c>
      <c r="AI639" s="24"/>
      <c r="AJ639" s="24"/>
      <c r="AK639" s="24"/>
      <c r="AL639" s="24">
        <f>2+1</f>
        <v>3</v>
      </c>
      <c r="AM639" s="24"/>
      <c r="AN639" s="24"/>
      <c r="AO639" s="24"/>
      <c r="AP639" s="24">
        <v>1</v>
      </c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2">
        <f t="shared" si="179"/>
        <v>8</v>
      </c>
      <c r="BC639" s="23">
        <v>28</v>
      </c>
      <c r="BD639" s="130">
        <f t="shared" si="180"/>
        <v>8</v>
      </c>
      <c r="BE639" s="130">
        <f t="shared" si="181"/>
        <v>28</v>
      </c>
      <c r="BF639" s="195">
        <f t="shared" si="182"/>
        <v>28.571428571428569</v>
      </c>
      <c r="BG639" s="373">
        <f t="shared" si="177"/>
        <v>20</v>
      </c>
    </row>
    <row r="640" spans="1:59" s="21" customFormat="1" ht="15.95" customHeight="1">
      <c r="A640" s="163">
        <v>71</v>
      </c>
      <c r="B640" s="9" t="s">
        <v>389</v>
      </c>
      <c r="C640" s="10" t="s">
        <v>390</v>
      </c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22">
        <f t="shared" si="178"/>
        <v>0</v>
      </c>
      <c r="AC640" s="25">
        <v>0</v>
      </c>
      <c r="AD640" s="24"/>
      <c r="AE640" s="24"/>
      <c r="AF640" s="24"/>
      <c r="AG640" s="24"/>
      <c r="AH640" s="24"/>
      <c r="AI640" s="24"/>
      <c r="AJ640" s="24"/>
      <c r="AK640" s="24"/>
      <c r="AL640" s="24">
        <v>19</v>
      </c>
      <c r="AM640" s="24"/>
      <c r="AN640" s="24"/>
      <c r="AO640" s="24"/>
      <c r="AP640" s="24">
        <v>14</v>
      </c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2">
        <f t="shared" si="179"/>
        <v>33</v>
      </c>
      <c r="BC640" s="23">
        <v>39</v>
      </c>
      <c r="BD640" s="130">
        <f t="shared" si="180"/>
        <v>33</v>
      </c>
      <c r="BE640" s="130">
        <f t="shared" si="181"/>
        <v>39</v>
      </c>
      <c r="BF640" s="195">
        <f t="shared" si="182"/>
        <v>84.615384615384613</v>
      </c>
      <c r="BG640" s="373">
        <f t="shared" si="177"/>
        <v>6</v>
      </c>
    </row>
    <row r="641" spans="1:59" s="21" customFormat="1" ht="15.95" customHeight="1">
      <c r="A641" s="163">
        <v>72</v>
      </c>
      <c r="B641" s="9" t="s">
        <v>391</v>
      </c>
      <c r="C641" s="10" t="s">
        <v>392</v>
      </c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22">
        <f t="shared" si="178"/>
        <v>0</v>
      </c>
      <c r="AC641" s="25">
        <v>0</v>
      </c>
      <c r="AD641" s="24"/>
      <c r="AE641" s="24"/>
      <c r="AF641" s="24"/>
      <c r="AG641" s="24"/>
      <c r="AH641" s="24"/>
      <c r="AI641" s="24"/>
      <c r="AJ641" s="24"/>
      <c r="AK641" s="24"/>
      <c r="AL641" s="24">
        <v>30</v>
      </c>
      <c r="AM641" s="24"/>
      <c r="AN641" s="24"/>
      <c r="AO641" s="24"/>
      <c r="AP641" s="24">
        <f>16+16</f>
        <v>32</v>
      </c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2">
        <f t="shared" si="179"/>
        <v>62</v>
      </c>
      <c r="BC641" s="23">
        <v>96</v>
      </c>
      <c r="BD641" s="130">
        <f t="shared" si="180"/>
        <v>62</v>
      </c>
      <c r="BE641" s="130">
        <f t="shared" si="181"/>
        <v>96</v>
      </c>
      <c r="BF641" s="195">
        <f t="shared" si="182"/>
        <v>64.583333333333343</v>
      </c>
      <c r="BG641" s="373">
        <f t="shared" si="177"/>
        <v>34</v>
      </c>
    </row>
    <row r="642" spans="1:59" s="21" customFormat="1" ht="15.95" customHeight="1">
      <c r="A642" s="163">
        <v>73</v>
      </c>
      <c r="B642" s="9" t="s">
        <v>393</v>
      </c>
      <c r="C642" s="10" t="s">
        <v>394</v>
      </c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22">
        <f t="shared" si="178"/>
        <v>0</v>
      </c>
      <c r="AC642" s="25">
        <v>0</v>
      </c>
      <c r="AD642" s="24"/>
      <c r="AE642" s="24"/>
      <c r="AF642" s="24"/>
      <c r="AG642" s="24"/>
      <c r="AH642" s="24">
        <v>3</v>
      </c>
      <c r="AI642" s="24"/>
      <c r="AJ642" s="24"/>
      <c r="AK642" s="24"/>
      <c r="AL642" s="24">
        <f>3+2</f>
        <v>5</v>
      </c>
      <c r="AM642" s="24"/>
      <c r="AN642" s="24"/>
      <c r="AO642" s="24"/>
      <c r="AP642" s="24">
        <f>1+6+7</f>
        <v>14</v>
      </c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2">
        <f t="shared" si="179"/>
        <v>22</v>
      </c>
      <c r="BC642" s="23">
        <v>31</v>
      </c>
      <c r="BD642" s="130">
        <f t="shared" si="180"/>
        <v>22</v>
      </c>
      <c r="BE642" s="130">
        <f t="shared" si="181"/>
        <v>31</v>
      </c>
      <c r="BF642" s="195">
        <f t="shared" si="182"/>
        <v>70.967741935483872</v>
      </c>
      <c r="BG642" s="373">
        <f t="shared" si="177"/>
        <v>9</v>
      </c>
    </row>
    <row r="643" spans="1:59" s="21" customFormat="1" ht="15.95" customHeight="1">
      <c r="A643" s="163">
        <v>74</v>
      </c>
      <c r="B643" s="9" t="s">
        <v>3967</v>
      </c>
      <c r="C643" s="10" t="s">
        <v>3968</v>
      </c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22">
        <f t="shared" si="178"/>
        <v>0</v>
      </c>
      <c r="AC643" s="25">
        <v>0</v>
      </c>
      <c r="AD643" s="24"/>
      <c r="AE643" s="24"/>
      <c r="AF643" s="24"/>
      <c r="AG643" s="24"/>
      <c r="AH643" s="24"/>
      <c r="AI643" s="24"/>
      <c r="AJ643" s="24"/>
      <c r="AK643" s="24"/>
      <c r="AL643" s="24">
        <v>2</v>
      </c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2">
        <f t="shared" si="179"/>
        <v>2</v>
      </c>
      <c r="BC643" s="23">
        <v>0</v>
      </c>
      <c r="BD643" s="130">
        <f t="shared" si="180"/>
        <v>2</v>
      </c>
      <c r="BE643" s="130">
        <f t="shared" si="181"/>
        <v>0</v>
      </c>
      <c r="BF643" s="195" t="e">
        <f t="shared" si="182"/>
        <v>#DIV/0!</v>
      </c>
      <c r="BG643" s="373"/>
    </row>
    <row r="644" spans="1:59" s="21" customFormat="1" ht="15.95" customHeight="1">
      <c r="A644" s="163">
        <v>75</v>
      </c>
      <c r="B644" s="9" t="s">
        <v>4145</v>
      </c>
      <c r="C644" s="10" t="s">
        <v>4146</v>
      </c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22">
        <f t="shared" si="178"/>
        <v>0</v>
      </c>
      <c r="AC644" s="25">
        <v>0</v>
      </c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>
        <v>2</v>
      </c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2">
        <f t="shared" si="179"/>
        <v>2</v>
      </c>
      <c r="BC644" s="23">
        <v>0</v>
      </c>
      <c r="BD644" s="130">
        <f t="shared" si="180"/>
        <v>2</v>
      </c>
      <c r="BE644" s="130">
        <f t="shared" si="181"/>
        <v>0</v>
      </c>
      <c r="BF644" s="195" t="e">
        <f t="shared" si="182"/>
        <v>#DIV/0!</v>
      </c>
      <c r="BG644" s="373"/>
    </row>
    <row r="645" spans="1:59" s="21" customFormat="1" ht="15.95" customHeight="1">
      <c r="A645" s="163">
        <v>76</v>
      </c>
      <c r="B645" s="9" t="s">
        <v>2557</v>
      </c>
      <c r="C645" s="10" t="s">
        <v>2558</v>
      </c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22">
        <f t="shared" si="178"/>
        <v>0</v>
      </c>
      <c r="AC645" s="25">
        <v>0</v>
      </c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2">
        <f t="shared" si="179"/>
        <v>0</v>
      </c>
      <c r="BC645" s="23">
        <v>2</v>
      </c>
      <c r="BD645" s="130">
        <f t="shared" si="180"/>
        <v>0</v>
      </c>
      <c r="BE645" s="130">
        <f t="shared" si="181"/>
        <v>2</v>
      </c>
      <c r="BF645" s="195">
        <f t="shared" si="182"/>
        <v>0</v>
      </c>
      <c r="BG645" s="373">
        <f>BE645-BD645</f>
        <v>2</v>
      </c>
    </row>
    <row r="646" spans="1:59" s="21" customFormat="1" ht="15.95" customHeight="1">
      <c r="A646" s="163">
        <v>77</v>
      </c>
      <c r="B646" s="9" t="s">
        <v>395</v>
      </c>
      <c r="C646" s="11" t="s">
        <v>396</v>
      </c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22">
        <f t="shared" si="178"/>
        <v>0</v>
      </c>
      <c r="AC646" s="25">
        <v>0</v>
      </c>
      <c r="AD646" s="24"/>
      <c r="AE646" s="24"/>
      <c r="AF646" s="24"/>
      <c r="AG646" s="24"/>
      <c r="AH646" s="24">
        <v>1</v>
      </c>
      <c r="AI646" s="24"/>
      <c r="AJ646" s="24"/>
      <c r="AK646" s="24"/>
      <c r="AL646" s="24">
        <v>9</v>
      </c>
      <c r="AM646" s="24"/>
      <c r="AN646" s="24"/>
      <c r="AO646" s="24"/>
      <c r="AP646" s="24">
        <v>2</v>
      </c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2">
        <f t="shared" si="179"/>
        <v>12</v>
      </c>
      <c r="BC646" s="23">
        <v>12</v>
      </c>
      <c r="BD646" s="130">
        <f t="shared" si="180"/>
        <v>12</v>
      </c>
      <c r="BE646" s="130">
        <f t="shared" si="181"/>
        <v>12</v>
      </c>
      <c r="BF646" s="195">
        <f t="shared" si="182"/>
        <v>100</v>
      </c>
      <c r="BG646" s="373">
        <f>BE646-BD646</f>
        <v>0</v>
      </c>
    </row>
    <row r="647" spans="1:59" s="21" customFormat="1" ht="15.95" customHeight="1">
      <c r="A647" s="163">
        <v>78</v>
      </c>
      <c r="B647" s="9" t="s">
        <v>312</v>
      </c>
      <c r="C647" s="10" t="s">
        <v>313</v>
      </c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22">
        <f t="shared" si="178"/>
        <v>0</v>
      </c>
      <c r="AC647" s="25">
        <v>0</v>
      </c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2">
        <f t="shared" si="179"/>
        <v>0</v>
      </c>
      <c r="BC647" s="23">
        <v>2</v>
      </c>
      <c r="BD647" s="130">
        <f t="shared" si="180"/>
        <v>0</v>
      </c>
      <c r="BE647" s="130">
        <f t="shared" si="181"/>
        <v>2</v>
      </c>
      <c r="BF647" s="195">
        <f t="shared" si="182"/>
        <v>0</v>
      </c>
      <c r="BG647" s="373">
        <f>BE647-BD647</f>
        <v>2</v>
      </c>
    </row>
    <row r="648" spans="1:59" s="21" customFormat="1" ht="15.95" customHeight="1">
      <c r="A648" s="163">
        <v>79</v>
      </c>
      <c r="B648" s="9" t="s">
        <v>107</v>
      </c>
      <c r="C648" s="10" t="s">
        <v>2311</v>
      </c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22">
        <f t="shared" si="178"/>
        <v>0</v>
      </c>
      <c r="AC648" s="25">
        <v>0</v>
      </c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>
        <v>4</v>
      </c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2">
        <f t="shared" si="179"/>
        <v>4</v>
      </c>
      <c r="BC648" s="23">
        <v>0</v>
      </c>
      <c r="BD648" s="130">
        <f t="shared" si="180"/>
        <v>4</v>
      </c>
      <c r="BE648" s="130">
        <f t="shared" si="181"/>
        <v>0</v>
      </c>
      <c r="BF648" s="195" t="e">
        <f t="shared" si="182"/>
        <v>#DIV/0!</v>
      </c>
      <c r="BG648" s="373"/>
    </row>
    <row r="649" spans="1:59" s="21" customFormat="1" ht="15.95" customHeight="1">
      <c r="A649" s="163">
        <v>80</v>
      </c>
      <c r="B649" s="9" t="s">
        <v>397</v>
      </c>
      <c r="C649" s="10" t="s">
        <v>22</v>
      </c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22">
        <f t="shared" si="178"/>
        <v>0</v>
      </c>
      <c r="AC649" s="25">
        <v>0</v>
      </c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2">
        <f t="shared" si="179"/>
        <v>0</v>
      </c>
      <c r="BC649" s="23">
        <v>1</v>
      </c>
      <c r="BD649" s="130">
        <f t="shared" si="180"/>
        <v>0</v>
      </c>
      <c r="BE649" s="130">
        <f t="shared" si="181"/>
        <v>1</v>
      </c>
      <c r="BF649" s="195">
        <f t="shared" si="182"/>
        <v>0</v>
      </c>
      <c r="BG649" s="373">
        <f t="shared" ref="BG649:BG654" si="183">BE649-BD649</f>
        <v>1</v>
      </c>
    </row>
    <row r="650" spans="1:59" s="21" customFormat="1" ht="15.95" customHeight="1">
      <c r="A650" s="163">
        <v>81</v>
      </c>
      <c r="B650" s="9" t="s">
        <v>314</v>
      </c>
      <c r="C650" s="10" t="s">
        <v>315</v>
      </c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22">
        <f t="shared" si="178"/>
        <v>0</v>
      </c>
      <c r="AC650" s="25">
        <v>0</v>
      </c>
      <c r="AD650" s="24"/>
      <c r="AE650" s="24"/>
      <c r="AF650" s="24"/>
      <c r="AG650" s="24"/>
      <c r="AH650" s="24"/>
      <c r="AI650" s="24"/>
      <c r="AJ650" s="24"/>
      <c r="AK650" s="24"/>
      <c r="AL650" s="24">
        <v>2</v>
      </c>
      <c r="AM650" s="24"/>
      <c r="AN650" s="24"/>
      <c r="AO650" s="24"/>
      <c r="AP650" s="24">
        <v>1</v>
      </c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2">
        <f t="shared" si="179"/>
        <v>3</v>
      </c>
      <c r="BC650" s="23">
        <v>3</v>
      </c>
      <c r="BD650" s="130">
        <f t="shared" si="180"/>
        <v>3</v>
      </c>
      <c r="BE650" s="130">
        <f t="shared" si="181"/>
        <v>3</v>
      </c>
      <c r="BF650" s="195">
        <f t="shared" si="182"/>
        <v>100</v>
      </c>
      <c r="BG650" s="373">
        <f t="shared" si="183"/>
        <v>0</v>
      </c>
    </row>
    <row r="651" spans="1:59" s="21" customFormat="1" ht="15.95" customHeight="1">
      <c r="A651" s="163">
        <v>82</v>
      </c>
      <c r="B651" s="9" t="s">
        <v>3163</v>
      </c>
      <c r="C651" s="10" t="s">
        <v>3164</v>
      </c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22">
        <f t="shared" si="178"/>
        <v>0</v>
      </c>
      <c r="AC651" s="25">
        <v>0</v>
      </c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2">
        <f t="shared" si="179"/>
        <v>0</v>
      </c>
      <c r="BC651" s="23">
        <v>2</v>
      </c>
      <c r="BD651" s="130">
        <f t="shared" si="180"/>
        <v>0</v>
      </c>
      <c r="BE651" s="130">
        <f t="shared" si="181"/>
        <v>2</v>
      </c>
      <c r="BF651" s="195">
        <f t="shared" si="182"/>
        <v>0</v>
      </c>
      <c r="BG651" s="373">
        <f t="shared" si="183"/>
        <v>2</v>
      </c>
    </row>
    <row r="652" spans="1:59" s="21" customFormat="1" ht="15.95" customHeight="1">
      <c r="A652" s="163">
        <v>83</v>
      </c>
      <c r="B652" s="9" t="s">
        <v>398</v>
      </c>
      <c r="C652" s="11" t="s">
        <v>399</v>
      </c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22">
        <f t="shared" si="178"/>
        <v>0</v>
      </c>
      <c r="AC652" s="25">
        <v>0</v>
      </c>
      <c r="AD652" s="24"/>
      <c r="AE652" s="24"/>
      <c r="AF652" s="24"/>
      <c r="AG652" s="24"/>
      <c r="AH652" s="24"/>
      <c r="AI652" s="24"/>
      <c r="AJ652" s="24"/>
      <c r="AK652" s="24"/>
      <c r="AL652" s="24">
        <v>3</v>
      </c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2">
        <f t="shared" si="179"/>
        <v>3</v>
      </c>
      <c r="BC652" s="23">
        <v>10</v>
      </c>
      <c r="BD652" s="130">
        <f t="shared" si="180"/>
        <v>3</v>
      </c>
      <c r="BE652" s="130">
        <f t="shared" si="181"/>
        <v>10</v>
      </c>
      <c r="BF652" s="195">
        <f t="shared" si="182"/>
        <v>30</v>
      </c>
      <c r="BG652" s="373">
        <f t="shared" si="183"/>
        <v>7</v>
      </c>
    </row>
    <row r="653" spans="1:59" s="21" customFormat="1" ht="15.95" customHeight="1">
      <c r="A653" s="163">
        <v>84</v>
      </c>
      <c r="B653" s="9" t="s">
        <v>21</v>
      </c>
      <c r="C653" s="11" t="s">
        <v>22</v>
      </c>
      <c r="D653" s="14">
        <v>5</v>
      </c>
      <c r="E653" s="14"/>
      <c r="F653" s="14"/>
      <c r="G653" s="14"/>
      <c r="H653" s="14">
        <v>6</v>
      </c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22">
        <f t="shared" si="178"/>
        <v>11</v>
      </c>
      <c r="AC653" s="25">
        <v>0</v>
      </c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>
        <v>2</v>
      </c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2">
        <f t="shared" si="179"/>
        <v>2</v>
      </c>
      <c r="BC653" s="23">
        <v>11</v>
      </c>
      <c r="BD653" s="130">
        <f t="shared" si="180"/>
        <v>13</v>
      </c>
      <c r="BE653" s="130">
        <f t="shared" si="181"/>
        <v>11</v>
      </c>
      <c r="BF653" s="195">
        <f t="shared" si="182"/>
        <v>118.18181818181819</v>
      </c>
      <c r="BG653" s="373">
        <f t="shared" si="183"/>
        <v>-2</v>
      </c>
    </row>
    <row r="654" spans="1:59" s="21" customFormat="1" ht="15.95" customHeight="1">
      <c r="A654" s="163">
        <v>85</v>
      </c>
      <c r="B654" s="9" t="s">
        <v>400</v>
      </c>
      <c r="C654" s="10" t="s">
        <v>401</v>
      </c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22">
        <f t="shared" si="178"/>
        <v>0</v>
      </c>
      <c r="AC654" s="25">
        <v>0</v>
      </c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2">
        <f t="shared" si="179"/>
        <v>0</v>
      </c>
      <c r="BC654" s="23">
        <v>7</v>
      </c>
      <c r="BD654" s="130">
        <f t="shared" si="180"/>
        <v>0</v>
      </c>
      <c r="BE654" s="130">
        <f t="shared" si="181"/>
        <v>7</v>
      </c>
      <c r="BF654" s="195">
        <f t="shared" si="182"/>
        <v>0</v>
      </c>
      <c r="BG654" s="373">
        <f t="shared" si="183"/>
        <v>7</v>
      </c>
    </row>
    <row r="655" spans="1:59" s="21" customFormat="1" ht="15.95" customHeight="1">
      <c r="A655" s="163">
        <v>86</v>
      </c>
      <c r="B655" s="9" t="s">
        <v>4147</v>
      </c>
      <c r="C655" s="10" t="s">
        <v>4148</v>
      </c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22">
        <f t="shared" si="178"/>
        <v>0</v>
      </c>
      <c r="AC655" s="25">
        <v>0</v>
      </c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>
        <v>1</v>
      </c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2">
        <f t="shared" si="179"/>
        <v>1</v>
      </c>
      <c r="BC655" s="23">
        <v>0</v>
      </c>
      <c r="BD655" s="130">
        <f t="shared" si="180"/>
        <v>1</v>
      </c>
      <c r="BE655" s="130">
        <f t="shared" si="181"/>
        <v>0</v>
      </c>
      <c r="BF655" s="195" t="e">
        <f t="shared" si="182"/>
        <v>#DIV/0!</v>
      </c>
      <c r="BG655" s="373"/>
    </row>
    <row r="656" spans="1:59" s="21" customFormat="1" ht="15.95" customHeight="1">
      <c r="A656" s="163">
        <v>87</v>
      </c>
      <c r="B656" s="9" t="s">
        <v>402</v>
      </c>
      <c r="C656" s="11" t="s">
        <v>403</v>
      </c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22">
        <f t="shared" si="178"/>
        <v>0</v>
      </c>
      <c r="AC656" s="25">
        <v>0</v>
      </c>
      <c r="AD656" s="99"/>
      <c r="AE656" s="99"/>
      <c r="AF656" s="99"/>
      <c r="AG656" s="99"/>
      <c r="AH656" s="99">
        <v>1</v>
      </c>
      <c r="AI656" s="99"/>
      <c r="AJ656" s="99"/>
      <c r="AK656" s="99"/>
      <c r="AL656" s="99">
        <v>9</v>
      </c>
      <c r="AM656" s="99"/>
      <c r="AN656" s="99"/>
      <c r="AO656" s="99"/>
      <c r="AP656" s="99">
        <f>9+15</f>
        <v>24</v>
      </c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22">
        <f t="shared" si="179"/>
        <v>34</v>
      </c>
      <c r="BC656" s="23">
        <v>40</v>
      </c>
      <c r="BD656" s="130">
        <f t="shared" si="180"/>
        <v>34</v>
      </c>
      <c r="BE656" s="130">
        <f t="shared" si="181"/>
        <v>40</v>
      </c>
      <c r="BF656" s="195">
        <f t="shared" si="182"/>
        <v>85</v>
      </c>
      <c r="BG656" s="373">
        <f t="shared" ref="BG656:BG661" si="184">BE656-BD656</f>
        <v>6</v>
      </c>
    </row>
    <row r="657" spans="1:62" s="21" customFormat="1" ht="15.95" customHeight="1">
      <c r="A657" s="163">
        <v>88</v>
      </c>
      <c r="B657" s="9" t="s">
        <v>3010</v>
      </c>
      <c r="C657" s="10" t="s">
        <v>3011</v>
      </c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22">
        <f t="shared" si="178"/>
        <v>0</v>
      </c>
      <c r="AC657" s="25">
        <v>0</v>
      </c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2">
        <f t="shared" si="179"/>
        <v>0</v>
      </c>
      <c r="BC657" s="23">
        <v>4</v>
      </c>
      <c r="BD657" s="130">
        <f t="shared" si="180"/>
        <v>0</v>
      </c>
      <c r="BE657" s="130">
        <f t="shared" si="181"/>
        <v>4</v>
      </c>
      <c r="BF657" s="195">
        <f t="shared" si="182"/>
        <v>0</v>
      </c>
      <c r="BG657" s="373">
        <f t="shared" si="184"/>
        <v>4</v>
      </c>
    </row>
    <row r="658" spans="1:62" s="21" customFormat="1" ht="15.95" customHeight="1">
      <c r="A658" s="163">
        <v>89</v>
      </c>
      <c r="B658" s="9" t="s">
        <v>404</v>
      </c>
      <c r="C658" s="11" t="s">
        <v>405</v>
      </c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22">
        <f t="shared" si="178"/>
        <v>0</v>
      </c>
      <c r="AC658" s="25">
        <v>0</v>
      </c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99">
        <f>2+2</f>
        <v>4</v>
      </c>
      <c r="AQ658" s="99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22">
        <f t="shared" si="179"/>
        <v>4</v>
      </c>
      <c r="BC658" s="23">
        <v>18</v>
      </c>
      <c r="BD658" s="130">
        <f t="shared" si="180"/>
        <v>4</v>
      </c>
      <c r="BE658" s="130">
        <f t="shared" si="181"/>
        <v>18</v>
      </c>
      <c r="BF658" s="195">
        <f t="shared" si="182"/>
        <v>22.222222222222221</v>
      </c>
      <c r="BG658" s="373">
        <f t="shared" si="184"/>
        <v>14</v>
      </c>
    </row>
    <row r="659" spans="1:62" s="21" customFormat="1" ht="15.95" customHeight="1">
      <c r="A659" s="163">
        <v>90</v>
      </c>
      <c r="B659" s="9" t="s">
        <v>406</v>
      </c>
      <c r="C659" s="11" t="s">
        <v>407</v>
      </c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22">
        <f t="shared" si="178"/>
        <v>0</v>
      </c>
      <c r="AC659" s="25">
        <v>0</v>
      </c>
      <c r="AD659" s="99"/>
      <c r="AE659" s="99"/>
      <c r="AF659" s="99"/>
      <c r="AG659" s="99"/>
      <c r="AH659" s="99"/>
      <c r="AI659" s="99"/>
      <c r="AJ659" s="99"/>
      <c r="AK659" s="99"/>
      <c r="AL659" s="99">
        <v>1</v>
      </c>
      <c r="AM659" s="99"/>
      <c r="AN659" s="99"/>
      <c r="AO659" s="99"/>
      <c r="AP659" s="99"/>
      <c r="AQ659" s="99"/>
      <c r="AR659" s="99"/>
      <c r="AS659" s="99"/>
      <c r="AT659" s="99"/>
      <c r="AU659" s="99"/>
      <c r="AV659" s="99"/>
      <c r="AW659" s="99"/>
      <c r="AX659" s="99"/>
      <c r="AY659" s="99"/>
      <c r="AZ659" s="99"/>
      <c r="BA659" s="99"/>
      <c r="BB659" s="22">
        <f t="shared" si="179"/>
        <v>1</v>
      </c>
      <c r="BC659" s="23">
        <v>1</v>
      </c>
      <c r="BD659" s="130">
        <f t="shared" si="180"/>
        <v>1</v>
      </c>
      <c r="BE659" s="130">
        <f t="shared" si="181"/>
        <v>1</v>
      </c>
      <c r="BF659" s="195">
        <f t="shared" si="182"/>
        <v>100</v>
      </c>
      <c r="BG659" s="373">
        <f t="shared" si="184"/>
        <v>0</v>
      </c>
    </row>
    <row r="660" spans="1:62" s="21" customFormat="1" ht="15.95" customHeight="1">
      <c r="A660" s="163">
        <v>91</v>
      </c>
      <c r="B660" s="9" t="s">
        <v>408</v>
      </c>
      <c r="C660" s="11" t="s">
        <v>409</v>
      </c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22">
        <f t="shared" si="178"/>
        <v>0</v>
      </c>
      <c r="AC660" s="25">
        <v>0</v>
      </c>
      <c r="AD660" s="99"/>
      <c r="AE660" s="99"/>
      <c r="AF660" s="99"/>
      <c r="AG660" s="99"/>
      <c r="AH660" s="99"/>
      <c r="AI660" s="99"/>
      <c r="AJ660" s="99"/>
      <c r="AK660" s="99"/>
      <c r="AL660" s="99">
        <v>3</v>
      </c>
      <c r="AM660" s="99"/>
      <c r="AN660" s="99"/>
      <c r="AO660" s="99"/>
      <c r="AP660" s="99">
        <f>1+2</f>
        <v>3</v>
      </c>
      <c r="AQ660" s="99"/>
      <c r="AR660" s="99"/>
      <c r="AS660" s="99"/>
      <c r="AT660" s="99"/>
      <c r="AU660" s="99"/>
      <c r="AV660" s="99"/>
      <c r="AW660" s="99"/>
      <c r="AX660" s="99"/>
      <c r="AY660" s="99"/>
      <c r="AZ660" s="99"/>
      <c r="BA660" s="99"/>
      <c r="BB660" s="22">
        <f t="shared" si="179"/>
        <v>6</v>
      </c>
      <c r="BC660" s="23">
        <v>18</v>
      </c>
      <c r="BD660" s="130">
        <f t="shared" si="180"/>
        <v>6</v>
      </c>
      <c r="BE660" s="130">
        <f t="shared" si="181"/>
        <v>18</v>
      </c>
      <c r="BF660" s="195">
        <f t="shared" si="182"/>
        <v>33.333333333333329</v>
      </c>
      <c r="BG660" s="373">
        <f t="shared" si="184"/>
        <v>12</v>
      </c>
    </row>
    <row r="661" spans="1:62" s="21" customFormat="1" ht="15.95" customHeight="1">
      <c r="A661" s="163">
        <v>92</v>
      </c>
      <c r="B661" s="9" t="s">
        <v>3428</v>
      </c>
      <c r="C661" s="11" t="s">
        <v>3429</v>
      </c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22">
        <f t="shared" si="178"/>
        <v>0</v>
      </c>
      <c r="AC661" s="25">
        <v>0</v>
      </c>
      <c r="AD661" s="24"/>
      <c r="AE661" s="24"/>
      <c r="AF661" s="24"/>
      <c r="AG661" s="24"/>
      <c r="AH661" s="24">
        <v>1</v>
      </c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2">
        <f t="shared" si="179"/>
        <v>1</v>
      </c>
      <c r="BC661" s="23">
        <v>2</v>
      </c>
      <c r="BD661" s="130">
        <f t="shared" si="180"/>
        <v>1</v>
      </c>
      <c r="BE661" s="130">
        <f t="shared" si="181"/>
        <v>2</v>
      </c>
      <c r="BF661" s="195">
        <f t="shared" si="182"/>
        <v>50</v>
      </c>
      <c r="BG661" s="373">
        <f t="shared" si="184"/>
        <v>1</v>
      </c>
    </row>
    <row r="662" spans="1:62" s="21" customFormat="1" ht="15.95" customHeight="1">
      <c r="A662" s="163">
        <v>93</v>
      </c>
      <c r="B662" s="9" t="s">
        <v>3969</v>
      </c>
      <c r="C662" s="11" t="s">
        <v>3970</v>
      </c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22">
        <f t="shared" si="178"/>
        <v>0</v>
      </c>
      <c r="AC662" s="25">
        <v>0</v>
      </c>
      <c r="AD662" s="24"/>
      <c r="AE662" s="24"/>
      <c r="AF662" s="24"/>
      <c r="AG662" s="24"/>
      <c r="AH662" s="24"/>
      <c r="AI662" s="24"/>
      <c r="AJ662" s="24"/>
      <c r="AK662" s="24"/>
      <c r="AL662" s="24">
        <v>2</v>
      </c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2">
        <f t="shared" si="179"/>
        <v>2</v>
      </c>
      <c r="BC662" s="23">
        <v>0</v>
      </c>
      <c r="BD662" s="130">
        <f t="shared" si="180"/>
        <v>2</v>
      </c>
      <c r="BE662" s="130">
        <f t="shared" si="181"/>
        <v>0</v>
      </c>
      <c r="BF662" s="195" t="e">
        <f t="shared" si="182"/>
        <v>#DIV/0!</v>
      </c>
      <c r="BG662" s="373"/>
    </row>
    <row r="663" spans="1:62" s="21" customFormat="1" ht="15.95" customHeight="1">
      <c r="A663" s="163">
        <v>94</v>
      </c>
      <c r="B663" s="9" t="s">
        <v>24</v>
      </c>
      <c r="C663" s="11" t="s">
        <v>410</v>
      </c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22">
        <f t="shared" si="178"/>
        <v>0</v>
      </c>
      <c r="AC663" s="25">
        <v>0</v>
      </c>
      <c r="AD663" s="24"/>
      <c r="AE663" s="24"/>
      <c r="AF663" s="24"/>
      <c r="AG663" s="24"/>
      <c r="AH663" s="24">
        <v>1</v>
      </c>
      <c r="AI663" s="24"/>
      <c r="AJ663" s="24"/>
      <c r="AK663" s="24"/>
      <c r="AL663" s="24"/>
      <c r="AM663" s="24"/>
      <c r="AN663" s="24"/>
      <c r="AO663" s="24"/>
      <c r="AP663" s="24">
        <f>22+6</f>
        <v>28</v>
      </c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2">
        <f t="shared" si="179"/>
        <v>29</v>
      </c>
      <c r="BC663" s="23">
        <v>138</v>
      </c>
      <c r="BD663" s="130">
        <f t="shared" si="180"/>
        <v>29</v>
      </c>
      <c r="BE663" s="130">
        <f t="shared" si="181"/>
        <v>138</v>
      </c>
      <c r="BF663" s="195">
        <f t="shared" si="182"/>
        <v>21.014492753623188</v>
      </c>
      <c r="BG663" s="373">
        <f t="shared" ref="BG663:BG670" si="185">BE663-BD663</f>
        <v>109</v>
      </c>
    </row>
    <row r="664" spans="1:62" s="21" customFormat="1" ht="15.95" customHeight="1">
      <c r="A664" s="163">
        <v>95</v>
      </c>
      <c r="B664" s="9" t="s">
        <v>2463</v>
      </c>
      <c r="C664" s="11" t="s">
        <v>2464</v>
      </c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22">
        <f t="shared" si="178"/>
        <v>0</v>
      </c>
      <c r="AC664" s="25">
        <v>0</v>
      </c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>
        <v>2</v>
      </c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2">
        <f t="shared" si="179"/>
        <v>2</v>
      </c>
      <c r="BC664" s="23">
        <v>2</v>
      </c>
      <c r="BD664" s="130">
        <f t="shared" si="180"/>
        <v>2</v>
      </c>
      <c r="BE664" s="130">
        <f t="shared" si="181"/>
        <v>2</v>
      </c>
      <c r="BF664" s="195">
        <f t="shared" si="182"/>
        <v>100</v>
      </c>
      <c r="BG664" s="373">
        <f t="shared" si="185"/>
        <v>0</v>
      </c>
    </row>
    <row r="665" spans="1:62" s="21" customFormat="1" ht="15.95" customHeight="1">
      <c r="A665" s="163">
        <v>96</v>
      </c>
      <c r="B665" s="9" t="s">
        <v>2559</v>
      </c>
      <c r="C665" s="11" t="s">
        <v>2560</v>
      </c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22">
        <f t="shared" si="178"/>
        <v>0</v>
      </c>
      <c r="AC665" s="25">
        <v>0</v>
      </c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2">
        <f t="shared" si="179"/>
        <v>0</v>
      </c>
      <c r="BC665" s="23">
        <v>2</v>
      </c>
      <c r="BD665" s="130">
        <f t="shared" si="180"/>
        <v>0</v>
      </c>
      <c r="BE665" s="130">
        <f t="shared" si="181"/>
        <v>2</v>
      </c>
      <c r="BF665" s="195">
        <f t="shared" si="182"/>
        <v>0</v>
      </c>
      <c r="BG665" s="373">
        <f t="shared" si="185"/>
        <v>2</v>
      </c>
    </row>
    <row r="666" spans="1:62" s="21" customFormat="1" ht="15.95" customHeight="1">
      <c r="A666" s="163">
        <v>97</v>
      </c>
      <c r="B666" s="9" t="s">
        <v>411</v>
      </c>
      <c r="C666" s="11" t="s">
        <v>412</v>
      </c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22">
        <f t="shared" ref="AB666:AB671" si="186">SUM(D666:AA666)</f>
        <v>0</v>
      </c>
      <c r="AC666" s="25">
        <v>0</v>
      </c>
      <c r="AD666" s="24"/>
      <c r="AE666" s="24"/>
      <c r="AF666" s="24"/>
      <c r="AG666" s="24"/>
      <c r="AH666" s="24"/>
      <c r="AI666" s="24"/>
      <c r="AJ666" s="24"/>
      <c r="AK666" s="24"/>
      <c r="AL666" s="24">
        <v>6</v>
      </c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2">
        <f t="shared" ref="BB666:BB671" si="187">SUM(AD666:BA666)</f>
        <v>6</v>
      </c>
      <c r="BC666" s="23">
        <v>7</v>
      </c>
      <c r="BD666" s="130">
        <f t="shared" ref="BD666:BD671" si="188">AB666+BB666</f>
        <v>6</v>
      </c>
      <c r="BE666" s="130">
        <f t="shared" ref="BE666:BE671" si="189">AC666+BC666</f>
        <v>7</v>
      </c>
      <c r="BF666" s="195">
        <f t="shared" ref="BF666:BF671" si="190">BD666/BE666*100</f>
        <v>85.714285714285708</v>
      </c>
      <c r="BG666" s="373">
        <f t="shared" si="185"/>
        <v>1</v>
      </c>
    </row>
    <row r="667" spans="1:62" s="21" customFormat="1" ht="15.95" customHeight="1">
      <c r="A667" s="163">
        <v>98</v>
      </c>
      <c r="B667" s="9" t="s">
        <v>413</v>
      </c>
      <c r="C667" s="11" t="s">
        <v>414</v>
      </c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22">
        <f t="shared" si="186"/>
        <v>0</v>
      </c>
      <c r="AC667" s="25">
        <v>0</v>
      </c>
      <c r="AD667" s="24"/>
      <c r="AE667" s="24"/>
      <c r="AF667" s="24"/>
      <c r="AG667" s="24"/>
      <c r="AH667" s="24"/>
      <c r="AI667" s="24"/>
      <c r="AJ667" s="24"/>
      <c r="AK667" s="24"/>
      <c r="AL667" s="24">
        <v>1</v>
      </c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2">
        <f t="shared" si="187"/>
        <v>1</v>
      </c>
      <c r="BC667" s="23">
        <v>2</v>
      </c>
      <c r="BD667" s="130">
        <f t="shared" si="188"/>
        <v>1</v>
      </c>
      <c r="BE667" s="130">
        <f t="shared" si="189"/>
        <v>2</v>
      </c>
      <c r="BF667" s="195">
        <f t="shared" si="190"/>
        <v>50</v>
      </c>
      <c r="BG667" s="373">
        <f t="shared" si="185"/>
        <v>1</v>
      </c>
    </row>
    <row r="668" spans="1:62" s="21" customFormat="1" ht="15.95" customHeight="1">
      <c r="A668" s="163">
        <v>99</v>
      </c>
      <c r="B668" s="9" t="s">
        <v>108</v>
      </c>
      <c r="C668" s="11" t="s">
        <v>3344</v>
      </c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22">
        <f t="shared" si="186"/>
        <v>0</v>
      </c>
      <c r="AC668" s="25">
        <v>0</v>
      </c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2">
        <f t="shared" si="187"/>
        <v>0</v>
      </c>
      <c r="BC668" s="23">
        <v>1</v>
      </c>
      <c r="BD668" s="130">
        <f t="shared" si="188"/>
        <v>0</v>
      </c>
      <c r="BE668" s="130">
        <f t="shared" si="189"/>
        <v>1</v>
      </c>
      <c r="BF668" s="195">
        <f t="shared" si="190"/>
        <v>0</v>
      </c>
      <c r="BG668" s="373">
        <f t="shared" si="185"/>
        <v>1</v>
      </c>
    </row>
    <row r="669" spans="1:62" s="21" customFormat="1" ht="15.95" customHeight="1">
      <c r="A669" s="163">
        <v>100</v>
      </c>
      <c r="B669" s="9" t="s">
        <v>668</v>
      </c>
      <c r="C669" s="11" t="s">
        <v>669</v>
      </c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22">
        <f t="shared" si="186"/>
        <v>0</v>
      </c>
      <c r="AC669" s="25">
        <v>0</v>
      </c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2">
        <f t="shared" si="187"/>
        <v>0</v>
      </c>
      <c r="BC669" s="23">
        <v>2</v>
      </c>
      <c r="BD669" s="130">
        <f t="shared" si="188"/>
        <v>0</v>
      </c>
      <c r="BE669" s="130">
        <f t="shared" si="189"/>
        <v>2</v>
      </c>
      <c r="BF669" s="195">
        <f t="shared" si="190"/>
        <v>0</v>
      </c>
      <c r="BG669" s="373">
        <f t="shared" si="185"/>
        <v>2</v>
      </c>
    </row>
    <row r="670" spans="1:62" s="21" customFormat="1" ht="15.95" customHeight="1">
      <c r="A670" s="163">
        <v>101</v>
      </c>
      <c r="B670" s="9" t="s">
        <v>2792</v>
      </c>
      <c r="C670" s="11" t="s">
        <v>2793</v>
      </c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22">
        <f t="shared" si="186"/>
        <v>0</v>
      </c>
      <c r="AC670" s="25">
        <v>0</v>
      </c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2">
        <f t="shared" si="187"/>
        <v>0</v>
      </c>
      <c r="BC670" s="23">
        <v>3</v>
      </c>
      <c r="BD670" s="130">
        <f t="shared" si="188"/>
        <v>0</v>
      </c>
      <c r="BE670" s="130">
        <f t="shared" si="189"/>
        <v>3</v>
      </c>
      <c r="BF670" s="195">
        <f t="shared" si="190"/>
        <v>0</v>
      </c>
      <c r="BG670" s="373">
        <f t="shared" si="185"/>
        <v>3</v>
      </c>
    </row>
    <row r="671" spans="1:62" s="21" customFormat="1" ht="15.95" customHeight="1">
      <c r="A671" s="163">
        <v>102</v>
      </c>
      <c r="B671" s="9" t="s">
        <v>4149</v>
      </c>
      <c r="C671" s="11" t="s">
        <v>4150</v>
      </c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22">
        <f t="shared" si="186"/>
        <v>0</v>
      </c>
      <c r="AC671" s="25">
        <v>0</v>
      </c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>
        <v>1</v>
      </c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2">
        <f t="shared" si="187"/>
        <v>1</v>
      </c>
      <c r="BC671" s="23">
        <v>0</v>
      </c>
      <c r="BD671" s="130">
        <f t="shared" si="188"/>
        <v>1</v>
      </c>
      <c r="BE671" s="130">
        <f t="shared" si="189"/>
        <v>0</v>
      </c>
      <c r="BF671" s="195" t="e">
        <f t="shared" si="190"/>
        <v>#DIV/0!</v>
      </c>
      <c r="BG671" s="373"/>
    </row>
    <row r="672" spans="1:62" s="21" customFormat="1" ht="15.95" customHeight="1">
      <c r="A672" s="632" t="s">
        <v>415</v>
      </c>
      <c r="B672" s="633"/>
      <c r="C672" s="633"/>
      <c r="D672" s="159">
        <f t="shared" ref="D672:AI672" si="191">SUM(D673:D740)</f>
        <v>0</v>
      </c>
      <c r="E672" s="159">
        <f t="shared" si="191"/>
        <v>0</v>
      </c>
      <c r="F672" s="159">
        <f t="shared" si="191"/>
        <v>0</v>
      </c>
      <c r="G672" s="159">
        <f t="shared" si="191"/>
        <v>0</v>
      </c>
      <c r="H672" s="159">
        <f t="shared" si="191"/>
        <v>0</v>
      </c>
      <c r="I672" s="159">
        <f t="shared" si="191"/>
        <v>0</v>
      </c>
      <c r="J672" s="159">
        <f t="shared" si="191"/>
        <v>0</v>
      </c>
      <c r="K672" s="159">
        <f t="shared" si="191"/>
        <v>0</v>
      </c>
      <c r="L672" s="159">
        <f t="shared" si="191"/>
        <v>0</v>
      </c>
      <c r="M672" s="159">
        <f t="shared" si="191"/>
        <v>0</v>
      </c>
      <c r="N672" s="159">
        <f t="shared" si="191"/>
        <v>0</v>
      </c>
      <c r="O672" s="159">
        <f t="shared" si="191"/>
        <v>0</v>
      </c>
      <c r="P672" s="159">
        <f t="shared" si="191"/>
        <v>0</v>
      </c>
      <c r="Q672" s="159">
        <f t="shared" si="191"/>
        <v>0</v>
      </c>
      <c r="R672" s="159">
        <f t="shared" si="191"/>
        <v>0</v>
      </c>
      <c r="S672" s="159">
        <f t="shared" si="191"/>
        <v>0</v>
      </c>
      <c r="T672" s="159">
        <f t="shared" si="191"/>
        <v>0</v>
      </c>
      <c r="U672" s="159">
        <f t="shared" si="191"/>
        <v>0</v>
      </c>
      <c r="V672" s="159">
        <f t="shared" si="191"/>
        <v>0</v>
      </c>
      <c r="W672" s="159">
        <f t="shared" si="191"/>
        <v>0</v>
      </c>
      <c r="X672" s="159">
        <f t="shared" si="191"/>
        <v>0</v>
      </c>
      <c r="Y672" s="159">
        <f t="shared" si="191"/>
        <v>0</v>
      </c>
      <c r="Z672" s="159">
        <f t="shared" si="191"/>
        <v>0</v>
      </c>
      <c r="AA672" s="159">
        <f t="shared" si="191"/>
        <v>0</v>
      </c>
      <c r="AB672" s="159">
        <f t="shared" si="191"/>
        <v>0</v>
      </c>
      <c r="AC672" s="161">
        <f t="shared" si="191"/>
        <v>1</v>
      </c>
      <c r="AD672" s="160">
        <f t="shared" si="191"/>
        <v>0</v>
      </c>
      <c r="AE672" s="160">
        <f t="shared" si="191"/>
        <v>0</v>
      </c>
      <c r="AF672" s="160">
        <f t="shared" si="191"/>
        <v>0</v>
      </c>
      <c r="AG672" s="160">
        <f t="shared" si="191"/>
        <v>0</v>
      </c>
      <c r="AH672" s="160">
        <f t="shared" si="191"/>
        <v>21</v>
      </c>
      <c r="AI672" s="160">
        <f t="shared" si="191"/>
        <v>0</v>
      </c>
      <c r="AJ672" s="160">
        <f t="shared" ref="AJ672:BC672" si="192">SUM(AJ673:AJ740)</f>
        <v>0</v>
      </c>
      <c r="AK672" s="160">
        <f t="shared" si="192"/>
        <v>0</v>
      </c>
      <c r="AL672" s="160">
        <f t="shared" si="192"/>
        <v>127</v>
      </c>
      <c r="AM672" s="160">
        <f t="shared" si="192"/>
        <v>0</v>
      </c>
      <c r="AN672" s="160">
        <f t="shared" si="192"/>
        <v>0</v>
      </c>
      <c r="AO672" s="160">
        <f t="shared" si="192"/>
        <v>0</v>
      </c>
      <c r="AP672" s="160">
        <f t="shared" si="192"/>
        <v>151</v>
      </c>
      <c r="AQ672" s="160">
        <f t="shared" si="192"/>
        <v>0</v>
      </c>
      <c r="AR672" s="160">
        <f t="shared" si="192"/>
        <v>0</v>
      </c>
      <c r="AS672" s="160">
        <f t="shared" si="192"/>
        <v>0</v>
      </c>
      <c r="AT672" s="160">
        <f t="shared" si="192"/>
        <v>0</v>
      </c>
      <c r="AU672" s="160">
        <f t="shared" si="192"/>
        <v>0</v>
      </c>
      <c r="AV672" s="160">
        <f t="shared" si="192"/>
        <v>0</v>
      </c>
      <c r="AW672" s="160">
        <f t="shared" si="192"/>
        <v>0</v>
      </c>
      <c r="AX672" s="160">
        <f t="shared" si="192"/>
        <v>0</v>
      </c>
      <c r="AY672" s="160">
        <f t="shared" si="192"/>
        <v>0</v>
      </c>
      <c r="AZ672" s="160">
        <f t="shared" si="192"/>
        <v>0</v>
      </c>
      <c r="BA672" s="160">
        <f t="shared" si="192"/>
        <v>0</v>
      </c>
      <c r="BB672" s="160">
        <f t="shared" si="192"/>
        <v>299</v>
      </c>
      <c r="BC672" s="103">
        <f t="shared" si="192"/>
        <v>650</v>
      </c>
      <c r="BD672" s="130">
        <f t="shared" ref="BD672" si="193">AB672+BB672</f>
        <v>299</v>
      </c>
      <c r="BE672" s="130">
        <f t="shared" ref="BE672" si="194">AC672+BC672</f>
        <v>651</v>
      </c>
      <c r="BF672" s="195">
        <f t="shared" ref="BF672" si="195">BD672/BE672*100</f>
        <v>45.929339477726572</v>
      </c>
      <c r="BG672" s="374">
        <f t="shared" ref="BG672" si="196">BE672-BD672</f>
        <v>352</v>
      </c>
      <c r="BH672" s="21">
        <v>638</v>
      </c>
      <c r="BI672" s="21">
        <v>299</v>
      </c>
      <c r="BJ672" s="343">
        <f>BI672-BD672</f>
        <v>0</v>
      </c>
    </row>
    <row r="673" spans="1:59" s="21" customFormat="1" ht="15.95" customHeight="1">
      <c r="A673" s="236">
        <v>1</v>
      </c>
      <c r="B673" s="9" t="s">
        <v>718</v>
      </c>
      <c r="C673" s="11" t="s">
        <v>2239</v>
      </c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22">
        <f t="shared" ref="AB673:AB704" si="197">SUM(D673:AA673)</f>
        <v>0</v>
      </c>
      <c r="AC673" s="25">
        <v>0</v>
      </c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>
        <v>1</v>
      </c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2">
        <f t="shared" ref="BB673:BB704" si="198">SUM(AD673:BA673)</f>
        <v>1</v>
      </c>
      <c r="BC673" s="23">
        <v>2</v>
      </c>
      <c r="BD673" s="130">
        <f t="shared" ref="BD673:BD704" si="199">AB673+BB673</f>
        <v>1</v>
      </c>
      <c r="BE673" s="130">
        <f t="shared" ref="BE673:BE704" si="200">AC673+BC673</f>
        <v>2</v>
      </c>
      <c r="BF673" s="195">
        <f t="shared" ref="BF673:BF704" si="201">BD673/BE673*100</f>
        <v>50</v>
      </c>
      <c r="BG673" s="373">
        <f t="shared" ref="BG673:BG689" si="202">BE673-BD673</f>
        <v>1</v>
      </c>
    </row>
    <row r="674" spans="1:59" s="21" customFormat="1" ht="15.95" customHeight="1">
      <c r="A674" s="236">
        <v>2</v>
      </c>
      <c r="B674" s="9" t="s">
        <v>641</v>
      </c>
      <c r="C674" s="11" t="s">
        <v>642</v>
      </c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22">
        <f t="shared" si="197"/>
        <v>0</v>
      </c>
      <c r="AC674" s="25">
        <v>0</v>
      </c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2">
        <f t="shared" si="198"/>
        <v>0</v>
      </c>
      <c r="BC674" s="23">
        <v>1</v>
      </c>
      <c r="BD674" s="130">
        <f t="shared" si="199"/>
        <v>0</v>
      </c>
      <c r="BE674" s="130">
        <f t="shared" si="200"/>
        <v>1</v>
      </c>
      <c r="BF674" s="195">
        <f t="shared" si="201"/>
        <v>0</v>
      </c>
      <c r="BG674" s="373">
        <f t="shared" si="202"/>
        <v>1</v>
      </c>
    </row>
    <row r="675" spans="1:59" s="21" customFormat="1" ht="15.95" customHeight="1">
      <c r="A675" s="236">
        <v>3</v>
      </c>
      <c r="B675" s="9" t="s">
        <v>613</v>
      </c>
      <c r="C675" s="11" t="s">
        <v>614</v>
      </c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22">
        <f t="shared" si="197"/>
        <v>0</v>
      </c>
      <c r="AC675" s="25">
        <v>0</v>
      </c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2">
        <f t="shared" si="198"/>
        <v>0</v>
      </c>
      <c r="BC675" s="23">
        <v>10</v>
      </c>
      <c r="BD675" s="130">
        <f t="shared" si="199"/>
        <v>0</v>
      </c>
      <c r="BE675" s="130">
        <f t="shared" si="200"/>
        <v>10</v>
      </c>
      <c r="BF675" s="195">
        <f t="shared" si="201"/>
        <v>0</v>
      </c>
      <c r="BG675" s="373">
        <f t="shared" si="202"/>
        <v>10</v>
      </c>
    </row>
    <row r="676" spans="1:59" s="21" customFormat="1" ht="15.95" customHeight="1">
      <c r="A676" s="236">
        <v>4</v>
      </c>
      <c r="B676" s="9" t="s">
        <v>42</v>
      </c>
      <c r="C676" s="11" t="s">
        <v>43</v>
      </c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22">
        <f t="shared" si="197"/>
        <v>0</v>
      </c>
      <c r="AC676" s="25">
        <v>0</v>
      </c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2">
        <f t="shared" si="198"/>
        <v>0</v>
      </c>
      <c r="BC676" s="23">
        <v>1</v>
      </c>
      <c r="BD676" s="130">
        <f t="shared" si="199"/>
        <v>0</v>
      </c>
      <c r="BE676" s="130">
        <f t="shared" si="200"/>
        <v>1</v>
      </c>
      <c r="BF676" s="195">
        <f t="shared" si="201"/>
        <v>0</v>
      </c>
      <c r="BG676" s="373">
        <f t="shared" si="202"/>
        <v>1</v>
      </c>
    </row>
    <row r="677" spans="1:59" s="21" customFormat="1" ht="15.95" customHeight="1">
      <c r="A677" s="236">
        <v>5</v>
      </c>
      <c r="B677" s="9" t="s">
        <v>158</v>
      </c>
      <c r="C677" s="11" t="s">
        <v>3140</v>
      </c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22">
        <f t="shared" si="197"/>
        <v>0</v>
      </c>
      <c r="AC677" s="25">
        <v>0</v>
      </c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2">
        <f t="shared" si="198"/>
        <v>0</v>
      </c>
      <c r="BC677" s="23">
        <v>1</v>
      </c>
      <c r="BD677" s="130">
        <f t="shared" si="199"/>
        <v>0</v>
      </c>
      <c r="BE677" s="130">
        <f t="shared" si="200"/>
        <v>1</v>
      </c>
      <c r="BF677" s="195">
        <f t="shared" si="201"/>
        <v>0</v>
      </c>
      <c r="BG677" s="373">
        <f t="shared" si="202"/>
        <v>1</v>
      </c>
    </row>
    <row r="678" spans="1:59" s="21" customFormat="1" ht="15.95" customHeight="1">
      <c r="A678" s="236">
        <v>6</v>
      </c>
      <c r="B678" s="9" t="s">
        <v>2190</v>
      </c>
      <c r="C678" s="11" t="s">
        <v>2191</v>
      </c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22">
        <f t="shared" si="197"/>
        <v>0</v>
      </c>
      <c r="AC678" s="25">
        <v>0</v>
      </c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2">
        <f t="shared" si="198"/>
        <v>0</v>
      </c>
      <c r="BC678" s="23">
        <v>2</v>
      </c>
      <c r="BD678" s="130">
        <f t="shared" si="199"/>
        <v>0</v>
      </c>
      <c r="BE678" s="130">
        <f t="shared" si="200"/>
        <v>2</v>
      </c>
      <c r="BF678" s="195">
        <f t="shared" si="201"/>
        <v>0</v>
      </c>
      <c r="BG678" s="373">
        <f t="shared" si="202"/>
        <v>2</v>
      </c>
    </row>
    <row r="679" spans="1:59" s="21" customFormat="1" ht="15.95" customHeight="1">
      <c r="A679" s="236">
        <v>7</v>
      </c>
      <c r="B679" s="9" t="s">
        <v>624</v>
      </c>
      <c r="C679" s="11" t="s">
        <v>2775</v>
      </c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22">
        <f t="shared" si="197"/>
        <v>0</v>
      </c>
      <c r="AC679" s="25">
        <v>0</v>
      </c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2">
        <f t="shared" si="198"/>
        <v>0</v>
      </c>
      <c r="BC679" s="23">
        <v>2</v>
      </c>
      <c r="BD679" s="130">
        <f t="shared" si="199"/>
        <v>0</v>
      </c>
      <c r="BE679" s="130">
        <f t="shared" si="200"/>
        <v>2</v>
      </c>
      <c r="BF679" s="195">
        <f t="shared" si="201"/>
        <v>0</v>
      </c>
      <c r="BG679" s="373">
        <f t="shared" si="202"/>
        <v>2</v>
      </c>
    </row>
    <row r="680" spans="1:59" s="21" customFormat="1" ht="15.95" customHeight="1">
      <c r="A680" s="236">
        <v>8</v>
      </c>
      <c r="B680" s="9" t="s">
        <v>617</v>
      </c>
      <c r="C680" s="11" t="s">
        <v>618</v>
      </c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22">
        <f t="shared" si="197"/>
        <v>0</v>
      </c>
      <c r="AC680" s="25">
        <v>0</v>
      </c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2">
        <f t="shared" si="198"/>
        <v>0</v>
      </c>
      <c r="BC680" s="23">
        <v>2</v>
      </c>
      <c r="BD680" s="130">
        <f t="shared" si="199"/>
        <v>0</v>
      </c>
      <c r="BE680" s="130">
        <f t="shared" si="200"/>
        <v>2</v>
      </c>
      <c r="BF680" s="195">
        <f t="shared" si="201"/>
        <v>0</v>
      </c>
      <c r="BG680" s="373">
        <f t="shared" si="202"/>
        <v>2</v>
      </c>
    </row>
    <row r="681" spans="1:59" s="21" customFormat="1" ht="15.95" customHeight="1">
      <c r="A681" s="236">
        <v>9</v>
      </c>
      <c r="B681" s="9" t="s">
        <v>617</v>
      </c>
      <c r="C681" s="11" t="s">
        <v>618</v>
      </c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22">
        <f t="shared" si="197"/>
        <v>0</v>
      </c>
      <c r="AC681" s="25">
        <v>0</v>
      </c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2">
        <f t="shared" si="198"/>
        <v>0</v>
      </c>
      <c r="BC681" s="23">
        <v>2</v>
      </c>
      <c r="BD681" s="130">
        <f t="shared" si="199"/>
        <v>0</v>
      </c>
      <c r="BE681" s="130">
        <f t="shared" si="200"/>
        <v>2</v>
      </c>
      <c r="BF681" s="195">
        <f t="shared" si="201"/>
        <v>0</v>
      </c>
      <c r="BG681" s="373">
        <f t="shared" si="202"/>
        <v>2</v>
      </c>
    </row>
    <row r="682" spans="1:59" s="21" customFormat="1" ht="15.95" customHeight="1">
      <c r="A682" s="236">
        <v>10</v>
      </c>
      <c r="B682" s="9" t="s">
        <v>218</v>
      </c>
      <c r="C682" s="11" t="s">
        <v>219</v>
      </c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22">
        <f t="shared" si="197"/>
        <v>0</v>
      </c>
      <c r="AC682" s="25">
        <v>0</v>
      </c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2">
        <f t="shared" si="198"/>
        <v>0</v>
      </c>
      <c r="BC682" s="23">
        <v>1</v>
      </c>
      <c r="BD682" s="130">
        <f t="shared" si="199"/>
        <v>0</v>
      </c>
      <c r="BE682" s="130">
        <f t="shared" si="200"/>
        <v>1</v>
      </c>
      <c r="BF682" s="195">
        <f t="shared" si="201"/>
        <v>0</v>
      </c>
      <c r="BG682" s="373">
        <f t="shared" si="202"/>
        <v>1</v>
      </c>
    </row>
    <row r="683" spans="1:59" s="21" customFormat="1" ht="15.95" customHeight="1">
      <c r="A683" s="236">
        <v>11</v>
      </c>
      <c r="B683" s="9" t="s">
        <v>241</v>
      </c>
      <c r="C683" s="10" t="s">
        <v>416</v>
      </c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22">
        <f t="shared" si="197"/>
        <v>0</v>
      </c>
      <c r="AC683" s="25">
        <v>0</v>
      </c>
      <c r="AD683" s="24"/>
      <c r="AE683" s="24"/>
      <c r="AF683" s="24"/>
      <c r="AG683" s="24"/>
      <c r="AH683" s="24"/>
      <c r="AI683" s="24"/>
      <c r="AJ683" s="24"/>
      <c r="AK683" s="24"/>
      <c r="AL683" s="24">
        <v>1</v>
      </c>
      <c r="AM683" s="24"/>
      <c r="AN683" s="24"/>
      <c r="AO683" s="24"/>
      <c r="AP683" s="24">
        <v>1</v>
      </c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2">
        <f t="shared" si="198"/>
        <v>2</v>
      </c>
      <c r="BC683" s="23">
        <v>3</v>
      </c>
      <c r="BD683" s="130">
        <f t="shared" si="199"/>
        <v>2</v>
      </c>
      <c r="BE683" s="130">
        <f t="shared" si="200"/>
        <v>3</v>
      </c>
      <c r="BF683" s="195">
        <f t="shared" si="201"/>
        <v>66.666666666666657</v>
      </c>
      <c r="BG683" s="373">
        <f t="shared" si="202"/>
        <v>1</v>
      </c>
    </row>
    <row r="684" spans="1:59" s="21" customFormat="1" ht="15.95" customHeight="1">
      <c r="A684" s="236">
        <v>12</v>
      </c>
      <c r="B684" s="9" t="s">
        <v>243</v>
      </c>
      <c r="C684" s="10" t="s">
        <v>416</v>
      </c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22">
        <f t="shared" si="197"/>
        <v>0</v>
      </c>
      <c r="AC684" s="25">
        <v>0</v>
      </c>
      <c r="AD684" s="24"/>
      <c r="AE684" s="24"/>
      <c r="AF684" s="24"/>
      <c r="AG684" s="24"/>
      <c r="AH684" s="24">
        <v>5</v>
      </c>
      <c r="AI684" s="24"/>
      <c r="AJ684" s="24"/>
      <c r="AK684" s="24"/>
      <c r="AL684" s="24">
        <v>15</v>
      </c>
      <c r="AM684" s="24"/>
      <c r="AN684" s="24"/>
      <c r="AO684" s="24"/>
      <c r="AP684" s="24">
        <f>12+15</f>
        <v>27</v>
      </c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2">
        <f t="shared" si="198"/>
        <v>47</v>
      </c>
      <c r="BC684" s="23">
        <v>128</v>
      </c>
      <c r="BD684" s="130">
        <f t="shared" si="199"/>
        <v>47</v>
      </c>
      <c r="BE684" s="130">
        <f t="shared" si="200"/>
        <v>128</v>
      </c>
      <c r="BF684" s="195">
        <f t="shared" si="201"/>
        <v>36.71875</v>
      </c>
      <c r="BG684" s="373">
        <f t="shared" si="202"/>
        <v>81</v>
      </c>
    </row>
    <row r="685" spans="1:59" s="21" customFormat="1" ht="15.95" customHeight="1">
      <c r="A685" s="236">
        <v>13</v>
      </c>
      <c r="B685" s="9" t="s">
        <v>538</v>
      </c>
      <c r="C685" s="10" t="s">
        <v>1948</v>
      </c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22">
        <f t="shared" si="197"/>
        <v>0</v>
      </c>
      <c r="AC685" s="25">
        <v>0</v>
      </c>
      <c r="AD685" s="24"/>
      <c r="AE685" s="24"/>
      <c r="AF685" s="24"/>
      <c r="AG685" s="24"/>
      <c r="AH685" s="24"/>
      <c r="AI685" s="24"/>
      <c r="AJ685" s="24"/>
      <c r="AK685" s="24"/>
      <c r="AL685" s="24">
        <v>1</v>
      </c>
      <c r="AM685" s="24"/>
      <c r="AN685" s="24"/>
      <c r="AO685" s="24"/>
      <c r="AP685" s="24">
        <v>1</v>
      </c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2">
        <f t="shared" si="198"/>
        <v>2</v>
      </c>
      <c r="BC685" s="23">
        <v>3</v>
      </c>
      <c r="BD685" s="130">
        <f t="shared" si="199"/>
        <v>2</v>
      </c>
      <c r="BE685" s="130">
        <f t="shared" si="200"/>
        <v>3</v>
      </c>
      <c r="BF685" s="195">
        <f t="shared" si="201"/>
        <v>66.666666666666657</v>
      </c>
      <c r="BG685" s="373">
        <f t="shared" si="202"/>
        <v>1</v>
      </c>
    </row>
    <row r="686" spans="1:59" s="21" customFormat="1" ht="15.95" customHeight="1">
      <c r="A686" s="236">
        <v>14</v>
      </c>
      <c r="B686" s="9" t="s">
        <v>246</v>
      </c>
      <c r="C686" s="10" t="s">
        <v>247</v>
      </c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22">
        <f t="shared" si="197"/>
        <v>0</v>
      </c>
      <c r="AC686" s="25">
        <v>0</v>
      </c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2">
        <f t="shared" si="198"/>
        <v>0</v>
      </c>
      <c r="BC686" s="23">
        <v>1</v>
      </c>
      <c r="BD686" s="130">
        <f t="shared" si="199"/>
        <v>0</v>
      </c>
      <c r="BE686" s="130">
        <f t="shared" si="200"/>
        <v>1</v>
      </c>
      <c r="BF686" s="195">
        <f t="shared" si="201"/>
        <v>0</v>
      </c>
      <c r="BG686" s="373">
        <f t="shared" si="202"/>
        <v>1</v>
      </c>
    </row>
    <row r="687" spans="1:59" s="21" customFormat="1" ht="15.95" customHeight="1">
      <c r="A687" s="236">
        <v>15</v>
      </c>
      <c r="B687" s="9" t="s">
        <v>3243</v>
      </c>
      <c r="C687" s="10" t="s">
        <v>3244</v>
      </c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22">
        <f t="shared" si="197"/>
        <v>0</v>
      </c>
      <c r="AC687" s="25">
        <v>0</v>
      </c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2">
        <f t="shared" si="198"/>
        <v>0</v>
      </c>
      <c r="BC687" s="23">
        <v>1</v>
      </c>
      <c r="BD687" s="130">
        <f t="shared" si="199"/>
        <v>0</v>
      </c>
      <c r="BE687" s="130">
        <f t="shared" si="200"/>
        <v>1</v>
      </c>
      <c r="BF687" s="195">
        <f t="shared" si="201"/>
        <v>0</v>
      </c>
      <c r="BG687" s="373">
        <f t="shared" si="202"/>
        <v>1</v>
      </c>
    </row>
    <row r="688" spans="1:59" s="21" customFormat="1" ht="15.95" customHeight="1">
      <c r="A688" s="236">
        <v>16</v>
      </c>
      <c r="B688" s="79" t="s">
        <v>417</v>
      </c>
      <c r="C688" s="216" t="s">
        <v>418</v>
      </c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22">
        <f t="shared" si="197"/>
        <v>0</v>
      </c>
      <c r="AC688" s="25">
        <v>0</v>
      </c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2">
        <f t="shared" si="198"/>
        <v>0</v>
      </c>
      <c r="BC688" s="23">
        <v>0</v>
      </c>
      <c r="BD688" s="130">
        <f t="shared" si="199"/>
        <v>0</v>
      </c>
      <c r="BE688" s="130">
        <f t="shared" si="200"/>
        <v>0</v>
      </c>
      <c r="BF688" s="195" t="e">
        <f t="shared" si="201"/>
        <v>#DIV/0!</v>
      </c>
      <c r="BG688" s="373">
        <f t="shared" si="202"/>
        <v>0</v>
      </c>
    </row>
    <row r="689" spans="1:59" s="21" customFormat="1" ht="15.95" customHeight="1">
      <c r="A689" s="236">
        <v>17</v>
      </c>
      <c r="B689" s="79" t="s">
        <v>421</v>
      </c>
      <c r="C689" s="363" t="s">
        <v>422</v>
      </c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22">
        <f t="shared" si="197"/>
        <v>0</v>
      </c>
      <c r="AC689" s="25">
        <v>0</v>
      </c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2">
        <f t="shared" si="198"/>
        <v>0</v>
      </c>
      <c r="BC689" s="23">
        <v>10</v>
      </c>
      <c r="BD689" s="130">
        <f t="shared" si="199"/>
        <v>0</v>
      </c>
      <c r="BE689" s="130">
        <f t="shared" si="200"/>
        <v>10</v>
      </c>
      <c r="BF689" s="195">
        <f t="shared" si="201"/>
        <v>0</v>
      </c>
      <c r="BG689" s="373">
        <f t="shared" si="202"/>
        <v>10</v>
      </c>
    </row>
    <row r="690" spans="1:59" s="21" customFormat="1" ht="15.95" customHeight="1">
      <c r="A690" s="236">
        <v>18</v>
      </c>
      <c r="B690" s="9" t="s">
        <v>668</v>
      </c>
      <c r="C690" s="565" t="s">
        <v>4118</v>
      </c>
      <c r="D690" s="566"/>
      <c r="E690" s="566"/>
      <c r="F690" s="566"/>
      <c r="G690" s="566"/>
      <c r="H690" s="566"/>
      <c r="I690" s="566"/>
      <c r="J690" s="566"/>
      <c r="K690" s="566"/>
      <c r="L690" s="566"/>
      <c r="M690" s="566"/>
      <c r="N690" s="566"/>
      <c r="O690" s="566"/>
      <c r="P690" s="566"/>
      <c r="Q690" s="566"/>
      <c r="R690" s="566"/>
      <c r="S690" s="566"/>
      <c r="T690" s="566"/>
      <c r="U690" s="566"/>
      <c r="V690" s="566"/>
      <c r="W690" s="566"/>
      <c r="X690" s="566"/>
      <c r="Y690" s="566"/>
      <c r="Z690" s="566"/>
      <c r="AA690" s="566"/>
      <c r="AB690" s="22">
        <f t="shared" si="197"/>
        <v>0</v>
      </c>
      <c r="AC690" s="567">
        <v>0</v>
      </c>
      <c r="AD690" s="568"/>
      <c r="AE690" s="568"/>
      <c r="AF690" s="568"/>
      <c r="AG690" s="568"/>
      <c r="AH690" s="568"/>
      <c r="AI690" s="568"/>
      <c r="AJ690" s="568"/>
      <c r="AK690" s="568"/>
      <c r="AL690" s="568"/>
      <c r="AM690" s="568"/>
      <c r="AN690" s="568"/>
      <c r="AO690" s="568"/>
      <c r="AP690" s="568">
        <v>1</v>
      </c>
      <c r="AQ690" s="568"/>
      <c r="AR690" s="568"/>
      <c r="AS690" s="568"/>
      <c r="AT690" s="568"/>
      <c r="AU690" s="568"/>
      <c r="AV690" s="568"/>
      <c r="AW690" s="568"/>
      <c r="AX690" s="568"/>
      <c r="AY690" s="568"/>
      <c r="AZ690" s="568"/>
      <c r="BA690" s="568"/>
      <c r="BB690" s="22">
        <f t="shared" si="198"/>
        <v>1</v>
      </c>
      <c r="BC690" s="569">
        <v>0</v>
      </c>
      <c r="BD690" s="130">
        <f t="shared" si="199"/>
        <v>1</v>
      </c>
      <c r="BE690" s="130">
        <f t="shared" si="200"/>
        <v>0</v>
      </c>
      <c r="BF690" s="195" t="e">
        <f t="shared" si="201"/>
        <v>#DIV/0!</v>
      </c>
      <c r="BG690" s="373"/>
    </row>
    <row r="691" spans="1:59" s="21" customFormat="1" ht="15.95" customHeight="1">
      <c r="A691" s="236">
        <v>19</v>
      </c>
      <c r="B691" s="9" t="s">
        <v>684</v>
      </c>
      <c r="C691" s="16" t="s">
        <v>685</v>
      </c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22">
        <f t="shared" si="197"/>
        <v>0</v>
      </c>
      <c r="AC691" s="25">
        <v>0</v>
      </c>
      <c r="AD691" s="99"/>
      <c r="AE691" s="99"/>
      <c r="AF691" s="99"/>
      <c r="AG691" s="99"/>
      <c r="AH691" s="99"/>
      <c r="AI691" s="99"/>
      <c r="AJ691" s="99"/>
      <c r="AK691" s="99"/>
      <c r="AL691" s="99">
        <v>1</v>
      </c>
      <c r="AM691" s="99"/>
      <c r="AN691" s="99"/>
      <c r="AO691" s="99"/>
      <c r="AP691" s="99">
        <v>1</v>
      </c>
      <c r="AQ691" s="99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22">
        <f t="shared" si="198"/>
        <v>2</v>
      </c>
      <c r="BC691" s="23">
        <v>6</v>
      </c>
      <c r="BD691" s="130">
        <f t="shared" si="199"/>
        <v>2</v>
      </c>
      <c r="BE691" s="130">
        <f t="shared" si="200"/>
        <v>6</v>
      </c>
      <c r="BF691" s="195">
        <f t="shared" si="201"/>
        <v>33.333333333333329</v>
      </c>
      <c r="BG691" s="373">
        <f t="shared" ref="BG691:BG699" si="203">BE691-BD691</f>
        <v>4</v>
      </c>
    </row>
    <row r="692" spans="1:59" s="21" customFormat="1" ht="15.95" customHeight="1">
      <c r="A692" s="236">
        <v>20</v>
      </c>
      <c r="B692" s="9" t="s">
        <v>423</v>
      </c>
      <c r="C692" s="11" t="s">
        <v>424</v>
      </c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22">
        <f t="shared" si="197"/>
        <v>0</v>
      </c>
      <c r="AC692" s="25">
        <v>0</v>
      </c>
      <c r="AD692" s="24"/>
      <c r="AE692" s="24"/>
      <c r="AF692" s="24"/>
      <c r="AG692" s="24"/>
      <c r="AH692" s="24">
        <v>3</v>
      </c>
      <c r="AI692" s="24"/>
      <c r="AJ692" s="24"/>
      <c r="AK692" s="24"/>
      <c r="AL692" s="24">
        <v>1</v>
      </c>
      <c r="AM692" s="24"/>
      <c r="AN692" s="24"/>
      <c r="AO692" s="24"/>
      <c r="AP692" s="24">
        <v>3</v>
      </c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2">
        <f t="shared" si="198"/>
        <v>7</v>
      </c>
      <c r="BC692" s="23">
        <v>10</v>
      </c>
      <c r="BD692" s="130">
        <f t="shared" si="199"/>
        <v>7</v>
      </c>
      <c r="BE692" s="130">
        <f t="shared" si="200"/>
        <v>10</v>
      </c>
      <c r="BF692" s="195">
        <f t="shared" si="201"/>
        <v>70</v>
      </c>
      <c r="BG692" s="373">
        <f t="shared" si="203"/>
        <v>3</v>
      </c>
    </row>
    <row r="693" spans="1:59" s="21" customFormat="1" ht="15.95" customHeight="1">
      <c r="A693" s="236">
        <v>21</v>
      </c>
      <c r="B693" s="9" t="s">
        <v>2776</v>
      </c>
      <c r="C693" s="11" t="s">
        <v>2777</v>
      </c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22">
        <f t="shared" si="197"/>
        <v>0</v>
      </c>
      <c r="AC693" s="25">
        <v>0</v>
      </c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>
        <v>2</v>
      </c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2">
        <f t="shared" si="198"/>
        <v>2</v>
      </c>
      <c r="BC693" s="23">
        <v>1</v>
      </c>
      <c r="BD693" s="130">
        <f t="shared" si="199"/>
        <v>2</v>
      </c>
      <c r="BE693" s="130">
        <f t="shared" si="200"/>
        <v>1</v>
      </c>
      <c r="BF693" s="195">
        <f t="shared" si="201"/>
        <v>200</v>
      </c>
      <c r="BG693" s="373">
        <f t="shared" si="203"/>
        <v>-1</v>
      </c>
    </row>
    <row r="694" spans="1:59" s="21" customFormat="1" ht="15.95" customHeight="1">
      <c r="A694" s="236">
        <v>22</v>
      </c>
      <c r="B694" s="9" t="s">
        <v>2778</v>
      </c>
      <c r="C694" s="11" t="s">
        <v>2779</v>
      </c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22">
        <f t="shared" si="197"/>
        <v>0</v>
      </c>
      <c r="AC694" s="25">
        <v>0</v>
      </c>
      <c r="AD694" s="24"/>
      <c r="AE694" s="24"/>
      <c r="AF694" s="24"/>
      <c r="AG694" s="24"/>
      <c r="AH694" s="24"/>
      <c r="AI694" s="24"/>
      <c r="AJ694" s="24"/>
      <c r="AK694" s="24"/>
      <c r="AL694" s="24">
        <v>1</v>
      </c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2">
        <f t="shared" si="198"/>
        <v>1</v>
      </c>
      <c r="BC694" s="23">
        <v>1</v>
      </c>
      <c r="BD694" s="130">
        <f t="shared" si="199"/>
        <v>1</v>
      </c>
      <c r="BE694" s="130">
        <f t="shared" si="200"/>
        <v>1</v>
      </c>
      <c r="BF694" s="195">
        <f t="shared" si="201"/>
        <v>100</v>
      </c>
      <c r="BG694" s="373">
        <f t="shared" si="203"/>
        <v>0</v>
      </c>
    </row>
    <row r="695" spans="1:59" s="21" customFormat="1" ht="15.95" customHeight="1">
      <c r="A695" s="236">
        <v>23</v>
      </c>
      <c r="B695" s="9" t="s">
        <v>3138</v>
      </c>
      <c r="C695" s="11" t="s">
        <v>3139</v>
      </c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22">
        <f t="shared" si="197"/>
        <v>0</v>
      </c>
      <c r="AC695" s="25">
        <v>0</v>
      </c>
      <c r="AD695" s="24"/>
      <c r="AE695" s="24"/>
      <c r="AF695" s="24"/>
      <c r="AG695" s="24"/>
      <c r="AH695" s="24"/>
      <c r="AI695" s="24"/>
      <c r="AJ695" s="24"/>
      <c r="AK695" s="24"/>
      <c r="AL695" s="24">
        <f>5+1</f>
        <v>6</v>
      </c>
      <c r="AM695" s="24"/>
      <c r="AN695" s="24"/>
      <c r="AO695" s="24"/>
      <c r="AP695" s="24">
        <v>2</v>
      </c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2">
        <f t="shared" si="198"/>
        <v>8</v>
      </c>
      <c r="BC695" s="23">
        <v>7</v>
      </c>
      <c r="BD695" s="130">
        <f t="shared" si="199"/>
        <v>8</v>
      </c>
      <c r="BE695" s="130">
        <f t="shared" si="200"/>
        <v>7</v>
      </c>
      <c r="BF695" s="195">
        <f t="shared" si="201"/>
        <v>114.28571428571428</v>
      </c>
      <c r="BG695" s="373">
        <f t="shared" si="203"/>
        <v>-1</v>
      </c>
    </row>
    <row r="696" spans="1:59" s="21" customFormat="1" ht="19.5" customHeight="1">
      <c r="A696" s="236">
        <v>24</v>
      </c>
      <c r="B696" s="9" t="s">
        <v>425</v>
      </c>
      <c r="C696" s="10" t="s">
        <v>426</v>
      </c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22">
        <f t="shared" si="197"/>
        <v>0</v>
      </c>
      <c r="AC696" s="25">
        <v>0</v>
      </c>
      <c r="AD696" s="24"/>
      <c r="AE696" s="24"/>
      <c r="AF696" s="24"/>
      <c r="AG696" s="24"/>
      <c r="AH696" s="24">
        <v>1</v>
      </c>
      <c r="AI696" s="24"/>
      <c r="AJ696" s="24"/>
      <c r="AK696" s="24"/>
      <c r="AL696" s="24">
        <v>7</v>
      </c>
      <c r="AM696" s="24"/>
      <c r="AN696" s="24"/>
      <c r="AO696" s="24"/>
      <c r="AP696" s="24">
        <f>2+5+10</f>
        <v>17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2">
        <f t="shared" si="198"/>
        <v>25</v>
      </c>
      <c r="BC696" s="23">
        <v>27</v>
      </c>
      <c r="BD696" s="130">
        <f t="shared" si="199"/>
        <v>25</v>
      </c>
      <c r="BE696" s="130">
        <f t="shared" si="200"/>
        <v>27</v>
      </c>
      <c r="BF696" s="195">
        <f t="shared" si="201"/>
        <v>92.592592592592595</v>
      </c>
      <c r="BG696" s="373">
        <f t="shared" si="203"/>
        <v>2</v>
      </c>
    </row>
    <row r="697" spans="1:59" s="21" customFormat="1" ht="18.75" customHeight="1">
      <c r="A697" s="236">
        <v>25</v>
      </c>
      <c r="B697" s="9" t="s">
        <v>2544</v>
      </c>
      <c r="C697" s="11" t="s">
        <v>2545</v>
      </c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22">
        <f t="shared" si="197"/>
        <v>0</v>
      </c>
      <c r="AC697" s="25">
        <v>0</v>
      </c>
      <c r="AD697" s="24"/>
      <c r="AE697" s="24"/>
      <c r="AF697" s="24"/>
      <c r="AG697" s="24"/>
      <c r="AH697" s="24"/>
      <c r="AI697" s="24"/>
      <c r="AJ697" s="24"/>
      <c r="AK697" s="24"/>
      <c r="AL697" s="24">
        <v>1</v>
      </c>
      <c r="AM697" s="24"/>
      <c r="AN697" s="24"/>
      <c r="AO697" s="24"/>
      <c r="AP697" s="24">
        <v>3</v>
      </c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2">
        <f t="shared" si="198"/>
        <v>4</v>
      </c>
      <c r="BC697" s="23">
        <v>10</v>
      </c>
      <c r="BD697" s="130">
        <f t="shared" si="199"/>
        <v>4</v>
      </c>
      <c r="BE697" s="130">
        <f t="shared" si="200"/>
        <v>10</v>
      </c>
      <c r="BF697" s="195">
        <f t="shared" si="201"/>
        <v>40</v>
      </c>
      <c r="BG697" s="373">
        <f t="shared" si="203"/>
        <v>6</v>
      </c>
    </row>
    <row r="698" spans="1:59" s="21" customFormat="1" ht="15.95" customHeight="1">
      <c r="A698" s="236">
        <v>26</v>
      </c>
      <c r="B698" s="9" t="s">
        <v>427</v>
      </c>
      <c r="C698" s="10" t="s">
        <v>428</v>
      </c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22">
        <f t="shared" si="197"/>
        <v>0</v>
      </c>
      <c r="AC698" s="25">
        <v>0</v>
      </c>
      <c r="AD698" s="99"/>
      <c r="AE698" s="99"/>
      <c r="AF698" s="99"/>
      <c r="AG698" s="99"/>
      <c r="AH698" s="99">
        <v>2</v>
      </c>
      <c r="AI698" s="99"/>
      <c r="AJ698" s="99"/>
      <c r="AK698" s="99"/>
      <c r="AL698" s="99">
        <v>3</v>
      </c>
      <c r="AM698" s="99"/>
      <c r="AN698" s="99"/>
      <c r="AO698" s="99"/>
      <c r="AP698" s="99">
        <v>9</v>
      </c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22">
        <f t="shared" si="198"/>
        <v>14</v>
      </c>
      <c r="BC698" s="23">
        <v>13</v>
      </c>
      <c r="BD698" s="130">
        <f t="shared" si="199"/>
        <v>14</v>
      </c>
      <c r="BE698" s="130">
        <f t="shared" si="200"/>
        <v>13</v>
      </c>
      <c r="BF698" s="195">
        <f t="shared" si="201"/>
        <v>107.69230769230769</v>
      </c>
      <c r="BG698" s="373">
        <f t="shared" si="203"/>
        <v>-1</v>
      </c>
    </row>
    <row r="699" spans="1:59" s="21" customFormat="1" ht="15.95" customHeight="1">
      <c r="A699" s="236">
        <v>27</v>
      </c>
      <c r="B699" s="9" t="s">
        <v>429</v>
      </c>
      <c r="C699" s="11" t="s">
        <v>430</v>
      </c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22">
        <f t="shared" si="197"/>
        <v>0</v>
      </c>
      <c r="AC699" s="25">
        <v>0</v>
      </c>
      <c r="AD699" s="99"/>
      <c r="AE699" s="99"/>
      <c r="AF699" s="99"/>
      <c r="AG699" s="99"/>
      <c r="AH699" s="99">
        <v>1</v>
      </c>
      <c r="AI699" s="99"/>
      <c r="AJ699" s="99"/>
      <c r="AK699" s="99"/>
      <c r="AL699" s="99">
        <v>6</v>
      </c>
      <c r="AM699" s="99"/>
      <c r="AN699" s="99"/>
      <c r="AO699" s="99"/>
      <c r="AP699" s="99">
        <f>1+2</f>
        <v>3</v>
      </c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22">
        <f t="shared" si="198"/>
        <v>10</v>
      </c>
      <c r="BC699" s="23">
        <v>12</v>
      </c>
      <c r="BD699" s="130">
        <f t="shared" si="199"/>
        <v>10</v>
      </c>
      <c r="BE699" s="130">
        <f t="shared" si="200"/>
        <v>12</v>
      </c>
      <c r="BF699" s="195">
        <f t="shared" si="201"/>
        <v>83.333333333333343</v>
      </c>
      <c r="BG699" s="373">
        <f t="shared" si="203"/>
        <v>2</v>
      </c>
    </row>
    <row r="700" spans="1:59" s="21" customFormat="1" ht="15.95" customHeight="1">
      <c r="A700" s="236">
        <v>28</v>
      </c>
      <c r="B700" s="9" t="s">
        <v>4119</v>
      </c>
      <c r="C700" s="11" t="s">
        <v>4120</v>
      </c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22">
        <f t="shared" si="197"/>
        <v>0</v>
      </c>
      <c r="AC700" s="25">
        <v>0</v>
      </c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99">
        <v>1</v>
      </c>
      <c r="AQ700" s="99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22">
        <f t="shared" si="198"/>
        <v>1</v>
      </c>
      <c r="BC700" s="23">
        <v>0</v>
      </c>
      <c r="BD700" s="130">
        <f t="shared" si="199"/>
        <v>1</v>
      </c>
      <c r="BE700" s="130">
        <f t="shared" si="200"/>
        <v>0</v>
      </c>
      <c r="BF700" s="195" t="e">
        <f t="shared" si="201"/>
        <v>#DIV/0!</v>
      </c>
      <c r="BG700" s="373"/>
    </row>
    <row r="701" spans="1:59" s="21" customFormat="1" ht="15.95" customHeight="1">
      <c r="A701" s="236">
        <v>29</v>
      </c>
      <c r="B701" s="9" t="s">
        <v>2978</v>
      </c>
      <c r="C701" s="11" t="s">
        <v>2979</v>
      </c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22">
        <f t="shared" si="197"/>
        <v>0</v>
      </c>
      <c r="AC701" s="25">
        <v>0</v>
      </c>
      <c r="AD701" s="24"/>
      <c r="AE701" s="24"/>
      <c r="AF701" s="24"/>
      <c r="AG701" s="24"/>
      <c r="AH701" s="24"/>
      <c r="AI701" s="24"/>
      <c r="AJ701" s="24"/>
      <c r="AK701" s="24"/>
      <c r="AL701" s="24">
        <v>1</v>
      </c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2">
        <f t="shared" si="198"/>
        <v>1</v>
      </c>
      <c r="BC701" s="23">
        <v>1</v>
      </c>
      <c r="BD701" s="130">
        <f t="shared" si="199"/>
        <v>1</v>
      </c>
      <c r="BE701" s="130">
        <f t="shared" si="200"/>
        <v>1</v>
      </c>
      <c r="BF701" s="195">
        <f t="shared" si="201"/>
        <v>100</v>
      </c>
      <c r="BG701" s="373">
        <f>BE701-BD701</f>
        <v>0</v>
      </c>
    </row>
    <row r="702" spans="1:59" s="21" customFormat="1" ht="15.95" customHeight="1">
      <c r="A702" s="236">
        <v>30</v>
      </c>
      <c r="B702" s="9" t="s">
        <v>3334</v>
      </c>
      <c r="C702" s="11" t="s">
        <v>3335</v>
      </c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22">
        <f t="shared" si="197"/>
        <v>0</v>
      </c>
      <c r="AC702" s="25">
        <v>0</v>
      </c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2">
        <f t="shared" si="198"/>
        <v>0</v>
      </c>
      <c r="BC702" s="23">
        <v>1</v>
      </c>
      <c r="BD702" s="130">
        <f t="shared" si="199"/>
        <v>0</v>
      </c>
      <c r="BE702" s="130">
        <f t="shared" si="200"/>
        <v>1</v>
      </c>
      <c r="BF702" s="195">
        <f t="shared" si="201"/>
        <v>0</v>
      </c>
      <c r="BG702" s="373">
        <f>BE702-BD702</f>
        <v>1</v>
      </c>
    </row>
    <row r="703" spans="1:59" s="21" customFormat="1" ht="15.95" customHeight="1">
      <c r="A703" s="236">
        <v>31</v>
      </c>
      <c r="B703" s="9" t="s">
        <v>4121</v>
      </c>
      <c r="C703" s="11" t="s">
        <v>4122</v>
      </c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22">
        <f t="shared" si="197"/>
        <v>0</v>
      </c>
      <c r="AC703" s="25">
        <v>0</v>
      </c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>
        <v>1</v>
      </c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2">
        <f t="shared" si="198"/>
        <v>1</v>
      </c>
      <c r="BC703" s="23">
        <v>0</v>
      </c>
      <c r="BD703" s="130">
        <f t="shared" si="199"/>
        <v>1</v>
      </c>
      <c r="BE703" s="130">
        <f t="shared" si="200"/>
        <v>0</v>
      </c>
      <c r="BF703" s="195" t="e">
        <f t="shared" si="201"/>
        <v>#DIV/0!</v>
      </c>
      <c r="BG703" s="373"/>
    </row>
    <row r="704" spans="1:59" s="21" customFormat="1" ht="15.95" customHeight="1">
      <c r="A704" s="236">
        <v>32</v>
      </c>
      <c r="B704" s="9" t="s">
        <v>3913</v>
      </c>
      <c r="C704" s="11" t="s">
        <v>3914</v>
      </c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22">
        <f t="shared" si="197"/>
        <v>0</v>
      </c>
      <c r="AC704" s="25">
        <v>0</v>
      </c>
      <c r="AD704" s="24"/>
      <c r="AE704" s="24"/>
      <c r="AF704" s="24"/>
      <c r="AG704" s="24"/>
      <c r="AH704" s="24"/>
      <c r="AI704" s="24"/>
      <c r="AJ704" s="24"/>
      <c r="AK704" s="24"/>
      <c r="AL704" s="24">
        <v>2</v>
      </c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2">
        <f t="shared" si="198"/>
        <v>2</v>
      </c>
      <c r="BC704" s="23">
        <v>0</v>
      </c>
      <c r="BD704" s="130">
        <f t="shared" si="199"/>
        <v>2</v>
      </c>
      <c r="BE704" s="130">
        <f t="shared" si="200"/>
        <v>0</v>
      </c>
      <c r="BF704" s="195" t="e">
        <f t="shared" si="201"/>
        <v>#DIV/0!</v>
      </c>
      <c r="BG704" s="373"/>
    </row>
    <row r="705" spans="1:59" s="21" customFormat="1" ht="15.95" customHeight="1">
      <c r="A705" s="236">
        <v>33</v>
      </c>
      <c r="B705" s="9" t="s">
        <v>3430</v>
      </c>
      <c r="C705" s="11" t="s">
        <v>3431</v>
      </c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22">
        <f t="shared" ref="AB705:AB736" si="204">SUM(D705:AA705)</f>
        <v>0</v>
      </c>
      <c r="AC705" s="25">
        <v>0</v>
      </c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>
        <v>1</v>
      </c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2">
        <f t="shared" ref="BB705:BB736" si="205">SUM(AD705:BA705)</f>
        <v>1</v>
      </c>
      <c r="BC705" s="23">
        <v>1</v>
      </c>
      <c r="BD705" s="130">
        <f t="shared" ref="BD705:BD740" si="206">AB705+BB705</f>
        <v>1</v>
      </c>
      <c r="BE705" s="130">
        <f t="shared" ref="BE705:BE740" si="207">AC705+BC705</f>
        <v>1</v>
      </c>
      <c r="BF705" s="195">
        <f t="shared" ref="BF705:BF736" si="208">BD705/BE705*100</f>
        <v>100</v>
      </c>
      <c r="BG705" s="373">
        <f>BE705-BD705</f>
        <v>0</v>
      </c>
    </row>
    <row r="706" spans="1:59" s="21" customFormat="1" ht="15.95" customHeight="1">
      <c r="A706" s="236">
        <v>34</v>
      </c>
      <c r="B706" s="9" t="s">
        <v>431</v>
      </c>
      <c r="C706" s="11" t="s">
        <v>432</v>
      </c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22">
        <f t="shared" si="204"/>
        <v>0</v>
      </c>
      <c r="AC706" s="25">
        <v>0</v>
      </c>
      <c r="AD706" s="99"/>
      <c r="AE706" s="99"/>
      <c r="AF706" s="99"/>
      <c r="AG706" s="99"/>
      <c r="AH706" s="99"/>
      <c r="AI706" s="99"/>
      <c r="AJ706" s="99"/>
      <c r="AK706" s="99"/>
      <c r="AL706" s="99">
        <v>7</v>
      </c>
      <c r="AM706" s="99"/>
      <c r="AN706" s="99"/>
      <c r="AO706" s="99"/>
      <c r="AP706" s="99">
        <v>2</v>
      </c>
      <c r="AQ706" s="99"/>
      <c r="AR706" s="99"/>
      <c r="AS706" s="99"/>
      <c r="AT706" s="99"/>
      <c r="AU706" s="99"/>
      <c r="AV706" s="99"/>
      <c r="AW706" s="99"/>
      <c r="AX706" s="99"/>
      <c r="AY706" s="99"/>
      <c r="AZ706" s="99"/>
      <c r="BA706" s="99"/>
      <c r="BB706" s="22">
        <f t="shared" si="205"/>
        <v>9</v>
      </c>
      <c r="BC706" s="23">
        <v>14</v>
      </c>
      <c r="BD706" s="130">
        <f t="shared" si="206"/>
        <v>9</v>
      </c>
      <c r="BE706" s="130">
        <f t="shared" si="207"/>
        <v>14</v>
      </c>
      <c r="BF706" s="195">
        <f t="shared" si="208"/>
        <v>64.285714285714292</v>
      </c>
      <c r="BG706" s="373">
        <f>BE706-BD706</f>
        <v>5</v>
      </c>
    </row>
    <row r="707" spans="1:59" s="21" customFormat="1" ht="15.95" customHeight="1">
      <c r="A707" s="236">
        <v>35</v>
      </c>
      <c r="B707" s="9" t="s">
        <v>433</v>
      </c>
      <c r="C707" s="11" t="s">
        <v>434</v>
      </c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22">
        <f t="shared" si="204"/>
        <v>0</v>
      </c>
      <c r="AC707" s="25">
        <v>0</v>
      </c>
      <c r="AD707" s="99"/>
      <c r="AE707" s="99"/>
      <c r="AF707" s="99"/>
      <c r="AG707" s="99"/>
      <c r="AH707" s="99"/>
      <c r="AI707" s="99"/>
      <c r="AJ707" s="99"/>
      <c r="AK707" s="99"/>
      <c r="AL707" s="99">
        <v>1</v>
      </c>
      <c r="AM707" s="99"/>
      <c r="AN707" s="99"/>
      <c r="AO707" s="99"/>
      <c r="AP707" s="99"/>
      <c r="AQ707" s="99"/>
      <c r="AR707" s="99"/>
      <c r="AS707" s="99"/>
      <c r="AT707" s="99"/>
      <c r="AU707" s="99"/>
      <c r="AV707" s="99"/>
      <c r="AW707" s="99"/>
      <c r="AX707" s="99"/>
      <c r="AY707" s="99"/>
      <c r="AZ707" s="99"/>
      <c r="BA707" s="99"/>
      <c r="BB707" s="22">
        <f t="shared" si="205"/>
        <v>1</v>
      </c>
      <c r="BC707" s="23">
        <v>3</v>
      </c>
      <c r="BD707" s="130">
        <f t="shared" si="206"/>
        <v>1</v>
      </c>
      <c r="BE707" s="130">
        <f t="shared" si="207"/>
        <v>3</v>
      </c>
      <c r="BF707" s="195">
        <f t="shared" si="208"/>
        <v>33.333333333333329</v>
      </c>
      <c r="BG707" s="373">
        <f>BE707-BD707</f>
        <v>2</v>
      </c>
    </row>
    <row r="708" spans="1:59" s="21" customFormat="1" ht="15.95" customHeight="1">
      <c r="A708" s="236">
        <v>36</v>
      </c>
      <c r="B708" s="9" t="s">
        <v>347</v>
      </c>
      <c r="C708" s="10" t="s">
        <v>348</v>
      </c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22">
        <f t="shared" si="204"/>
        <v>0</v>
      </c>
      <c r="AC708" s="25">
        <v>0</v>
      </c>
      <c r="AD708" s="99"/>
      <c r="AE708" s="99"/>
      <c r="AF708" s="99"/>
      <c r="AG708" s="99"/>
      <c r="AH708" s="99"/>
      <c r="AI708" s="99"/>
      <c r="AJ708" s="99"/>
      <c r="AK708" s="99"/>
      <c r="AL708" s="99">
        <v>1</v>
      </c>
      <c r="AM708" s="99"/>
      <c r="AN708" s="99"/>
      <c r="AO708" s="99"/>
      <c r="AP708" s="99">
        <v>6</v>
      </c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22">
        <f t="shared" si="205"/>
        <v>7</v>
      </c>
      <c r="BC708" s="23">
        <v>13</v>
      </c>
      <c r="BD708" s="130">
        <f t="shared" si="206"/>
        <v>7</v>
      </c>
      <c r="BE708" s="130">
        <f t="shared" si="207"/>
        <v>13</v>
      </c>
      <c r="BF708" s="195">
        <f t="shared" si="208"/>
        <v>53.846153846153847</v>
      </c>
      <c r="BG708" s="373">
        <f>BE708-BD708</f>
        <v>6</v>
      </c>
    </row>
    <row r="709" spans="1:59" s="21" customFormat="1" ht="15.95" customHeight="1">
      <c r="A709" s="236">
        <v>37</v>
      </c>
      <c r="B709" s="9" t="s">
        <v>435</v>
      </c>
      <c r="C709" s="11" t="s">
        <v>436</v>
      </c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22">
        <f t="shared" si="204"/>
        <v>0</v>
      </c>
      <c r="AC709" s="25">
        <v>0</v>
      </c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>
        <v>1</v>
      </c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2">
        <f t="shared" si="205"/>
        <v>1</v>
      </c>
      <c r="BC709" s="23">
        <v>9</v>
      </c>
      <c r="BD709" s="130">
        <f t="shared" si="206"/>
        <v>1</v>
      </c>
      <c r="BE709" s="130">
        <f t="shared" si="207"/>
        <v>9</v>
      </c>
      <c r="BF709" s="195">
        <f t="shared" si="208"/>
        <v>11.111111111111111</v>
      </c>
      <c r="BG709" s="373">
        <f>BE709-BD709</f>
        <v>8</v>
      </c>
    </row>
    <row r="710" spans="1:59" s="21" customFormat="1" ht="15.95" customHeight="1">
      <c r="A710" s="236">
        <v>38</v>
      </c>
      <c r="B710" s="9" t="s">
        <v>4123</v>
      </c>
      <c r="C710" s="11" t="s">
        <v>4124</v>
      </c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22">
        <f t="shared" si="204"/>
        <v>0</v>
      </c>
      <c r="AC710" s="25">
        <v>0</v>
      </c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>
        <v>1</v>
      </c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2">
        <f t="shared" si="205"/>
        <v>1</v>
      </c>
      <c r="BC710" s="23">
        <v>0</v>
      </c>
      <c r="BD710" s="130">
        <f t="shared" si="206"/>
        <v>1</v>
      </c>
      <c r="BE710" s="130">
        <f t="shared" si="207"/>
        <v>0</v>
      </c>
      <c r="BF710" s="195" t="e">
        <f t="shared" si="208"/>
        <v>#DIV/0!</v>
      </c>
      <c r="BG710" s="373"/>
    </row>
    <row r="711" spans="1:59" s="21" customFormat="1" ht="15.95" customHeight="1">
      <c r="A711" s="236">
        <v>39</v>
      </c>
      <c r="B711" s="9" t="s">
        <v>2780</v>
      </c>
      <c r="C711" s="11" t="s">
        <v>2781</v>
      </c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22">
        <f t="shared" si="204"/>
        <v>0</v>
      </c>
      <c r="AC711" s="25">
        <v>0</v>
      </c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>
        <v>2</v>
      </c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2">
        <f t="shared" si="205"/>
        <v>2</v>
      </c>
      <c r="BC711" s="23">
        <v>1</v>
      </c>
      <c r="BD711" s="130">
        <f t="shared" si="206"/>
        <v>2</v>
      </c>
      <c r="BE711" s="130">
        <f t="shared" si="207"/>
        <v>1</v>
      </c>
      <c r="BF711" s="195">
        <f t="shared" si="208"/>
        <v>200</v>
      </c>
      <c r="BG711" s="373">
        <f>BE711-BD711</f>
        <v>-1</v>
      </c>
    </row>
    <row r="712" spans="1:59" s="21" customFormat="1" ht="15.95" customHeight="1">
      <c r="A712" s="236">
        <v>40</v>
      </c>
      <c r="B712" s="9" t="s">
        <v>3336</v>
      </c>
      <c r="C712" s="11" t="s">
        <v>3337</v>
      </c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22">
        <f t="shared" si="204"/>
        <v>0</v>
      </c>
      <c r="AC712" s="25">
        <v>0</v>
      </c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2">
        <f t="shared" si="205"/>
        <v>0</v>
      </c>
      <c r="BC712" s="23">
        <v>1</v>
      </c>
      <c r="BD712" s="130">
        <f t="shared" si="206"/>
        <v>0</v>
      </c>
      <c r="BE712" s="130">
        <f t="shared" si="207"/>
        <v>1</v>
      </c>
      <c r="BF712" s="195">
        <f t="shared" si="208"/>
        <v>0</v>
      </c>
      <c r="BG712" s="373">
        <f>BE712-BD712</f>
        <v>1</v>
      </c>
    </row>
    <row r="713" spans="1:59" s="21" customFormat="1" ht="15.95" customHeight="1">
      <c r="A713" s="236">
        <v>41</v>
      </c>
      <c r="B713" s="9" t="s">
        <v>3336</v>
      </c>
      <c r="C713" s="11" t="s">
        <v>3337</v>
      </c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22">
        <f t="shared" si="204"/>
        <v>0</v>
      </c>
      <c r="AC713" s="25">
        <v>0</v>
      </c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2">
        <f t="shared" si="205"/>
        <v>0</v>
      </c>
      <c r="BC713" s="23">
        <v>1</v>
      </c>
      <c r="BD713" s="130">
        <f t="shared" si="206"/>
        <v>0</v>
      </c>
      <c r="BE713" s="130">
        <f t="shared" si="207"/>
        <v>1</v>
      </c>
      <c r="BF713" s="195">
        <f t="shared" si="208"/>
        <v>0</v>
      </c>
      <c r="BG713" s="373">
        <f>BE713-BD713</f>
        <v>1</v>
      </c>
    </row>
    <row r="714" spans="1:59" s="21" customFormat="1" ht="15.95" customHeight="1">
      <c r="A714" s="236">
        <v>42</v>
      </c>
      <c r="B714" s="9" t="s">
        <v>437</v>
      </c>
      <c r="C714" s="11" t="s">
        <v>438</v>
      </c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22">
        <f t="shared" si="204"/>
        <v>0</v>
      </c>
      <c r="AC714" s="25">
        <v>0</v>
      </c>
      <c r="AD714" s="24"/>
      <c r="AE714" s="24"/>
      <c r="AF714" s="24"/>
      <c r="AG714" s="24"/>
      <c r="AH714" s="24"/>
      <c r="AI714" s="24"/>
      <c r="AJ714" s="24"/>
      <c r="AK714" s="24"/>
      <c r="AL714" s="24">
        <v>2</v>
      </c>
      <c r="AM714" s="24"/>
      <c r="AN714" s="24"/>
      <c r="AO714" s="24"/>
      <c r="AP714" s="24">
        <v>1</v>
      </c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2">
        <f t="shared" si="205"/>
        <v>3</v>
      </c>
      <c r="BC714" s="23">
        <v>6</v>
      </c>
      <c r="BD714" s="130">
        <f t="shared" si="206"/>
        <v>3</v>
      </c>
      <c r="BE714" s="130">
        <f t="shared" si="207"/>
        <v>6</v>
      </c>
      <c r="BF714" s="195">
        <f t="shared" si="208"/>
        <v>50</v>
      </c>
      <c r="BG714" s="373">
        <f>BE714-BD714</f>
        <v>3</v>
      </c>
    </row>
    <row r="715" spans="1:59" s="21" customFormat="1" ht="15.95" customHeight="1">
      <c r="A715" s="236">
        <v>43</v>
      </c>
      <c r="B715" s="9" t="s">
        <v>4114</v>
      </c>
      <c r="C715" s="11" t="s">
        <v>4115</v>
      </c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22">
        <f t="shared" si="204"/>
        <v>0</v>
      </c>
      <c r="AC715" s="25">
        <v>0</v>
      </c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>
        <v>1</v>
      </c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2">
        <f t="shared" si="205"/>
        <v>1</v>
      </c>
      <c r="BC715" s="23">
        <v>0</v>
      </c>
      <c r="BD715" s="130">
        <f t="shared" si="206"/>
        <v>1</v>
      </c>
      <c r="BE715" s="130">
        <f t="shared" si="207"/>
        <v>0</v>
      </c>
      <c r="BF715" s="195" t="e">
        <f t="shared" si="208"/>
        <v>#DIV/0!</v>
      </c>
      <c r="BG715" s="373"/>
    </row>
    <row r="716" spans="1:59" s="21" customFormat="1" ht="15.95" customHeight="1">
      <c r="A716" s="236">
        <v>44</v>
      </c>
      <c r="B716" s="9" t="s">
        <v>4125</v>
      </c>
      <c r="C716" s="11" t="s">
        <v>4126</v>
      </c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22">
        <f t="shared" si="204"/>
        <v>0</v>
      </c>
      <c r="AC716" s="25">
        <v>0</v>
      </c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>
        <v>2</v>
      </c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2">
        <f t="shared" si="205"/>
        <v>2</v>
      </c>
      <c r="BC716" s="23">
        <v>0</v>
      </c>
      <c r="BD716" s="130">
        <f t="shared" si="206"/>
        <v>2</v>
      </c>
      <c r="BE716" s="130">
        <f t="shared" si="207"/>
        <v>0</v>
      </c>
      <c r="BF716" s="195" t="e">
        <f t="shared" si="208"/>
        <v>#DIV/0!</v>
      </c>
      <c r="BG716" s="373"/>
    </row>
    <row r="717" spans="1:59" s="21" customFormat="1" ht="15.95" customHeight="1">
      <c r="A717" s="236">
        <v>45</v>
      </c>
      <c r="B717" s="9" t="s">
        <v>3432</v>
      </c>
      <c r="C717" s="11" t="s">
        <v>3433</v>
      </c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22">
        <f t="shared" si="204"/>
        <v>0</v>
      </c>
      <c r="AC717" s="25">
        <v>0</v>
      </c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2">
        <f t="shared" si="205"/>
        <v>0</v>
      </c>
      <c r="BC717" s="23">
        <v>1</v>
      </c>
      <c r="BD717" s="130">
        <f t="shared" si="206"/>
        <v>0</v>
      </c>
      <c r="BE717" s="130">
        <f t="shared" si="207"/>
        <v>1</v>
      </c>
      <c r="BF717" s="195">
        <f t="shared" si="208"/>
        <v>0</v>
      </c>
      <c r="BG717" s="373">
        <f>BE717-BD717</f>
        <v>1</v>
      </c>
    </row>
    <row r="718" spans="1:59" s="21" customFormat="1" ht="15.95" customHeight="1">
      <c r="A718" s="236">
        <v>46</v>
      </c>
      <c r="B718" s="9" t="s">
        <v>3276</v>
      </c>
      <c r="C718" s="11" t="s">
        <v>3277</v>
      </c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22">
        <f t="shared" si="204"/>
        <v>0</v>
      </c>
      <c r="AC718" s="25">
        <v>0</v>
      </c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2">
        <f t="shared" si="205"/>
        <v>0</v>
      </c>
      <c r="BC718" s="23">
        <v>1</v>
      </c>
      <c r="BD718" s="130">
        <f t="shared" si="206"/>
        <v>0</v>
      </c>
      <c r="BE718" s="130">
        <f t="shared" si="207"/>
        <v>1</v>
      </c>
      <c r="BF718" s="195">
        <f t="shared" si="208"/>
        <v>0</v>
      </c>
      <c r="BG718" s="373">
        <f>BE718-BD718</f>
        <v>1</v>
      </c>
    </row>
    <row r="719" spans="1:59" s="21" customFormat="1" ht="15.95" customHeight="1">
      <c r="A719" s="236">
        <v>47</v>
      </c>
      <c r="B719" s="79" t="s">
        <v>439</v>
      </c>
      <c r="C719" s="216" t="s">
        <v>440</v>
      </c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22">
        <f t="shared" si="204"/>
        <v>0</v>
      </c>
      <c r="AC719" s="25">
        <v>0</v>
      </c>
      <c r="AD719" s="99"/>
      <c r="AE719" s="99"/>
      <c r="AF719" s="99"/>
      <c r="AG719" s="99"/>
      <c r="AH719" s="99">
        <v>1</v>
      </c>
      <c r="AI719" s="99"/>
      <c r="AJ719" s="99"/>
      <c r="AK719" s="99"/>
      <c r="AL719" s="99">
        <v>21</v>
      </c>
      <c r="AM719" s="99"/>
      <c r="AN719" s="99"/>
      <c r="AO719" s="99"/>
      <c r="AP719" s="99">
        <f>12+15</f>
        <v>27</v>
      </c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22">
        <f t="shared" si="205"/>
        <v>49</v>
      </c>
      <c r="BC719" s="23">
        <v>121</v>
      </c>
      <c r="BD719" s="130">
        <f t="shared" si="206"/>
        <v>49</v>
      </c>
      <c r="BE719" s="130">
        <f t="shared" si="207"/>
        <v>121</v>
      </c>
      <c r="BF719" s="195">
        <f t="shared" si="208"/>
        <v>40.495867768595041</v>
      </c>
      <c r="BG719" s="373">
        <f>BE719-BD719</f>
        <v>72</v>
      </c>
    </row>
    <row r="720" spans="1:59" s="21" customFormat="1" ht="15.95" customHeight="1">
      <c r="A720" s="236">
        <v>48</v>
      </c>
      <c r="B720" s="9" t="s">
        <v>2290</v>
      </c>
      <c r="C720" s="11" t="s">
        <v>2291</v>
      </c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22">
        <f t="shared" si="204"/>
        <v>0</v>
      </c>
      <c r="AC720" s="25">
        <v>0</v>
      </c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>
        <v>1</v>
      </c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2">
        <f t="shared" si="205"/>
        <v>1</v>
      </c>
      <c r="BC720" s="23">
        <v>2</v>
      </c>
      <c r="BD720" s="130">
        <f t="shared" si="206"/>
        <v>1</v>
      </c>
      <c r="BE720" s="130">
        <f t="shared" si="207"/>
        <v>2</v>
      </c>
      <c r="BF720" s="195">
        <f t="shared" si="208"/>
        <v>50</v>
      </c>
      <c r="BG720" s="373">
        <f>BE720-BD720</f>
        <v>1</v>
      </c>
    </row>
    <row r="721" spans="1:59" s="21" customFormat="1" ht="15.95" customHeight="1">
      <c r="A721" s="236">
        <v>49</v>
      </c>
      <c r="B721" s="9" t="s">
        <v>3915</v>
      </c>
      <c r="C721" s="11" t="s">
        <v>3916</v>
      </c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22">
        <f t="shared" si="204"/>
        <v>0</v>
      </c>
      <c r="AC721" s="25">
        <v>0</v>
      </c>
      <c r="AD721" s="24"/>
      <c r="AE721" s="24"/>
      <c r="AF721" s="24"/>
      <c r="AG721" s="24"/>
      <c r="AH721" s="24"/>
      <c r="AI721" s="24"/>
      <c r="AJ721" s="24"/>
      <c r="AK721" s="24"/>
      <c r="AL721" s="24">
        <v>1</v>
      </c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2">
        <f t="shared" si="205"/>
        <v>1</v>
      </c>
      <c r="BC721" s="23">
        <v>0</v>
      </c>
      <c r="BD721" s="130">
        <f t="shared" si="206"/>
        <v>1</v>
      </c>
      <c r="BE721" s="130">
        <f t="shared" si="207"/>
        <v>0</v>
      </c>
      <c r="BF721" s="195" t="e">
        <f t="shared" si="208"/>
        <v>#DIV/0!</v>
      </c>
      <c r="BG721" s="373"/>
    </row>
    <row r="722" spans="1:59" s="21" customFormat="1" ht="15.95" customHeight="1">
      <c r="A722" s="236">
        <v>50</v>
      </c>
      <c r="B722" s="9" t="s">
        <v>441</v>
      </c>
      <c r="C722" s="10" t="s">
        <v>442</v>
      </c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22">
        <f t="shared" si="204"/>
        <v>0</v>
      </c>
      <c r="AC722" s="25">
        <v>0</v>
      </c>
      <c r="AD722" s="24"/>
      <c r="AE722" s="24"/>
      <c r="AF722" s="24"/>
      <c r="AG722" s="24"/>
      <c r="AH722" s="24"/>
      <c r="AI722" s="24"/>
      <c r="AJ722" s="24"/>
      <c r="AK722" s="24"/>
      <c r="AL722" s="24">
        <v>3</v>
      </c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2">
        <f t="shared" si="205"/>
        <v>3</v>
      </c>
      <c r="BC722" s="23">
        <v>2</v>
      </c>
      <c r="BD722" s="130">
        <f t="shared" si="206"/>
        <v>3</v>
      </c>
      <c r="BE722" s="130">
        <f t="shared" si="207"/>
        <v>2</v>
      </c>
      <c r="BF722" s="195">
        <f t="shared" si="208"/>
        <v>150</v>
      </c>
      <c r="BG722" s="373">
        <f t="shared" ref="BG722:BG727" si="209">BE722-BD722</f>
        <v>-1</v>
      </c>
    </row>
    <row r="723" spans="1:59" s="21" customFormat="1" ht="15.95" customHeight="1">
      <c r="A723" s="236">
        <v>51</v>
      </c>
      <c r="B723" s="9" t="s">
        <v>443</v>
      </c>
      <c r="C723" s="11" t="s">
        <v>444</v>
      </c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22">
        <f t="shared" si="204"/>
        <v>0</v>
      </c>
      <c r="AC723" s="25">
        <v>0</v>
      </c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>
        <v>1</v>
      </c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2">
        <f t="shared" si="205"/>
        <v>1</v>
      </c>
      <c r="BC723" s="23">
        <v>2</v>
      </c>
      <c r="BD723" s="130">
        <f t="shared" si="206"/>
        <v>1</v>
      </c>
      <c r="BE723" s="130">
        <f t="shared" si="207"/>
        <v>2</v>
      </c>
      <c r="BF723" s="195">
        <f t="shared" si="208"/>
        <v>50</v>
      </c>
      <c r="BG723" s="373">
        <f t="shared" si="209"/>
        <v>1</v>
      </c>
    </row>
    <row r="724" spans="1:59" s="21" customFormat="1" ht="15.95" customHeight="1">
      <c r="A724" s="236">
        <v>52</v>
      </c>
      <c r="B724" s="9" t="s">
        <v>445</v>
      </c>
      <c r="C724" s="11" t="s">
        <v>446</v>
      </c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22">
        <f t="shared" si="204"/>
        <v>0</v>
      </c>
      <c r="AC724" s="25">
        <v>0</v>
      </c>
      <c r="AD724" s="24"/>
      <c r="AE724" s="24"/>
      <c r="AF724" s="24"/>
      <c r="AG724" s="24"/>
      <c r="AH724" s="24">
        <v>1</v>
      </c>
      <c r="AI724" s="24"/>
      <c r="AJ724" s="24"/>
      <c r="AK724" s="24"/>
      <c r="AL724" s="24">
        <v>20</v>
      </c>
      <c r="AM724" s="24"/>
      <c r="AN724" s="24"/>
      <c r="AO724" s="24"/>
      <c r="AP724" s="24">
        <f>8+10</f>
        <v>18</v>
      </c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2">
        <f t="shared" si="205"/>
        <v>39</v>
      </c>
      <c r="BC724" s="23">
        <v>98</v>
      </c>
      <c r="BD724" s="130">
        <f t="shared" si="206"/>
        <v>39</v>
      </c>
      <c r="BE724" s="130">
        <f t="shared" si="207"/>
        <v>98</v>
      </c>
      <c r="BF724" s="195">
        <f t="shared" si="208"/>
        <v>39.795918367346935</v>
      </c>
      <c r="BG724" s="373">
        <f t="shared" si="209"/>
        <v>59</v>
      </c>
    </row>
    <row r="725" spans="1:59" s="21" customFormat="1" ht="15.95" customHeight="1">
      <c r="A725" s="236">
        <v>53</v>
      </c>
      <c r="B725" s="9" t="s">
        <v>3434</v>
      </c>
      <c r="C725" s="11" t="s">
        <v>3435</v>
      </c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22">
        <f t="shared" si="204"/>
        <v>0</v>
      </c>
      <c r="AC725" s="25">
        <v>0</v>
      </c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2">
        <f t="shared" si="205"/>
        <v>0</v>
      </c>
      <c r="BC725" s="23">
        <v>3</v>
      </c>
      <c r="BD725" s="130">
        <f t="shared" si="206"/>
        <v>0</v>
      </c>
      <c r="BE725" s="130">
        <f t="shared" si="207"/>
        <v>3</v>
      </c>
      <c r="BF725" s="195">
        <f t="shared" si="208"/>
        <v>0</v>
      </c>
      <c r="BG725" s="373">
        <f t="shared" si="209"/>
        <v>3</v>
      </c>
    </row>
    <row r="726" spans="1:59" s="21" customFormat="1" ht="15.95" customHeight="1">
      <c r="A726" s="236">
        <v>54</v>
      </c>
      <c r="B726" s="9" t="s">
        <v>3338</v>
      </c>
      <c r="C726" s="11" t="s">
        <v>3339</v>
      </c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22">
        <f t="shared" si="204"/>
        <v>0</v>
      </c>
      <c r="AC726" s="25">
        <v>0</v>
      </c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>
        <v>1</v>
      </c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2">
        <f t="shared" si="205"/>
        <v>1</v>
      </c>
      <c r="BC726" s="23">
        <v>4</v>
      </c>
      <c r="BD726" s="130">
        <f t="shared" si="206"/>
        <v>1</v>
      </c>
      <c r="BE726" s="130">
        <f t="shared" si="207"/>
        <v>4</v>
      </c>
      <c r="BF726" s="195">
        <f t="shared" si="208"/>
        <v>25</v>
      </c>
      <c r="BG726" s="373">
        <f t="shared" si="209"/>
        <v>3</v>
      </c>
    </row>
    <row r="727" spans="1:59" s="21" customFormat="1" ht="15.95" customHeight="1">
      <c r="A727" s="236">
        <v>55</v>
      </c>
      <c r="B727" s="9" t="s">
        <v>3338</v>
      </c>
      <c r="C727" s="11" t="s">
        <v>3339</v>
      </c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22">
        <f t="shared" si="204"/>
        <v>0</v>
      </c>
      <c r="AC727" s="25">
        <v>0</v>
      </c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2">
        <f t="shared" si="205"/>
        <v>0</v>
      </c>
      <c r="BC727" s="23">
        <v>1</v>
      </c>
      <c r="BD727" s="130">
        <f t="shared" si="206"/>
        <v>0</v>
      </c>
      <c r="BE727" s="130">
        <f t="shared" si="207"/>
        <v>1</v>
      </c>
      <c r="BF727" s="195">
        <f t="shared" si="208"/>
        <v>0</v>
      </c>
      <c r="BG727" s="373">
        <f t="shared" si="209"/>
        <v>1</v>
      </c>
    </row>
    <row r="728" spans="1:59" s="21" customFormat="1" ht="15.95" customHeight="1">
      <c r="A728" s="236">
        <v>56</v>
      </c>
      <c r="B728" s="9" t="s">
        <v>3951</v>
      </c>
      <c r="C728" s="11" t="s">
        <v>3952</v>
      </c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22">
        <f t="shared" si="204"/>
        <v>0</v>
      </c>
      <c r="AC728" s="25">
        <v>0</v>
      </c>
      <c r="AD728" s="24"/>
      <c r="AE728" s="24"/>
      <c r="AF728" s="24"/>
      <c r="AG728" s="24"/>
      <c r="AH728" s="24"/>
      <c r="AI728" s="24"/>
      <c r="AJ728" s="24"/>
      <c r="AK728" s="24"/>
      <c r="AL728" s="24">
        <v>3</v>
      </c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2">
        <f t="shared" si="205"/>
        <v>3</v>
      </c>
      <c r="BC728" s="23">
        <v>0</v>
      </c>
      <c r="BD728" s="130">
        <f t="shared" si="206"/>
        <v>3</v>
      </c>
      <c r="BE728" s="130">
        <f t="shared" si="207"/>
        <v>0</v>
      </c>
      <c r="BF728" s="195" t="e">
        <f t="shared" si="208"/>
        <v>#DIV/0!</v>
      </c>
      <c r="BG728" s="373"/>
    </row>
    <row r="729" spans="1:59" s="21" customFormat="1" ht="15.95" customHeight="1">
      <c r="A729" s="236">
        <v>57</v>
      </c>
      <c r="B729" s="9" t="s">
        <v>2396</v>
      </c>
      <c r="C729" s="11" t="s">
        <v>2397</v>
      </c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22">
        <f t="shared" si="204"/>
        <v>0</v>
      </c>
      <c r="AC729" s="25">
        <v>0</v>
      </c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2">
        <f t="shared" si="205"/>
        <v>0</v>
      </c>
      <c r="BC729" s="23">
        <v>2</v>
      </c>
      <c r="BD729" s="130">
        <f t="shared" si="206"/>
        <v>0</v>
      </c>
      <c r="BE729" s="130">
        <f t="shared" si="207"/>
        <v>2</v>
      </c>
      <c r="BF729" s="195">
        <f t="shared" si="208"/>
        <v>0</v>
      </c>
      <c r="BG729" s="373">
        <f>BE729-BD729</f>
        <v>2</v>
      </c>
    </row>
    <row r="730" spans="1:59" s="21" customFormat="1" ht="15.95" customHeight="1">
      <c r="A730" s="236">
        <v>58</v>
      </c>
      <c r="B730" s="9" t="s">
        <v>8</v>
      </c>
      <c r="C730" s="11" t="s">
        <v>686</v>
      </c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22">
        <f t="shared" si="204"/>
        <v>0</v>
      </c>
      <c r="AC730" s="25">
        <v>0</v>
      </c>
      <c r="AD730" s="24"/>
      <c r="AE730" s="24"/>
      <c r="AF730" s="24"/>
      <c r="AG730" s="24"/>
      <c r="AH730" s="24"/>
      <c r="AI730" s="24"/>
      <c r="AJ730" s="24"/>
      <c r="AK730" s="24"/>
      <c r="AL730" s="24">
        <v>1</v>
      </c>
      <c r="AM730" s="24"/>
      <c r="AN730" s="24"/>
      <c r="AO730" s="24"/>
      <c r="AP730" s="24">
        <v>4</v>
      </c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2">
        <f t="shared" si="205"/>
        <v>5</v>
      </c>
      <c r="BC730" s="23">
        <v>6</v>
      </c>
      <c r="BD730" s="130">
        <f t="shared" si="206"/>
        <v>5</v>
      </c>
      <c r="BE730" s="130">
        <f t="shared" si="207"/>
        <v>6</v>
      </c>
      <c r="BF730" s="195">
        <f t="shared" si="208"/>
        <v>83.333333333333343</v>
      </c>
      <c r="BG730" s="373">
        <f>BE730-BD730</f>
        <v>1</v>
      </c>
    </row>
    <row r="731" spans="1:59" s="21" customFormat="1" ht="15.95" customHeight="1">
      <c r="A731" s="236">
        <v>59</v>
      </c>
      <c r="B731" s="9" t="s">
        <v>34</v>
      </c>
      <c r="C731" s="11" t="s">
        <v>1930</v>
      </c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22">
        <f t="shared" si="204"/>
        <v>0</v>
      </c>
      <c r="AC731" s="25">
        <v>0</v>
      </c>
      <c r="AD731" s="24"/>
      <c r="AE731" s="24"/>
      <c r="AF731" s="24"/>
      <c r="AG731" s="24"/>
      <c r="AH731" s="24">
        <v>1</v>
      </c>
      <c r="AI731" s="24"/>
      <c r="AJ731" s="24"/>
      <c r="AK731" s="24"/>
      <c r="AL731" s="24">
        <v>1</v>
      </c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2">
        <f t="shared" si="205"/>
        <v>2</v>
      </c>
      <c r="BC731" s="23">
        <v>11</v>
      </c>
      <c r="BD731" s="130">
        <f t="shared" si="206"/>
        <v>2</v>
      </c>
      <c r="BE731" s="130">
        <f t="shared" si="207"/>
        <v>11</v>
      </c>
      <c r="BF731" s="195">
        <f t="shared" si="208"/>
        <v>18.181818181818183</v>
      </c>
      <c r="BG731" s="373">
        <f>BE731-BD731</f>
        <v>9</v>
      </c>
    </row>
    <row r="732" spans="1:59" s="21" customFormat="1" ht="15.95" customHeight="1">
      <c r="A732" s="236">
        <v>60</v>
      </c>
      <c r="B732" s="9" t="s">
        <v>3554</v>
      </c>
      <c r="C732" s="11" t="s">
        <v>3917</v>
      </c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22">
        <f t="shared" si="204"/>
        <v>0</v>
      </c>
      <c r="AC732" s="25">
        <v>0</v>
      </c>
      <c r="AD732" s="24"/>
      <c r="AE732" s="24"/>
      <c r="AF732" s="24"/>
      <c r="AG732" s="24"/>
      <c r="AH732" s="24"/>
      <c r="AI732" s="24"/>
      <c r="AJ732" s="24"/>
      <c r="AK732" s="24"/>
      <c r="AL732" s="24">
        <v>1</v>
      </c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2">
        <f t="shared" si="205"/>
        <v>1</v>
      </c>
      <c r="BC732" s="23">
        <v>0</v>
      </c>
      <c r="BD732" s="130">
        <f t="shared" si="206"/>
        <v>1</v>
      </c>
      <c r="BE732" s="130">
        <f t="shared" si="207"/>
        <v>0</v>
      </c>
      <c r="BF732" s="195" t="e">
        <f t="shared" si="208"/>
        <v>#DIV/0!</v>
      </c>
      <c r="BG732" s="373"/>
    </row>
    <row r="733" spans="1:59" s="21" customFormat="1" ht="15.95" customHeight="1">
      <c r="A733" s="236">
        <v>61</v>
      </c>
      <c r="B733" s="79" t="s">
        <v>352</v>
      </c>
      <c r="C733" s="364" t="s">
        <v>353</v>
      </c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22">
        <f t="shared" si="204"/>
        <v>0</v>
      </c>
      <c r="AC733" s="25">
        <v>1</v>
      </c>
      <c r="AD733" s="99"/>
      <c r="AE733" s="99"/>
      <c r="AF733" s="99"/>
      <c r="AG733" s="99"/>
      <c r="AH733" s="99">
        <v>6</v>
      </c>
      <c r="AI733" s="99"/>
      <c r="AJ733" s="99"/>
      <c r="AK733" s="99"/>
      <c r="AL733" s="99">
        <v>4</v>
      </c>
      <c r="AM733" s="99"/>
      <c r="AN733" s="99"/>
      <c r="AO733" s="99"/>
      <c r="AP733" s="99"/>
      <c r="AQ733" s="99"/>
      <c r="AR733" s="99"/>
      <c r="AS733" s="99"/>
      <c r="AT733" s="99"/>
      <c r="AU733" s="99"/>
      <c r="AV733" s="99"/>
      <c r="AW733" s="99"/>
      <c r="AX733" s="99"/>
      <c r="AY733" s="99"/>
      <c r="AZ733" s="99"/>
      <c r="BA733" s="99"/>
      <c r="BB733" s="22">
        <f t="shared" si="205"/>
        <v>10</v>
      </c>
      <c r="BC733" s="23">
        <v>32</v>
      </c>
      <c r="BD733" s="130">
        <f t="shared" si="206"/>
        <v>10</v>
      </c>
      <c r="BE733" s="130">
        <f t="shared" si="207"/>
        <v>33</v>
      </c>
      <c r="BF733" s="195">
        <f t="shared" si="208"/>
        <v>30.303030303030305</v>
      </c>
      <c r="BG733" s="373">
        <f>BE733-BD733</f>
        <v>23</v>
      </c>
    </row>
    <row r="734" spans="1:59" s="21" customFormat="1" ht="15.95" customHeight="1">
      <c r="A734" s="236">
        <v>62</v>
      </c>
      <c r="B734" s="9" t="s">
        <v>2449</v>
      </c>
      <c r="C734" s="11" t="s">
        <v>2450</v>
      </c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22">
        <f t="shared" si="204"/>
        <v>0</v>
      </c>
      <c r="AC734" s="25">
        <v>0</v>
      </c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2">
        <f t="shared" si="205"/>
        <v>0</v>
      </c>
      <c r="BC734" s="23">
        <v>1</v>
      </c>
      <c r="BD734" s="130">
        <f t="shared" si="206"/>
        <v>0</v>
      </c>
      <c r="BE734" s="130">
        <f t="shared" si="207"/>
        <v>1</v>
      </c>
      <c r="BF734" s="195">
        <f t="shared" si="208"/>
        <v>0</v>
      </c>
      <c r="BG734" s="373">
        <f>BE734-BD734</f>
        <v>1</v>
      </c>
    </row>
    <row r="735" spans="1:59" s="21" customFormat="1" ht="15.95" customHeight="1">
      <c r="A735" s="236">
        <v>63</v>
      </c>
      <c r="B735" s="9" t="s">
        <v>447</v>
      </c>
      <c r="C735" s="10" t="s">
        <v>448</v>
      </c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22">
        <f t="shared" si="204"/>
        <v>0</v>
      </c>
      <c r="AC735" s="25">
        <v>0</v>
      </c>
      <c r="AD735" s="99"/>
      <c r="AE735" s="99"/>
      <c r="AF735" s="99"/>
      <c r="AG735" s="99"/>
      <c r="AH735" s="99"/>
      <c r="AI735" s="99"/>
      <c r="AJ735" s="99"/>
      <c r="AK735" s="99"/>
      <c r="AL735" s="99">
        <v>10</v>
      </c>
      <c r="AM735" s="99"/>
      <c r="AN735" s="99"/>
      <c r="AO735" s="99"/>
      <c r="AP735" s="99">
        <v>2</v>
      </c>
      <c r="AQ735" s="99"/>
      <c r="AR735" s="99"/>
      <c r="AS735" s="99"/>
      <c r="AT735" s="99"/>
      <c r="AU735" s="99"/>
      <c r="AV735" s="99"/>
      <c r="AW735" s="99"/>
      <c r="AX735" s="99"/>
      <c r="AY735" s="99"/>
      <c r="AZ735" s="99"/>
      <c r="BA735" s="99"/>
      <c r="BB735" s="22">
        <f t="shared" si="205"/>
        <v>12</v>
      </c>
      <c r="BC735" s="23">
        <v>19</v>
      </c>
      <c r="BD735" s="130">
        <f t="shared" si="206"/>
        <v>12</v>
      </c>
      <c r="BE735" s="130">
        <f t="shared" si="207"/>
        <v>19</v>
      </c>
      <c r="BF735" s="195">
        <f t="shared" si="208"/>
        <v>63.157894736842103</v>
      </c>
      <c r="BG735" s="373">
        <f>BE735-BD735</f>
        <v>7</v>
      </c>
    </row>
    <row r="736" spans="1:59" s="21" customFormat="1" ht="15.95" customHeight="1">
      <c r="A736" s="236">
        <v>64</v>
      </c>
      <c r="B736" s="9" t="s">
        <v>449</v>
      </c>
      <c r="C736" s="10" t="s">
        <v>450</v>
      </c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22">
        <f t="shared" si="204"/>
        <v>0</v>
      </c>
      <c r="AC736" s="25">
        <v>0</v>
      </c>
      <c r="AD736" s="99"/>
      <c r="AE736" s="99"/>
      <c r="AF736" s="99"/>
      <c r="AG736" s="99"/>
      <c r="AH736" s="99"/>
      <c r="AI736" s="99"/>
      <c r="AJ736" s="99"/>
      <c r="AK736" s="99"/>
      <c r="AL736" s="99">
        <v>5</v>
      </c>
      <c r="AM736" s="99"/>
      <c r="AN736" s="99"/>
      <c r="AO736" s="99"/>
      <c r="AP736" s="99">
        <f>1+5</f>
        <v>6</v>
      </c>
      <c r="AQ736" s="99"/>
      <c r="AR736" s="99"/>
      <c r="AS736" s="99"/>
      <c r="AT736" s="99"/>
      <c r="AU736" s="99"/>
      <c r="AV736" s="99"/>
      <c r="AW736" s="99"/>
      <c r="AX736" s="99"/>
      <c r="AY736" s="99"/>
      <c r="AZ736" s="99"/>
      <c r="BA736" s="99"/>
      <c r="BB736" s="22">
        <f t="shared" si="205"/>
        <v>11</v>
      </c>
      <c r="BC736" s="23">
        <v>33</v>
      </c>
      <c r="BD736" s="130">
        <f t="shared" si="206"/>
        <v>11</v>
      </c>
      <c r="BE736" s="130">
        <f t="shared" si="207"/>
        <v>33</v>
      </c>
      <c r="BF736" s="195">
        <f t="shared" si="208"/>
        <v>33.333333333333329</v>
      </c>
      <c r="BG736" s="373">
        <f>BE736-BD736</f>
        <v>22</v>
      </c>
    </row>
    <row r="737" spans="1:62" s="21" customFormat="1" ht="15.95" customHeight="1">
      <c r="A737" s="236">
        <v>65</v>
      </c>
      <c r="B737" s="9" t="s">
        <v>4127</v>
      </c>
      <c r="C737" s="10" t="s">
        <v>4128</v>
      </c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22">
        <f t="shared" ref="AB737:AB740" si="210">SUM(D737:AA737)</f>
        <v>0</v>
      </c>
      <c r="AC737" s="25">
        <v>0</v>
      </c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99">
        <v>1</v>
      </c>
      <c r="AQ737" s="99"/>
      <c r="AR737" s="99"/>
      <c r="AS737" s="99"/>
      <c r="AT737" s="99"/>
      <c r="AU737" s="99"/>
      <c r="AV737" s="99"/>
      <c r="AW737" s="99"/>
      <c r="AX737" s="99"/>
      <c r="AY737" s="99"/>
      <c r="AZ737" s="99"/>
      <c r="BA737" s="99"/>
      <c r="BB737" s="22">
        <f t="shared" ref="BB737:BB740" si="211">SUM(AD737:BA737)</f>
        <v>1</v>
      </c>
      <c r="BC737" s="23">
        <v>0</v>
      </c>
      <c r="BD737" s="130">
        <f t="shared" si="206"/>
        <v>1</v>
      </c>
      <c r="BE737" s="130">
        <f t="shared" si="207"/>
        <v>0</v>
      </c>
      <c r="BF737" s="195" t="e">
        <f t="shared" ref="BF737:BF740" si="212">BD737/BE737*100</f>
        <v>#DIV/0!</v>
      </c>
      <c r="BG737" s="373"/>
    </row>
    <row r="738" spans="1:62" s="21" customFormat="1" ht="15.95" customHeight="1">
      <c r="A738" s="236">
        <v>66</v>
      </c>
      <c r="B738" s="220" t="s">
        <v>1448</v>
      </c>
      <c r="C738" s="221" t="s">
        <v>1449</v>
      </c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22">
        <f t="shared" si="210"/>
        <v>0</v>
      </c>
      <c r="AC738" s="25">
        <v>0</v>
      </c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2">
        <f t="shared" si="211"/>
        <v>0</v>
      </c>
      <c r="BC738" s="23">
        <v>0</v>
      </c>
      <c r="BD738" s="130">
        <f t="shared" si="206"/>
        <v>0</v>
      </c>
      <c r="BE738" s="130">
        <f t="shared" si="207"/>
        <v>0</v>
      </c>
      <c r="BF738" s="195" t="e">
        <f t="shared" si="212"/>
        <v>#DIV/0!</v>
      </c>
      <c r="BG738" s="373">
        <f>BE738-BD738</f>
        <v>0</v>
      </c>
    </row>
    <row r="739" spans="1:62" s="21" customFormat="1" ht="15.95" customHeight="1">
      <c r="A739" s="236">
        <v>67</v>
      </c>
      <c r="B739" s="9" t="s">
        <v>3436</v>
      </c>
      <c r="C739" s="11" t="s">
        <v>3437</v>
      </c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22">
        <f t="shared" si="210"/>
        <v>0</v>
      </c>
      <c r="AC739" s="25">
        <v>0</v>
      </c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2">
        <f t="shared" si="211"/>
        <v>0</v>
      </c>
      <c r="BC739" s="23">
        <v>1</v>
      </c>
      <c r="BD739" s="130">
        <f t="shared" si="206"/>
        <v>0</v>
      </c>
      <c r="BE739" s="130">
        <f t="shared" si="207"/>
        <v>1</v>
      </c>
      <c r="BF739" s="195">
        <f t="shared" si="212"/>
        <v>0</v>
      </c>
      <c r="BG739" s="373">
        <f>BE739-BD739</f>
        <v>1</v>
      </c>
    </row>
    <row r="740" spans="1:62" s="21" customFormat="1" ht="15.95" customHeight="1">
      <c r="A740" s="236">
        <v>68</v>
      </c>
      <c r="B740" s="9" t="s">
        <v>672</v>
      </c>
      <c r="C740" s="18" t="s">
        <v>673</v>
      </c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22">
        <f t="shared" si="210"/>
        <v>0</v>
      </c>
      <c r="AC740" s="25">
        <v>0</v>
      </c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2">
        <f t="shared" si="211"/>
        <v>0</v>
      </c>
      <c r="BC740" s="23">
        <v>2</v>
      </c>
      <c r="BD740" s="130">
        <f t="shared" si="206"/>
        <v>0</v>
      </c>
      <c r="BE740" s="130">
        <f t="shared" si="207"/>
        <v>2</v>
      </c>
      <c r="BF740" s="195">
        <f t="shared" si="212"/>
        <v>0</v>
      </c>
      <c r="BG740" s="373">
        <f>BE740-BD740</f>
        <v>2</v>
      </c>
    </row>
    <row r="741" spans="1:62" s="21" customFormat="1" ht="15.95" customHeight="1">
      <c r="A741" s="623" t="s">
        <v>451</v>
      </c>
      <c r="B741" s="624"/>
      <c r="C741" s="624"/>
      <c r="D741" s="159">
        <f t="shared" ref="D741:AI741" si="213">SUM(D742:D845)</f>
        <v>5</v>
      </c>
      <c r="E741" s="159">
        <f t="shared" si="213"/>
        <v>0</v>
      </c>
      <c r="F741" s="159">
        <f t="shared" si="213"/>
        <v>0</v>
      </c>
      <c r="G741" s="159">
        <f t="shared" si="213"/>
        <v>0</v>
      </c>
      <c r="H741" s="159">
        <f t="shared" si="213"/>
        <v>6</v>
      </c>
      <c r="I741" s="159">
        <f t="shared" si="213"/>
        <v>0</v>
      </c>
      <c r="J741" s="159">
        <f t="shared" si="213"/>
        <v>0</v>
      </c>
      <c r="K741" s="159">
        <f t="shared" si="213"/>
        <v>0</v>
      </c>
      <c r="L741" s="159">
        <f t="shared" si="213"/>
        <v>0</v>
      </c>
      <c r="M741" s="159">
        <f t="shared" si="213"/>
        <v>0</v>
      </c>
      <c r="N741" s="159">
        <f t="shared" si="213"/>
        <v>0</v>
      </c>
      <c r="O741" s="159">
        <f t="shared" si="213"/>
        <v>0</v>
      </c>
      <c r="P741" s="159">
        <f t="shared" si="213"/>
        <v>0</v>
      </c>
      <c r="Q741" s="159">
        <f t="shared" si="213"/>
        <v>0</v>
      </c>
      <c r="R741" s="159">
        <f t="shared" si="213"/>
        <v>0</v>
      </c>
      <c r="S741" s="159">
        <f t="shared" si="213"/>
        <v>0</v>
      </c>
      <c r="T741" s="159">
        <f t="shared" si="213"/>
        <v>0</v>
      </c>
      <c r="U741" s="159">
        <f t="shared" si="213"/>
        <v>0</v>
      </c>
      <c r="V741" s="159">
        <f t="shared" si="213"/>
        <v>0</v>
      </c>
      <c r="W741" s="159">
        <f t="shared" si="213"/>
        <v>0</v>
      </c>
      <c r="X741" s="159">
        <f t="shared" si="213"/>
        <v>0</v>
      </c>
      <c r="Y741" s="159">
        <f t="shared" si="213"/>
        <v>0</v>
      </c>
      <c r="Z741" s="159">
        <f t="shared" si="213"/>
        <v>0</v>
      </c>
      <c r="AA741" s="159">
        <f t="shared" si="213"/>
        <v>0</v>
      </c>
      <c r="AB741" s="159">
        <f t="shared" si="213"/>
        <v>11</v>
      </c>
      <c r="AC741" s="161">
        <f t="shared" si="213"/>
        <v>14</v>
      </c>
      <c r="AD741" s="160">
        <f t="shared" si="213"/>
        <v>0</v>
      </c>
      <c r="AE741" s="160">
        <f t="shared" si="213"/>
        <v>0</v>
      </c>
      <c r="AF741" s="160">
        <f t="shared" si="213"/>
        <v>0</v>
      </c>
      <c r="AG741" s="160">
        <f t="shared" si="213"/>
        <v>0</v>
      </c>
      <c r="AH741" s="160">
        <f t="shared" si="213"/>
        <v>40</v>
      </c>
      <c r="AI741" s="160">
        <f t="shared" si="213"/>
        <v>0</v>
      </c>
      <c r="AJ741" s="160">
        <f t="shared" ref="AJ741:BC741" si="214">SUM(AJ742:AJ845)</f>
        <v>0</v>
      </c>
      <c r="AK741" s="160">
        <f t="shared" si="214"/>
        <v>0</v>
      </c>
      <c r="AL741" s="160">
        <f t="shared" si="214"/>
        <v>132</v>
      </c>
      <c r="AM741" s="160">
        <f t="shared" si="214"/>
        <v>0</v>
      </c>
      <c r="AN741" s="160">
        <f t="shared" si="214"/>
        <v>0</v>
      </c>
      <c r="AO741" s="160">
        <f t="shared" si="214"/>
        <v>0</v>
      </c>
      <c r="AP741" s="160">
        <f t="shared" si="214"/>
        <v>123</v>
      </c>
      <c r="AQ741" s="160">
        <f t="shared" si="214"/>
        <v>0</v>
      </c>
      <c r="AR741" s="160">
        <f t="shared" si="214"/>
        <v>0</v>
      </c>
      <c r="AS741" s="160">
        <f t="shared" si="214"/>
        <v>0</v>
      </c>
      <c r="AT741" s="160">
        <f t="shared" si="214"/>
        <v>0</v>
      </c>
      <c r="AU741" s="160">
        <f t="shared" si="214"/>
        <v>0</v>
      </c>
      <c r="AV741" s="160">
        <f t="shared" si="214"/>
        <v>0</v>
      </c>
      <c r="AW741" s="160">
        <f t="shared" si="214"/>
        <v>0</v>
      </c>
      <c r="AX741" s="160">
        <f t="shared" si="214"/>
        <v>0</v>
      </c>
      <c r="AY741" s="160">
        <f t="shared" si="214"/>
        <v>0</v>
      </c>
      <c r="AZ741" s="160">
        <f t="shared" si="214"/>
        <v>0</v>
      </c>
      <c r="BA741" s="160">
        <f t="shared" si="214"/>
        <v>0</v>
      </c>
      <c r="BB741" s="160">
        <f t="shared" si="214"/>
        <v>295</v>
      </c>
      <c r="BC741" s="103">
        <f t="shared" si="214"/>
        <v>658</v>
      </c>
      <c r="BD741" s="130">
        <f t="shared" ref="BD741" si="215">AB741+BB741</f>
        <v>306</v>
      </c>
      <c r="BE741" s="130">
        <f t="shared" ref="BE741" si="216">AC741+BC741</f>
        <v>672</v>
      </c>
      <c r="BF741" s="195">
        <f t="shared" ref="BF741" si="217">BD741/BE741*100</f>
        <v>45.535714285714285</v>
      </c>
      <c r="BG741" s="374">
        <f t="shared" ref="BG741" si="218">BE741-BD741</f>
        <v>366</v>
      </c>
      <c r="BH741" s="21">
        <v>694</v>
      </c>
      <c r="BI741" s="21">
        <v>306</v>
      </c>
      <c r="BJ741" s="343">
        <f>BI741-BD741</f>
        <v>0</v>
      </c>
    </row>
    <row r="742" spans="1:62" s="21" customFormat="1" ht="15.75" customHeight="1">
      <c r="A742" s="163">
        <v>1</v>
      </c>
      <c r="B742" s="9" t="s">
        <v>144</v>
      </c>
      <c r="C742" s="11" t="s">
        <v>145</v>
      </c>
      <c r="D742" s="14">
        <v>2</v>
      </c>
      <c r="E742" s="14"/>
      <c r="F742" s="14"/>
      <c r="G742" s="14"/>
      <c r="H742" s="14">
        <v>1</v>
      </c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22">
        <f t="shared" ref="AB742:AB773" si="219">SUM(D742:AA742)</f>
        <v>3</v>
      </c>
      <c r="AC742" s="25">
        <v>1</v>
      </c>
      <c r="AD742" s="24"/>
      <c r="AE742" s="24"/>
      <c r="AF742" s="24"/>
      <c r="AG742" s="24"/>
      <c r="AH742" s="24"/>
      <c r="AI742" s="24"/>
      <c r="AJ742" s="24"/>
      <c r="AK742" s="24"/>
      <c r="AL742" s="24">
        <v>2</v>
      </c>
      <c r="AM742" s="24"/>
      <c r="AN742" s="24"/>
      <c r="AO742" s="24"/>
      <c r="AP742" s="24">
        <v>1</v>
      </c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2">
        <f t="shared" ref="BB742:BB773" si="220">SUM(AD742:BA742)</f>
        <v>3</v>
      </c>
      <c r="BC742" s="23">
        <v>0</v>
      </c>
      <c r="BD742" s="130">
        <f t="shared" ref="BD742:BD773" si="221">AB742+BB742</f>
        <v>6</v>
      </c>
      <c r="BE742" s="130">
        <f t="shared" ref="BE742:BE773" si="222">AC742+BC742</f>
        <v>1</v>
      </c>
      <c r="BF742" s="195">
        <f t="shared" ref="BF742:BF773" si="223">BD742/BE742*100</f>
        <v>600</v>
      </c>
      <c r="BG742" s="373">
        <f>BE742-BD742</f>
        <v>-5</v>
      </c>
    </row>
    <row r="743" spans="1:62" s="21" customFormat="1" ht="15.75" customHeight="1">
      <c r="A743" s="163">
        <v>2</v>
      </c>
      <c r="B743" s="9" t="s">
        <v>638</v>
      </c>
      <c r="C743" s="11" t="s">
        <v>4095</v>
      </c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22">
        <f t="shared" si="219"/>
        <v>0</v>
      </c>
      <c r="AC743" s="25">
        <v>0</v>
      </c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>
        <v>1</v>
      </c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2">
        <f t="shared" si="220"/>
        <v>1</v>
      </c>
      <c r="BC743" s="23">
        <v>0</v>
      </c>
      <c r="BD743" s="130">
        <f t="shared" si="221"/>
        <v>1</v>
      </c>
      <c r="BE743" s="130">
        <f t="shared" si="222"/>
        <v>0</v>
      </c>
      <c r="BF743" s="195" t="e">
        <f t="shared" si="223"/>
        <v>#DIV/0!</v>
      </c>
      <c r="BG743" s="373"/>
    </row>
    <row r="744" spans="1:62" s="21" customFormat="1" ht="15.95" customHeight="1">
      <c r="A744" s="163">
        <v>3</v>
      </c>
      <c r="B744" s="9" t="s">
        <v>613</v>
      </c>
      <c r="C744" s="11" t="s">
        <v>614</v>
      </c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22">
        <f t="shared" si="219"/>
        <v>0</v>
      </c>
      <c r="AC744" s="25">
        <v>0</v>
      </c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2">
        <f t="shared" si="220"/>
        <v>0</v>
      </c>
      <c r="BC744" s="23">
        <v>1</v>
      </c>
      <c r="BD744" s="130">
        <f t="shared" si="221"/>
        <v>0</v>
      </c>
      <c r="BE744" s="130">
        <f t="shared" si="222"/>
        <v>1</v>
      </c>
      <c r="BF744" s="195">
        <f t="shared" si="223"/>
        <v>0</v>
      </c>
      <c r="BG744" s="373">
        <f>BE744-BD744</f>
        <v>1</v>
      </c>
    </row>
    <row r="745" spans="1:62" s="21" customFormat="1" ht="15.95" customHeight="1">
      <c r="A745" s="163">
        <v>4</v>
      </c>
      <c r="B745" s="9" t="s">
        <v>452</v>
      </c>
      <c r="C745" s="10" t="s">
        <v>453</v>
      </c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22">
        <f t="shared" si="219"/>
        <v>0</v>
      </c>
      <c r="AC745" s="25">
        <v>0</v>
      </c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2">
        <f t="shared" si="220"/>
        <v>0</v>
      </c>
      <c r="BC745" s="23">
        <v>3</v>
      </c>
      <c r="BD745" s="130">
        <f t="shared" si="221"/>
        <v>0</v>
      </c>
      <c r="BE745" s="130">
        <f t="shared" si="222"/>
        <v>3</v>
      </c>
      <c r="BF745" s="195">
        <f t="shared" si="223"/>
        <v>0</v>
      </c>
      <c r="BG745" s="373">
        <f>BE745-BD745</f>
        <v>3</v>
      </c>
    </row>
    <row r="746" spans="1:62" s="21" customFormat="1" ht="15.95" customHeight="1">
      <c r="A746" s="163">
        <v>5</v>
      </c>
      <c r="B746" s="9" t="s">
        <v>32</v>
      </c>
      <c r="C746" s="10" t="s">
        <v>33</v>
      </c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22">
        <f t="shared" si="219"/>
        <v>0</v>
      </c>
      <c r="AC746" s="25">
        <v>0</v>
      </c>
      <c r="AD746" s="24"/>
      <c r="AE746" s="24"/>
      <c r="AF746" s="24"/>
      <c r="AG746" s="24"/>
      <c r="AH746" s="24">
        <v>2</v>
      </c>
      <c r="AI746" s="24"/>
      <c r="AJ746" s="24"/>
      <c r="AK746" s="24"/>
      <c r="AL746" s="24">
        <v>6</v>
      </c>
      <c r="AM746" s="24"/>
      <c r="AN746" s="24"/>
      <c r="AO746" s="24"/>
      <c r="AP746" s="24">
        <v>10</v>
      </c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2">
        <f t="shared" si="220"/>
        <v>18</v>
      </c>
      <c r="BC746" s="23">
        <v>0</v>
      </c>
      <c r="BD746" s="130">
        <f t="shared" si="221"/>
        <v>18</v>
      </c>
      <c r="BE746" s="130">
        <f t="shared" si="222"/>
        <v>0</v>
      </c>
      <c r="BF746" s="195" t="e">
        <f t="shared" si="223"/>
        <v>#DIV/0!</v>
      </c>
      <c r="BG746" s="373"/>
    </row>
    <row r="747" spans="1:62" s="21" customFormat="1" ht="15.95" customHeight="1">
      <c r="A747" s="163">
        <v>6</v>
      </c>
      <c r="B747" s="9" t="s">
        <v>615</v>
      </c>
      <c r="C747" s="10" t="s">
        <v>616</v>
      </c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22">
        <f t="shared" si="219"/>
        <v>0</v>
      </c>
      <c r="AC747" s="25">
        <v>0</v>
      </c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>
        <v>1</v>
      </c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2">
        <f t="shared" si="220"/>
        <v>1</v>
      </c>
      <c r="BC747" s="23">
        <v>0</v>
      </c>
      <c r="BD747" s="130">
        <f t="shared" si="221"/>
        <v>1</v>
      </c>
      <c r="BE747" s="130">
        <f t="shared" si="222"/>
        <v>0</v>
      </c>
      <c r="BF747" s="195" t="e">
        <f t="shared" si="223"/>
        <v>#DIV/0!</v>
      </c>
      <c r="BG747" s="373"/>
    </row>
    <row r="748" spans="1:62" s="21" customFormat="1" ht="15.95" customHeight="1">
      <c r="A748" s="163">
        <v>7</v>
      </c>
      <c r="B748" s="9" t="s">
        <v>163</v>
      </c>
      <c r="C748" s="11" t="s">
        <v>2398</v>
      </c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22">
        <f t="shared" si="219"/>
        <v>0</v>
      </c>
      <c r="AC748" s="25">
        <v>0</v>
      </c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2">
        <f t="shared" si="220"/>
        <v>0</v>
      </c>
      <c r="BC748" s="23">
        <v>1</v>
      </c>
      <c r="BD748" s="130">
        <f t="shared" si="221"/>
        <v>0</v>
      </c>
      <c r="BE748" s="130">
        <f t="shared" si="222"/>
        <v>1</v>
      </c>
      <c r="BF748" s="195">
        <f t="shared" si="223"/>
        <v>0</v>
      </c>
      <c r="BG748" s="373">
        <f t="shared" ref="BG748:BG758" si="224">BE748-BD748</f>
        <v>1</v>
      </c>
    </row>
    <row r="749" spans="1:62" s="21" customFormat="1" ht="15.95" customHeight="1">
      <c r="A749" s="163">
        <v>8</v>
      </c>
      <c r="B749" s="9" t="s">
        <v>241</v>
      </c>
      <c r="C749" s="11" t="s">
        <v>242</v>
      </c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22">
        <f t="shared" si="219"/>
        <v>0</v>
      </c>
      <c r="AC749" s="25">
        <v>0</v>
      </c>
      <c r="AD749" s="24"/>
      <c r="AE749" s="24"/>
      <c r="AF749" s="24"/>
      <c r="AG749" s="24"/>
      <c r="AH749" s="24">
        <v>1</v>
      </c>
      <c r="AI749" s="24"/>
      <c r="AJ749" s="24"/>
      <c r="AK749" s="24"/>
      <c r="AL749" s="24">
        <v>1</v>
      </c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2">
        <f t="shared" si="220"/>
        <v>2</v>
      </c>
      <c r="BC749" s="23">
        <v>2</v>
      </c>
      <c r="BD749" s="130">
        <f t="shared" si="221"/>
        <v>2</v>
      </c>
      <c r="BE749" s="130">
        <f t="shared" si="222"/>
        <v>2</v>
      </c>
      <c r="BF749" s="195">
        <f t="shared" si="223"/>
        <v>100</v>
      </c>
      <c r="BG749" s="373">
        <f t="shared" si="224"/>
        <v>0</v>
      </c>
    </row>
    <row r="750" spans="1:62" s="21" customFormat="1" ht="15.95" customHeight="1">
      <c r="A750" s="163">
        <v>9</v>
      </c>
      <c r="B750" s="9" t="s">
        <v>2940</v>
      </c>
      <c r="C750" s="10" t="s">
        <v>2941</v>
      </c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22">
        <f t="shared" si="219"/>
        <v>0</v>
      </c>
      <c r="AC750" s="25">
        <v>0</v>
      </c>
      <c r="AD750" s="24"/>
      <c r="AE750" s="24"/>
      <c r="AF750" s="24"/>
      <c r="AG750" s="24"/>
      <c r="AH750" s="24">
        <v>2</v>
      </c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2">
        <f t="shared" si="220"/>
        <v>2</v>
      </c>
      <c r="BC750" s="23">
        <v>1</v>
      </c>
      <c r="BD750" s="130">
        <f t="shared" si="221"/>
        <v>2</v>
      </c>
      <c r="BE750" s="130">
        <f t="shared" si="222"/>
        <v>1</v>
      </c>
      <c r="BF750" s="195">
        <f t="shared" si="223"/>
        <v>200</v>
      </c>
      <c r="BG750" s="373">
        <f t="shared" si="224"/>
        <v>-1</v>
      </c>
    </row>
    <row r="751" spans="1:62" s="21" customFormat="1" ht="15.95" customHeight="1">
      <c r="A751" s="163">
        <v>10</v>
      </c>
      <c r="B751" s="9" t="s">
        <v>244</v>
      </c>
      <c r="C751" s="10" t="s">
        <v>2675</v>
      </c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22">
        <f t="shared" si="219"/>
        <v>0</v>
      </c>
      <c r="AC751" s="25">
        <v>0</v>
      </c>
      <c r="AD751" s="24"/>
      <c r="AE751" s="24"/>
      <c r="AF751" s="24"/>
      <c r="AG751" s="24"/>
      <c r="AH751" s="24"/>
      <c r="AI751" s="24"/>
      <c r="AJ751" s="24"/>
      <c r="AK751" s="24"/>
      <c r="AL751" s="24">
        <v>1</v>
      </c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2">
        <f t="shared" si="220"/>
        <v>1</v>
      </c>
      <c r="BC751" s="23">
        <v>1</v>
      </c>
      <c r="BD751" s="130">
        <f t="shared" si="221"/>
        <v>1</v>
      </c>
      <c r="BE751" s="130">
        <f t="shared" si="222"/>
        <v>1</v>
      </c>
      <c r="BF751" s="195">
        <f t="shared" si="223"/>
        <v>100</v>
      </c>
      <c r="BG751" s="373">
        <f t="shared" si="224"/>
        <v>0</v>
      </c>
    </row>
    <row r="752" spans="1:62" s="21" customFormat="1" ht="15.95" customHeight="1">
      <c r="A752" s="163">
        <v>11</v>
      </c>
      <c r="B752" s="9" t="s">
        <v>246</v>
      </c>
      <c r="C752" s="10" t="s">
        <v>247</v>
      </c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22">
        <f t="shared" si="219"/>
        <v>0</v>
      </c>
      <c r="AC752" s="25">
        <v>0</v>
      </c>
      <c r="AD752" s="24"/>
      <c r="AE752" s="24"/>
      <c r="AF752" s="24"/>
      <c r="AG752" s="24"/>
      <c r="AH752" s="24"/>
      <c r="AI752" s="24"/>
      <c r="AJ752" s="24"/>
      <c r="AK752" s="24"/>
      <c r="AL752" s="24">
        <f>1+1</f>
        <v>2</v>
      </c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2">
        <f t="shared" si="220"/>
        <v>2</v>
      </c>
      <c r="BC752" s="23">
        <v>6</v>
      </c>
      <c r="BD752" s="130">
        <f t="shared" si="221"/>
        <v>2</v>
      </c>
      <c r="BE752" s="130">
        <f t="shared" si="222"/>
        <v>6</v>
      </c>
      <c r="BF752" s="195">
        <f t="shared" si="223"/>
        <v>33.333333333333329</v>
      </c>
      <c r="BG752" s="373">
        <f t="shared" si="224"/>
        <v>4</v>
      </c>
    </row>
    <row r="753" spans="1:59" s="21" customFormat="1" ht="15.95" customHeight="1">
      <c r="A753" s="163">
        <v>12</v>
      </c>
      <c r="B753" s="9" t="s">
        <v>2990</v>
      </c>
      <c r="C753" s="10" t="s">
        <v>2991</v>
      </c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22">
        <f t="shared" si="219"/>
        <v>0</v>
      </c>
      <c r="AC753" s="25">
        <v>0</v>
      </c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2">
        <f t="shared" si="220"/>
        <v>0</v>
      </c>
      <c r="BC753" s="23">
        <v>1</v>
      </c>
      <c r="BD753" s="130">
        <f t="shared" si="221"/>
        <v>0</v>
      </c>
      <c r="BE753" s="130">
        <f t="shared" si="222"/>
        <v>1</v>
      </c>
      <c r="BF753" s="195">
        <f t="shared" si="223"/>
        <v>0</v>
      </c>
      <c r="BG753" s="373">
        <f t="shared" si="224"/>
        <v>1</v>
      </c>
    </row>
    <row r="754" spans="1:59" s="21" customFormat="1" ht="15.95" customHeight="1">
      <c r="A754" s="163">
        <v>13</v>
      </c>
      <c r="B754" s="9" t="s">
        <v>317</v>
      </c>
      <c r="C754" s="10" t="s">
        <v>318</v>
      </c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22">
        <f t="shared" si="219"/>
        <v>0</v>
      </c>
      <c r="AC754" s="25">
        <v>0</v>
      </c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2">
        <f t="shared" si="220"/>
        <v>0</v>
      </c>
      <c r="BC754" s="23">
        <v>1</v>
      </c>
      <c r="BD754" s="130">
        <f t="shared" si="221"/>
        <v>0</v>
      </c>
      <c r="BE754" s="130">
        <f t="shared" si="222"/>
        <v>1</v>
      </c>
      <c r="BF754" s="195">
        <f t="shared" si="223"/>
        <v>0</v>
      </c>
      <c r="BG754" s="373">
        <f t="shared" si="224"/>
        <v>1</v>
      </c>
    </row>
    <row r="755" spans="1:59" s="21" customFormat="1" ht="15.95" customHeight="1">
      <c r="A755" s="163">
        <v>14</v>
      </c>
      <c r="B755" s="9" t="s">
        <v>325</v>
      </c>
      <c r="C755" s="10" t="s">
        <v>326</v>
      </c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22">
        <f t="shared" si="219"/>
        <v>0</v>
      </c>
      <c r="AC755" s="25">
        <v>0</v>
      </c>
      <c r="AD755" s="24"/>
      <c r="AE755" s="24"/>
      <c r="AF755" s="24"/>
      <c r="AG755" s="24"/>
      <c r="AH755" s="24"/>
      <c r="AI755" s="24"/>
      <c r="AJ755" s="24"/>
      <c r="AK755" s="24"/>
      <c r="AL755" s="24">
        <v>1</v>
      </c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2">
        <f t="shared" si="220"/>
        <v>1</v>
      </c>
      <c r="BC755" s="23">
        <v>1</v>
      </c>
      <c r="BD755" s="130">
        <f t="shared" si="221"/>
        <v>1</v>
      </c>
      <c r="BE755" s="130">
        <f t="shared" si="222"/>
        <v>1</v>
      </c>
      <c r="BF755" s="195">
        <f t="shared" si="223"/>
        <v>100</v>
      </c>
      <c r="BG755" s="373">
        <f t="shared" si="224"/>
        <v>0</v>
      </c>
    </row>
    <row r="756" spans="1:59" s="21" customFormat="1" ht="15.95" customHeight="1">
      <c r="A756" s="163">
        <v>15</v>
      </c>
      <c r="B756" s="9" t="s">
        <v>687</v>
      </c>
      <c r="C756" s="10" t="s">
        <v>688</v>
      </c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22">
        <f t="shared" si="219"/>
        <v>0</v>
      </c>
      <c r="AC756" s="25">
        <v>0</v>
      </c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2">
        <f t="shared" si="220"/>
        <v>0</v>
      </c>
      <c r="BC756" s="23">
        <v>2</v>
      </c>
      <c r="BD756" s="130">
        <f t="shared" si="221"/>
        <v>0</v>
      </c>
      <c r="BE756" s="130">
        <f t="shared" si="222"/>
        <v>2</v>
      </c>
      <c r="BF756" s="195">
        <f t="shared" si="223"/>
        <v>0</v>
      </c>
      <c r="BG756" s="373">
        <f t="shared" si="224"/>
        <v>2</v>
      </c>
    </row>
    <row r="757" spans="1:59" s="21" customFormat="1" ht="15.95" customHeight="1">
      <c r="A757" s="163">
        <v>16</v>
      </c>
      <c r="B757" s="9" t="s">
        <v>454</v>
      </c>
      <c r="C757" s="10" t="s">
        <v>455</v>
      </c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22">
        <f t="shared" si="219"/>
        <v>0</v>
      </c>
      <c r="AC757" s="25">
        <v>0</v>
      </c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2">
        <f t="shared" si="220"/>
        <v>0</v>
      </c>
      <c r="BC757" s="23">
        <v>1</v>
      </c>
      <c r="BD757" s="130">
        <f t="shared" si="221"/>
        <v>0</v>
      </c>
      <c r="BE757" s="130">
        <f t="shared" si="222"/>
        <v>1</v>
      </c>
      <c r="BF757" s="195">
        <f t="shared" si="223"/>
        <v>0</v>
      </c>
      <c r="BG757" s="373">
        <f t="shared" si="224"/>
        <v>1</v>
      </c>
    </row>
    <row r="758" spans="1:59" s="21" customFormat="1" ht="15.95" customHeight="1">
      <c r="A758" s="163">
        <v>17</v>
      </c>
      <c r="B758" s="9" t="s">
        <v>3145</v>
      </c>
      <c r="C758" s="10" t="s">
        <v>455</v>
      </c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22">
        <f t="shared" si="219"/>
        <v>0</v>
      </c>
      <c r="AC758" s="25">
        <v>0</v>
      </c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2">
        <f t="shared" si="220"/>
        <v>0</v>
      </c>
      <c r="BC758" s="23">
        <v>2</v>
      </c>
      <c r="BD758" s="130">
        <f t="shared" si="221"/>
        <v>0</v>
      </c>
      <c r="BE758" s="130">
        <f t="shared" si="222"/>
        <v>2</v>
      </c>
      <c r="BF758" s="195">
        <f t="shared" si="223"/>
        <v>0</v>
      </c>
      <c r="BG758" s="373">
        <f t="shared" si="224"/>
        <v>2</v>
      </c>
    </row>
    <row r="759" spans="1:59" s="21" customFormat="1" ht="15.95" customHeight="1">
      <c r="A759" s="163">
        <v>18</v>
      </c>
      <c r="B759" s="9" t="s">
        <v>3895</v>
      </c>
      <c r="C759" s="10" t="s">
        <v>3896</v>
      </c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22">
        <f t="shared" si="219"/>
        <v>0</v>
      </c>
      <c r="AC759" s="25">
        <v>0</v>
      </c>
      <c r="AD759" s="24"/>
      <c r="AE759" s="24"/>
      <c r="AF759" s="24"/>
      <c r="AG759" s="24"/>
      <c r="AH759" s="24"/>
      <c r="AI759" s="24"/>
      <c r="AJ759" s="24"/>
      <c r="AK759" s="24"/>
      <c r="AL759" s="24">
        <v>1</v>
      </c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2">
        <f t="shared" si="220"/>
        <v>1</v>
      </c>
      <c r="BC759" s="23">
        <v>0</v>
      </c>
      <c r="BD759" s="130">
        <f t="shared" si="221"/>
        <v>1</v>
      </c>
      <c r="BE759" s="130">
        <f t="shared" si="222"/>
        <v>0</v>
      </c>
      <c r="BF759" s="195" t="e">
        <f t="shared" si="223"/>
        <v>#DIV/0!</v>
      </c>
      <c r="BG759" s="373"/>
    </row>
    <row r="760" spans="1:59" s="21" customFormat="1" ht="15.95" customHeight="1">
      <c r="A760" s="163">
        <v>19</v>
      </c>
      <c r="B760" s="9" t="s">
        <v>1937</v>
      </c>
      <c r="C760" s="10" t="s">
        <v>1938</v>
      </c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22">
        <f t="shared" si="219"/>
        <v>0</v>
      </c>
      <c r="AC760" s="25">
        <v>0</v>
      </c>
      <c r="AD760" s="24"/>
      <c r="AE760" s="24"/>
      <c r="AF760" s="24"/>
      <c r="AG760" s="24"/>
      <c r="AH760" s="24"/>
      <c r="AI760" s="24"/>
      <c r="AJ760" s="24"/>
      <c r="AK760" s="24"/>
      <c r="AL760" s="24">
        <v>1</v>
      </c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2">
        <f t="shared" si="220"/>
        <v>1</v>
      </c>
      <c r="BC760" s="23">
        <v>1</v>
      </c>
      <c r="BD760" s="130">
        <f t="shared" si="221"/>
        <v>1</v>
      </c>
      <c r="BE760" s="130">
        <f t="shared" si="222"/>
        <v>1</v>
      </c>
      <c r="BF760" s="195">
        <f t="shared" si="223"/>
        <v>100</v>
      </c>
      <c r="BG760" s="373">
        <f>BE760-BD760</f>
        <v>0</v>
      </c>
    </row>
    <row r="761" spans="1:59" s="21" customFormat="1" ht="15.95" customHeight="1">
      <c r="A761" s="163">
        <v>20</v>
      </c>
      <c r="B761" s="9" t="s">
        <v>2872</v>
      </c>
      <c r="C761" s="10" t="s">
        <v>2873</v>
      </c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22">
        <f t="shared" si="219"/>
        <v>0</v>
      </c>
      <c r="AC761" s="25">
        <v>0</v>
      </c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2">
        <f t="shared" si="220"/>
        <v>0</v>
      </c>
      <c r="BC761" s="23">
        <v>1</v>
      </c>
      <c r="BD761" s="130">
        <f t="shared" si="221"/>
        <v>0</v>
      </c>
      <c r="BE761" s="130">
        <f t="shared" si="222"/>
        <v>1</v>
      </c>
      <c r="BF761" s="195">
        <f t="shared" si="223"/>
        <v>0</v>
      </c>
      <c r="BG761" s="373">
        <f>BE761-BD761</f>
        <v>1</v>
      </c>
    </row>
    <row r="762" spans="1:59" s="21" customFormat="1" ht="15.95" customHeight="1">
      <c r="A762" s="163">
        <v>21</v>
      </c>
      <c r="B762" s="9" t="s">
        <v>3115</v>
      </c>
      <c r="C762" s="10" t="s">
        <v>3116</v>
      </c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22">
        <f t="shared" si="219"/>
        <v>0</v>
      </c>
      <c r="AC762" s="25">
        <v>0</v>
      </c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2">
        <f t="shared" si="220"/>
        <v>0</v>
      </c>
      <c r="BC762" s="23">
        <v>1</v>
      </c>
      <c r="BD762" s="130">
        <f t="shared" si="221"/>
        <v>0</v>
      </c>
      <c r="BE762" s="130">
        <f t="shared" si="222"/>
        <v>1</v>
      </c>
      <c r="BF762" s="195">
        <f t="shared" si="223"/>
        <v>0</v>
      </c>
      <c r="BG762" s="373">
        <f>BE762-BD762</f>
        <v>1</v>
      </c>
    </row>
    <row r="763" spans="1:59" s="21" customFormat="1" ht="15.95" customHeight="1">
      <c r="A763" s="163">
        <v>22</v>
      </c>
      <c r="B763" s="9" t="s">
        <v>3292</v>
      </c>
      <c r="C763" s="10" t="s">
        <v>3293</v>
      </c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22">
        <f t="shared" si="219"/>
        <v>0</v>
      </c>
      <c r="AC763" s="25">
        <v>0</v>
      </c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2">
        <f t="shared" si="220"/>
        <v>0</v>
      </c>
      <c r="BC763" s="23">
        <v>1</v>
      </c>
      <c r="BD763" s="130">
        <f t="shared" si="221"/>
        <v>0</v>
      </c>
      <c r="BE763" s="130">
        <f t="shared" si="222"/>
        <v>1</v>
      </c>
      <c r="BF763" s="195">
        <f t="shared" si="223"/>
        <v>0</v>
      </c>
      <c r="BG763" s="373">
        <f>BE763-BD763</f>
        <v>1</v>
      </c>
    </row>
    <row r="764" spans="1:59" s="21" customFormat="1" ht="15.95" customHeight="1">
      <c r="A764" s="163">
        <v>23</v>
      </c>
      <c r="B764" s="9" t="s">
        <v>3547</v>
      </c>
      <c r="C764" s="10" t="s">
        <v>3927</v>
      </c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22">
        <f t="shared" si="219"/>
        <v>0</v>
      </c>
      <c r="AC764" s="25">
        <v>0</v>
      </c>
      <c r="AD764" s="24"/>
      <c r="AE764" s="24"/>
      <c r="AF764" s="24"/>
      <c r="AG764" s="24"/>
      <c r="AH764" s="24"/>
      <c r="AI764" s="24"/>
      <c r="AJ764" s="24"/>
      <c r="AK764" s="24"/>
      <c r="AL764" s="24">
        <v>1</v>
      </c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2">
        <f t="shared" si="220"/>
        <v>1</v>
      </c>
      <c r="BC764" s="23">
        <v>0</v>
      </c>
      <c r="BD764" s="130">
        <f t="shared" si="221"/>
        <v>1</v>
      </c>
      <c r="BE764" s="130">
        <f t="shared" si="222"/>
        <v>0</v>
      </c>
      <c r="BF764" s="195" t="e">
        <f t="shared" si="223"/>
        <v>#DIV/0!</v>
      </c>
      <c r="BG764" s="373"/>
    </row>
    <row r="765" spans="1:59" s="21" customFormat="1" ht="15.95" customHeight="1">
      <c r="A765" s="163">
        <v>24</v>
      </c>
      <c r="B765" s="9" t="s">
        <v>3835</v>
      </c>
      <c r="C765" s="10" t="s">
        <v>3836</v>
      </c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22">
        <f t="shared" si="219"/>
        <v>0</v>
      </c>
      <c r="AC765" s="25">
        <v>0</v>
      </c>
      <c r="AD765" s="24"/>
      <c r="AE765" s="24"/>
      <c r="AF765" s="24"/>
      <c r="AG765" s="24"/>
      <c r="AH765" s="24"/>
      <c r="AI765" s="24"/>
      <c r="AJ765" s="24"/>
      <c r="AK765" s="24"/>
      <c r="AL765" s="24">
        <v>1</v>
      </c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2">
        <f t="shared" si="220"/>
        <v>1</v>
      </c>
      <c r="BC765" s="23">
        <v>0</v>
      </c>
      <c r="BD765" s="130">
        <f t="shared" si="221"/>
        <v>1</v>
      </c>
      <c r="BE765" s="130">
        <f t="shared" si="222"/>
        <v>0</v>
      </c>
      <c r="BF765" s="195" t="e">
        <f t="shared" si="223"/>
        <v>#DIV/0!</v>
      </c>
      <c r="BG765" s="373"/>
    </row>
    <row r="766" spans="1:59" s="21" customFormat="1" ht="15.95" customHeight="1">
      <c r="A766" s="163">
        <v>25</v>
      </c>
      <c r="B766" s="9" t="s">
        <v>3308</v>
      </c>
      <c r="C766" s="10" t="s">
        <v>4139</v>
      </c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22">
        <f t="shared" si="219"/>
        <v>0</v>
      </c>
      <c r="AC766" s="25">
        <v>0</v>
      </c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>
        <v>1</v>
      </c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2">
        <f t="shared" si="220"/>
        <v>1</v>
      </c>
      <c r="BC766" s="23">
        <v>0</v>
      </c>
      <c r="BD766" s="130">
        <f t="shared" si="221"/>
        <v>1</v>
      </c>
      <c r="BE766" s="130">
        <f t="shared" si="222"/>
        <v>0</v>
      </c>
      <c r="BF766" s="195" t="e">
        <f t="shared" si="223"/>
        <v>#DIV/0!</v>
      </c>
      <c r="BG766" s="373"/>
    </row>
    <row r="767" spans="1:59" s="21" customFormat="1" ht="15.95" customHeight="1">
      <c r="A767" s="163">
        <v>26</v>
      </c>
      <c r="B767" s="9" t="s">
        <v>3548</v>
      </c>
      <c r="C767" s="10" t="s">
        <v>3798</v>
      </c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22">
        <f t="shared" si="219"/>
        <v>0</v>
      </c>
      <c r="AC767" s="25">
        <v>0</v>
      </c>
      <c r="AD767" s="24"/>
      <c r="AE767" s="24"/>
      <c r="AF767" s="24"/>
      <c r="AG767" s="24"/>
      <c r="AH767" s="24">
        <v>1</v>
      </c>
      <c r="AI767" s="24"/>
      <c r="AJ767" s="24"/>
      <c r="AK767" s="24"/>
      <c r="AL767" s="24"/>
      <c r="AM767" s="24"/>
      <c r="AN767" s="24"/>
      <c r="AO767" s="24"/>
      <c r="AP767" s="24">
        <v>4</v>
      </c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2">
        <f t="shared" si="220"/>
        <v>5</v>
      </c>
      <c r="BC767" s="23">
        <v>0</v>
      </c>
      <c r="BD767" s="130">
        <f t="shared" si="221"/>
        <v>5</v>
      </c>
      <c r="BE767" s="130">
        <f t="shared" si="222"/>
        <v>0</v>
      </c>
      <c r="BF767" s="195" t="e">
        <f t="shared" si="223"/>
        <v>#DIV/0!</v>
      </c>
      <c r="BG767" s="373"/>
    </row>
    <row r="768" spans="1:59" s="21" customFormat="1" ht="15.95" customHeight="1">
      <c r="A768" s="163">
        <v>27</v>
      </c>
      <c r="B768" s="9" t="s">
        <v>2992</v>
      </c>
      <c r="C768" s="10" t="s">
        <v>2993</v>
      </c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22">
        <f t="shared" si="219"/>
        <v>0</v>
      </c>
      <c r="AC768" s="25">
        <v>0</v>
      </c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2">
        <f t="shared" si="220"/>
        <v>0</v>
      </c>
      <c r="BC768" s="23">
        <v>1</v>
      </c>
      <c r="BD768" s="130">
        <f t="shared" si="221"/>
        <v>0</v>
      </c>
      <c r="BE768" s="130">
        <f t="shared" si="222"/>
        <v>1</v>
      </c>
      <c r="BF768" s="195">
        <f t="shared" si="223"/>
        <v>0</v>
      </c>
      <c r="BG768" s="373">
        <f t="shared" ref="BG768:BG786" si="225">BE768-BD768</f>
        <v>1</v>
      </c>
    </row>
    <row r="769" spans="1:59" s="21" customFormat="1" ht="15.95" customHeight="1">
      <c r="A769" s="163">
        <v>28</v>
      </c>
      <c r="B769" s="9" t="s">
        <v>2330</v>
      </c>
      <c r="C769" s="10" t="s">
        <v>2331</v>
      </c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22">
        <f t="shared" si="219"/>
        <v>0</v>
      </c>
      <c r="AC769" s="25">
        <v>0</v>
      </c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>
        <v>1</v>
      </c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2">
        <f t="shared" si="220"/>
        <v>1</v>
      </c>
      <c r="BC769" s="23">
        <v>1</v>
      </c>
      <c r="BD769" s="130">
        <f t="shared" si="221"/>
        <v>1</v>
      </c>
      <c r="BE769" s="130">
        <f t="shared" si="222"/>
        <v>1</v>
      </c>
      <c r="BF769" s="195">
        <f t="shared" si="223"/>
        <v>100</v>
      </c>
      <c r="BG769" s="373">
        <f t="shared" si="225"/>
        <v>0</v>
      </c>
    </row>
    <row r="770" spans="1:59" s="21" customFormat="1" ht="15.95" customHeight="1">
      <c r="A770" s="163">
        <v>29</v>
      </c>
      <c r="B770" s="9" t="s">
        <v>3146</v>
      </c>
      <c r="C770" s="10" t="s">
        <v>3147</v>
      </c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22">
        <f t="shared" si="219"/>
        <v>0</v>
      </c>
      <c r="AC770" s="25">
        <v>0</v>
      </c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2">
        <f t="shared" si="220"/>
        <v>0</v>
      </c>
      <c r="BC770" s="23">
        <v>1</v>
      </c>
      <c r="BD770" s="130">
        <f t="shared" si="221"/>
        <v>0</v>
      </c>
      <c r="BE770" s="130">
        <f t="shared" si="222"/>
        <v>1</v>
      </c>
      <c r="BF770" s="195">
        <f t="shared" si="223"/>
        <v>0</v>
      </c>
      <c r="BG770" s="373">
        <f t="shared" si="225"/>
        <v>1</v>
      </c>
    </row>
    <row r="771" spans="1:59" s="21" customFormat="1" ht="15.95" customHeight="1">
      <c r="A771" s="163">
        <v>30</v>
      </c>
      <c r="B771" s="9" t="s">
        <v>3294</v>
      </c>
      <c r="C771" s="10" t="s">
        <v>3295</v>
      </c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22">
        <f t="shared" si="219"/>
        <v>0</v>
      </c>
      <c r="AC771" s="25">
        <v>0</v>
      </c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2">
        <f t="shared" si="220"/>
        <v>0</v>
      </c>
      <c r="BC771" s="23">
        <v>1</v>
      </c>
      <c r="BD771" s="130">
        <f t="shared" si="221"/>
        <v>0</v>
      </c>
      <c r="BE771" s="130">
        <f t="shared" si="222"/>
        <v>1</v>
      </c>
      <c r="BF771" s="195">
        <f t="shared" si="223"/>
        <v>0</v>
      </c>
      <c r="BG771" s="373">
        <f t="shared" si="225"/>
        <v>1</v>
      </c>
    </row>
    <row r="772" spans="1:59" s="21" customFormat="1" ht="15.95" customHeight="1">
      <c r="A772" s="163">
        <v>31</v>
      </c>
      <c r="B772" s="9" t="s">
        <v>2994</v>
      </c>
      <c r="C772" s="10" t="s">
        <v>2995</v>
      </c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22">
        <f t="shared" si="219"/>
        <v>0</v>
      </c>
      <c r="AC772" s="25">
        <v>0</v>
      </c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2">
        <f t="shared" si="220"/>
        <v>0</v>
      </c>
      <c r="BC772" s="23">
        <v>1</v>
      </c>
      <c r="BD772" s="130">
        <f t="shared" si="221"/>
        <v>0</v>
      </c>
      <c r="BE772" s="130">
        <f t="shared" si="222"/>
        <v>1</v>
      </c>
      <c r="BF772" s="195">
        <f t="shared" si="223"/>
        <v>0</v>
      </c>
      <c r="BG772" s="373">
        <f t="shared" si="225"/>
        <v>1</v>
      </c>
    </row>
    <row r="773" spans="1:59" s="21" customFormat="1" ht="15.95" customHeight="1">
      <c r="A773" s="163">
        <v>32</v>
      </c>
      <c r="B773" s="9" t="s">
        <v>456</v>
      </c>
      <c r="C773" s="10" t="s">
        <v>457</v>
      </c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22">
        <f t="shared" si="219"/>
        <v>0</v>
      </c>
      <c r="AC773" s="25">
        <v>0</v>
      </c>
      <c r="AD773" s="24"/>
      <c r="AE773" s="24"/>
      <c r="AF773" s="24"/>
      <c r="AG773" s="24"/>
      <c r="AH773" s="24">
        <v>3</v>
      </c>
      <c r="AI773" s="24"/>
      <c r="AJ773" s="24"/>
      <c r="AK773" s="24"/>
      <c r="AL773" s="24"/>
      <c r="AM773" s="24"/>
      <c r="AN773" s="24"/>
      <c r="AO773" s="24"/>
      <c r="AP773" s="24">
        <v>3</v>
      </c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2">
        <f t="shared" si="220"/>
        <v>6</v>
      </c>
      <c r="BC773" s="23">
        <v>9</v>
      </c>
      <c r="BD773" s="130">
        <f t="shared" si="221"/>
        <v>6</v>
      </c>
      <c r="BE773" s="130">
        <f t="shared" si="222"/>
        <v>9</v>
      </c>
      <c r="BF773" s="195">
        <f t="shared" si="223"/>
        <v>66.666666666666657</v>
      </c>
      <c r="BG773" s="373">
        <f t="shared" si="225"/>
        <v>3</v>
      </c>
    </row>
    <row r="774" spans="1:59" s="21" customFormat="1" ht="15.95" customHeight="1">
      <c r="A774" s="163">
        <v>33</v>
      </c>
      <c r="B774" s="9" t="s">
        <v>458</v>
      </c>
      <c r="C774" s="10" t="s">
        <v>459</v>
      </c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22">
        <f t="shared" ref="AB774:AB805" si="226">SUM(D774:AA774)</f>
        <v>0</v>
      </c>
      <c r="AC774" s="25">
        <v>0</v>
      </c>
      <c r="AD774" s="24"/>
      <c r="AE774" s="24"/>
      <c r="AF774" s="24"/>
      <c r="AG774" s="24"/>
      <c r="AH774" s="24">
        <v>1</v>
      </c>
      <c r="AI774" s="24"/>
      <c r="AJ774" s="24"/>
      <c r="AK774" s="24"/>
      <c r="AL774" s="24">
        <v>1</v>
      </c>
      <c r="AM774" s="24"/>
      <c r="AN774" s="24"/>
      <c r="AO774" s="24"/>
      <c r="AP774" s="24">
        <v>1</v>
      </c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2">
        <f t="shared" ref="BB774:BB805" si="227">SUM(AD774:BA774)</f>
        <v>3</v>
      </c>
      <c r="BC774" s="23">
        <v>6</v>
      </c>
      <c r="BD774" s="130">
        <f t="shared" ref="BD774:BD805" si="228">AB774+BB774</f>
        <v>3</v>
      </c>
      <c r="BE774" s="130">
        <f t="shared" ref="BE774:BE805" si="229">AC774+BC774</f>
        <v>6</v>
      </c>
      <c r="BF774" s="195">
        <f t="shared" ref="BF774:BF805" si="230">BD774/BE774*100</f>
        <v>50</v>
      </c>
      <c r="BG774" s="373">
        <f t="shared" si="225"/>
        <v>3</v>
      </c>
    </row>
    <row r="775" spans="1:59" s="21" customFormat="1" ht="15.95" customHeight="1">
      <c r="A775" s="163">
        <v>34</v>
      </c>
      <c r="B775" s="9" t="s">
        <v>3438</v>
      </c>
      <c r="C775" s="11" t="s">
        <v>459</v>
      </c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22">
        <f t="shared" si="226"/>
        <v>0</v>
      </c>
      <c r="AC775" s="25">
        <v>0</v>
      </c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2">
        <f t="shared" si="227"/>
        <v>0</v>
      </c>
      <c r="BC775" s="23">
        <v>1</v>
      </c>
      <c r="BD775" s="130">
        <f t="shared" si="228"/>
        <v>0</v>
      </c>
      <c r="BE775" s="130">
        <f t="shared" si="229"/>
        <v>1</v>
      </c>
      <c r="BF775" s="195">
        <f t="shared" si="230"/>
        <v>0</v>
      </c>
      <c r="BG775" s="373">
        <f t="shared" si="225"/>
        <v>1</v>
      </c>
    </row>
    <row r="776" spans="1:59" s="21" customFormat="1" ht="15.95" customHeight="1">
      <c r="A776" s="163">
        <v>35</v>
      </c>
      <c r="B776" s="9" t="s">
        <v>2874</v>
      </c>
      <c r="C776" s="10" t="s">
        <v>2875</v>
      </c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22">
        <f t="shared" si="226"/>
        <v>0</v>
      </c>
      <c r="AC776" s="25">
        <v>0</v>
      </c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2">
        <f t="shared" si="227"/>
        <v>0</v>
      </c>
      <c r="BC776" s="23">
        <v>1</v>
      </c>
      <c r="BD776" s="130">
        <f t="shared" si="228"/>
        <v>0</v>
      </c>
      <c r="BE776" s="130">
        <f t="shared" si="229"/>
        <v>1</v>
      </c>
      <c r="BF776" s="195">
        <f t="shared" si="230"/>
        <v>0</v>
      </c>
      <c r="BG776" s="373">
        <f t="shared" si="225"/>
        <v>1</v>
      </c>
    </row>
    <row r="777" spans="1:59" s="21" customFormat="1" ht="15.95" customHeight="1">
      <c r="A777" s="163">
        <v>36</v>
      </c>
      <c r="B777" s="9" t="s">
        <v>3148</v>
      </c>
      <c r="C777" s="10" t="s">
        <v>3149</v>
      </c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22">
        <f t="shared" si="226"/>
        <v>0</v>
      </c>
      <c r="AC777" s="25">
        <v>0</v>
      </c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2">
        <f t="shared" si="227"/>
        <v>0</v>
      </c>
      <c r="BC777" s="23">
        <v>1</v>
      </c>
      <c r="BD777" s="130">
        <f t="shared" si="228"/>
        <v>0</v>
      </c>
      <c r="BE777" s="130">
        <f t="shared" si="229"/>
        <v>1</v>
      </c>
      <c r="BF777" s="195">
        <f t="shared" si="230"/>
        <v>0</v>
      </c>
      <c r="BG777" s="373">
        <f t="shared" si="225"/>
        <v>1</v>
      </c>
    </row>
    <row r="778" spans="1:59" s="21" customFormat="1" ht="15.95" customHeight="1">
      <c r="A778" s="163">
        <v>37</v>
      </c>
      <c r="B778" s="9" t="s">
        <v>460</v>
      </c>
      <c r="C778" s="10" t="s">
        <v>461</v>
      </c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22">
        <f t="shared" si="226"/>
        <v>0</v>
      </c>
      <c r="AC778" s="25">
        <v>0</v>
      </c>
      <c r="AD778" s="24"/>
      <c r="AE778" s="24"/>
      <c r="AF778" s="24"/>
      <c r="AG778" s="24"/>
      <c r="AH778" s="24"/>
      <c r="AI778" s="24"/>
      <c r="AJ778" s="24"/>
      <c r="AK778" s="24"/>
      <c r="AL778" s="24">
        <v>1</v>
      </c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2">
        <f t="shared" si="227"/>
        <v>1</v>
      </c>
      <c r="BC778" s="23">
        <v>20</v>
      </c>
      <c r="BD778" s="130">
        <f t="shared" si="228"/>
        <v>1</v>
      </c>
      <c r="BE778" s="130">
        <f t="shared" si="229"/>
        <v>20</v>
      </c>
      <c r="BF778" s="195">
        <f t="shared" si="230"/>
        <v>5</v>
      </c>
      <c r="BG778" s="373">
        <f t="shared" si="225"/>
        <v>19</v>
      </c>
    </row>
    <row r="779" spans="1:59" s="21" customFormat="1" ht="15.95" customHeight="1">
      <c r="A779" s="163">
        <v>38</v>
      </c>
      <c r="B779" s="9" t="s">
        <v>462</v>
      </c>
      <c r="C779" s="10" t="s">
        <v>463</v>
      </c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22">
        <f t="shared" si="226"/>
        <v>0</v>
      </c>
      <c r="AC779" s="25">
        <v>0</v>
      </c>
      <c r="AD779" s="24"/>
      <c r="AE779" s="24"/>
      <c r="AF779" s="24"/>
      <c r="AG779" s="24"/>
      <c r="AH779" s="24">
        <v>2</v>
      </c>
      <c r="AI779" s="24"/>
      <c r="AJ779" s="24"/>
      <c r="AK779" s="24"/>
      <c r="AL779" s="24"/>
      <c r="AM779" s="24"/>
      <c r="AN779" s="24"/>
      <c r="AO779" s="24"/>
      <c r="AP779" s="24">
        <v>1</v>
      </c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2">
        <f t="shared" si="227"/>
        <v>3</v>
      </c>
      <c r="BC779" s="23">
        <v>4</v>
      </c>
      <c r="BD779" s="130">
        <f t="shared" si="228"/>
        <v>3</v>
      </c>
      <c r="BE779" s="130">
        <f t="shared" si="229"/>
        <v>4</v>
      </c>
      <c r="BF779" s="195">
        <f t="shared" si="230"/>
        <v>75</v>
      </c>
      <c r="BG779" s="373">
        <f t="shared" si="225"/>
        <v>1</v>
      </c>
    </row>
    <row r="780" spans="1:59" s="21" customFormat="1" ht="15.95" customHeight="1">
      <c r="A780" s="163">
        <v>39</v>
      </c>
      <c r="B780" s="9" t="s">
        <v>464</v>
      </c>
      <c r="C780" s="10" t="s">
        <v>465</v>
      </c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22">
        <f t="shared" si="226"/>
        <v>0</v>
      </c>
      <c r="AC780" s="25">
        <v>0</v>
      </c>
      <c r="AD780" s="24"/>
      <c r="AE780" s="24"/>
      <c r="AF780" s="24"/>
      <c r="AG780" s="24"/>
      <c r="AH780" s="24"/>
      <c r="AI780" s="24"/>
      <c r="AJ780" s="24"/>
      <c r="AK780" s="24"/>
      <c r="AL780" s="24">
        <v>2</v>
      </c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2">
        <f t="shared" si="227"/>
        <v>2</v>
      </c>
      <c r="BC780" s="23">
        <v>1</v>
      </c>
      <c r="BD780" s="130">
        <f t="shared" si="228"/>
        <v>2</v>
      </c>
      <c r="BE780" s="130">
        <f t="shared" si="229"/>
        <v>1</v>
      </c>
      <c r="BF780" s="195">
        <f t="shared" si="230"/>
        <v>200</v>
      </c>
      <c r="BG780" s="373">
        <f t="shared" si="225"/>
        <v>-1</v>
      </c>
    </row>
    <row r="781" spans="1:59" s="21" customFormat="1" ht="15.95" customHeight="1">
      <c r="A781" s="163">
        <v>40</v>
      </c>
      <c r="B781" s="9" t="s">
        <v>1939</v>
      </c>
      <c r="C781" s="10" t="s">
        <v>1940</v>
      </c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22">
        <f t="shared" si="226"/>
        <v>0</v>
      </c>
      <c r="AC781" s="25">
        <v>0</v>
      </c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>
        <v>1</v>
      </c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2">
        <f t="shared" si="227"/>
        <v>1</v>
      </c>
      <c r="BC781" s="23">
        <v>4</v>
      </c>
      <c r="BD781" s="130">
        <f t="shared" si="228"/>
        <v>1</v>
      </c>
      <c r="BE781" s="130">
        <f t="shared" si="229"/>
        <v>4</v>
      </c>
      <c r="BF781" s="195">
        <f t="shared" si="230"/>
        <v>25</v>
      </c>
      <c r="BG781" s="373">
        <f t="shared" si="225"/>
        <v>3</v>
      </c>
    </row>
    <row r="782" spans="1:59" s="21" customFormat="1" ht="15.95" customHeight="1">
      <c r="A782" s="163">
        <v>41</v>
      </c>
      <c r="B782" s="9" t="s">
        <v>2788</v>
      </c>
      <c r="C782" s="10" t="s">
        <v>2789</v>
      </c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22">
        <f t="shared" si="226"/>
        <v>0</v>
      </c>
      <c r="AC782" s="25">
        <v>0</v>
      </c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>
        <v>1</v>
      </c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2">
        <f t="shared" si="227"/>
        <v>1</v>
      </c>
      <c r="BC782" s="23">
        <v>2</v>
      </c>
      <c r="BD782" s="130">
        <f t="shared" si="228"/>
        <v>1</v>
      </c>
      <c r="BE782" s="130">
        <f t="shared" si="229"/>
        <v>2</v>
      </c>
      <c r="BF782" s="195">
        <f t="shared" si="230"/>
        <v>50</v>
      </c>
      <c r="BG782" s="373">
        <f t="shared" si="225"/>
        <v>1</v>
      </c>
    </row>
    <row r="783" spans="1:59" s="21" customFormat="1" ht="15.95" customHeight="1">
      <c r="A783" s="163">
        <v>42</v>
      </c>
      <c r="B783" s="9" t="s">
        <v>467</v>
      </c>
      <c r="C783" s="10" t="s">
        <v>468</v>
      </c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22">
        <f t="shared" si="226"/>
        <v>0</v>
      </c>
      <c r="AC783" s="25">
        <v>0</v>
      </c>
      <c r="AD783" s="24"/>
      <c r="AE783" s="24"/>
      <c r="AF783" s="24"/>
      <c r="AG783" s="24"/>
      <c r="AH783" s="24"/>
      <c r="AI783" s="24"/>
      <c r="AJ783" s="24"/>
      <c r="AK783" s="24"/>
      <c r="AL783" s="24">
        <f>12+9</f>
        <v>21</v>
      </c>
      <c r="AM783" s="24"/>
      <c r="AN783" s="24"/>
      <c r="AO783" s="24"/>
      <c r="AP783" s="24">
        <f>20+3</f>
        <v>23</v>
      </c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2">
        <f t="shared" si="227"/>
        <v>44</v>
      </c>
      <c r="BC783" s="23">
        <v>87</v>
      </c>
      <c r="BD783" s="130">
        <f t="shared" si="228"/>
        <v>44</v>
      </c>
      <c r="BE783" s="130">
        <f t="shared" si="229"/>
        <v>87</v>
      </c>
      <c r="BF783" s="195">
        <f t="shared" si="230"/>
        <v>50.574712643678168</v>
      </c>
      <c r="BG783" s="373">
        <f t="shared" si="225"/>
        <v>43</v>
      </c>
    </row>
    <row r="784" spans="1:59" s="21" customFormat="1" ht="15.95" customHeight="1">
      <c r="A784" s="163">
        <v>43</v>
      </c>
      <c r="B784" s="9" t="s">
        <v>351</v>
      </c>
      <c r="C784" s="10" t="s">
        <v>469</v>
      </c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22">
        <f t="shared" si="226"/>
        <v>0</v>
      </c>
      <c r="AC784" s="25">
        <v>0</v>
      </c>
      <c r="AD784" s="99"/>
      <c r="AE784" s="99"/>
      <c r="AF784" s="99"/>
      <c r="AG784" s="99"/>
      <c r="AH784" s="99">
        <v>3</v>
      </c>
      <c r="AI784" s="99"/>
      <c r="AJ784" s="99"/>
      <c r="AK784" s="99"/>
      <c r="AL784" s="99">
        <v>5</v>
      </c>
      <c r="AM784" s="99"/>
      <c r="AN784" s="99"/>
      <c r="AO784" s="99"/>
      <c r="AP784" s="99">
        <v>5</v>
      </c>
      <c r="AQ784" s="99"/>
      <c r="AR784" s="99"/>
      <c r="AS784" s="99"/>
      <c r="AT784" s="99"/>
      <c r="AU784" s="99"/>
      <c r="AV784" s="99"/>
      <c r="AW784" s="99"/>
      <c r="AX784" s="99"/>
      <c r="AY784" s="99"/>
      <c r="AZ784" s="99"/>
      <c r="BA784" s="99"/>
      <c r="BB784" s="22">
        <f t="shared" si="227"/>
        <v>13</v>
      </c>
      <c r="BC784" s="23">
        <v>34</v>
      </c>
      <c r="BD784" s="130">
        <f t="shared" si="228"/>
        <v>13</v>
      </c>
      <c r="BE784" s="130">
        <f t="shared" si="229"/>
        <v>34</v>
      </c>
      <c r="BF784" s="195">
        <f t="shared" si="230"/>
        <v>38.235294117647058</v>
      </c>
      <c r="BG784" s="373">
        <f t="shared" si="225"/>
        <v>21</v>
      </c>
    </row>
    <row r="785" spans="1:59" s="21" customFormat="1" ht="15.95" customHeight="1">
      <c r="A785" s="163">
        <v>44</v>
      </c>
      <c r="B785" s="9" t="s">
        <v>470</v>
      </c>
      <c r="C785" s="10" t="s">
        <v>471</v>
      </c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22">
        <f t="shared" si="226"/>
        <v>0</v>
      </c>
      <c r="AC785" s="25">
        <v>0</v>
      </c>
      <c r="AD785" s="24"/>
      <c r="AE785" s="24"/>
      <c r="AF785" s="24"/>
      <c r="AG785" s="24"/>
      <c r="AH785" s="24">
        <v>2</v>
      </c>
      <c r="AI785" s="24"/>
      <c r="AJ785" s="24"/>
      <c r="AK785" s="24"/>
      <c r="AL785" s="24">
        <v>5</v>
      </c>
      <c r="AM785" s="24"/>
      <c r="AN785" s="24"/>
      <c r="AO785" s="24"/>
      <c r="AP785" s="24">
        <v>7</v>
      </c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2">
        <f t="shared" si="227"/>
        <v>14</v>
      </c>
      <c r="BC785" s="23">
        <v>18</v>
      </c>
      <c r="BD785" s="130">
        <f t="shared" si="228"/>
        <v>14</v>
      </c>
      <c r="BE785" s="130">
        <f t="shared" si="229"/>
        <v>18</v>
      </c>
      <c r="BF785" s="195">
        <f t="shared" si="230"/>
        <v>77.777777777777786</v>
      </c>
      <c r="BG785" s="373">
        <f t="shared" si="225"/>
        <v>4</v>
      </c>
    </row>
    <row r="786" spans="1:59" s="21" customFormat="1" ht="15.95" customHeight="1">
      <c r="A786" s="163">
        <v>45</v>
      </c>
      <c r="B786" s="9" t="s">
        <v>2240</v>
      </c>
      <c r="C786" s="10" t="s">
        <v>2241</v>
      </c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22">
        <f t="shared" si="226"/>
        <v>0</v>
      </c>
      <c r="AC786" s="25">
        <v>0</v>
      </c>
      <c r="AD786" s="24"/>
      <c r="AE786" s="24"/>
      <c r="AF786" s="24"/>
      <c r="AG786" s="24"/>
      <c r="AH786" s="24"/>
      <c r="AI786" s="24"/>
      <c r="AJ786" s="24"/>
      <c r="AK786" s="24"/>
      <c r="AL786" s="24">
        <v>6</v>
      </c>
      <c r="AM786" s="24"/>
      <c r="AN786" s="24"/>
      <c r="AO786" s="24"/>
      <c r="AP786" s="24">
        <v>3</v>
      </c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2">
        <f t="shared" si="227"/>
        <v>9</v>
      </c>
      <c r="BC786" s="23">
        <v>14</v>
      </c>
      <c r="BD786" s="130">
        <f t="shared" si="228"/>
        <v>9</v>
      </c>
      <c r="BE786" s="130">
        <f t="shared" si="229"/>
        <v>14</v>
      </c>
      <c r="BF786" s="195">
        <f t="shared" si="230"/>
        <v>64.285714285714292</v>
      </c>
      <c r="BG786" s="373">
        <f t="shared" si="225"/>
        <v>5</v>
      </c>
    </row>
    <row r="787" spans="1:59" s="21" customFormat="1" ht="15.95" customHeight="1">
      <c r="A787" s="163">
        <v>46</v>
      </c>
      <c r="B787" s="9" t="s">
        <v>4140</v>
      </c>
      <c r="C787" s="10" t="s">
        <v>473</v>
      </c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22">
        <f t="shared" si="226"/>
        <v>0</v>
      </c>
      <c r="AC787" s="25">
        <v>0</v>
      </c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>
        <v>4</v>
      </c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2">
        <f t="shared" si="227"/>
        <v>4</v>
      </c>
      <c r="BC787" s="23">
        <v>0</v>
      </c>
      <c r="BD787" s="130">
        <f t="shared" si="228"/>
        <v>4</v>
      </c>
      <c r="BE787" s="130">
        <f t="shared" si="229"/>
        <v>0</v>
      </c>
      <c r="BF787" s="195" t="e">
        <f t="shared" si="230"/>
        <v>#DIV/0!</v>
      </c>
      <c r="BG787" s="373"/>
    </row>
    <row r="788" spans="1:59" s="21" customFormat="1" ht="15.95" customHeight="1">
      <c r="A788" s="163">
        <v>47</v>
      </c>
      <c r="B788" s="9" t="s">
        <v>3554</v>
      </c>
      <c r="C788" s="10" t="s">
        <v>3799</v>
      </c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22">
        <f t="shared" si="226"/>
        <v>0</v>
      </c>
      <c r="AC788" s="25">
        <v>0</v>
      </c>
      <c r="AD788" s="24"/>
      <c r="AE788" s="24"/>
      <c r="AF788" s="24"/>
      <c r="AG788" s="24"/>
      <c r="AH788" s="24">
        <v>1</v>
      </c>
      <c r="AI788" s="24"/>
      <c r="AJ788" s="24"/>
      <c r="AK788" s="24"/>
      <c r="AL788" s="24"/>
      <c r="AM788" s="24"/>
      <c r="AN788" s="24"/>
      <c r="AO788" s="24"/>
      <c r="AP788" s="24">
        <v>1</v>
      </c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2">
        <f t="shared" si="227"/>
        <v>2</v>
      </c>
      <c r="BC788" s="23">
        <v>0</v>
      </c>
      <c r="BD788" s="130">
        <f t="shared" si="228"/>
        <v>2</v>
      </c>
      <c r="BE788" s="130">
        <f t="shared" si="229"/>
        <v>0</v>
      </c>
      <c r="BF788" s="195" t="e">
        <f t="shared" si="230"/>
        <v>#DIV/0!</v>
      </c>
      <c r="BG788" s="373"/>
    </row>
    <row r="789" spans="1:59" s="21" customFormat="1" ht="15.95" customHeight="1">
      <c r="A789" s="163">
        <v>48</v>
      </c>
      <c r="B789" s="9" t="s">
        <v>689</v>
      </c>
      <c r="C789" s="10" t="s">
        <v>2267</v>
      </c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22">
        <f t="shared" si="226"/>
        <v>0</v>
      </c>
      <c r="AC789" s="25">
        <v>0</v>
      </c>
      <c r="AD789" s="24"/>
      <c r="AE789" s="24"/>
      <c r="AF789" s="24"/>
      <c r="AG789" s="24"/>
      <c r="AH789" s="24"/>
      <c r="AI789" s="24"/>
      <c r="AJ789" s="24"/>
      <c r="AK789" s="24"/>
      <c r="AL789" s="24">
        <v>1</v>
      </c>
      <c r="AM789" s="24"/>
      <c r="AN789" s="24"/>
      <c r="AO789" s="24"/>
      <c r="AP789" s="24">
        <v>2</v>
      </c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2">
        <f t="shared" si="227"/>
        <v>3</v>
      </c>
      <c r="BC789" s="23">
        <v>7</v>
      </c>
      <c r="BD789" s="130">
        <f t="shared" si="228"/>
        <v>3</v>
      </c>
      <c r="BE789" s="130">
        <f t="shared" si="229"/>
        <v>7</v>
      </c>
      <c r="BF789" s="195">
        <f t="shared" si="230"/>
        <v>42.857142857142854</v>
      </c>
      <c r="BG789" s="373">
        <f>BE789-BD789</f>
        <v>4</v>
      </c>
    </row>
    <row r="790" spans="1:59" s="21" customFormat="1" ht="15.95" customHeight="1">
      <c r="A790" s="163">
        <v>49</v>
      </c>
      <c r="B790" s="9" t="s">
        <v>2500</v>
      </c>
      <c r="C790" s="10" t="s">
        <v>2501</v>
      </c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22">
        <f t="shared" si="226"/>
        <v>0</v>
      </c>
      <c r="AC790" s="25">
        <v>0</v>
      </c>
      <c r="AD790" s="24"/>
      <c r="AE790" s="24"/>
      <c r="AF790" s="24"/>
      <c r="AG790" s="24"/>
      <c r="AH790" s="24"/>
      <c r="AI790" s="24"/>
      <c r="AJ790" s="24"/>
      <c r="AK790" s="24"/>
      <c r="AL790" s="24">
        <v>1</v>
      </c>
      <c r="AM790" s="24"/>
      <c r="AN790" s="24"/>
      <c r="AO790" s="24"/>
      <c r="AP790" s="24">
        <v>1</v>
      </c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2">
        <f t="shared" si="227"/>
        <v>2</v>
      </c>
      <c r="BC790" s="23">
        <v>3</v>
      </c>
      <c r="BD790" s="130">
        <f t="shared" si="228"/>
        <v>2</v>
      </c>
      <c r="BE790" s="130">
        <f t="shared" si="229"/>
        <v>3</v>
      </c>
      <c r="BF790" s="195">
        <f t="shared" si="230"/>
        <v>66.666666666666657</v>
      </c>
      <c r="BG790" s="373">
        <f>BE790-BD790</f>
        <v>1</v>
      </c>
    </row>
    <row r="791" spans="1:59" s="21" customFormat="1" ht="16.5" customHeight="1">
      <c r="A791" s="163">
        <v>50</v>
      </c>
      <c r="B791" s="9" t="s">
        <v>1941</v>
      </c>
      <c r="C791" s="10" t="s">
        <v>1942</v>
      </c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22">
        <f t="shared" si="226"/>
        <v>0</v>
      </c>
      <c r="AC791" s="25">
        <v>0</v>
      </c>
      <c r="AD791" s="24"/>
      <c r="AE791" s="24"/>
      <c r="AF791" s="24"/>
      <c r="AG791" s="24"/>
      <c r="AH791" s="24">
        <v>1</v>
      </c>
      <c r="AI791" s="24"/>
      <c r="AJ791" s="24"/>
      <c r="AK791" s="24"/>
      <c r="AL791" s="24"/>
      <c r="AM791" s="24"/>
      <c r="AN791" s="24"/>
      <c r="AO791" s="24"/>
      <c r="AP791" s="24">
        <v>2</v>
      </c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2">
        <f t="shared" si="227"/>
        <v>3</v>
      </c>
      <c r="BC791" s="23">
        <v>22</v>
      </c>
      <c r="BD791" s="130">
        <f t="shared" si="228"/>
        <v>3</v>
      </c>
      <c r="BE791" s="130">
        <f t="shared" si="229"/>
        <v>22</v>
      </c>
      <c r="BF791" s="195">
        <f t="shared" si="230"/>
        <v>13.636363636363635</v>
      </c>
      <c r="BG791" s="373">
        <f>BE791-BD791</f>
        <v>19</v>
      </c>
    </row>
    <row r="792" spans="1:59" s="21" customFormat="1" ht="16.5" customHeight="1">
      <c r="A792" s="163">
        <v>51</v>
      </c>
      <c r="B792" s="9" t="s">
        <v>3928</v>
      </c>
      <c r="C792" s="10" t="s">
        <v>1947</v>
      </c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22">
        <f t="shared" si="226"/>
        <v>0</v>
      </c>
      <c r="AC792" s="25">
        <v>0</v>
      </c>
      <c r="AD792" s="24"/>
      <c r="AE792" s="24"/>
      <c r="AF792" s="24"/>
      <c r="AG792" s="24"/>
      <c r="AH792" s="24"/>
      <c r="AI792" s="24"/>
      <c r="AJ792" s="24"/>
      <c r="AK792" s="24"/>
      <c r="AL792" s="24">
        <v>2</v>
      </c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2">
        <f t="shared" si="227"/>
        <v>2</v>
      </c>
      <c r="BC792" s="23">
        <v>0</v>
      </c>
      <c r="BD792" s="130">
        <f t="shared" si="228"/>
        <v>2</v>
      </c>
      <c r="BE792" s="130">
        <f t="shared" si="229"/>
        <v>0</v>
      </c>
      <c r="BF792" s="195" t="e">
        <f t="shared" si="230"/>
        <v>#DIV/0!</v>
      </c>
      <c r="BG792" s="373"/>
    </row>
    <row r="793" spans="1:59" s="21" customFormat="1" ht="19.5" customHeight="1">
      <c r="A793" s="163">
        <v>52</v>
      </c>
      <c r="B793" s="9" t="s">
        <v>472</v>
      </c>
      <c r="C793" s="10" t="s">
        <v>473</v>
      </c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22">
        <f t="shared" si="226"/>
        <v>0</v>
      </c>
      <c r="AC793" s="25">
        <v>0</v>
      </c>
      <c r="AD793" s="24"/>
      <c r="AE793" s="24"/>
      <c r="AF793" s="24"/>
      <c r="AG793" s="24"/>
      <c r="AH793" s="24">
        <v>1</v>
      </c>
      <c r="AI793" s="24"/>
      <c r="AJ793" s="24"/>
      <c r="AK793" s="24"/>
      <c r="AL793" s="24">
        <v>3</v>
      </c>
      <c r="AM793" s="24"/>
      <c r="AN793" s="24"/>
      <c r="AO793" s="24"/>
      <c r="AP793" s="24">
        <v>1</v>
      </c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2">
        <f t="shared" si="227"/>
        <v>5</v>
      </c>
      <c r="BC793" s="23">
        <v>6</v>
      </c>
      <c r="BD793" s="130">
        <f t="shared" si="228"/>
        <v>5</v>
      </c>
      <c r="BE793" s="130">
        <f t="shared" si="229"/>
        <v>6</v>
      </c>
      <c r="BF793" s="195">
        <f t="shared" si="230"/>
        <v>83.333333333333343</v>
      </c>
      <c r="BG793" s="373">
        <f>BE793-BD793</f>
        <v>1</v>
      </c>
    </row>
    <row r="794" spans="1:59" s="21" customFormat="1" ht="15.95" customHeight="1">
      <c r="A794" s="163">
        <v>53</v>
      </c>
      <c r="B794" s="9" t="s">
        <v>3150</v>
      </c>
      <c r="C794" s="10" t="s">
        <v>3151</v>
      </c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22">
        <f t="shared" si="226"/>
        <v>0</v>
      </c>
      <c r="AC794" s="25">
        <v>0</v>
      </c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2">
        <f t="shared" si="227"/>
        <v>0</v>
      </c>
      <c r="BC794" s="23">
        <v>1</v>
      </c>
      <c r="BD794" s="130">
        <f t="shared" si="228"/>
        <v>0</v>
      </c>
      <c r="BE794" s="130">
        <f t="shared" si="229"/>
        <v>1</v>
      </c>
      <c r="BF794" s="195">
        <f t="shared" si="230"/>
        <v>0</v>
      </c>
      <c r="BG794" s="373">
        <f>BE794-BD794</f>
        <v>1</v>
      </c>
    </row>
    <row r="795" spans="1:59" s="21" customFormat="1" ht="15.95" customHeight="1">
      <c r="A795" s="163">
        <v>54</v>
      </c>
      <c r="B795" s="9" t="s">
        <v>474</v>
      </c>
      <c r="C795" s="10" t="s">
        <v>475</v>
      </c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22">
        <f t="shared" si="226"/>
        <v>0</v>
      </c>
      <c r="AC795" s="25">
        <v>0</v>
      </c>
      <c r="AD795" s="24"/>
      <c r="AE795" s="24"/>
      <c r="AF795" s="24"/>
      <c r="AG795" s="24"/>
      <c r="AH795" s="24">
        <v>2</v>
      </c>
      <c r="AI795" s="24"/>
      <c r="AJ795" s="24"/>
      <c r="AK795" s="24"/>
      <c r="AL795" s="24">
        <v>7</v>
      </c>
      <c r="AM795" s="24"/>
      <c r="AN795" s="24"/>
      <c r="AO795" s="24"/>
      <c r="AP795" s="24">
        <v>9</v>
      </c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2">
        <f t="shared" si="227"/>
        <v>18</v>
      </c>
      <c r="BC795" s="23">
        <v>31</v>
      </c>
      <c r="BD795" s="130">
        <f t="shared" si="228"/>
        <v>18</v>
      </c>
      <c r="BE795" s="130">
        <f t="shared" si="229"/>
        <v>31</v>
      </c>
      <c r="BF795" s="195">
        <f t="shared" si="230"/>
        <v>58.064516129032263</v>
      </c>
      <c r="BG795" s="373">
        <f>BE795-BD795</f>
        <v>13</v>
      </c>
    </row>
    <row r="796" spans="1:59" s="21" customFormat="1" ht="15.95" customHeight="1">
      <c r="A796" s="163">
        <v>55</v>
      </c>
      <c r="B796" s="9" t="s">
        <v>3800</v>
      </c>
      <c r="C796" s="10" t="s">
        <v>3801</v>
      </c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22">
        <f t="shared" si="226"/>
        <v>0</v>
      </c>
      <c r="AC796" s="25">
        <v>0</v>
      </c>
      <c r="AD796" s="24"/>
      <c r="AE796" s="24"/>
      <c r="AF796" s="24"/>
      <c r="AG796" s="24"/>
      <c r="AH796" s="24">
        <v>1</v>
      </c>
      <c r="AI796" s="24"/>
      <c r="AJ796" s="24"/>
      <c r="AK796" s="24"/>
      <c r="AL796" s="24">
        <v>2</v>
      </c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2">
        <f t="shared" si="227"/>
        <v>3</v>
      </c>
      <c r="BC796" s="23">
        <v>0</v>
      </c>
      <c r="BD796" s="130">
        <f t="shared" si="228"/>
        <v>3</v>
      </c>
      <c r="BE796" s="130">
        <f t="shared" si="229"/>
        <v>0</v>
      </c>
      <c r="BF796" s="195" t="e">
        <f t="shared" si="230"/>
        <v>#DIV/0!</v>
      </c>
      <c r="BG796" s="373"/>
    </row>
    <row r="797" spans="1:59" s="21" customFormat="1" ht="15.95" customHeight="1">
      <c r="A797" s="163">
        <v>56</v>
      </c>
      <c r="B797" s="9" t="s">
        <v>476</v>
      </c>
      <c r="C797" s="11" t="s">
        <v>477</v>
      </c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22">
        <f t="shared" si="226"/>
        <v>0</v>
      </c>
      <c r="AC797" s="25">
        <v>0</v>
      </c>
      <c r="AD797" s="24"/>
      <c r="AE797" s="24"/>
      <c r="AF797" s="24"/>
      <c r="AG797" s="24"/>
      <c r="AH797" s="24">
        <v>2</v>
      </c>
      <c r="AI797" s="24"/>
      <c r="AJ797" s="24"/>
      <c r="AK797" s="24"/>
      <c r="AL797" s="24">
        <v>10</v>
      </c>
      <c r="AM797" s="24"/>
      <c r="AN797" s="24"/>
      <c r="AO797" s="24"/>
      <c r="AP797" s="24">
        <v>6</v>
      </c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2">
        <f t="shared" si="227"/>
        <v>18</v>
      </c>
      <c r="BC797" s="23">
        <v>9</v>
      </c>
      <c r="BD797" s="130">
        <f t="shared" si="228"/>
        <v>18</v>
      </c>
      <c r="BE797" s="130">
        <f t="shared" si="229"/>
        <v>9</v>
      </c>
      <c r="BF797" s="195">
        <f t="shared" si="230"/>
        <v>200</v>
      </c>
      <c r="BG797" s="373">
        <f>BE797-BD797</f>
        <v>-9</v>
      </c>
    </row>
    <row r="798" spans="1:59" s="21" customFormat="1" ht="17.25" customHeight="1">
      <c r="A798" s="163">
        <v>57</v>
      </c>
      <c r="B798" s="9" t="s">
        <v>3296</v>
      </c>
      <c r="C798" s="11" t="s">
        <v>3297</v>
      </c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22">
        <f t="shared" si="226"/>
        <v>0</v>
      </c>
      <c r="AC798" s="25">
        <v>0</v>
      </c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2">
        <f t="shared" si="227"/>
        <v>0</v>
      </c>
      <c r="BC798" s="23">
        <v>3</v>
      </c>
      <c r="BD798" s="130">
        <f t="shared" si="228"/>
        <v>0</v>
      </c>
      <c r="BE798" s="130">
        <f t="shared" si="229"/>
        <v>3</v>
      </c>
      <c r="BF798" s="195">
        <f t="shared" si="230"/>
        <v>0</v>
      </c>
      <c r="BG798" s="373">
        <f>BE798-BD798</f>
        <v>3</v>
      </c>
    </row>
    <row r="799" spans="1:59" s="21" customFormat="1" ht="18" customHeight="1">
      <c r="A799" s="163">
        <v>58</v>
      </c>
      <c r="B799" s="9" t="s">
        <v>2455</v>
      </c>
      <c r="C799" s="11" t="s">
        <v>2456</v>
      </c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22">
        <f t="shared" si="226"/>
        <v>0</v>
      </c>
      <c r="AC799" s="25">
        <v>0</v>
      </c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2">
        <f t="shared" si="227"/>
        <v>0</v>
      </c>
      <c r="BC799" s="23">
        <v>2</v>
      </c>
      <c r="BD799" s="130">
        <f t="shared" si="228"/>
        <v>0</v>
      </c>
      <c r="BE799" s="130">
        <f t="shared" si="229"/>
        <v>2</v>
      </c>
      <c r="BF799" s="195">
        <f t="shared" si="230"/>
        <v>0</v>
      </c>
      <c r="BG799" s="373">
        <f>BE799-BD799</f>
        <v>2</v>
      </c>
    </row>
    <row r="800" spans="1:59" s="21" customFormat="1" ht="18" customHeight="1">
      <c r="A800" s="163">
        <v>59</v>
      </c>
      <c r="B800" s="9" t="s">
        <v>3963</v>
      </c>
      <c r="C800" s="11" t="s">
        <v>3964</v>
      </c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22">
        <f t="shared" si="226"/>
        <v>0</v>
      </c>
      <c r="AC800" s="25">
        <v>0</v>
      </c>
      <c r="AD800" s="24"/>
      <c r="AE800" s="24"/>
      <c r="AF800" s="24"/>
      <c r="AG800" s="24"/>
      <c r="AH800" s="24"/>
      <c r="AI800" s="24"/>
      <c r="AJ800" s="24"/>
      <c r="AK800" s="24"/>
      <c r="AL800" s="24">
        <v>1</v>
      </c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2">
        <f t="shared" si="227"/>
        <v>1</v>
      </c>
      <c r="BC800" s="23">
        <v>0</v>
      </c>
      <c r="BD800" s="130">
        <f t="shared" si="228"/>
        <v>1</v>
      </c>
      <c r="BE800" s="130">
        <f t="shared" si="229"/>
        <v>0</v>
      </c>
      <c r="BF800" s="195" t="e">
        <f t="shared" si="230"/>
        <v>#DIV/0!</v>
      </c>
      <c r="BG800" s="373"/>
    </row>
    <row r="801" spans="1:59" s="21" customFormat="1" ht="15.95" customHeight="1">
      <c r="A801" s="163">
        <v>60</v>
      </c>
      <c r="B801" s="9" t="s">
        <v>333</v>
      </c>
      <c r="C801" s="11" t="s">
        <v>334</v>
      </c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22">
        <f t="shared" si="226"/>
        <v>0</v>
      </c>
      <c r="AC801" s="25">
        <v>0</v>
      </c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2">
        <f t="shared" si="227"/>
        <v>0</v>
      </c>
      <c r="BC801" s="23">
        <v>1</v>
      </c>
      <c r="BD801" s="130">
        <f t="shared" si="228"/>
        <v>0</v>
      </c>
      <c r="BE801" s="130">
        <f t="shared" si="229"/>
        <v>1</v>
      </c>
      <c r="BF801" s="195">
        <f t="shared" si="230"/>
        <v>0</v>
      </c>
      <c r="BG801" s="373">
        <f>BE801-BD801</f>
        <v>1</v>
      </c>
    </row>
    <row r="802" spans="1:59" s="21" customFormat="1" ht="15.95" customHeight="1">
      <c r="A802" s="163">
        <v>61</v>
      </c>
      <c r="B802" s="9" t="s">
        <v>335</v>
      </c>
      <c r="C802" s="11" t="s">
        <v>2313</v>
      </c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22">
        <f t="shared" si="226"/>
        <v>0</v>
      </c>
      <c r="AC802" s="25">
        <v>0</v>
      </c>
      <c r="AD802" s="24"/>
      <c r="AE802" s="24"/>
      <c r="AF802" s="24"/>
      <c r="AG802" s="24"/>
      <c r="AH802" s="24"/>
      <c r="AI802" s="24"/>
      <c r="AJ802" s="24"/>
      <c r="AK802" s="24"/>
      <c r="AL802" s="24">
        <v>1</v>
      </c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2">
        <f t="shared" si="227"/>
        <v>1</v>
      </c>
      <c r="BC802" s="23">
        <v>0</v>
      </c>
      <c r="BD802" s="130">
        <f t="shared" si="228"/>
        <v>1</v>
      </c>
      <c r="BE802" s="130">
        <f t="shared" si="229"/>
        <v>0</v>
      </c>
      <c r="BF802" s="195" t="e">
        <f t="shared" si="230"/>
        <v>#DIV/0!</v>
      </c>
      <c r="BG802" s="373"/>
    </row>
    <row r="803" spans="1:59" s="21" customFormat="1" ht="15.95" customHeight="1">
      <c r="A803" s="163">
        <v>62</v>
      </c>
      <c r="B803" s="9" t="s">
        <v>2399</v>
      </c>
      <c r="C803" s="11" t="s">
        <v>2400</v>
      </c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22">
        <f t="shared" si="226"/>
        <v>0</v>
      </c>
      <c r="AC803" s="25">
        <v>0</v>
      </c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2">
        <f t="shared" si="227"/>
        <v>0</v>
      </c>
      <c r="BC803" s="23">
        <v>6</v>
      </c>
      <c r="BD803" s="130">
        <f t="shared" si="228"/>
        <v>0</v>
      </c>
      <c r="BE803" s="130">
        <f t="shared" si="229"/>
        <v>6</v>
      </c>
      <c r="BF803" s="195">
        <f t="shared" si="230"/>
        <v>0</v>
      </c>
      <c r="BG803" s="373">
        <f>BE803-BD803</f>
        <v>6</v>
      </c>
    </row>
    <row r="804" spans="1:59" s="21" customFormat="1" ht="15.95" customHeight="1">
      <c r="A804" s="163">
        <v>63</v>
      </c>
      <c r="B804" s="9" t="s">
        <v>479</v>
      </c>
      <c r="C804" s="11" t="s">
        <v>478</v>
      </c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22">
        <f t="shared" si="226"/>
        <v>0</v>
      </c>
      <c r="AC804" s="25">
        <v>0</v>
      </c>
      <c r="AD804" s="24"/>
      <c r="AE804" s="24"/>
      <c r="AF804" s="24"/>
      <c r="AG804" s="24"/>
      <c r="AH804" s="24">
        <v>6</v>
      </c>
      <c r="AI804" s="24"/>
      <c r="AJ804" s="24"/>
      <c r="AK804" s="24"/>
      <c r="AL804" s="24">
        <f>3+10</f>
        <v>13</v>
      </c>
      <c r="AM804" s="24"/>
      <c r="AN804" s="24"/>
      <c r="AO804" s="24"/>
      <c r="AP804" s="24">
        <v>2</v>
      </c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2">
        <f t="shared" si="227"/>
        <v>21</v>
      </c>
      <c r="BC804" s="23">
        <v>44</v>
      </c>
      <c r="BD804" s="130">
        <f t="shared" si="228"/>
        <v>21</v>
      </c>
      <c r="BE804" s="130">
        <f t="shared" si="229"/>
        <v>44</v>
      </c>
      <c r="BF804" s="195">
        <f t="shared" si="230"/>
        <v>47.727272727272727</v>
      </c>
      <c r="BG804" s="373">
        <f>BE804-BD804</f>
        <v>23</v>
      </c>
    </row>
    <row r="805" spans="1:59" s="21" customFormat="1" ht="15.95" customHeight="1">
      <c r="A805" s="163">
        <v>64</v>
      </c>
      <c r="B805" s="9" t="s">
        <v>480</v>
      </c>
      <c r="C805" s="11" t="s">
        <v>481</v>
      </c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22">
        <f t="shared" si="226"/>
        <v>0</v>
      </c>
      <c r="AC805" s="25">
        <v>0</v>
      </c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2">
        <f t="shared" si="227"/>
        <v>0</v>
      </c>
      <c r="BC805" s="23">
        <v>1</v>
      </c>
      <c r="BD805" s="130">
        <f t="shared" si="228"/>
        <v>0</v>
      </c>
      <c r="BE805" s="130">
        <f t="shared" si="229"/>
        <v>1</v>
      </c>
      <c r="BF805" s="195">
        <f t="shared" si="230"/>
        <v>0</v>
      </c>
      <c r="BG805" s="373">
        <f>BE805-BD805</f>
        <v>1</v>
      </c>
    </row>
    <row r="806" spans="1:59" s="21" customFormat="1" ht="15.95" customHeight="1">
      <c r="A806" s="163">
        <v>65</v>
      </c>
      <c r="B806" s="9" t="s">
        <v>482</v>
      </c>
      <c r="C806" s="11" t="s">
        <v>483</v>
      </c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22">
        <f t="shared" ref="AB806:AB837" si="231">SUM(D806:AA806)</f>
        <v>0</v>
      </c>
      <c r="AC806" s="25">
        <v>0</v>
      </c>
      <c r="AD806" s="24"/>
      <c r="AE806" s="24"/>
      <c r="AF806" s="24"/>
      <c r="AG806" s="24"/>
      <c r="AH806" s="24">
        <v>1</v>
      </c>
      <c r="AI806" s="24"/>
      <c r="AJ806" s="24"/>
      <c r="AK806" s="24"/>
      <c r="AL806" s="24">
        <v>6</v>
      </c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2">
        <f t="shared" ref="BB806:BB837" si="232">SUM(AD806:BA806)</f>
        <v>7</v>
      </c>
      <c r="BC806" s="23">
        <v>4</v>
      </c>
      <c r="BD806" s="130">
        <f t="shared" ref="BD806:BD837" si="233">AB806+BB806</f>
        <v>7</v>
      </c>
      <c r="BE806" s="130">
        <f t="shared" ref="BE806:BE837" si="234">AC806+BC806</f>
        <v>4</v>
      </c>
      <c r="BF806" s="195">
        <f t="shared" ref="BF806:BF837" si="235">BD806/BE806*100</f>
        <v>175</v>
      </c>
      <c r="BG806" s="373">
        <f>BE806-BD806</f>
        <v>-3</v>
      </c>
    </row>
    <row r="807" spans="1:59" s="21" customFormat="1" ht="15.95" customHeight="1">
      <c r="A807" s="163">
        <v>66</v>
      </c>
      <c r="B807" s="9" t="s">
        <v>3965</v>
      </c>
      <c r="C807" s="11" t="s">
        <v>3966</v>
      </c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22">
        <f t="shared" si="231"/>
        <v>0</v>
      </c>
      <c r="AC807" s="25">
        <v>0</v>
      </c>
      <c r="AD807" s="24"/>
      <c r="AE807" s="24"/>
      <c r="AF807" s="24"/>
      <c r="AG807" s="24"/>
      <c r="AH807" s="24"/>
      <c r="AI807" s="24"/>
      <c r="AJ807" s="24"/>
      <c r="AK807" s="24"/>
      <c r="AL807" s="24">
        <v>1</v>
      </c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2">
        <f t="shared" si="232"/>
        <v>1</v>
      </c>
      <c r="BC807" s="23">
        <v>0</v>
      </c>
      <c r="BD807" s="130">
        <f t="shared" si="233"/>
        <v>1</v>
      </c>
      <c r="BE807" s="130">
        <f t="shared" si="234"/>
        <v>0</v>
      </c>
      <c r="BF807" s="195" t="e">
        <f t="shared" si="235"/>
        <v>#DIV/0!</v>
      </c>
      <c r="BG807" s="373"/>
    </row>
    <row r="808" spans="1:59" s="21" customFormat="1" ht="15.95" customHeight="1">
      <c r="A808" s="163">
        <v>67</v>
      </c>
      <c r="B808" s="9" t="s">
        <v>2196</v>
      </c>
      <c r="C808" s="11" t="s">
        <v>2197</v>
      </c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22">
        <f t="shared" si="231"/>
        <v>0</v>
      </c>
      <c r="AC808" s="25">
        <v>0</v>
      </c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2">
        <f t="shared" si="232"/>
        <v>0</v>
      </c>
      <c r="BC808" s="23">
        <v>2</v>
      </c>
      <c r="BD808" s="130">
        <f t="shared" si="233"/>
        <v>0</v>
      </c>
      <c r="BE808" s="130">
        <f t="shared" si="234"/>
        <v>2</v>
      </c>
      <c r="BF808" s="195">
        <f t="shared" si="235"/>
        <v>0</v>
      </c>
      <c r="BG808" s="373">
        <f>BE808-BD808</f>
        <v>2</v>
      </c>
    </row>
    <row r="809" spans="1:59" s="21" customFormat="1" ht="15.95" customHeight="1">
      <c r="A809" s="163">
        <v>68</v>
      </c>
      <c r="B809" s="9" t="s">
        <v>3152</v>
      </c>
      <c r="C809" s="11" t="s">
        <v>3153</v>
      </c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22">
        <f t="shared" si="231"/>
        <v>0</v>
      </c>
      <c r="AC809" s="25">
        <v>0</v>
      </c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2">
        <f t="shared" si="232"/>
        <v>0</v>
      </c>
      <c r="BC809" s="23">
        <v>1</v>
      </c>
      <c r="BD809" s="130">
        <f t="shared" si="233"/>
        <v>0</v>
      </c>
      <c r="BE809" s="130">
        <f t="shared" si="234"/>
        <v>1</v>
      </c>
      <c r="BF809" s="195">
        <f t="shared" si="235"/>
        <v>0</v>
      </c>
      <c r="BG809" s="373">
        <f>BE809-BD809</f>
        <v>1</v>
      </c>
    </row>
    <row r="810" spans="1:59" s="21" customFormat="1" ht="15.95" customHeight="1">
      <c r="A810" s="163">
        <v>69</v>
      </c>
      <c r="B810" s="9" t="s">
        <v>2401</v>
      </c>
      <c r="C810" s="11" t="s">
        <v>2402</v>
      </c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22">
        <f t="shared" si="231"/>
        <v>0</v>
      </c>
      <c r="AC810" s="25">
        <v>0</v>
      </c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2">
        <f t="shared" si="232"/>
        <v>0</v>
      </c>
      <c r="BC810" s="23">
        <v>1</v>
      </c>
      <c r="BD810" s="130">
        <f t="shared" si="233"/>
        <v>0</v>
      </c>
      <c r="BE810" s="130">
        <f t="shared" si="234"/>
        <v>1</v>
      </c>
      <c r="BF810" s="195">
        <f t="shared" si="235"/>
        <v>0</v>
      </c>
      <c r="BG810" s="373">
        <f>BE810-BD810</f>
        <v>1</v>
      </c>
    </row>
    <row r="811" spans="1:59" s="21" customFormat="1" ht="15.95" customHeight="1">
      <c r="A811" s="163">
        <v>70</v>
      </c>
      <c r="B811" s="9" t="s">
        <v>2996</v>
      </c>
      <c r="C811" s="11" t="s">
        <v>2997</v>
      </c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22">
        <f t="shared" si="231"/>
        <v>0</v>
      </c>
      <c r="AC811" s="25">
        <v>0</v>
      </c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2">
        <f t="shared" si="232"/>
        <v>0</v>
      </c>
      <c r="BC811" s="23">
        <v>1</v>
      </c>
      <c r="BD811" s="130">
        <f t="shared" si="233"/>
        <v>0</v>
      </c>
      <c r="BE811" s="130">
        <f t="shared" si="234"/>
        <v>1</v>
      </c>
      <c r="BF811" s="195">
        <f t="shared" si="235"/>
        <v>0</v>
      </c>
      <c r="BG811" s="373">
        <f>BE811-BD811</f>
        <v>1</v>
      </c>
    </row>
    <row r="812" spans="1:59" s="21" customFormat="1" ht="15.95" customHeight="1">
      <c r="A812" s="163">
        <v>71</v>
      </c>
      <c r="B812" s="9" t="s">
        <v>3929</v>
      </c>
      <c r="C812" s="11" t="s">
        <v>3930</v>
      </c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22">
        <f t="shared" si="231"/>
        <v>0</v>
      </c>
      <c r="AC812" s="25">
        <v>0</v>
      </c>
      <c r="AD812" s="24"/>
      <c r="AE812" s="24"/>
      <c r="AF812" s="24"/>
      <c r="AG812" s="24"/>
      <c r="AH812" s="24"/>
      <c r="AI812" s="24"/>
      <c r="AJ812" s="24"/>
      <c r="AK812" s="24"/>
      <c r="AL812" s="24">
        <v>1</v>
      </c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2">
        <f t="shared" si="232"/>
        <v>1</v>
      </c>
      <c r="BC812" s="23">
        <v>0</v>
      </c>
      <c r="BD812" s="130">
        <f t="shared" si="233"/>
        <v>1</v>
      </c>
      <c r="BE812" s="130">
        <f t="shared" si="234"/>
        <v>0</v>
      </c>
      <c r="BF812" s="195" t="e">
        <f t="shared" si="235"/>
        <v>#DIV/0!</v>
      </c>
      <c r="BG812" s="373"/>
    </row>
    <row r="813" spans="1:59" s="21" customFormat="1" ht="15.95" customHeight="1">
      <c r="A813" s="163">
        <v>72</v>
      </c>
      <c r="B813" s="9" t="s">
        <v>4141</v>
      </c>
      <c r="C813" s="11" t="s">
        <v>4142</v>
      </c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22">
        <f t="shared" si="231"/>
        <v>0</v>
      </c>
      <c r="AC813" s="25">
        <v>0</v>
      </c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>
        <v>1</v>
      </c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2">
        <f t="shared" si="232"/>
        <v>1</v>
      </c>
      <c r="BC813" s="23">
        <v>0</v>
      </c>
      <c r="BD813" s="130">
        <f t="shared" si="233"/>
        <v>1</v>
      </c>
      <c r="BE813" s="130">
        <f t="shared" si="234"/>
        <v>0</v>
      </c>
      <c r="BF813" s="195" t="e">
        <f t="shared" si="235"/>
        <v>#DIV/0!</v>
      </c>
      <c r="BG813" s="373"/>
    </row>
    <row r="814" spans="1:59" s="21" customFormat="1" ht="15.95" customHeight="1">
      <c r="A814" s="163">
        <v>73</v>
      </c>
      <c r="B814" s="9" t="s">
        <v>484</v>
      </c>
      <c r="C814" s="11" t="s">
        <v>485</v>
      </c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22">
        <f t="shared" si="231"/>
        <v>0</v>
      </c>
      <c r="AC814" s="25">
        <v>0</v>
      </c>
      <c r="AD814" s="99"/>
      <c r="AE814" s="99"/>
      <c r="AF814" s="99"/>
      <c r="AG814" s="99"/>
      <c r="AH814" s="99">
        <v>2</v>
      </c>
      <c r="AI814" s="99"/>
      <c r="AJ814" s="99"/>
      <c r="AK814" s="99"/>
      <c r="AL814" s="99">
        <v>5</v>
      </c>
      <c r="AM814" s="99"/>
      <c r="AN814" s="99"/>
      <c r="AO814" s="99"/>
      <c r="AP814" s="99">
        <v>16</v>
      </c>
      <c r="AQ814" s="99"/>
      <c r="AR814" s="99"/>
      <c r="AS814" s="99"/>
      <c r="AT814" s="99"/>
      <c r="AU814" s="99"/>
      <c r="AV814" s="99"/>
      <c r="AW814" s="99"/>
      <c r="AX814" s="99"/>
      <c r="AY814" s="99"/>
      <c r="AZ814" s="99"/>
      <c r="BA814" s="99"/>
      <c r="BB814" s="22">
        <f t="shared" si="232"/>
        <v>23</v>
      </c>
      <c r="BC814" s="23">
        <v>37</v>
      </c>
      <c r="BD814" s="130">
        <f t="shared" si="233"/>
        <v>23</v>
      </c>
      <c r="BE814" s="130">
        <f t="shared" si="234"/>
        <v>37</v>
      </c>
      <c r="BF814" s="195">
        <f t="shared" si="235"/>
        <v>62.162162162162161</v>
      </c>
      <c r="BG814" s="373">
        <f t="shared" ref="BG814:BG822" si="236">BE814-BD814</f>
        <v>14</v>
      </c>
    </row>
    <row r="815" spans="1:59" s="21" customFormat="1" ht="15.95" customHeight="1">
      <c r="A815" s="163">
        <v>74</v>
      </c>
      <c r="B815" s="79" t="s">
        <v>486</v>
      </c>
      <c r="C815" s="216" t="s">
        <v>487</v>
      </c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22">
        <f t="shared" si="231"/>
        <v>0</v>
      </c>
      <c r="AC815" s="25">
        <v>0</v>
      </c>
      <c r="AD815" s="99"/>
      <c r="AE815" s="99"/>
      <c r="AF815" s="99"/>
      <c r="AG815" s="99"/>
      <c r="AH815" s="99">
        <v>1</v>
      </c>
      <c r="AI815" s="99"/>
      <c r="AJ815" s="99"/>
      <c r="AK815" s="99"/>
      <c r="AL815" s="99">
        <v>7</v>
      </c>
      <c r="AM815" s="99"/>
      <c r="AN815" s="99"/>
      <c r="AO815" s="99"/>
      <c r="AP815" s="99">
        <f>6+2</f>
        <v>8</v>
      </c>
      <c r="AQ815" s="99"/>
      <c r="AR815" s="99"/>
      <c r="AS815" s="99"/>
      <c r="AT815" s="99"/>
      <c r="AU815" s="99"/>
      <c r="AV815" s="99"/>
      <c r="AW815" s="99"/>
      <c r="AX815" s="99"/>
      <c r="AY815" s="99"/>
      <c r="AZ815" s="99"/>
      <c r="BA815" s="99"/>
      <c r="BB815" s="22">
        <f t="shared" si="232"/>
        <v>16</v>
      </c>
      <c r="BC815" s="23">
        <v>121</v>
      </c>
      <c r="BD815" s="130">
        <f t="shared" si="233"/>
        <v>16</v>
      </c>
      <c r="BE815" s="130">
        <f t="shared" si="234"/>
        <v>121</v>
      </c>
      <c r="BF815" s="195">
        <f t="shared" si="235"/>
        <v>13.223140495867769</v>
      </c>
      <c r="BG815" s="373">
        <f t="shared" si="236"/>
        <v>105</v>
      </c>
    </row>
    <row r="816" spans="1:59" s="21" customFormat="1" ht="15.95" customHeight="1">
      <c r="A816" s="163">
        <v>75</v>
      </c>
      <c r="B816" s="9" t="s">
        <v>3154</v>
      </c>
      <c r="C816" s="11" t="s">
        <v>3155</v>
      </c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22">
        <f t="shared" si="231"/>
        <v>0</v>
      </c>
      <c r="AC816" s="25">
        <v>0</v>
      </c>
      <c r="AD816" s="24"/>
      <c r="AE816" s="24"/>
      <c r="AF816" s="24"/>
      <c r="AG816" s="24"/>
      <c r="AH816" s="24"/>
      <c r="AI816" s="24"/>
      <c r="AJ816" s="24"/>
      <c r="AK816" s="24"/>
      <c r="AL816" s="24">
        <v>1</v>
      </c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2">
        <f t="shared" si="232"/>
        <v>1</v>
      </c>
      <c r="BC816" s="23">
        <v>2</v>
      </c>
      <c r="BD816" s="130">
        <f t="shared" si="233"/>
        <v>1</v>
      </c>
      <c r="BE816" s="130">
        <f t="shared" si="234"/>
        <v>2</v>
      </c>
      <c r="BF816" s="195">
        <f t="shared" si="235"/>
        <v>50</v>
      </c>
      <c r="BG816" s="373">
        <f t="shared" si="236"/>
        <v>1</v>
      </c>
    </row>
    <row r="817" spans="1:59" s="21" customFormat="1" ht="15.95" customHeight="1">
      <c r="A817" s="163">
        <v>76</v>
      </c>
      <c r="B817" s="9" t="s">
        <v>488</v>
      </c>
      <c r="C817" s="11" t="s">
        <v>489</v>
      </c>
      <c r="D817" s="14">
        <v>3</v>
      </c>
      <c r="E817" s="14"/>
      <c r="F817" s="14"/>
      <c r="G817" s="14"/>
      <c r="H817" s="14">
        <v>5</v>
      </c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22">
        <f t="shared" si="231"/>
        <v>8</v>
      </c>
      <c r="AC817" s="25">
        <v>13</v>
      </c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2">
        <f t="shared" si="232"/>
        <v>0</v>
      </c>
      <c r="BC817" s="23">
        <v>0</v>
      </c>
      <c r="BD817" s="130">
        <f t="shared" si="233"/>
        <v>8</v>
      </c>
      <c r="BE817" s="130">
        <f t="shared" si="234"/>
        <v>13</v>
      </c>
      <c r="BF817" s="195">
        <f t="shared" si="235"/>
        <v>61.53846153846154</v>
      </c>
      <c r="BG817" s="373">
        <f t="shared" si="236"/>
        <v>5</v>
      </c>
    </row>
    <row r="818" spans="1:59" s="21" customFormat="1" ht="15.95" customHeight="1">
      <c r="A818" s="163">
        <v>77</v>
      </c>
      <c r="B818" s="9" t="s">
        <v>2550</v>
      </c>
      <c r="C818" s="11" t="s">
        <v>2551</v>
      </c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22">
        <f t="shared" si="231"/>
        <v>0</v>
      </c>
      <c r="AC818" s="25">
        <v>0</v>
      </c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2">
        <f t="shared" si="232"/>
        <v>0</v>
      </c>
      <c r="BC818" s="23">
        <v>1</v>
      </c>
      <c r="BD818" s="130">
        <f t="shared" si="233"/>
        <v>0</v>
      </c>
      <c r="BE818" s="130">
        <f t="shared" si="234"/>
        <v>1</v>
      </c>
      <c r="BF818" s="195">
        <f t="shared" si="235"/>
        <v>0</v>
      </c>
      <c r="BG818" s="373">
        <f t="shared" si="236"/>
        <v>1</v>
      </c>
    </row>
    <row r="819" spans="1:59" s="21" customFormat="1" ht="15.95" customHeight="1">
      <c r="A819" s="163">
        <v>78</v>
      </c>
      <c r="B819" s="136" t="s">
        <v>2338</v>
      </c>
      <c r="C819" s="215" t="s">
        <v>2339</v>
      </c>
      <c r="D819" s="197"/>
      <c r="E819" s="197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197"/>
      <c r="Z819" s="197"/>
      <c r="AA819" s="197"/>
      <c r="AB819" s="196">
        <f t="shared" si="231"/>
        <v>0</v>
      </c>
      <c r="AC819" s="25">
        <v>0</v>
      </c>
      <c r="AD819" s="196"/>
      <c r="AE819" s="196"/>
      <c r="AF819" s="196"/>
      <c r="AG819" s="196"/>
      <c r="AH819" s="196"/>
      <c r="AI819" s="196"/>
      <c r="AJ819" s="196"/>
      <c r="AK819" s="196"/>
      <c r="AL819" s="196"/>
      <c r="AM819" s="196"/>
      <c r="AN819" s="196"/>
      <c r="AO819" s="196"/>
      <c r="AP819" s="196"/>
      <c r="AQ819" s="196"/>
      <c r="AR819" s="196"/>
      <c r="AS819" s="196"/>
      <c r="AT819" s="196"/>
      <c r="AU819" s="196"/>
      <c r="AV819" s="196"/>
      <c r="AW819" s="196"/>
      <c r="AX819" s="196"/>
      <c r="AY819" s="196"/>
      <c r="AZ819" s="196"/>
      <c r="BA819" s="196"/>
      <c r="BB819" s="196">
        <f t="shared" si="232"/>
        <v>0</v>
      </c>
      <c r="BC819" s="23">
        <v>20</v>
      </c>
      <c r="BD819" s="130">
        <f t="shared" si="233"/>
        <v>0</v>
      </c>
      <c r="BE819" s="130">
        <f t="shared" si="234"/>
        <v>20</v>
      </c>
      <c r="BF819" s="195">
        <f t="shared" si="235"/>
        <v>0</v>
      </c>
      <c r="BG819" s="373">
        <f t="shared" si="236"/>
        <v>20</v>
      </c>
    </row>
    <row r="820" spans="1:59" s="21" customFormat="1" ht="15.95" customHeight="1">
      <c r="A820" s="163">
        <v>79</v>
      </c>
      <c r="B820" s="9" t="s">
        <v>490</v>
      </c>
      <c r="C820" s="11" t="s">
        <v>491</v>
      </c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22">
        <f t="shared" si="231"/>
        <v>0</v>
      </c>
      <c r="AC820" s="25">
        <v>0</v>
      </c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2">
        <f t="shared" si="232"/>
        <v>0</v>
      </c>
      <c r="BC820" s="23">
        <v>18</v>
      </c>
      <c r="BD820" s="130">
        <f t="shared" si="233"/>
        <v>0</v>
      </c>
      <c r="BE820" s="130">
        <f t="shared" si="234"/>
        <v>18</v>
      </c>
      <c r="BF820" s="195">
        <f t="shared" si="235"/>
        <v>0</v>
      </c>
      <c r="BG820" s="373">
        <f t="shared" si="236"/>
        <v>18</v>
      </c>
    </row>
    <row r="821" spans="1:59" s="21" customFormat="1" ht="15.95" customHeight="1">
      <c r="A821" s="163">
        <v>80</v>
      </c>
      <c r="B821" s="9" t="s">
        <v>2161</v>
      </c>
      <c r="C821" s="11" t="s">
        <v>2162</v>
      </c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22">
        <f t="shared" si="231"/>
        <v>0</v>
      </c>
      <c r="AC821" s="25">
        <v>0</v>
      </c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2">
        <f t="shared" si="232"/>
        <v>0</v>
      </c>
      <c r="BC821" s="23">
        <v>1</v>
      </c>
      <c r="BD821" s="130">
        <f t="shared" si="233"/>
        <v>0</v>
      </c>
      <c r="BE821" s="130">
        <f t="shared" si="234"/>
        <v>1</v>
      </c>
      <c r="BF821" s="195">
        <f t="shared" si="235"/>
        <v>0</v>
      </c>
      <c r="BG821" s="373">
        <f t="shared" si="236"/>
        <v>1</v>
      </c>
    </row>
    <row r="822" spans="1:59" s="21" customFormat="1" ht="15.95" customHeight="1">
      <c r="A822" s="163">
        <v>81</v>
      </c>
      <c r="B822" s="9" t="s">
        <v>1943</v>
      </c>
      <c r="C822" s="11" t="s">
        <v>1944</v>
      </c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22">
        <f t="shared" si="231"/>
        <v>0</v>
      </c>
      <c r="AC822" s="25">
        <v>0</v>
      </c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2">
        <f t="shared" si="232"/>
        <v>0</v>
      </c>
      <c r="BC822" s="23">
        <v>14</v>
      </c>
      <c r="BD822" s="130">
        <f t="shared" si="233"/>
        <v>0</v>
      </c>
      <c r="BE822" s="130">
        <f t="shared" si="234"/>
        <v>14</v>
      </c>
      <c r="BF822" s="195">
        <f t="shared" si="235"/>
        <v>0</v>
      </c>
      <c r="BG822" s="373">
        <f t="shared" si="236"/>
        <v>14</v>
      </c>
    </row>
    <row r="823" spans="1:59" s="21" customFormat="1" ht="15.95" customHeight="1">
      <c r="A823" s="163">
        <v>82</v>
      </c>
      <c r="B823" s="9" t="s">
        <v>3931</v>
      </c>
      <c r="C823" s="11" t="s">
        <v>3932</v>
      </c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22">
        <f t="shared" si="231"/>
        <v>0</v>
      </c>
      <c r="AC823" s="25">
        <v>0</v>
      </c>
      <c r="AD823" s="24"/>
      <c r="AE823" s="24"/>
      <c r="AF823" s="24"/>
      <c r="AG823" s="24"/>
      <c r="AH823" s="24"/>
      <c r="AI823" s="24"/>
      <c r="AJ823" s="24"/>
      <c r="AK823" s="24"/>
      <c r="AL823" s="24">
        <v>1</v>
      </c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2">
        <f t="shared" si="232"/>
        <v>1</v>
      </c>
      <c r="BC823" s="23">
        <v>0</v>
      </c>
      <c r="BD823" s="130">
        <f t="shared" si="233"/>
        <v>1</v>
      </c>
      <c r="BE823" s="130">
        <f t="shared" si="234"/>
        <v>0</v>
      </c>
      <c r="BF823" s="195" t="e">
        <f t="shared" si="235"/>
        <v>#DIV/0!</v>
      </c>
      <c r="BG823" s="373"/>
    </row>
    <row r="824" spans="1:59" s="21" customFormat="1" ht="15.95" customHeight="1">
      <c r="A824" s="163">
        <v>83</v>
      </c>
      <c r="B824" s="9" t="s">
        <v>492</v>
      </c>
      <c r="C824" s="11" t="s">
        <v>493</v>
      </c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22">
        <f t="shared" si="231"/>
        <v>0</v>
      </c>
      <c r="AC824" s="25">
        <v>0</v>
      </c>
      <c r="AD824" s="24"/>
      <c r="AE824" s="24"/>
      <c r="AF824" s="24"/>
      <c r="AG824" s="24"/>
      <c r="AH824" s="24">
        <v>2</v>
      </c>
      <c r="AI824" s="24"/>
      <c r="AJ824" s="24"/>
      <c r="AK824" s="24"/>
      <c r="AL824" s="24">
        <v>1</v>
      </c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2">
        <f t="shared" si="232"/>
        <v>3</v>
      </c>
      <c r="BC824" s="23">
        <v>8</v>
      </c>
      <c r="BD824" s="130">
        <f t="shared" si="233"/>
        <v>3</v>
      </c>
      <c r="BE824" s="130">
        <f t="shared" si="234"/>
        <v>8</v>
      </c>
      <c r="BF824" s="195">
        <f t="shared" si="235"/>
        <v>37.5</v>
      </c>
      <c r="BG824" s="373">
        <f t="shared" ref="BG824:BG834" si="237">BE824-BD824</f>
        <v>5</v>
      </c>
    </row>
    <row r="825" spans="1:59" s="21" customFormat="1" ht="15.95" customHeight="1">
      <c r="A825" s="163">
        <v>84</v>
      </c>
      <c r="B825" s="9" t="s">
        <v>494</v>
      </c>
      <c r="C825" s="11" t="s">
        <v>495</v>
      </c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22">
        <f t="shared" si="231"/>
        <v>0</v>
      </c>
      <c r="AC825" s="25">
        <v>0</v>
      </c>
      <c r="AD825" s="24"/>
      <c r="AE825" s="24"/>
      <c r="AF825" s="24"/>
      <c r="AG825" s="24"/>
      <c r="AH825" s="24">
        <f>1+1</f>
        <v>2</v>
      </c>
      <c r="AI825" s="24"/>
      <c r="AJ825" s="24"/>
      <c r="AK825" s="24"/>
      <c r="AL825" s="24">
        <v>3</v>
      </c>
      <c r="AM825" s="24"/>
      <c r="AN825" s="24"/>
      <c r="AO825" s="24"/>
      <c r="AP825" s="24">
        <v>2</v>
      </c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2">
        <f t="shared" si="232"/>
        <v>7</v>
      </c>
      <c r="BC825" s="23">
        <v>5</v>
      </c>
      <c r="BD825" s="130">
        <f t="shared" si="233"/>
        <v>7</v>
      </c>
      <c r="BE825" s="130">
        <f t="shared" si="234"/>
        <v>5</v>
      </c>
      <c r="BF825" s="195">
        <f t="shared" si="235"/>
        <v>140</v>
      </c>
      <c r="BG825" s="373">
        <f t="shared" si="237"/>
        <v>-2</v>
      </c>
    </row>
    <row r="826" spans="1:59" s="21" customFormat="1" ht="15.95" customHeight="1">
      <c r="A826" s="163">
        <v>85</v>
      </c>
      <c r="B826" s="9" t="s">
        <v>496</v>
      </c>
      <c r="C826" s="10" t="s">
        <v>497</v>
      </c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22">
        <f t="shared" si="231"/>
        <v>0</v>
      </c>
      <c r="AC826" s="25">
        <v>0</v>
      </c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2">
        <f t="shared" si="232"/>
        <v>0</v>
      </c>
      <c r="BC826" s="23">
        <v>8</v>
      </c>
      <c r="BD826" s="130">
        <f t="shared" si="233"/>
        <v>0</v>
      </c>
      <c r="BE826" s="130">
        <f t="shared" si="234"/>
        <v>8</v>
      </c>
      <c r="BF826" s="195">
        <f t="shared" si="235"/>
        <v>0</v>
      </c>
      <c r="BG826" s="373">
        <f t="shared" si="237"/>
        <v>8</v>
      </c>
    </row>
    <row r="827" spans="1:59" s="21" customFormat="1" ht="15.95" customHeight="1">
      <c r="A827" s="163">
        <v>86</v>
      </c>
      <c r="B827" s="9" t="s">
        <v>498</v>
      </c>
      <c r="C827" s="10" t="s">
        <v>499</v>
      </c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22">
        <f t="shared" si="231"/>
        <v>0</v>
      </c>
      <c r="AC827" s="25">
        <v>0</v>
      </c>
      <c r="AD827" s="24"/>
      <c r="AE827" s="24"/>
      <c r="AF827" s="24"/>
      <c r="AG827" s="24"/>
      <c r="AH827" s="24"/>
      <c r="AI827" s="24"/>
      <c r="AJ827" s="24"/>
      <c r="AK827" s="24"/>
      <c r="AL827" s="24">
        <v>1</v>
      </c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2">
        <f t="shared" si="232"/>
        <v>1</v>
      </c>
      <c r="BC827" s="23">
        <v>3</v>
      </c>
      <c r="BD827" s="130">
        <f t="shared" si="233"/>
        <v>1</v>
      </c>
      <c r="BE827" s="130">
        <f t="shared" si="234"/>
        <v>3</v>
      </c>
      <c r="BF827" s="195">
        <f t="shared" si="235"/>
        <v>33.333333333333329</v>
      </c>
      <c r="BG827" s="373">
        <f t="shared" si="237"/>
        <v>2</v>
      </c>
    </row>
    <row r="828" spans="1:59" s="21" customFormat="1" ht="15.95" customHeight="1">
      <c r="A828" s="163">
        <v>87</v>
      </c>
      <c r="B828" s="9" t="s">
        <v>2268</v>
      </c>
      <c r="C828" s="10" t="s">
        <v>2269</v>
      </c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22">
        <f t="shared" si="231"/>
        <v>0</v>
      </c>
      <c r="AC828" s="25">
        <v>0</v>
      </c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2">
        <f t="shared" si="232"/>
        <v>0</v>
      </c>
      <c r="BC828" s="23">
        <v>1</v>
      </c>
      <c r="BD828" s="130">
        <f t="shared" si="233"/>
        <v>0</v>
      </c>
      <c r="BE828" s="130">
        <f t="shared" si="234"/>
        <v>1</v>
      </c>
      <c r="BF828" s="195">
        <f t="shared" si="235"/>
        <v>0</v>
      </c>
      <c r="BG828" s="373">
        <f t="shared" si="237"/>
        <v>1</v>
      </c>
    </row>
    <row r="829" spans="1:59" s="21" customFormat="1" ht="15.95" customHeight="1">
      <c r="A829" s="163">
        <v>88</v>
      </c>
      <c r="B829" s="9" t="s">
        <v>1316</v>
      </c>
      <c r="C829" s="10" t="s">
        <v>2120</v>
      </c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22">
        <f t="shared" si="231"/>
        <v>0</v>
      </c>
      <c r="AC829" s="25">
        <v>0</v>
      </c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2">
        <f t="shared" si="232"/>
        <v>0</v>
      </c>
      <c r="BC829" s="23">
        <v>1</v>
      </c>
      <c r="BD829" s="130">
        <f t="shared" si="233"/>
        <v>0</v>
      </c>
      <c r="BE829" s="130">
        <f t="shared" si="234"/>
        <v>1</v>
      </c>
      <c r="BF829" s="195">
        <f t="shared" si="235"/>
        <v>0</v>
      </c>
      <c r="BG829" s="373">
        <f t="shared" si="237"/>
        <v>1</v>
      </c>
    </row>
    <row r="830" spans="1:59" s="21" customFormat="1" ht="15.95" customHeight="1">
      <c r="A830" s="163">
        <v>89</v>
      </c>
      <c r="B830" s="9" t="s">
        <v>2998</v>
      </c>
      <c r="C830" s="10" t="s">
        <v>2999</v>
      </c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22">
        <f t="shared" si="231"/>
        <v>0</v>
      </c>
      <c r="AC830" s="25">
        <v>0</v>
      </c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2">
        <f t="shared" si="232"/>
        <v>0</v>
      </c>
      <c r="BC830" s="23">
        <v>1</v>
      </c>
      <c r="BD830" s="130">
        <f t="shared" si="233"/>
        <v>0</v>
      </c>
      <c r="BE830" s="130">
        <f t="shared" si="234"/>
        <v>1</v>
      </c>
      <c r="BF830" s="195">
        <f t="shared" si="235"/>
        <v>0</v>
      </c>
      <c r="BG830" s="373">
        <f t="shared" si="237"/>
        <v>1</v>
      </c>
    </row>
    <row r="831" spans="1:59" s="21" customFormat="1" ht="15.95" customHeight="1">
      <c r="A831" s="163">
        <v>90</v>
      </c>
      <c r="B831" s="9" t="s">
        <v>500</v>
      </c>
      <c r="C831" s="11" t="s">
        <v>501</v>
      </c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22">
        <f t="shared" si="231"/>
        <v>0</v>
      </c>
      <c r="AC831" s="25">
        <v>0</v>
      </c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2">
        <f t="shared" si="232"/>
        <v>0</v>
      </c>
      <c r="BC831" s="23">
        <v>6</v>
      </c>
      <c r="BD831" s="130">
        <f t="shared" si="233"/>
        <v>0</v>
      </c>
      <c r="BE831" s="130">
        <f t="shared" si="234"/>
        <v>6</v>
      </c>
      <c r="BF831" s="195">
        <f t="shared" si="235"/>
        <v>0</v>
      </c>
      <c r="BG831" s="373">
        <f t="shared" si="237"/>
        <v>6</v>
      </c>
    </row>
    <row r="832" spans="1:59" s="21" customFormat="1" ht="15.95" customHeight="1">
      <c r="A832" s="163">
        <v>91</v>
      </c>
      <c r="B832" s="9" t="s">
        <v>690</v>
      </c>
      <c r="C832" s="11" t="s">
        <v>691</v>
      </c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22">
        <f t="shared" si="231"/>
        <v>0</v>
      </c>
      <c r="AC832" s="25">
        <v>0</v>
      </c>
      <c r="AD832" s="24"/>
      <c r="AE832" s="24"/>
      <c r="AF832" s="24"/>
      <c r="AG832" s="24"/>
      <c r="AH832" s="24"/>
      <c r="AI832" s="24"/>
      <c r="AJ832" s="24"/>
      <c r="AK832" s="24"/>
      <c r="AL832" s="24">
        <v>1</v>
      </c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2">
        <f t="shared" si="232"/>
        <v>1</v>
      </c>
      <c r="BC832" s="23">
        <v>1</v>
      </c>
      <c r="BD832" s="130">
        <f t="shared" si="233"/>
        <v>1</v>
      </c>
      <c r="BE832" s="130">
        <f t="shared" si="234"/>
        <v>1</v>
      </c>
      <c r="BF832" s="195">
        <f t="shared" si="235"/>
        <v>100</v>
      </c>
      <c r="BG832" s="373">
        <f t="shared" si="237"/>
        <v>0</v>
      </c>
    </row>
    <row r="833" spans="1:59" s="21" customFormat="1" ht="15.95" customHeight="1">
      <c r="A833" s="163">
        <v>92</v>
      </c>
      <c r="B833" s="9" t="s">
        <v>3000</v>
      </c>
      <c r="C833" s="11" t="s">
        <v>3001</v>
      </c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22">
        <f t="shared" si="231"/>
        <v>0</v>
      </c>
      <c r="AC833" s="25">
        <v>0</v>
      </c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2">
        <f t="shared" si="232"/>
        <v>0</v>
      </c>
      <c r="BC833" s="23">
        <v>1</v>
      </c>
      <c r="BD833" s="130">
        <f t="shared" si="233"/>
        <v>0</v>
      </c>
      <c r="BE833" s="130">
        <f t="shared" si="234"/>
        <v>1</v>
      </c>
      <c r="BF833" s="195">
        <f t="shared" si="235"/>
        <v>0</v>
      </c>
      <c r="BG833" s="373">
        <f t="shared" si="237"/>
        <v>1</v>
      </c>
    </row>
    <row r="834" spans="1:59" s="21" customFormat="1" ht="15.95" customHeight="1">
      <c r="A834" s="163">
        <v>93</v>
      </c>
      <c r="B834" s="9" t="s">
        <v>692</v>
      </c>
      <c r="C834" s="11" t="s">
        <v>693</v>
      </c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22">
        <f t="shared" si="231"/>
        <v>0</v>
      </c>
      <c r="AC834" s="25">
        <v>0</v>
      </c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2">
        <f t="shared" si="232"/>
        <v>0</v>
      </c>
      <c r="BC834" s="23">
        <v>1</v>
      </c>
      <c r="BD834" s="130">
        <f t="shared" si="233"/>
        <v>0</v>
      </c>
      <c r="BE834" s="130">
        <f t="shared" si="234"/>
        <v>1</v>
      </c>
      <c r="BF834" s="195">
        <f t="shared" si="235"/>
        <v>0</v>
      </c>
      <c r="BG834" s="373">
        <f t="shared" si="237"/>
        <v>1</v>
      </c>
    </row>
    <row r="835" spans="1:59" s="21" customFormat="1" ht="15.95" customHeight="1">
      <c r="A835" s="163">
        <v>94</v>
      </c>
      <c r="B835" s="9" t="s">
        <v>3933</v>
      </c>
      <c r="C835" s="11" t="s">
        <v>3445</v>
      </c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22">
        <f t="shared" si="231"/>
        <v>0</v>
      </c>
      <c r="AC835" s="25">
        <v>0</v>
      </c>
      <c r="AD835" s="24"/>
      <c r="AE835" s="24"/>
      <c r="AF835" s="24"/>
      <c r="AG835" s="24"/>
      <c r="AH835" s="24"/>
      <c r="AI835" s="24"/>
      <c r="AJ835" s="24"/>
      <c r="AK835" s="24"/>
      <c r="AL835" s="24">
        <v>1</v>
      </c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2">
        <f t="shared" si="232"/>
        <v>1</v>
      </c>
      <c r="BC835" s="23">
        <v>0</v>
      </c>
      <c r="BD835" s="130">
        <f t="shared" si="233"/>
        <v>1</v>
      </c>
      <c r="BE835" s="130">
        <f t="shared" si="234"/>
        <v>0</v>
      </c>
      <c r="BF835" s="195" t="e">
        <f t="shared" si="235"/>
        <v>#DIV/0!</v>
      </c>
      <c r="BG835" s="373"/>
    </row>
    <row r="836" spans="1:59" s="21" customFormat="1" ht="15.95" customHeight="1">
      <c r="A836" s="163">
        <v>95</v>
      </c>
      <c r="B836" s="9" t="s">
        <v>3002</v>
      </c>
      <c r="C836" s="11" t="s">
        <v>3003</v>
      </c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22">
        <f t="shared" si="231"/>
        <v>0</v>
      </c>
      <c r="AC836" s="25">
        <v>0</v>
      </c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2">
        <f t="shared" si="232"/>
        <v>0</v>
      </c>
      <c r="BC836" s="23">
        <v>2</v>
      </c>
      <c r="BD836" s="130">
        <f t="shared" si="233"/>
        <v>0</v>
      </c>
      <c r="BE836" s="130">
        <f t="shared" si="234"/>
        <v>2</v>
      </c>
      <c r="BF836" s="195">
        <f t="shared" si="235"/>
        <v>0</v>
      </c>
      <c r="BG836" s="373">
        <f t="shared" ref="BG836:BG842" si="238">BE836-BD836</f>
        <v>2</v>
      </c>
    </row>
    <row r="837" spans="1:59" s="21" customFormat="1" ht="15.95" customHeight="1">
      <c r="A837" s="163">
        <v>96</v>
      </c>
      <c r="B837" s="9" t="s">
        <v>3422</v>
      </c>
      <c r="C837" s="11" t="s">
        <v>3423</v>
      </c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22">
        <f t="shared" si="231"/>
        <v>0</v>
      </c>
      <c r="AC837" s="25">
        <v>0</v>
      </c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2">
        <f t="shared" si="232"/>
        <v>0</v>
      </c>
      <c r="BC837" s="23">
        <v>1</v>
      </c>
      <c r="BD837" s="130">
        <f t="shared" si="233"/>
        <v>0</v>
      </c>
      <c r="BE837" s="130">
        <f t="shared" si="234"/>
        <v>1</v>
      </c>
      <c r="BF837" s="195">
        <f t="shared" si="235"/>
        <v>0</v>
      </c>
      <c r="BG837" s="373">
        <f t="shared" si="238"/>
        <v>1</v>
      </c>
    </row>
    <row r="838" spans="1:59" s="21" customFormat="1" ht="15.95" customHeight="1">
      <c r="A838" s="163">
        <v>97</v>
      </c>
      <c r="B838" s="9" t="s">
        <v>1497</v>
      </c>
      <c r="C838" s="11" t="s">
        <v>1945</v>
      </c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22">
        <f t="shared" ref="AB838:AB845" si="239">SUM(D838:AA838)</f>
        <v>0</v>
      </c>
      <c r="AC838" s="25">
        <v>0</v>
      </c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2">
        <f t="shared" ref="BB838:BB845" si="240">SUM(AD838:BA838)</f>
        <v>0</v>
      </c>
      <c r="BC838" s="23">
        <v>1</v>
      </c>
      <c r="BD838" s="130">
        <f t="shared" ref="BD838:BD845" si="241">AB838+BB838</f>
        <v>0</v>
      </c>
      <c r="BE838" s="130">
        <f t="shared" ref="BE838:BE845" si="242">AC838+BC838</f>
        <v>1</v>
      </c>
      <c r="BF838" s="195">
        <f t="shared" ref="BF838:BF845" si="243">BD838/BE838*100</f>
        <v>0</v>
      </c>
      <c r="BG838" s="373">
        <f t="shared" si="238"/>
        <v>1</v>
      </c>
    </row>
    <row r="839" spans="1:59" s="21" customFormat="1" ht="15.95" customHeight="1">
      <c r="A839" s="163">
        <v>98</v>
      </c>
      <c r="B839" s="9" t="s">
        <v>2312</v>
      </c>
      <c r="C839" s="11" t="s">
        <v>2687</v>
      </c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22">
        <f t="shared" si="239"/>
        <v>0</v>
      </c>
      <c r="AC839" s="25">
        <v>0</v>
      </c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2">
        <f t="shared" si="240"/>
        <v>0</v>
      </c>
      <c r="BC839" s="23">
        <v>1</v>
      </c>
      <c r="BD839" s="130">
        <f t="shared" si="241"/>
        <v>0</v>
      </c>
      <c r="BE839" s="130">
        <f t="shared" si="242"/>
        <v>1</v>
      </c>
      <c r="BF839" s="195">
        <f t="shared" si="243"/>
        <v>0</v>
      </c>
      <c r="BG839" s="373">
        <f t="shared" si="238"/>
        <v>1</v>
      </c>
    </row>
    <row r="840" spans="1:59" s="21" customFormat="1" ht="15.95" customHeight="1">
      <c r="A840" s="163">
        <v>99</v>
      </c>
      <c r="B840" s="9" t="s">
        <v>2552</v>
      </c>
      <c r="C840" s="11" t="s">
        <v>2553</v>
      </c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22">
        <f t="shared" si="239"/>
        <v>0</v>
      </c>
      <c r="AC840" s="25">
        <v>0</v>
      </c>
      <c r="AD840" s="24"/>
      <c r="AE840" s="24"/>
      <c r="AF840" s="24"/>
      <c r="AG840" s="24"/>
      <c r="AH840" s="24"/>
      <c r="AI840" s="24"/>
      <c r="AJ840" s="24"/>
      <c r="AK840" s="24"/>
      <c r="AL840" s="24">
        <v>1</v>
      </c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2">
        <f t="shared" si="240"/>
        <v>1</v>
      </c>
      <c r="BC840" s="23">
        <v>1</v>
      </c>
      <c r="BD840" s="130">
        <f t="shared" si="241"/>
        <v>1</v>
      </c>
      <c r="BE840" s="130">
        <f t="shared" si="242"/>
        <v>1</v>
      </c>
      <c r="BF840" s="195">
        <f t="shared" si="243"/>
        <v>100</v>
      </c>
      <c r="BG840" s="373">
        <f t="shared" si="238"/>
        <v>0</v>
      </c>
    </row>
    <row r="841" spans="1:59" s="21" customFormat="1" ht="15.95" customHeight="1">
      <c r="A841" s="163">
        <v>100</v>
      </c>
      <c r="B841" s="9" t="s">
        <v>1498</v>
      </c>
      <c r="C841" s="11" t="s">
        <v>1946</v>
      </c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22">
        <f t="shared" si="239"/>
        <v>0</v>
      </c>
      <c r="AC841" s="25">
        <v>0</v>
      </c>
      <c r="AD841" s="24"/>
      <c r="AE841" s="24"/>
      <c r="AF841" s="24"/>
      <c r="AG841" s="24"/>
      <c r="AH841" s="24">
        <v>1</v>
      </c>
      <c r="AI841" s="24"/>
      <c r="AJ841" s="24"/>
      <c r="AK841" s="24"/>
      <c r="AL841" s="24">
        <v>3</v>
      </c>
      <c r="AM841" s="24"/>
      <c r="AN841" s="24"/>
      <c r="AO841" s="24"/>
      <c r="AP841" s="24">
        <v>3</v>
      </c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2">
        <f t="shared" si="240"/>
        <v>7</v>
      </c>
      <c r="BC841" s="23">
        <v>21</v>
      </c>
      <c r="BD841" s="130">
        <f t="shared" si="241"/>
        <v>7</v>
      </c>
      <c r="BE841" s="130">
        <f t="shared" si="242"/>
        <v>21</v>
      </c>
      <c r="BF841" s="195">
        <f t="shared" si="243"/>
        <v>33.333333333333329</v>
      </c>
      <c r="BG841" s="373">
        <f t="shared" si="238"/>
        <v>14</v>
      </c>
    </row>
    <row r="842" spans="1:59" s="21" customFormat="1" ht="15.95" customHeight="1">
      <c r="A842" s="163">
        <v>101</v>
      </c>
      <c r="B842" s="9" t="s">
        <v>2591</v>
      </c>
      <c r="C842" s="11" t="s">
        <v>2592</v>
      </c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22">
        <f t="shared" si="239"/>
        <v>0</v>
      </c>
      <c r="AC842" s="25">
        <v>0</v>
      </c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2">
        <f t="shared" si="240"/>
        <v>0</v>
      </c>
      <c r="BC842" s="23">
        <v>1</v>
      </c>
      <c r="BD842" s="130">
        <f t="shared" si="241"/>
        <v>0</v>
      </c>
      <c r="BE842" s="130">
        <f t="shared" si="242"/>
        <v>1</v>
      </c>
      <c r="BF842" s="195">
        <f t="shared" si="243"/>
        <v>0</v>
      </c>
      <c r="BG842" s="373">
        <f t="shared" si="238"/>
        <v>1</v>
      </c>
    </row>
    <row r="843" spans="1:59" s="21" customFormat="1" ht="15.95" customHeight="1">
      <c r="A843" s="163">
        <v>102</v>
      </c>
      <c r="B843" s="9" t="s">
        <v>672</v>
      </c>
      <c r="C843" s="11" t="s">
        <v>673</v>
      </c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22">
        <f t="shared" si="239"/>
        <v>0</v>
      </c>
      <c r="AC843" s="25">
        <v>0</v>
      </c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>
        <v>1</v>
      </c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2">
        <f t="shared" si="240"/>
        <v>1</v>
      </c>
      <c r="BC843" s="23">
        <v>0</v>
      </c>
      <c r="BD843" s="130">
        <f t="shared" si="241"/>
        <v>1</v>
      </c>
      <c r="BE843" s="130">
        <f t="shared" si="242"/>
        <v>0</v>
      </c>
      <c r="BF843" s="195" t="e">
        <f t="shared" si="243"/>
        <v>#DIV/0!</v>
      </c>
      <c r="BG843" s="373"/>
    </row>
    <row r="844" spans="1:59" s="21" customFormat="1" ht="15.95" customHeight="1">
      <c r="A844" s="163">
        <v>103</v>
      </c>
      <c r="B844" s="9" t="s">
        <v>3004</v>
      </c>
      <c r="C844" s="11" t="s">
        <v>3005</v>
      </c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22">
        <f t="shared" si="239"/>
        <v>0</v>
      </c>
      <c r="AC844" s="25">
        <v>0</v>
      </c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2">
        <f t="shared" si="240"/>
        <v>0</v>
      </c>
      <c r="BC844" s="23">
        <v>1</v>
      </c>
      <c r="BD844" s="130">
        <f t="shared" si="241"/>
        <v>0</v>
      </c>
      <c r="BE844" s="130">
        <f t="shared" si="242"/>
        <v>1</v>
      </c>
      <c r="BF844" s="195">
        <f t="shared" si="243"/>
        <v>0</v>
      </c>
      <c r="BG844" s="373">
        <f>BE844-BD844</f>
        <v>1</v>
      </c>
    </row>
    <row r="845" spans="1:59" s="21" customFormat="1" ht="15.95" customHeight="1">
      <c r="A845" s="163">
        <v>104</v>
      </c>
      <c r="B845" s="9"/>
      <c r="C845" s="11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22">
        <f t="shared" si="239"/>
        <v>0</v>
      </c>
      <c r="AC845" s="25">
        <v>0</v>
      </c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2">
        <f t="shared" si="240"/>
        <v>0</v>
      </c>
      <c r="BC845" s="23">
        <v>0</v>
      </c>
      <c r="BD845" s="130">
        <f t="shared" si="241"/>
        <v>0</v>
      </c>
      <c r="BE845" s="130">
        <f t="shared" si="242"/>
        <v>0</v>
      </c>
      <c r="BF845" s="195" t="e">
        <f t="shared" si="243"/>
        <v>#DIV/0!</v>
      </c>
      <c r="BG845" s="373">
        <f>BE845-BD845</f>
        <v>0</v>
      </c>
    </row>
    <row r="846" spans="1:59" s="21" customFormat="1" ht="15.95" customHeight="1">
      <c r="A846" s="623" t="s">
        <v>504</v>
      </c>
      <c r="B846" s="624"/>
      <c r="C846" s="624"/>
      <c r="D846" s="159">
        <f t="shared" ref="D846:AI846" si="244">SUM(D847:D852)</f>
        <v>0</v>
      </c>
      <c r="E846" s="159">
        <f t="shared" si="244"/>
        <v>0</v>
      </c>
      <c r="F846" s="159">
        <f t="shared" si="244"/>
        <v>0</v>
      </c>
      <c r="G846" s="159">
        <f t="shared" si="244"/>
        <v>0</v>
      </c>
      <c r="H846" s="159">
        <f t="shared" si="244"/>
        <v>22</v>
      </c>
      <c r="I846" s="159">
        <f t="shared" si="244"/>
        <v>0</v>
      </c>
      <c r="J846" s="159">
        <f t="shared" si="244"/>
        <v>0</v>
      </c>
      <c r="K846" s="159">
        <f t="shared" si="244"/>
        <v>0</v>
      </c>
      <c r="L846" s="159">
        <f t="shared" si="244"/>
        <v>0</v>
      </c>
      <c r="M846" s="159">
        <f t="shared" si="244"/>
        <v>0</v>
      </c>
      <c r="N846" s="159">
        <f t="shared" si="244"/>
        <v>0</v>
      </c>
      <c r="O846" s="159">
        <f t="shared" si="244"/>
        <v>0</v>
      </c>
      <c r="P846" s="159">
        <f t="shared" si="244"/>
        <v>0</v>
      </c>
      <c r="Q846" s="159">
        <f t="shared" si="244"/>
        <v>0</v>
      </c>
      <c r="R846" s="159">
        <f t="shared" si="244"/>
        <v>0</v>
      </c>
      <c r="S846" s="159">
        <f t="shared" si="244"/>
        <v>0</v>
      </c>
      <c r="T846" s="159">
        <f t="shared" si="244"/>
        <v>0</v>
      </c>
      <c r="U846" s="159">
        <f t="shared" si="244"/>
        <v>0</v>
      </c>
      <c r="V846" s="159">
        <f t="shared" si="244"/>
        <v>0</v>
      </c>
      <c r="W846" s="159">
        <f t="shared" si="244"/>
        <v>0</v>
      </c>
      <c r="X846" s="159">
        <f t="shared" si="244"/>
        <v>0</v>
      </c>
      <c r="Y846" s="159">
        <f t="shared" si="244"/>
        <v>0</v>
      </c>
      <c r="Z846" s="159">
        <f t="shared" si="244"/>
        <v>0</v>
      </c>
      <c r="AA846" s="159">
        <f t="shared" si="244"/>
        <v>0</v>
      </c>
      <c r="AB846" s="159">
        <f t="shared" si="244"/>
        <v>22</v>
      </c>
      <c r="AC846" s="161">
        <f t="shared" si="244"/>
        <v>392</v>
      </c>
      <c r="AD846" s="160">
        <f t="shared" si="244"/>
        <v>0</v>
      </c>
      <c r="AE846" s="160">
        <f t="shared" si="244"/>
        <v>0</v>
      </c>
      <c r="AF846" s="160">
        <f t="shared" si="244"/>
        <v>0</v>
      </c>
      <c r="AG846" s="160">
        <f t="shared" si="244"/>
        <v>0</v>
      </c>
      <c r="AH846" s="160">
        <f t="shared" si="244"/>
        <v>0</v>
      </c>
      <c r="AI846" s="160">
        <f t="shared" si="244"/>
        <v>0</v>
      </c>
      <c r="AJ846" s="160">
        <f t="shared" ref="AJ846:BC846" si="245">SUM(AJ847:AJ852)</f>
        <v>0</v>
      </c>
      <c r="AK846" s="160">
        <f t="shared" si="245"/>
        <v>0</v>
      </c>
      <c r="AL846" s="160">
        <f t="shared" si="245"/>
        <v>18</v>
      </c>
      <c r="AM846" s="160">
        <f t="shared" si="245"/>
        <v>0</v>
      </c>
      <c r="AN846" s="160">
        <f t="shared" si="245"/>
        <v>0</v>
      </c>
      <c r="AO846" s="160">
        <f t="shared" si="245"/>
        <v>0</v>
      </c>
      <c r="AP846" s="160">
        <f t="shared" si="245"/>
        <v>31</v>
      </c>
      <c r="AQ846" s="160">
        <f t="shared" si="245"/>
        <v>0</v>
      </c>
      <c r="AR846" s="160">
        <f t="shared" si="245"/>
        <v>0</v>
      </c>
      <c r="AS846" s="160">
        <f t="shared" si="245"/>
        <v>0</v>
      </c>
      <c r="AT846" s="160">
        <f t="shared" si="245"/>
        <v>0</v>
      </c>
      <c r="AU846" s="160">
        <f t="shared" si="245"/>
        <v>0</v>
      </c>
      <c r="AV846" s="160">
        <f t="shared" si="245"/>
        <v>0</v>
      </c>
      <c r="AW846" s="160">
        <f t="shared" si="245"/>
        <v>0</v>
      </c>
      <c r="AX846" s="160">
        <f t="shared" si="245"/>
        <v>0</v>
      </c>
      <c r="AY846" s="160">
        <f t="shared" si="245"/>
        <v>0</v>
      </c>
      <c r="AZ846" s="160">
        <f t="shared" si="245"/>
        <v>0</v>
      </c>
      <c r="BA846" s="160">
        <f t="shared" si="245"/>
        <v>0</v>
      </c>
      <c r="BB846" s="160">
        <f t="shared" si="245"/>
        <v>49</v>
      </c>
      <c r="BC846" s="103">
        <f t="shared" si="245"/>
        <v>44</v>
      </c>
      <c r="BD846" s="130">
        <f t="shared" ref="BD846:BD855" si="246">AB846+BB846</f>
        <v>71</v>
      </c>
      <c r="BE846" s="130">
        <f t="shared" ref="BE846:BE855" si="247">AC846+BC846</f>
        <v>436</v>
      </c>
      <c r="BF846" s="195">
        <f t="shared" ref="BF846:BF855" si="248">BD846/BE846*100</f>
        <v>16.284403669724771</v>
      </c>
      <c r="BG846" s="374">
        <f t="shared" ref="BG846:BG855" si="249">BE846-BD846</f>
        <v>365</v>
      </c>
    </row>
    <row r="847" spans="1:59" s="21" customFormat="1" ht="15.95" customHeight="1">
      <c r="A847" s="163">
        <v>1</v>
      </c>
      <c r="B847" s="167" t="s">
        <v>144</v>
      </c>
      <c r="C847" s="283" t="s">
        <v>694</v>
      </c>
      <c r="D847" s="168"/>
      <c r="E847" s="168"/>
      <c r="F847" s="168"/>
      <c r="G847" s="168"/>
      <c r="H847" s="168">
        <v>22</v>
      </c>
      <c r="I847" s="168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22">
        <f t="shared" ref="AB847:AB852" si="250">SUM(D847:AA847)</f>
        <v>22</v>
      </c>
      <c r="AC847" s="25">
        <v>392</v>
      </c>
      <c r="AD847" s="24"/>
      <c r="AE847" s="24"/>
      <c r="AF847" s="24"/>
      <c r="AG847" s="24"/>
      <c r="AH847" s="24"/>
      <c r="AI847" s="24"/>
      <c r="AJ847" s="24"/>
      <c r="AK847" s="24"/>
      <c r="AL847" s="24">
        <v>18</v>
      </c>
      <c r="AM847" s="24"/>
      <c r="AN847" s="24"/>
      <c r="AO847" s="24"/>
      <c r="AP847" s="24">
        <v>16</v>
      </c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2">
        <f t="shared" ref="BB847:BB852" si="251">SUM(AD847:BA847)</f>
        <v>34</v>
      </c>
      <c r="BC847" s="23">
        <v>35</v>
      </c>
      <c r="BD847" s="130">
        <f t="shared" ref="BD847:BE852" si="252">AB847+BB847</f>
        <v>56</v>
      </c>
      <c r="BE847" s="130">
        <f t="shared" si="252"/>
        <v>427</v>
      </c>
      <c r="BF847" s="195">
        <f t="shared" ref="BF847:BF852" si="253">BD847/BE847*100</f>
        <v>13.114754098360656</v>
      </c>
      <c r="BG847" s="373">
        <f t="shared" ref="BG847:BG852" si="254">BE847-BD847</f>
        <v>371</v>
      </c>
    </row>
    <row r="848" spans="1:59" s="21" customFormat="1" ht="15.95" customHeight="1">
      <c r="A848" s="163">
        <v>2</v>
      </c>
      <c r="B848" s="167" t="s">
        <v>146</v>
      </c>
      <c r="C848" s="284" t="s">
        <v>1957</v>
      </c>
      <c r="D848" s="168"/>
      <c r="E848" s="168"/>
      <c r="F848" s="168"/>
      <c r="G848" s="168"/>
      <c r="H848" s="168"/>
      <c r="I848" s="168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22">
        <f t="shared" si="250"/>
        <v>0</v>
      </c>
      <c r="AC848" s="25">
        <v>0</v>
      </c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>
        <v>1</v>
      </c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2">
        <f t="shared" si="251"/>
        <v>1</v>
      </c>
      <c r="BC848" s="23">
        <v>2</v>
      </c>
      <c r="BD848" s="130">
        <f t="shared" si="252"/>
        <v>1</v>
      </c>
      <c r="BE848" s="130">
        <f t="shared" si="252"/>
        <v>2</v>
      </c>
      <c r="BF848" s="195">
        <f t="shared" si="253"/>
        <v>50</v>
      </c>
      <c r="BG848" s="373">
        <f t="shared" si="254"/>
        <v>1</v>
      </c>
    </row>
    <row r="849" spans="1:62" s="21" customFormat="1" ht="15.95" customHeight="1">
      <c r="A849" s="163">
        <v>3</v>
      </c>
      <c r="B849" s="167" t="s">
        <v>641</v>
      </c>
      <c r="C849" s="284" t="s">
        <v>642</v>
      </c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22">
        <f t="shared" si="250"/>
        <v>0</v>
      </c>
      <c r="AC849" s="25">
        <v>0</v>
      </c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2">
        <f t="shared" si="251"/>
        <v>0</v>
      </c>
      <c r="BC849" s="23">
        <v>2</v>
      </c>
      <c r="BD849" s="130">
        <f t="shared" si="252"/>
        <v>0</v>
      </c>
      <c r="BE849" s="130">
        <f t="shared" si="252"/>
        <v>2</v>
      </c>
      <c r="BF849" s="195">
        <f t="shared" si="253"/>
        <v>0</v>
      </c>
      <c r="BG849" s="373">
        <f t="shared" si="254"/>
        <v>2</v>
      </c>
    </row>
    <row r="850" spans="1:62" s="21" customFormat="1" ht="15.95" customHeight="1">
      <c r="A850" s="163">
        <v>4</v>
      </c>
      <c r="B850" s="167" t="s">
        <v>615</v>
      </c>
      <c r="C850" s="284" t="s">
        <v>616</v>
      </c>
      <c r="D850" s="168"/>
      <c r="E850" s="168"/>
      <c r="F850" s="168"/>
      <c r="G850" s="168"/>
      <c r="H850" s="168"/>
      <c r="I850" s="168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22">
        <f t="shared" si="250"/>
        <v>0</v>
      </c>
      <c r="AC850" s="25">
        <v>0</v>
      </c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>
        <v>11</v>
      </c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2">
        <f t="shared" si="251"/>
        <v>11</v>
      </c>
      <c r="BC850" s="23">
        <v>2</v>
      </c>
      <c r="BD850" s="130">
        <f t="shared" si="252"/>
        <v>11</v>
      </c>
      <c r="BE850" s="130">
        <f t="shared" si="252"/>
        <v>2</v>
      </c>
      <c r="BF850" s="195">
        <f t="shared" si="253"/>
        <v>550</v>
      </c>
      <c r="BG850" s="373">
        <f t="shared" si="254"/>
        <v>-9</v>
      </c>
    </row>
    <row r="851" spans="1:62" s="21" customFormat="1" ht="15.95" customHeight="1">
      <c r="A851" s="163">
        <v>5</v>
      </c>
      <c r="B851" s="167" t="s">
        <v>720</v>
      </c>
      <c r="C851" s="284" t="s">
        <v>3439</v>
      </c>
      <c r="D851" s="168"/>
      <c r="E851" s="168"/>
      <c r="F851" s="168"/>
      <c r="G851" s="168"/>
      <c r="H851" s="168"/>
      <c r="I851" s="168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22">
        <f t="shared" si="250"/>
        <v>0</v>
      </c>
      <c r="AC851" s="25">
        <v>0</v>
      </c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>
        <v>3</v>
      </c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2">
        <f t="shared" si="251"/>
        <v>3</v>
      </c>
      <c r="BC851" s="23">
        <v>2</v>
      </c>
      <c r="BD851" s="130">
        <f t="shared" si="252"/>
        <v>3</v>
      </c>
      <c r="BE851" s="130">
        <f t="shared" si="252"/>
        <v>2</v>
      </c>
      <c r="BF851" s="195">
        <f t="shared" si="253"/>
        <v>150</v>
      </c>
      <c r="BG851" s="373">
        <f t="shared" si="254"/>
        <v>-1</v>
      </c>
    </row>
    <row r="852" spans="1:62" s="21" customFormat="1" ht="15.95" customHeight="1">
      <c r="A852" s="163">
        <v>6</v>
      </c>
      <c r="B852" s="167" t="s">
        <v>692</v>
      </c>
      <c r="C852" s="284" t="s">
        <v>693</v>
      </c>
      <c r="D852" s="168"/>
      <c r="E852" s="168"/>
      <c r="F852" s="168"/>
      <c r="G852" s="168"/>
      <c r="H852" s="168"/>
      <c r="I852" s="168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22">
        <f t="shared" si="250"/>
        <v>0</v>
      </c>
      <c r="AC852" s="25">
        <v>0</v>
      </c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2">
        <f t="shared" si="251"/>
        <v>0</v>
      </c>
      <c r="BC852" s="23">
        <v>1</v>
      </c>
      <c r="BD852" s="130">
        <f t="shared" si="252"/>
        <v>0</v>
      </c>
      <c r="BE852" s="130">
        <f t="shared" si="252"/>
        <v>1</v>
      </c>
      <c r="BF852" s="195">
        <f t="shared" si="253"/>
        <v>0</v>
      </c>
      <c r="BG852" s="373">
        <f t="shared" si="254"/>
        <v>1</v>
      </c>
    </row>
    <row r="853" spans="1:62" s="21" customFormat="1" ht="15.95" customHeight="1">
      <c r="A853" s="632" t="s">
        <v>505</v>
      </c>
      <c r="B853" s="633"/>
      <c r="C853" s="633"/>
      <c r="D853" s="159">
        <f t="shared" ref="D853:BC853" si="255">D854</f>
        <v>0</v>
      </c>
      <c r="E853" s="159">
        <f t="shared" si="255"/>
        <v>0</v>
      </c>
      <c r="F853" s="159">
        <f t="shared" si="255"/>
        <v>0</v>
      </c>
      <c r="G853" s="159">
        <f t="shared" si="255"/>
        <v>0</v>
      </c>
      <c r="H853" s="159">
        <f t="shared" si="255"/>
        <v>0</v>
      </c>
      <c r="I853" s="159">
        <f t="shared" si="255"/>
        <v>0</v>
      </c>
      <c r="J853" s="159">
        <f t="shared" si="255"/>
        <v>0</v>
      </c>
      <c r="K853" s="159">
        <f t="shared" si="255"/>
        <v>0</v>
      </c>
      <c r="L853" s="159">
        <f t="shared" si="255"/>
        <v>0</v>
      </c>
      <c r="M853" s="159">
        <f t="shared" si="255"/>
        <v>0</v>
      </c>
      <c r="N853" s="159">
        <f t="shared" si="255"/>
        <v>0</v>
      </c>
      <c r="O853" s="159">
        <f t="shared" si="255"/>
        <v>0</v>
      </c>
      <c r="P853" s="159">
        <f t="shared" si="255"/>
        <v>0</v>
      </c>
      <c r="Q853" s="159">
        <f t="shared" si="255"/>
        <v>0</v>
      </c>
      <c r="R853" s="159">
        <f t="shared" si="255"/>
        <v>0</v>
      </c>
      <c r="S853" s="159">
        <f t="shared" si="255"/>
        <v>0</v>
      </c>
      <c r="T853" s="159">
        <f t="shared" si="255"/>
        <v>0</v>
      </c>
      <c r="U853" s="159">
        <f t="shared" si="255"/>
        <v>0</v>
      </c>
      <c r="V853" s="159">
        <f t="shared" si="255"/>
        <v>0</v>
      </c>
      <c r="W853" s="159">
        <f t="shared" si="255"/>
        <v>0</v>
      </c>
      <c r="X853" s="159">
        <f t="shared" si="255"/>
        <v>0</v>
      </c>
      <c r="Y853" s="159">
        <f t="shared" si="255"/>
        <v>0</v>
      </c>
      <c r="Z853" s="159">
        <f t="shared" si="255"/>
        <v>0</v>
      </c>
      <c r="AA853" s="159">
        <f t="shared" si="255"/>
        <v>0</v>
      </c>
      <c r="AB853" s="159">
        <f t="shared" si="255"/>
        <v>0</v>
      </c>
      <c r="AC853" s="161">
        <f t="shared" si="255"/>
        <v>0</v>
      </c>
      <c r="AD853" s="160">
        <f t="shared" si="255"/>
        <v>0</v>
      </c>
      <c r="AE853" s="160">
        <f t="shared" si="255"/>
        <v>0</v>
      </c>
      <c r="AF853" s="160">
        <f t="shared" si="255"/>
        <v>0</v>
      </c>
      <c r="AG853" s="160">
        <f t="shared" si="255"/>
        <v>0</v>
      </c>
      <c r="AH853" s="160">
        <f t="shared" si="255"/>
        <v>0</v>
      </c>
      <c r="AI853" s="160">
        <f t="shared" si="255"/>
        <v>0</v>
      </c>
      <c r="AJ853" s="160">
        <f t="shared" si="255"/>
        <v>0</v>
      </c>
      <c r="AK853" s="160">
        <f t="shared" si="255"/>
        <v>0</v>
      </c>
      <c r="AL853" s="160">
        <f t="shared" si="255"/>
        <v>0</v>
      </c>
      <c r="AM853" s="160">
        <f t="shared" si="255"/>
        <v>0</v>
      </c>
      <c r="AN853" s="160">
        <f t="shared" si="255"/>
        <v>0</v>
      </c>
      <c r="AO853" s="160">
        <f t="shared" si="255"/>
        <v>0</v>
      </c>
      <c r="AP853" s="160">
        <f t="shared" si="255"/>
        <v>0</v>
      </c>
      <c r="AQ853" s="160">
        <f t="shared" si="255"/>
        <v>0</v>
      </c>
      <c r="AR853" s="160">
        <f t="shared" si="255"/>
        <v>0</v>
      </c>
      <c r="AS853" s="160">
        <f t="shared" si="255"/>
        <v>0</v>
      </c>
      <c r="AT853" s="160">
        <f t="shared" si="255"/>
        <v>0</v>
      </c>
      <c r="AU853" s="160">
        <f t="shared" si="255"/>
        <v>0</v>
      </c>
      <c r="AV853" s="160">
        <f t="shared" si="255"/>
        <v>0</v>
      </c>
      <c r="AW853" s="160">
        <f t="shared" si="255"/>
        <v>0</v>
      </c>
      <c r="AX853" s="160">
        <f t="shared" si="255"/>
        <v>0</v>
      </c>
      <c r="AY853" s="160">
        <f t="shared" si="255"/>
        <v>0</v>
      </c>
      <c r="AZ853" s="160">
        <f t="shared" si="255"/>
        <v>0</v>
      </c>
      <c r="BA853" s="160">
        <f t="shared" si="255"/>
        <v>0</v>
      </c>
      <c r="BB853" s="160">
        <f t="shared" si="255"/>
        <v>0</v>
      </c>
      <c r="BC853" s="103">
        <f t="shared" si="255"/>
        <v>0</v>
      </c>
      <c r="BD853" s="130">
        <f t="shared" si="246"/>
        <v>0</v>
      </c>
      <c r="BE853" s="130">
        <f t="shared" si="247"/>
        <v>0</v>
      </c>
      <c r="BF853" s="195" t="e">
        <f t="shared" si="248"/>
        <v>#DIV/0!</v>
      </c>
      <c r="BG853" s="374">
        <f t="shared" si="249"/>
        <v>0</v>
      </c>
    </row>
    <row r="854" spans="1:62" s="21" customFormat="1" ht="15.95" customHeight="1">
      <c r="A854" s="163"/>
      <c r="B854" s="9"/>
      <c r="C854" s="11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22">
        <f>SUM(D854:AA854)</f>
        <v>0</v>
      </c>
      <c r="AC854" s="23">
        <v>0</v>
      </c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2">
        <f>SUM(AD854:BA854)</f>
        <v>0</v>
      </c>
      <c r="BC854" s="23">
        <v>0</v>
      </c>
      <c r="BD854" s="130">
        <f t="shared" si="246"/>
        <v>0</v>
      </c>
      <c r="BE854" s="130">
        <f t="shared" si="247"/>
        <v>0</v>
      </c>
      <c r="BF854" s="195" t="e">
        <f t="shared" si="248"/>
        <v>#DIV/0!</v>
      </c>
      <c r="BG854" s="373">
        <f t="shared" si="249"/>
        <v>0</v>
      </c>
    </row>
    <row r="855" spans="1:62" s="21" customFormat="1" ht="15.95" customHeight="1">
      <c r="A855" s="625" t="s">
        <v>506</v>
      </c>
      <c r="B855" s="622"/>
      <c r="C855" s="622"/>
      <c r="D855" s="159">
        <f t="shared" ref="D855:AI855" si="256">SUM(D856:D988)</f>
        <v>2</v>
      </c>
      <c r="E855" s="159">
        <f t="shared" si="256"/>
        <v>0</v>
      </c>
      <c r="F855" s="159">
        <f t="shared" si="256"/>
        <v>0</v>
      </c>
      <c r="G855" s="159">
        <f t="shared" si="256"/>
        <v>0</v>
      </c>
      <c r="H855" s="159">
        <f t="shared" si="256"/>
        <v>1</v>
      </c>
      <c r="I855" s="159">
        <f t="shared" si="256"/>
        <v>0</v>
      </c>
      <c r="J855" s="159">
        <f t="shared" si="256"/>
        <v>0</v>
      </c>
      <c r="K855" s="159">
        <f t="shared" si="256"/>
        <v>0</v>
      </c>
      <c r="L855" s="159">
        <f t="shared" si="256"/>
        <v>0</v>
      </c>
      <c r="M855" s="159">
        <f t="shared" si="256"/>
        <v>0</v>
      </c>
      <c r="N855" s="159">
        <f t="shared" si="256"/>
        <v>0</v>
      </c>
      <c r="O855" s="159">
        <f t="shared" si="256"/>
        <v>0</v>
      </c>
      <c r="P855" s="159">
        <f t="shared" si="256"/>
        <v>0</v>
      </c>
      <c r="Q855" s="159">
        <f t="shared" si="256"/>
        <v>0</v>
      </c>
      <c r="R855" s="159">
        <f t="shared" si="256"/>
        <v>0</v>
      </c>
      <c r="S855" s="159">
        <f t="shared" si="256"/>
        <v>0</v>
      </c>
      <c r="T855" s="159">
        <f t="shared" si="256"/>
        <v>0</v>
      </c>
      <c r="U855" s="159">
        <f t="shared" si="256"/>
        <v>0</v>
      </c>
      <c r="V855" s="159">
        <f t="shared" si="256"/>
        <v>0</v>
      </c>
      <c r="W855" s="159">
        <f t="shared" si="256"/>
        <v>0</v>
      </c>
      <c r="X855" s="159">
        <f t="shared" si="256"/>
        <v>0</v>
      </c>
      <c r="Y855" s="159">
        <f t="shared" si="256"/>
        <v>0</v>
      </c>
      <c r="Z855" s="159">
        <f t="shared" si="256"/>
        <v>0</v>
      </c>
      <c r="AA855" s="159">
        <f t="shared" si="256"/>
        <v>0</v>
      </c>
      <c r="AB855" s="159">
        <f t="shared" si="256"/>
        <v>3</v>
      </c>
      <c r="AC855" s="25">
        <f t="shared" si="256"/>
        <v>5</v>
      </c>
      <c r="AD855" s="162">
        <f t="shared" si="256"/>
        <v>0</v>
      </c>
      <c r="AE855" s="162">
        <f t="shared" si="256"/>
        <v>0</v>
      </c>
      <c r="AF855" s="162">
        <f t="shared" si="256"/>
        <v>0</v>
      </c>
      <c r="AG855" s="162">
        <f t="shared" si="256"/>
        <v>0</v>
      </c>
      <c r="AH855" s="162">
        <f t="shared" si="256"/>
        <v>60</v>
      </c>
      <c r="AI855" s="162">
        <f t="shared" si="256"/>
        <v>0</v>
      </c>
      <c r="AJ855" s="162">
        <f t="shared" ref="AJ855:BC855" si="257">SUM(AJ856:AJ988)</f>
        <v>0</v>
      </c>
      <c r="AK855" s="162">
        <f t="shared" si="257"/>
        <v>0</v>
      </c>
      <c r="AL855" s="162">
        <f t="shared" si="257"/>
        <v>283</v>
      </c>
      <c r="AM855" s="162">
        <f t="shared" si="257"/>
        <v>0</v>
      </c>
      <c r="AN855" s="162">
        <f t="shared" si="257"/>
        <v>0</v>
      </c>
      <c r="AO855" s="162">
        <f t="shared" si="257"/>
        <v>0</v>
      </c>
      <c r="AP855" s="162">
        <f t="shared" si="257"/>
        <v>200</v>
      </c>
      <c r="AQ855" s="162">
        <f t="shared" si="257"/>
        <v>0</v>
      </c>
      <c r="AR855" s="162">
        <f t="shared" si="257"/>
        <v>0</v>
      </c>
      <c r="AS855" s="162">
        <f t="shared" si="257"/>
        <v>0</v>
      </c>
      <c r="AT855" s="162">
        <f t="shared" si="257"/>
        <v>0</v>
      </c>
      <c r="AU855" s="162">
        <f t="shared" si="257"/>
        <v>0</v>
      </c>
      <c r="AV855" s="162">
        <f t="shared" si="257"/>
        <v>0</v>
      </c>
      <c r="AW855" s="162">
        <f t="shared" si="257"/>
        <v>0</v>
      </c>
      <c r="AX855" s="162">
        <f t="shared" si="257"/>
        <v>0</v>
      </c>
      <c r="AY855" s="162">
        <f t="shared" si="257"/>
        <v>0</v>
      </c>
      <c r="AZ855" s="162">
        <f t="shared" si="257"/>
        <v>0</v>
      </c>
      <c r="BA855" s="162">
        <f t="shared" si="257"/>
        <v>0</v>
      </c>
      <c r="BB855" s="162">
        <f t="shared" si="257"/>
        <v>543</v>
      </c>
      <c r="BC855" s="23">
        <f t="shared" si="257"/>
        <v>1505</v>
      </c>
      <c r="BD855" s="130">
        <f t="shared" si="246"/>
        <v>546</v>
      </c>
      <c r="BE855" s="130">
        <f t="shared" si="247"/>
        <v>1510</v>
      </c>
      <c r="BF855" s="195">
        <f t="shared" si="248"/>
        <v>36.158940397350989</v>
      </c>
      <c r="BG855" s="374">
        <f t="shared" si="249"/>
        <v>964</v>
      </c>
      <c r="BH855" s="343">
        <v>1496</v>
      </c>
      <c r="BI855" s="21">
        <v>589</v>
      </c>
      <c r="BJ855" s="343">
        <f>BI855-BD855</f>
        <v>43</v>
      </c>
    </row>
    <row r="856" spans="1:62" s="21" customFormat="1" ht="15.95" customHeight="1">
      <c r="A856" s="163">
        <v>1</v>
      </c>
      <c r="B856" s="9" t="s">
        <v>718</v>
      </c>
      <c r="C856" s="10" t="s">
        <v>3440</v>
      </c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22">
        <f t="shared" ref="AB856:AB887" si="258">SUM(D856:AA856)</f>
        <v>0</v>
      </c>
      <c r="AC856" s="25">
        <v>0</v>
      </c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2">
        <f t="shared" ref="BB856:BB887" si="259">SUM(AD856:BA856)</f>
        <v>0</v>
      </c>
      <c r="BC856" s="23">
        <v>1</v>
      </c>
      <c r="BD856" s="130">
        <f t="shared" ref="BD856:BD887" si="260">AB856+BB856</f>
        <v>0</v>
      </c>
      <c r="BE856" s="130">
        <f t="shared" ref="BE856:BE887" si="261">AC856+BC856</f>
        <v>1</v>
      </c>
      <c r="BF856" s="195">
        <f t="shared" ref="BF856:BF887" si="262">BD856/BE856*100</f>
        <v>0</v>
      </c>
      <c r="BG856" s="373">
        <f t="shared" ref="BG856:BG870" si="263">BE856-BD856</f>
        <v>1</v>
      </c>
    </row>
    <row r="857" spans="1:62" s="21" customFormat="1" ht="15.95" customHeight="1">
      <c r="A857" s="163">
        <v>2</v>
      </c>
      <c r="B857" s="9" t="s">
        <v>641</v>
      </c>
      <c r="C857" s="11" t="s">
        <v>642</v>
      </c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22">
        <f t="shared" si="258"/>
        <v>0</v>
      </c>
      <c r="AC857" s="25">
        <v>1</v>
      </c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2">
        <f t="shared" si="259"/>
        <v>0</v>
      </c>
      <c r="BC857" s="23">
        <v>0</v>
      </c>
      <c r="BD857" s="130">
        <f t="shared" si="260"/>
        <v>0</v>
      </c>
      <c r="BE857" s="130">
        <f t="shared" si="261"/>
        <v>1</v>
      </c>
      <c r="BF857" s="195">
        <f t="shared" si="262"/>
        <v>0</v>
      </c>
      <c r="BG857" s="373">
        <f t="shared" si="263"/>
        <v>1</v>
      </c>
    </row>
    <row r="858" spans="1:62" s="21" customFormat="1" ht="15.95" customHeight="1">
      <c r="A858" s="163">
        <v>3</v>
      </c>
      <c r="B858" s="9" t="s">
        <v>613</v>
      </c>
      <c r="C858" s="11" t="s">
        <v>614</v>
      </c>
      <c r="D858" s="14">
        <v>1</v>
      </c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22">
        <f t="shared" si="258"/>
        <v>1</v>
      </c>
      <c r="AC858" s="25">
        <v>0</v>
      </c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2">
        <f t="shared" si="259"/>
        <v>0</v>
      </c>
      <c r="BC858" s="23">
        <v>1</v>
      </c>
      <c r="BD858" s="130">
        <f t="shared" si="260"/>
        <v>1</v>
      </c>
      <c r="BE858" s="130">
        <f t="shared" si="261"/>
        <v>1</v>
      </c>
      <c r="BF858" s="195">
        <f t="shared" si="262"/>
        <v>100</v>
      </c>
      <c r="BG858" s="373">
        <f t="shared" si="263"/>
        <v>0</v>
      </c>
    </row>
    <row r="859" spans="1:62" s="21" customFormat="1" ht="15.95" customHeight="1">
      <c r="A859" s="163">
        <v>4</v>
      </c>
      <c r="B859" s="9" t="s">
        <v>695</v>
      </c>
      <c r="C859" s="11" t="s">
        <v>696</v>
      </c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22">
        <f t="shared" si="258"/>
        <v>0</v>
      </c>
      <c r="AC859" s="25">
        <v>0</v>
      </c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>
        <v>1</v>
      </c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2">
        <f t="shared" si="259"/>
        <v>1</v>
      </c>
      <c r="BC859" s="23">
        <v>1</v>
      </c>
      <c r="BD859" s="130">
        <f t="shared" si="260"/>
        <v>1</v>
      </c>
      <c r="BE859" s="130">
        <f t="shared" si="261"/>
        <v>1</v>
      </c>
      <c r="BF859" s="195">
        <f t="shared" si="262"/>
        <v>100</v>
      </c>
      <c r="BG859" s="373">
        <f t="shared" si="263"/>
        <v>0</v>
      </c>
    </row>
    <row r="860" spans="1:62" s="21" customFormat="1" ht="15.95" customHeight="1">
      <c r="A860" s="163">
        <v>5</v>
      </c>
      <c r="B860" s="9" t="s">
        <v>507</v>
      </c>
      <c r="C860" s="11" t="s">
        <v>2546</v>
      </c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22">
        <f t="shared" si="258"/>
        <v>0</v>
      </c>
      <c r="AC860" s="25">
        <v>0</v>
      </c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2">
        <f t="shared" si="259"/>
        <v>0</v>
      </c>
      <c r="BC860" s="23">
        <v>2</v>
      </c>
      <c r="BD860" s="130">
        <f t="shared" si="260"/>
        <v>0</v>
      </c>
      <c r="BE860" s="130">
        <f t="shared" si="261"/>
        <v>2</v>
      </c>
      <c r="BF860" s="195">
        <f t="shared" si="262"/>
        <v>0</v>
      </c>
      <c r="BG860" s="373">
        <f t="shared" si="263"/>
        <v>2</v>
      </c>
    </row>
    <row r="861" spans="1:62" s="21" customFormat="1" ht="15.95" customHeight="1">
      <c r="A861" s="163">
        <v>6</v>
      </c>
      <c r="B861" s="9" t="s">
        <v>508</v>
      </c>
      <c r="C861" s="11" t="s">
        <v>509</v>
      </c>
      <c r="D861" s="14"/>
      <c r="E861" s="14"/>
      <c r="F861" s="14"/>
      <c r="G861" s="14"/>
      <c r="H861" s="14">
        <v>1</v>
      </c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22">
        <f t="shared" si="258"/>
        <v>1</v>
      </c>
      <c r="AC861" s="25">
        <v>0</v>
      </c>
      <c r="AD861" s="24"/>
      <c r="AE861" s="24"/>
      <c r="AF861" s="24"/>
      <c r="AG861" s="24"/>
      <c r="AH861" s="24"/>
      <c r="AI861" s="24"/>
      <c r="AJ861" s="24"/>
      <c r="AK861" s="24"/>
      <c r="AL861" s="24">
        <v>1</v>
      </c>
      <c r="AM861" s="24"/>
      <c r="AN861" s="24"/>
      <c r="AO861" s="24"/>
      <c r="AP861" s="24">
        <v>4</v>
      </c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2">
        <f t="shared" si="259"/>
        <v>5</v>
      </c>
      <c r="BC861" s="23">
        <v>5</v>
      </c>
      <c r="BD861" s="130">
        <f t="shared" si="260"/>
        <v>6</v>
      </c>
      <c r="BE861" s="130">
        <f t="shared" si="261"/>
        <v>5</v>
      </c>
      <c r="BF861" s="195">
        <f t="shared" si="262"/>
        <v>120</v>
      </c>
      <c r="BG861" s="373">
        <f t="shared" si="263"/>
        <v>-1</v>
      </c>
    </row>
    <row r="862" spans="1:62" s="21" customFormat="1" ht="15.95" customHeight="1">
      <c r="A862" s="163">
        <v>7</v>
      </c>
      <c r="B862" s="9" t="s">
        <v>697</v>
      </c>
      <c r="C862" s="11" t="s">
        <v>698</v>
      </c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22">
        <f t="shared" si="258"/>
        <v>0</v>
      </c>
      <c r="AC862" s="25">
        <v>0</v>
      </c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2">
        <f t="shared" si="259"/>
        <v>0</v>
      </c>
      <c r="BC862" s="23">
        <f>1+1</f>
        <v>2</v>
      </c>
      <c r="BD862" s="130">
        <f t="shared" si="260"/>
        <v>0</v>
      </c>
      <c r="BE862" s="130">
        <f t="shared" si="261"/>
        <v>2</v>
      </c>
      <c r="BF862" s="195">
        <f t="shared" si="262"/>
        <v>0</v>
      </c>
      <c r="BG862" s="373">
        <f t="shared" si="263"/>
        <v>2</v>
      </c>
    </row>
    <row r="863" spans="1:62" s="21" customFormat="1" ht="15.95" customHeight="1">
      <c r="A863" s="163">
        <v>8</v>
      </c>
      <c r="B863" s="9" t="s">
        <v>3141</v>
      </c>
      <c r="C863" s="11" t="s">
        <v>3142</v>
      </c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22">
        <f t="shared" si="258"/>
        <v>0</v>
      </c>
      <c r="AC863" s="25">
        <v>0</v>
      </c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>
        <v>1</v>
      </c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2">
        <f t="shared" si="259"/>
        <v>1</v>
      </c>
      <c r="BC863" s="23">
        <v>1</v>
      </c>
      <c r="BD863" s="130">
        <f t="shared" si="260"/>
        <v>1</v>
      </c>
      <c r="BE863" s="130">
        <f t="shared" si="261"/>
        <v>1</v>
      </c>
      <c r="BF863" s="195">
        <f t="shared" si="262"/>
        <v>100</v>
      </c>
      <c r="BG863" s="373">
        <f t="shared" si="263"/>
        <v>0</v>
      </c>
    </row>
    <row r="864" spans="1:62" s="21" customFormat="1" ht="15.95" customHeight="1">
      <c r="A864" s="163">
        <v>9</v>
      </c>
      <c r="B864" s="9" t="s">
        <v>32</v>
      </c>
      <c r="C864" s="11" t="s">
        <v>33</v>
      </c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22">
        <f t="shared" si="258"/>
        <v>0</v>
      </c>
      <c r="AC864" s="25">
        <v>0</v>
      </c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2">
        <f t="shared" si="259"/>
        <v>0</v>
      </c>
      <c r="BC864" s="23">
        <v>2</v>
      </c>
      <c r="BD864" s="130">
        <f t="shared" si="260"/>
        <v>0</v>
      </c>
      <c r="BE864" s="130">
        <f t="shared" si="261"/>
        <v>2</v>
      </c>
      <c r="BF864" s="195">
        <f t="shared" si="262"/>
        <v>0</v>
      </c>
      <c r="BG864" s="373">
        <f t="shared" si="263"/>
        <v>2</v>
      </c>
    </row>
    <row r="865" spans="1:59" s="21" customFormat="1" ht="15.95" customHeight="1">
      <c r="A865" s="163">
        <v>10</v>
      </c>
      <c r="B865" s="9" t="s">
        <v>615</v>
      </c>
      <c r="C865" s="11" t="s">
        <v>1931</v>
      </c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22">
        <f t="shared" si="258"/>
        <v>0</v>
      </c>
      <c r="AC865" s="25">
        <v>0</v>
      </c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>
        <v>3</v>
      </c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2">
        <f t="shared" si="259"/>
        <v>3</v>
      </c>
      <c r="BC865" s="23">
        <v>6</v>
      </c>
      <c r="BD865" s="130">
        <f t="shared" si="260"/>
        <v>3</v>
      </c>
      <c r="BE865" s="130">
        <f t="shared" si="261"/>
        <v>6</v>
      </c>
      <c r="BF865" s="195">
        <f t="shared" si="262"/>
        <v>50</v>
      </c>
      <c r="BG865" s="373">
        <f t="shared" si="263"/>
        <v>3</v>
      </c>
    </row>
    <row r="866" spans="1:59" s="21" customFormat="1" ht="15.95" customHeight="1">
      <c r="A866" s="163">
        <v>11</v>
      </c>
      <c r="B866" s="9" t="s">
        <v>720</v>
      </c>
      <c r="C866" s="11" t="s">
        <v>721</v>
      </c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22">
        <f t="shared" si="258"/>
        <v>0</v>
      </c>
      <c r="AC866" s="25">
        <v>0</v>
      </c>
      <c r="AD866" s="24"/>
      <c r="AE866" s="24"/>
      <c r="AF866" s="24"/>
      <c r="AG866" s="24"/>
      <c r="AH866" s="24">
        <v>2</v>
      </c>
      <c r="AI866" s="24"/>
      <c r="AJ866" s="24"/>
      <c r="AK866" s="24"/>
      <c r="AL866" s="24">
        <v>4</v>
      </c>
      <c r="AM866" s="24"/>
      <c r="AN866" s="24"/>
      <c r="AO866" s="24"/>
      <c r="AP866" s="24">
        <v>1</v>
      </c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2">
        <f t="shared" si="259"/>
        <v>7</v>
      </c>
      <c r="BC866" s="23">
        <v>19</v>
      </c>
      <c r="BD866" s="130">
        <f t="shared" si="260"/>
        <v>7</v>
      </c>
      <c r="BE866" s="130">
        <f t="shared" si="261"/>
        <v>19</v>
      </c>
      <c r="BF866" s="195">
        <f t="shared" si="262"/>
        <v>36.84210526315789</v>
      </c>
      <c r="BG866" s="373">
        <f t="shared" si="263"/>
        <v>12</v>
      </c>
    </row>
    <row r="867" spans="1:59" s="21" customFormat="1" ht="15.95" customHeight="1">
      <c r="A867" s="163">
        <v>12</v>
      </c>
      <c r="B867" s="9" t="s">
        <v>2451</v>
      </c>
      <c r="C867" s="11" t="s">
        <v>2452</v>
      </c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22">
        <f t="shared" si="258"/>
        <v>0</v>
      </c>
      <c r="AC867" s="25">
        <v>0</v>
      </c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2">
        <f t="shared" si="259"/>
        <v>0</v>
      </c>
      <c r="BC867" s="23">
        <v>1</v>
      </c>
      <c r="BD867" s="130">
        <f t="shared" si="260"/>
        <v>0</v>
      </c>
      <c r="BE867" s="130">
        <f t="shared" si="261"/>
        <v>1</v>
      </c>
      <c r="BF867" s="195">
        <f t="shared" si="262"/>
        <v>0</v>
      </c>
      <c r="BG867" s="373">
        <f t="shared" si="263"/>
        <v>1</v>
      </c>
    </row>
    <row r="868" spans="1:59" s="21" customFormat="1" ht="15.95" customHeight="1">
      <c r="A868" s="163">
        <v>13</v>
      </c>
      <c r="B868" s="9" t="s">
        <v>510</v>
      </c>
      <c r="C868" s="11" t="s">
        <v>511</v>
      </c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22">
        <f t="shared" si="258"/>
        <v>0</v>
      </c>
      <c r="AC868" s="25">
        <v>0</v>
      </c>
      <c r="AD868" s="24"/>
      <c r="AE868" s="24"/>
      <c r="AF868" s="24"/>
      <c r="AG868" s="24"/>
      <c r="AH868" s="24">
        <v>2</v>
      </c>
      <c r="AI868" s="24"/>
      <c r="AJ868" s="24"/>
      <c r="AK868" s="24"/>
      <c r="AL868" s="24">
        <v>6</v>
      </c>
      <c r="AM868" s="24"/>
      <c r="AN868" s="24"/>
      <c r="AO868" s="24"/>
      <c r="AP868" s="24">
        <v>8</v>
      </c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2">
        <f t="shared" si="259"/>
        <v>16</v>
      </c>
      <c r="BC868" s="23">
        <v>25</v>
      </c>
      <c r="BD868" s="130">
        <f t="shared" si="260"/>
        <v>16</v>
      </c>
      <c r="BE868" s="130">
        <f t="shared" si="261"/>
        <v>25</v>
      </c>
      <c r="BF868" s="195">
        <f t="shared" si="262"/>
        <v>64</v>
      </c>
      <c r="BG868" s="373">
        <f t="shared" si="263"/>
        <v>9</v>
      </c>
    </row>
    <row r="869" spans="1:59" s="21" customFormat="1" ht="15.95" customHeight="1">
      <c r="A869" s="163">
        <v>14</v>
      </c>
      <c r="B869" s="9" t="s">
        <v>512</v>
      </c>
      <c r="C869" s="11" t="s">
        <v>513</v>
      </c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22">
        <f t="shared" si="258"/>
        <v>0</v>
      </c>
      <c r="AC869" s="25">
        <v>0</v>
      </c>
      <c r="AD869" s="24"/>
      <c r="AE869" s="24"/>
      <c r="AF869" s="24"/>
      <c r="AG869" s="24"/>
      <c r="AH869" s="24"/>
      <c r="AI869" s="24"/>
      <c r="AJ869" s="24"/>
      <c r="AK869" s="24"/>
      <c r="AL869" s="24">
        <v>1</v>
      </c>
      <c r="AM869" s="24"/>
      <c r="AN869" s="24"/>
      <c r="AO869" s="24"/>
      <c r="AP869" s="24">
        <v>7</v>
      </c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2">
        <f t="shared" si="259"/>
        <v>8</v>
      </c>
      <c r="BC869" s="23">
        <v>4</v>
      </c>
      <c r="BD869" s="130">
        <f t="shared" si="260"/>
        <v>8</v>
      </c>
      <c r="BE869" s="130">
        <f t="shared" si="261"/>
        <v>4</v>
      </c>
      <c r="BF869" s="195">
        <f t="shared" si="262"/>
        <v>200</v>
      </c>
      <c r="BG869" s="373">
        <f t="shared" si="263"/>
        <v>-4</v>
      </c>
    </row>
    <row r="870" spans="1:59" s="21" customFormat="1" ht="15.95" customHeight="1">
      <c r="A870" s="163">
        <v>15</v>
      </c>
      <c r="B870" s="9" t="s">
        <v>514</v>
      </c>
      <c r="C870" s="11" t="s">
        <v>515</v>
      </c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22">
        <f t="shared" si="258"/>
        <v>0</v>
      </c>
      <c r="AC870" s="25">
        <v>0</v>
      </c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2">
        <f t="shared" si="259"/>
        <v>0</v>
      </c>
      <c r="BC870" s="23">
        <v>1</v>
      </c>
      <c r="BD870" s="130">
        <f t="shared" si="260"/>
        <v>0</v>
      </c>
      <c r="BE870" s="130">
        <f t="shared" si="261"/>
        <v>1</v>
      </c>
      <c r="BF870" s="195">
        <f t="shared" si="262"/>
        <v>0</v>
      </c>
      <c r="BG870" s="373">
        <f t="shared" si="263"/>
        <v>1</v>
      </c>
    </row>
    <row r="871" spans="1:59" s="21" customFormat="1" ht="15.95" customHeight="1">
      <c r="A871" s="163">
        <v>16</v>
      </c>
      <c r="B871" s="9" t="s">
        <v>699</v>
      </c>
      <c r="C871" s="11" t="s">
        <v>3888</v>
      </c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22">
        <f t="shared" si="258"/>
        <v>0</v>
      </c>
      <c r="AC871" s="25">
        <v>0</v>
      </c>
      <c r="AD871" s="24"/>
      <c r="AE871" s="24"/>
      <c r="AF871" s="24"/>
      <c r="AG871" s="24"/>
      <c r="AH871" s="24"/>
      <c r="AI871" s="24"/>
      <c r="AJ871" s="24"/>
      <c r="AK871" s="24"/>
      <c r="AL871" s="24">
        <v>1</v>
      </c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2">
        <f t="shared" si="259"/>
        <v>1</v>
      </c>
      <c r="BC871" s="23">
        <v>0</v>
      </c>
      <c r="BD871" s="130">
        <f t="shared" si="260"/>
        <v>1</v>
      </c>
      <c r="BE871" s="130">
        <f t="shared" si="261"/>
        <v>0</v>
      </c>
      <c r="BF871" s="195" t="e">
        <f t="shared" si="262"/>
        <v>#DIV/0!</v>
      </c>
      <c r="BG871" s="373"/>
    </row>
    <row r="872" spans="1:59" s="21" customFormat="1" ht="15.95" customHeight="1">
      <c r="A872" s="163">
        <v>17</v>
      </c>
      <c r="B872" s="9" t="s">
        <v>516</v>
      </c>
      <c r="C872" s="11" t="s">
        <v>517</v>
      </c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22">
        <f t="shared" si="258"/>
        <v>0</v>
      </c>
      <c r="AC872" s="25">
        <v>0</v>
      </c>
      <c r="AD872" s="24"/>
      <c r="AE872" s="24"/>
      <c r="AF872" s="24"/>
      <c r="AG872" s="24"/>
      <c r="AH872" s="24"/>
      <c r="AI872" s="24"/>
      <c r="AJ872" s="24"/>
      <c r="AK872" s="24"/>
      <c r="AL872" s="24">
        <v>2</v>
      </c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2">
        <f t="shared" si="259"/>
        <v>2</v>
      </c>
      <c r="BC872" s="23">
        <v>6</v>
      </c>
      <c r="BD872" s="130">
        <f t="shared" si="260"/>
        <v>2</v>
      </c>
      <c r="BE872" s="130">
        <f t="shared" si="261"/>
        <v>6</v>
      </c>
      <c r="BF872" s="195">
        <f t="shared" si="262"/>
        <v>33.333333333333329</v>
      </c>
      <c r="BG872" s="373">
        <f>BE872-BD872</f>
        <v>4</v>
      </c>
    </row>
    <row r="873" spans="1:59" s="21" customFormat="1" ht="15.95" customHeight="1">
      <c r="A873" s="163">
        <v>18</v>
      </c>
      <c r="B873" s="9" t="s">
        <v>518</v>
      </c>
      <c r="C873" s="11" t="s">
        <v>519</v>
      </c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22">
        <f t="shared" si="258"/>
        <v>0</v>
      </c>
      <c r="AC873" s="25">
        <v>0</v>
      </c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2">
        <f t="shared" si="259"/>
        <v>0</v>
      </c>
      <c r="BC873" s="23">
        <v>5</v>
      </c>
      <c r="BD873" s="130">
        <f t="shared" si="260"/>
        <v>0</v>
      </c>
      <c r="BE873" s="130">
        <f t="shared" si="261"/>
        <v>5</v>
      </c>
      <c r="BF873" s="195">
        <f t="shared" si="262"/>
        <v>0</v>
      </c>
      <c r="BG873" s="373">
        <f>BE873-BD873</f>
        <v>5</v>
      </c>
    </row>
    <row r="874" spans="1:59" s="21" customFormat="1" ht="15.95" customHeight="1">
      <c r="A874" s="163">
        <v>19</v>
      </c>
      <c r="B874" s="9" t="s">
        <v>3441</v>
      </c>
      <c r="C874" s="11" t="s">
        <v>530</v>
      </c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22">
        <f t="shared" si="258"/>
        <v>0</v>
      </c>
      <c r="AC874" s="25">
        <v>0</v>
      </c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2">
        <f t="shared" si="259"/>
        <v>0</v>
      </c>
      <c r="BC874" s="23">
        <v>2</v>
      </c>
      <c r="BD874" s="130">
        <f t="shared" si="260"/>
        <v>0</v>
      </c>
      <c r="BE874" s="130">
        <f t="shared" si="261"/>
        <v>2</v>
      </c>
      <c r="BF874" s="195">
        <f t="shared" si="262"/>
        <v>0</v>
      </c>
      <c r="BG874" s="373">
        <f>BE874-BD874</f>
        <v>2</v>
      </c>
    </row>
    <row r="875" spans="1:59" s="21" customFormat="1" ht="15.95" customHeight="1">
      <c r="A875" s="163">
        <v>20</v>
      </c>
      <c r="B875" s="9" t="s">
        <v>520</v>
      </c>
      <c r="C875" s="11" t="s">
        <v>521</v>
      </c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22">
        <f t="shared" si="258"/>
        <v>0</v>
      </c>
      <c r="AC875" s="25">
        <v>0</v>
      </c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2">
        <f t="shared" si="259"/>
        <v>0</v>
      </c>
      <c r="BC875" s="23">
        <v>1</v>
      </c>
      <c r="BD875" s="130">
        <f t="shared" si="260"/>
        <v>0</v>
      </c>
      <c r="BE875" s="130">
        <f t="shared" si="261"/>
        <v>1</v>
      </c>
      <c r="BF875" s="195">
        <f t="shared" si="262"/>
        <v>0</v>
      </c>
      <c r="BG875" s="373">
        <f>BE875-BD875</f>
        <v>1</v>
      </c>
    </row>
    <row r="876" spans="1:59" s="21" customFormat="1" ht="15.95" customHeight="1">
      <c r="A876" s="163">
        <v>21</v>
      </c>
      <c r="B876" s="9" t="s">
        <v>522</v>
      </c>
      <c r="C876" s="11" t="s">
        <v>523</v>
      </c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22">
        <f t="shared" si="258"/>
        <v>0</v>
      </c>
      <c r="AC876" s="25">
        <v>0</v>
      </c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2">
        <f t="shared" si="259"/>
        <v>0</v>
      </c>
      <c r="BC876" s="23">
        <v>1</v>
      </c>
      <c r="BD876" s="130">
        <f t="shared" si="260"/>
        <v>0</v>
      </c>
      <c r="BE876" s="130">
        <f t="shared" si="261"/>
        <v>1</v>
      </c>
      <c r="BF876" s="195">
        <f t="shared" si="262"/>
        <v>0</v>
      </c>
      <c r="BG876" s="373">
        <f>BE876-BD876</f>
        <v>1</v>
      </c>
    </row>
    <row r="877" spans="1:59" s="21" customFormat="1" ht="15.95" customHeight="1">
      <c r="A877" s="163">
        <v>22</v>
      </c>
      <c r="B877" s="9" t="s">
        <v>150</v>
      </c>
      <c r="C877" s="11" t="s">
        <v>151</v>
      </c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22">
        <f t="shared" si="258"/>
        <v>0</v>
      </c>
      <c r="AC877" s="25">
        <v>0</v>
      </c>
      <c r="AD877" s="24"/>
      <c r="AE877" s="24"/>
      <c r="AF877" s="24"/>
      <c r="AG877" s="24"/>
      <c r="AH877" s="24"/>
      <c r="AI877" s="24"/>
      <c r="AJ877" s="24"/>
      <c r="AK877" s="24"/>
      <c r="AL877" s="24">
        <v>1</v>
      </c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2">
        <f t="shared" si="259"/>
        <v>1</v>
      </c>
      <c r="BC877" s="23">
        <v>0</v>
      </c>
      <c r="BD877" s="130">
        <f t="shared" si="260"/>
        <v>1</v>
      </c>
      <c r="BE877" s="130">
        <f t="shared" si="261"/>
        <v>0</v>
      </c>
      <c r="BF877" s="195" t="e">
        <f t="shared" si="262"/>
        <v>#DIV/0!</v>
      </c>
      <c r="BG877" s="373"/>
    </row>
    <row r="878" spans="1:59" s="21" customFormat="1" ht="15.95" customHeight="1">
      <c r="A878" s="163">
        <v>23</v>
      </c>
      <c r="B878" s="9" t="s">
        <v>526</v>
      </c>
      <c r="C878" s="11" t="s">
        <v>527</v>
      </c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22">
        <f t="shared" si="258"/>
        <v>0</v>
      </c>
      <c r="AC878" s="25">
        <v>0</v>
      </c>
      <c r="AD878" s="24"/>
      <c r="AE878" s="24"/>
      <c r="AF878" s="24"/>
      <c r="AG878" s="24"/>
      <c r="AH878" s="24"/>
      <c r="AI878" s="24"/>
      <c r="AJ878" s="24"/>
      <c r="AK878" s="24"/>
      <c r="AL878" s="24">
        <v>4</v>
      </c>
      <c r="AM878" s="24"/>
      <c r="AN878" s="24"/>
      <c r="AO878" s="24"/>
      <c r="AP878" s="24">
        <v>1</v>
      </c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2">
        <f t="shared" si="259"/>
        <v>5</v>
      </c>
      <c r="BC878" s="23">
        <v>4</v>
      </c>
      <c r="BD878" s="130">
        <f t="shared" si="260"/>
        <v>5</v>
      </c>
      <c r="BE878" s="130">
        <f t="shared" si="261"/>
        <v>4</v>
      </c>
      <c r="BF878" s="195">
        <f t="shared" si="262"/>
        <v>125</v>
      </c>
      <c r="BG878" s="373">
        <f t="shared" ref="BG878:BG898" si="264">BE878-BD878</f>
        <v>-1</v>
      </c>
    </row>
    <row r="879" spans="1:59" s="21" customFormat="1" ht="15.95" customHeight="1">
      <c r="A879" s="163">
        <v>24</v>
      </c>
      <c r="B879" s="9" t="s">
        <v>528</v>
      </c>
      <c r="C879" s="11" t="s">
        <v>529</v>
      </c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22">
        <f t="shared" si="258"/>
        <v>0</v>
      </c>
      <c r="AC879" s="25">
        <v>0</v>
      </c>
      <c r="AD879" s="24"/>
      <c r="AE879" s="24"/>
      <c r="AF879" s="24"/>
      <c r="AG879" s="24"/>
      <c r="AH879" s="24"/>
      <c r="AI879" s="24"/>
      <c r="AJ879" s="24"/>
      <c r="AK879" s="24"/>
      <c r="AL879" s="24">
        <v>2</v>
      </c>
      <c r="AM879" s="24"/>
      <c r="AN879" s="24"/>
      <c r="AO879" s="24"/>
      <c r="AP879" s="24">
        <v>1</v>
      </c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2">
        <f t="shared" si="259"/>
        <v>3</v>
      </c>
      <c r="BC879" s="23">
        <v>9</v>
      </c>
      <c r="BD879" s="130">
        <f t="shared" si="260"/>
        <v>3</v>
      </c>
      <c r="BE879" s="130">
        <f t="shared" si="261"/>
        <v>9</v>
      </c>
      <c r="BF879" s="195">
        <f t="shared" si="262"/>
        <v>33.333333333333329</v>
      </c>
      <c r="BG879" s="373">
        <f t="shared" si="264"/>
        <v>6</v>
      </c>
    </row>
    <row r="880" spans="1:59" s="21" customFormat="1" ht="15.95" customHeight="1">
      <c r="A880" s="163">
        <v>25</v>
      </c>
      <c r="B880" s="9" t="s">
        <v>160</v>
      </c>
      <c r="C880" s="11" t="s">
        <v>530</v>
      </c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22">
        <f t="shared" si="258"/>
        <v>0</v>
      </c>
      <c r="AC880" s="25">
        <v>0</v>
      </c>
      <c r="AD880" s="24"/>
      <c r="AE880" s="24"/>
      <c r="AF880" s="24"/>
      <c r="AG880" s="24"/>
      <c r="AH880" s="24">
        <v>1</v>
      </c>
      <c r="AI880" s="24"/>
      <c r="AJ880" s="24"/>
      <c r="AK880" s="24"/>
      <c r="AL880" s="24"/>
      <c r="AM880" s="24"/>
      <c r="AN880" s="24"/>
      <c r="AO880" s="24"/>
      <c r="AP880" s="24">
        <v>1</v>
      </c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2">
        <f t="shared" si="259"/>
        <v>2</v>
      </c>
      <c r="BC880" s="23">
        <v>5</v>
      </c>
      <c r="BD880" s="130">
        <f t="shared" si="260"/>
        <v>2</v>
      </c>
      <c r="BE880" s="130">
        <f t="shared" si="261"/>
        <v>5</v>
      </c>
      <c r="BF880" s="195">
        <f t="shared" si="262"/>
        <v>40</v>
      </c>
      <c r="BG880" s="373">
        <f t="shared" si="264"/>
        <v>3</v>
      </c>
    </row>
    <row r="881" spans="1:59" s="21" customFormat="1" ht="15.95" customHeight="1">
      <c r="A881" s="163">
        <v>26</v>
      </c>
      <c r="B881" s="9" t="s">
        <v>531</v>
      </c>
      <c r="C881" s="11" t="s">
        <v>532</v>
      </c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22">
        <f t="shared" si="258"/>
        <v>0</v>
      </c>
      <c r="AC881" s="25">
        <v>0</v>
      </c>
      <c r="AD881" s="24"/>
      <c r="AE881" s="24"/>
      <c r="AF881" s="24"/>
      <c r="AG881" s="24"/>
      <c r="AH881" s="24"/>
      <c r="AI881" s="24"/>
      <c r="AJ881" s="24"/>
      <c r="AK881" s="24"/>
      <c r="AL881" s="24">
        <f>3+1</f>
        <v>4</v>
      </c>
      <c r="AM881" s="24"/>
      <c r="AN881" s="24"/>
      <c r="AO881" s="24"/>
      <c r="AP881" s="24">
        <f>4+2</f>
        <v>6</v>
      </c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2">
        <f t="shared" si="259"/>
        <v>10</v>
      </c>
      <c r="BC881" s="23">
        <v>2</v>
      </c>
      <c r="BD881" s="130">
        <f t="shared" si="260"/>
        <v>10</v>
      </c>
      <c r="BE881" s="130">
        <f t="shared" si="261"/>
        <v>2</v>
      </c>
      <c r="BF881" s="195">
        <f t="shared" si="262"/>
        <v>500</v>
      </c>
      <c r="BG881" s="373">
        <f t="shared" si="264"/>
        <v>-8</v>
      </c>
    </row>
    <row r="882" spans="1:59" s="21" customFormat="1" ht="15.95" customHeight="1">
      <c r="A882" s="163">
        <v>27</v>
      </c>
      <c r="B882" s="9" t="s">
        <v>533</v>
      </c>
      <c r="C882" s="11" t="s">
        <v>534</v>
      </c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22">
        <f t="shared" si="258"/>
        <v>0</v>
      </c>
      <c r="AC882" s="25">
        <v>0</v>
      </c>
      <c r="AD882" s="24"/>
      <c r="AE882" s="24"/>
      <c r="AF882" s="24"/>
      <c r="AG882" s="24"/>
      <c r="AH882" s="24">
        <v>1</v>
      </c>
      <c r="AI882" s="24"/>
      <c r="AJ882" s="24"/>
      <c r="AK882" s="24"/>
      <c r="AL882" s="24">
        <v>2</v>
      </c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2">
        <f t="shared" si="259"/>
        <v>3</v>
      </c>
      <c r="BC882" s="23">
        <v>1</v>
      </c>
      <c r="BD882" s="130">
        <f t="shared" si="260"/>
        <v>3</v>
      </c>
      <c r="BE882" s="130">
        <f t="shared" si="261"/>
        <v>1</v>
      </c>
      <c r="BF882" s="195">
        <f t="shared" si="262"/>
        <v>300</v>
      </c>
      <c r="BG882" s="373">
        <f t="shared" si="264"/>
        <v>-2</v>
      </c>
    </row>
    <row r="883" spans="1:59" s="21" customFormat="1" ht="15.95" customHeight="1">
      <c r="A883" s="163">
        <v>28</v>
      </c>
      <c r="B883" s="9" t="s">
        <v>535</v>
      </c>
      <c r="C883" s="11" t="s">
        <v>536</v>
      </c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22">
        <f t="shared" si="258"/>
        <v>0</v>
      </c>
      <c r="AC883" s="25">
        <v>0</v>
      </c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>
        <v>1</v>
      </c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2">
        <f t="shared" si="259"/>
        <v>1</v>
      </c>
      <c r="BC883" s="23">
        <v>2</v>
      </c>
      <c r="BD883" s="130">
        <f t="shared" si="260"/>
        <v>1</v>
      </c>
      <c r="BE883" s="130">
        <f t="shared" si="261"/>
        <v>2</v>
      </c>
      <c r="BF883" s="195">
        <f t="shared" si="262"/>
        <v>50</v>
      </c>
      <c r="BG883" s="373">
        <f t="shared" si="264"/>
        <v>1</v>
      </c>
    </row>
    <row r="884" spans="1:59" s="21" customFormat="1" ht="15.95" customHeight="1">
      <c r="A884" s="163">
        <v>29</v>
      </c>
      <c r="B884" s="9" t="s">
        <v>243</v>
      </c>
      <c r="C884" s="10" t="s">
        <v>537</v>
      </c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22">
        <f t="shared" si="258"/>
        <v>0</v>
      </c>
      <c r="AC884" s="25">
        <v>0</v>
      </c>
      <c r="AD884" s="24"/>
      <c r="AE884" s="24"/>
      <c r="AF884" s="24"/>
      <c r="AG884" s="24"/>
      <c r="AH884" s="24">
        <f>20+2</f>
        <v>22</v>
      </c>
      <c r="AI884" s="24"/>
      <c r="AJ884" s="24"/>
      <c r="AK884" s="24"/>
      <c r="AL884" s="24">
        <f>80+10</f>
        <v>90</v>
      </c>
      <c r="AM884" s="24"/>
      <c r="AN884" s="24"/>
      <c r="AO884" s="24"/>
      <c r="AP884" s="24">
        <f>50+5</f>
        <v>55</v>
      </c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2">
        <f t="shared" si="259"/>
        <v>167</v>
      </c>
      <c r="BC884" s="23">
        <v>572</v>
      </c>
      <c r="BD884" s="130">
        <f t="shared" si="260"/>
        <v>167</v>
      </c>
      <c r="BE884" s="130">
        <f t="shared" si="261"/>
        <v>572</v>
      </c>
      <c r="BF884" s="195">
        <f t="shared" si="262"/>
        <v>29.195804195804197</v>
      </c>
      <c r="BG884" s="373">
        <f t="shared" si="264"/>
        <v>405</v>
      </c>
    </row>
    <row r="885" spans="1:59" s="21" customFormat="1" ht="15.95" customHeight="1">
      <c r="A885" s="163">
        <v>30</v>
      </c>
      <c r="B885" s="9" t="s">
        <v>538</v>
      </c>
      <c r="C885" s="10" t="s">
        <v>539</v>
      </c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22">
        <f t="shared" si="258"/>
        <v>0</v>
      </c>
      <c r="AC885" s="25">
        <v>0</v>
      </c>
      <c r="AD885" s="24"/>
      <c r="AE885" s="24"/>
      <c r="AF885" s="24"/>
      <c r="AG885" s="24"/>
      <c r="AH885" s="24"/>
      <c r="AI885" s="24"/>
      <c r="AJ885" s="24"/>
      <c r="AK885" s="24"/>
      <c r="AL885" s="24">
        <v>2</v>
      </c>
      <c r="AM885" s="24"/>
      <c r="AN885" s="24"/>
      <c r="AO885" s="24"/>
      <c r="AP885" s="24">
        <f>1+1</f>
        <v>2</v>
      </c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2">
        <f t="shared" si="259"/>
        <v>4</v>
      </c>
      <c r="BC885" s="23">
        <v>4</v>
      </c>
      <c r="BD885" s="130">
        <f t="shared" si="260"/>
        <v>4</v>
      </c>
      <c r="BE885" s="130">
        <f t="shared" si="261"/>
        <v>4</v>
      </c>
      <c r="BF885" s="195">
        <f t="shared" si="262"/>
        <v>100</v>
      </c>
      <c r="BG885" s="373">
        <f t="shared" si="264"/>
        <v>0</v>
      </c>
    </row>
    <row r="886" spans="1:59" s="21" customFormat="1" ht="15.95" customHeight="1">
      <c r="A886" s="163">
        <v>31</v>
      </c>
      <c r="B886" s="9" t="s">
        <v>19</v>
      </c>
      <c r="C886" s="11" t="s">
        <v>20</v>
      </c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22">
        <f t="shared" si="258"/>
        <v>0</v>
      </c>
      <c r="AC886" s="25">
        <v>0</v>
      </c>
      <c r="AD886" s="24"/>
      <c r="AE886" s="24"/>
      <c r="AF886" s="24"/>
      <c r="AG886" s="24"/>
      <c r="AH886" s="24">
        <v>5</v>
      </c>
      <c r="AI886" s="24"/>
      <c r="AJ886" s="24"/>
      <c r="AK886" s="24"/>
      <c r="AL886" s="24">
        <v>5</v>
      </c>
      <c r="AM886" s="24"/>
      <c r="AN886" s="24"/>
      <c r="AO886" s="24"/>
      <c r="AP886" s="24">
        <f>1+7</f>
        <v>8</v>
      </c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2">
        <f t="shared" si="259"/>
        <v>18</v>
      </c>
      <c r="BC886" s="23">
        <v>52</v>
      </c>
      <c r="BD886" s="130">
        <f t="shared" si="260"/>
        <v>18</v>
      </c>
      <c r="BE886" s="130">
        <f t="shared" si="261"/>
        <v>52</v>
      </c>
      <c r="BF886" s="195">
        <f t="shared" si="262"/>
        <v>34.615384615384613</v>
      </c>
      <c r="BG886" s="373">
        <f t="shared" si="264"/>
        <v>34</v>
      </c>
    </row>
    <row r="887" spans="1:59" s="21" customFormat="1" ht="15.95" customHeight="1">
      <c r="A887" s="163">
        <v>32</v>
      </c>
      <c r="B887" s="415" t="s">
        <v>19</v>
      </c>
      <c r="C887" s="412" t="s">
        <v>3041</v>
      </c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22">
        <f t="shared" si="258"/>
        <v>0</v>
      </c>
      <c r="AC887" s="25">
        <v>0</v>
      </c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2">
        <f t="shared" si="259"/>
        <v>0</v>
      </c>
      <c r="BC887" s="23">
        <v>6</v>
      </c>
      <c r="BD887" s="130">
        <f t="shared" si="260"/>
        <v>0</v>
      </c>
      <c r="BE887" s="130">
        <f t="shared" si="261"/>
        <v>6</v>
      </c>
      <c r="BF887" s="195">
        <f t="shared" si="262"/>
        <v>0</v>
      </c>
      <c r="BG887" s="373">
        <f t="shared" si="264"/>
        <v>6</v>
      </c>
    </row>
    <row r="888" spans="1:59" s="21" customFormat="1" ht="15.95" customHeight="1">
      <c r="A888" s="163">
        <v>33</v>
      </c>
      <c r="B888" s="413" t="s">
        <v>2962</v>
      </c>
      <c r="C888" s="414" t="s">
        <v>3023</v>
      </c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22">
        <f t="shared" ref="AB888:AB919" si="265">SUM(D888:AA888)</f>
        <v>0</v>
      </c>
      <c r="AC888" s="25">
        <v>0</v>
      </c>
      <c r="AD888" s="24"/>
      <c r="AE888" s="24"/>
      <c r="AF888" s="24"/>
      <c r="AG888" s="24"/>
      <c r="AH888" s="24"/>
      <c r="AI888" s="24"/>
      <c r="AJ888" s="24"/>
      <c r="AK888" s="24"/>
      <c r="AL888" s="24">
        <v>6</v>
      </c>
      <c r="AM888" s="24"/>
      <c r="AN888" s="24"/>
      <c r="AO888" s="24"/>
      <c r="AP888" s="24">
        <v>1</v>
      </c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2">
        <f t="shared" ref="BB888:BB919" si="266">SUM(AD888:BA888)</f>
        <v>7</v>
      </c>
      <c r="BC888" s="23">
        <v>12</v>
      </c>
      <c r="BD888" s="130">
        <f t="shared" ref="BD888:BD919" si="267">AB888+BB888</f>
        <v>7</v>
      </c>
      <c r="BE888" s="130">
        <f t="shared" ref="BE888:BE919" si="268">AC888+BC888</f>
        <v>12</v>
      </c>
      <c r="BF888" s="195">
        <f t="shared" ref="BF888:BF919" si="269">BD888/BE888*100</f>
        <v>58.333333333333336</v>
      </c>
      <c r="BG888" s="373">
        <f t="shared" si="264"/>
        <v>5</v>
      </c>
    </row>
    <row r="889" spans="1:59" s="21" customFormat="1" ht="15.95" customHeight="1">
      <c r="A889" s="163">
        <v>34</v>
      </c>
      <c r="B889" s="9" t="s">
        <v>2589</v>
      </c>
      <c r="C889" s="11" t="s">
        <v>3442</v>
      </c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22">
        <f t="shared" si="265"/>
        <v>0</v>
      </c>
      <c r="AC889" s="25">
        <v>0</v>
      </c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>
        <v>1</v>
      </c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2">
        <f t="shared" si="266"/>
        <v>1</v>
      </c>
      <c r="BC889" s="23">
        <v>4</v>
      </c>
      <c r="BD889" s="130">
        <f t="shared" si="267"/>
        <v>1</v>
      </c>
      <c r="BE889" s="130">
        <f t="shared" si="268"/>
        <v>4</v>
      </c>
      <c r="BF889" s="195">
        <f t="shared" si="269"/>
        <v>25</v>
      </c>
      <c r="BG889" s="373">
        <f t="shared" si="264"/>
        <v>3</v>
      </c>
    </row>
    <row r="890" spans="1:59" s="21" customFormat="1" ht="15.95" customHeight="1">
      <c r="A890" s="163">
        <v>35</v>
      </c>
      <c r="B890" s="9" t="s">
        <v>2589</v>
      </c>
      <c r="C890" s="11" t="s">
        <v>2590</v>
      </c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22">
        <f t="shared" si="265"/>
        <v>0</v>
      </c>
      <c r="AC890" s="25">
        <v>0</v>
      </c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2">
        <f t="shared" si="266"/>
        <v>0</v>
      </c>
      <c r="BC890" s="23">
        <v>1</v>
      </c>
      <c r="BD890" s="130">
        <f t="shared" si="267"/>
        <v>0</v>
      </c>
      <c r="BE890" s="130">
        <f t="shared" si="268"/>
        <v>1</v>
      </c>
      <c r="BF890" s="195">
        <f t="shared" si="269"/>
        <v>0</v>
      </c>
      <c r="BG890" s="373">
        <f t="shared" si="264"/>
        <v>1</v>
      </c>
    </row>
    <row r="891" spans="1:59" s="21" customFormat="1" ht="15.95" customHeight="1">
      <c r="A891" s="163">
        <v>36</v>
      </c>
      <c r="B891" s="415" t="s">
        <v>2589</v>
      </c>
      <c r="C891" s="412" t="s">
        <v>3042</v>
      </c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22">
        <f t="shared" si="265"/>
        <v>0</v>
      </c>
      <c r="AC891" s="25">
        <v>0</v>
      </c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2">
        <f t="shared" si="266"/>
        <v>0</v>
      </c>
      <c r="BC891" s="23">
        <v>5</v>
      </c>
      <c r="BD891" s="130">
        <f t="shared" si="267"/>
        <v>0</v>
      </c>
      <c r="BE891" s="130">
        <f t="shared" si="268"/>
        <v>5</v>
      </c>
      <c r="BF891" s="195">
        <f t="shared" si="269"/>
        <v>0</v>
      </c>
      <c r="BG891" s="373">
        <f t="shared" si="264"/>
        <v>5</v>
      </c>
    </row>
    <row r="892" spans="1:59" s="21" customFormat="1" ht="15.95" customHeight="1">
      <c r="A892" s="163">
        <v>37</v>
      </c>
      <c r="B892" s="415" t="s">
        <v>2589</v>
      </c>
      <c r="C892" s="412" t="s">
        <v>3042</v>
      </c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22">
        <f t="shared" si="265"/>
        <v>0</v>
      </c>
      <c r="AC892" s="25">
        <v>0</v>
      </c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2">
        <f t="shared" si="266"/>
        <v>0</v>
      </c>
      <c r="BC892" s="23">
        <v>1</v>
      </c>
      <c r="BD892" s="130">
        <f t="shared" si="267"/>
        <v>0</v>
      </c>
      <c r="BE892" s="130">
        <f t="shared" si="268"/>
        <v>1</v>
      </c>
      <c r="BF892" s="195">
        <f t="shared" si="269"/>
        <v>0</v>
      </c>
      <c r="BG892" s="373">
        <f t="shared" si="264"/>
        <v>1</v>
      </c>
    </row>
    <row r="893" spans="1:59" s="21" customFormat="1" ht="15.95" customHeight="1">
      <c r="A893" s="163">
        <v>38</v>
      </c>
      <c r="B893" s="9" t="s">
        <v>1530</v>
      </c>
      <c r="C893" s="11" t="s">
        <v>1932</v>
      </c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22">
        <f t="shared" si="265"/>
        <v>0</v>
      </c>
      <c r="AC893" s="25">
        <v>1</v>
      </c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2">
        <f t="shared" si="266"/>
        <v>0</v>
      </c>
      <c r="BC893" s="23">
        <v>0</v>
      </c>
      <c r="BD893" s="130">
        <f t="shared" si="267"/>
        <v>0</v>
      </c>
      <c r="BE893" s="130">
        <f t="shared" si="268"/>
        <v>1</v>
      </c>
      <c r="BF893" s="195">
        <f t="shared" si="269"/>
        <v>0</v>
      </c>
      <c r="BG893" s="373">
        <f t="shared" si="264"/>
        <v>1</v>
      </c>
    </row>
    <row r="894" spans="1:59" s="21" customFormat="1" ht="15.95" customHeight="1">
      <c r="A894" s="163">
        <v>39</v>
      </c>
      <c r="B894" s="9" t="s">
        <v>540</v>
      </c>
      <c r="C894" s="11" t="s">
        <v>541</v>
      </c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22">
        <f t="shared" si="265"/>
        <v>0</v>
      </c>
      <c r="AC894" s="25">
        <v>0</v>
      </c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2">
        <f t="shared" si="266"/>
        <v>0</v>
      </c>
      <c r="BC894" s="23">
        <v>1</v>
      </c>
      <c r="BD894" s="130">
        <f t="shared" si="267"/>
        <v>0</v>
      </c>
      <c r="BE894" s="130">
        <f t="shared" si="268"/>
        <v>1</v>
      </c>
      <c r="BF894" s="195">
        <f t="shared" si="269"/>
        <v>0</v>
      </c>
      <c r="BG894" s="373">
        <f t="shared" si="264"/>
        <v>1</v>
      </c>
    </row>
    <row r="895" spans="1:59" s="21" customFormat="1" ht="15.95" customHeight="1">
      <c r="A895" s="163">
        <v>40</v>
      </c>
      <c r="B895" s="9" t="s">
        <v>542</v>
      </c>
      <c r="C895" s="11" t="s">
        <v>543</v>
      </c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22">
        <f t="shared" si="265"/>
        <v>0</v>
      </c>
      <c r="AC895" s="25">
        <v>0</v>
      </c>
      <c r="AD895" s="24"/>
      <c r="AE895" s="24"/>
      <c r="AF895" s="24"/>
      <c r="AG895" s="24"/>
      <c r="AH895" s="24"/>
      <c r="AI895" s="24"/>
      <c r="AJ895" s="24"/>
      <c r="AK895" s="24"/>
      <c r="AL895" s="24">
        <v>1</v>
      </c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2">
        <f t="shared" si="266"/>
        <v>1</v>
      </c>
      <c r="BC895" s="23">
        <v>11</v>
      </c>
      <c r="BD895" s="130">
        <f t="shared" si="267"/>
        <v>1</v>
      </c>
      <c r="BE895" s="130">
        <f t="shared" si="268"/>
        <v>11</v>
      </c>
      <c r="BF895" s="195">
        <f t="shared" si="269"/>
        <v>9.0909090909090917</v>
      </c>
      <c r="BG895" s="373">
        <f t="shared" si="264"/>
        <v>10</v>
      </c>
    </row>
    <row r="896" spans="1:59" s="21" customFormat="1" ht="15.95" customHeight="1">
      <c r="A896" s="163">
        <v>41</v>
      </c>
      <c r="B896" s="9" t="s">
        <v>544</v>
      </c>
      <c r="C896" s="11" t="s">
        <v>545</v>
      </c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22">
        <f t="shared" si="265"/>
        <v>0</v>
      </c>
      <c r="AC896" s="25">
        <v>0</v>
      </c>
      <c r="AD896" s="24"/>
      <c r="AE896" s="24"/>
      <c r="AF896" s="24"/>
      <c r="AG896" s="24"/>
      <c r="AH896" s="24"/>
      <c r="AI896" s="24"/>
      <c r="AJ896" s="24"/>
      <c r="AK896" s="24"/>
      <c r="AL896" s="24">
        <f>1+4</f>
        <v>5</v>
      </c>
      <c r="AM896" s="24"/>
      <c r="AN896" s="24"/>
      <c r="AO896" s="24"/>
      <c r="AP896" s="24">
        <f>1+4</f>
        <v>5</v>
      </c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2">
        <f t="shared" si="266"/>
        <v>10</v>
      </c>
      <c r="BC896" s="23">
        <v>18</v>
      </c>
      <c r="BD896" s="130">
        <f t="shared" si="267"/>
        <v>10</v>
      </c>
      <c r="BE896" s="130">
        <f t="shared" si="268"/>
        <v>18</v>
      </c>
      <c r="BF896" s="195">
        <f t="shared" si="269"/>
        <v>55.555555555555557</v>
      </c>
      <c r="BG896" s="373">
        <f t="shared" si="264"/>
        <v>8</v>
      </c>
    </row>
    <row r="897" spans="1:59" s="21" customFormat="1" ht="15.95" customHeight="1">
      <c r="A897" s="163">
        <v>42</v>
      </c>
      <c r="B897" s="9" t="s">
        <v>349</v>
      </c>
      <c r="C897" s="11" t="s">
        <v>350</v>
      </c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22">
        <f t="shared" si="265"/>
        <v>0</v>
      </c>
      <c r="AC897" s="25">
        <v>2</v>
      </c>
      <c r="AD897" s="24"/>
      <c r="AE897" s="24"/>
      <c r="AF897" s="24"/>
      <c r="AG897" s="24"/>
      <c r="AH897" s="24"/>
      <c r="AI897" s="24"/>
      <c r="AJ897" s="24"/>
      <c r="AK897" s="24"/>
      <c r="AL897" s="24">
        <v>19</v>
      </c>
      <c r="AM897" s="24"/>
      <c r="AN897" s="24"/>
      <c r="AO897" s="24"/>
      <c r="AP897" s="24">
        <v>7</v>
      </c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2">
        <f t="shared" si="266"/>
        <v>26</v>
      </c>
      <c r="BC897" s="23">
        <v>128</v>
      </c>
      <c r="BD897" s="130">
        <f t="shared" si="267"/>
        <v>26</v>
      </c>
      <c r="BE897" s="130">
        <f t="shared" si="268"/>
        <v>130</v>
      </c>
      <c r="BF897" s="195">
        <f t="shared" si="269"/>
        <v>20</v>
      </c>
      <c r="BG897" s="373">
        <f t="shared" si="264"/>
        <v>104</v>
      </c>
    </row>
    <row r="898" spans="1:59" s="21" customFormat="1" ht="15.95" customHeight="1">
      <c r="A898" s="163">
        <v>43</v>
      </c>
      <c r="B898" s="9" t="s">
        <v>546</v>
      </c>
      <c r="C898" s="11" t="s">
        <v>547</v>
      </c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22">
        <f t="shared" si="265"/>
        <v>0</v>
      </c>
      <c r="AC898" s="25">
        <v>0</v>
      </c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2">
        <f t="shared" si="266"/>
        <v>0</v>
      </c>
      <c r="BC898" s="23">
        <v>2</v>
      </c>
      <c r="BD898" s="130">
        <f t="shared" si="267"/>
        <v>0</v>
      </c>
      <c r="BE898" s="130">
        <f t="shared" si="268"/>
        <v>2</v>
      </c>
      <c r="BF898" s="195">
        <f t="shared" si="269"/>
        <v>0</v>
      </c>
      <c r="BG898" s="373">
        <f t="shared" si="264"/>
        <v>2</v>
      </c>
    </row>
    <row r="899" spans="1:59" s="21" customFormat="1" ht="15.95" customHeight="1">
      <c r="A899" s="163">
        <v>44</v>
      </c>
      <c r="B899" s="9" t="s">
        <v>3796</v>
      </c>
      <c r="C899" s="11" t="s">
        <v>3797</v>
      </c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22">
        <f t="shared" si="265"/>
        <v>0</v>
      </c>
      <c r="AC899" s="25">
        <v>0</v>
      </c>
      <c r="AD899" s="24"/>
      <c r="AE899" s="24"/>
      <c r="AF899" s="24"/>
      <c r="AG899" s="24"/>
      <c r="AH899" s="24">
        <v>2</v>
      </c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2">
        <f t="shared" si="266"/>
        <v>2</v>
      </c>
      <c r="BC899" s="23">
        <v>0</v>
      </c>
      <c r="BD899" s="130">
        <f t="shared" si="267"/>
        <v>2</v>
      </c>
      <c r="BE899" s="130">
        <f t="shared" si="268"/>
        <v>0</v>
      </c>
      <c r="BF899" s="195" t="e">
        <f t="shared" si="269"/>
        <v>#DIV/0!</v>
      </c>
      <c r="BG899" s="373"/>
    </row>
    <row r="900" spans="1:59" s="21" customFormat="1" ht="15.95" customHeight="1">
      <c r="A900" s="163">
        <v>45</v>
      </c>
      <c r="B900" s="9" t="s">
        <v>2457</v>
      </c>
      <c r="C900" s="11" t="s">
        <v>2458</v>
      </c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22">
        <f t="shared" si="265"/>
        <v>0</v>
      </c>
      <c r="AC900" s="25">
        <v>0</v>
      </c>
      <c r="AD900" s="24"/>
      <c r="AE900" s="24"/>
      <c r="AF900" s="24"/>
      <c r="AG900" s="24"/>
      <c r="AH900" s="24"/>
      <c r="AI900" s="24"/>
      <c r="AJ900" s="24"/>
      <c r="AK900" s="24"/>
      <c r="AL900" s="24">
        <v>1</v>
      </c>
      <c r="AM900" s="24"/>
      <c r="AN900" s="24"/>
      <c r="AO900" s="24"/>
      <c r="AP900" s="24">
        <v>1</v>
      </c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2">
        <f t="shared" si="266"/>
        <v>2</v>
      </c>
      <c r="BC900" s="23">
        <v>3</v>
      </c>
      <c r="BD900" s="130">
        <f t="shared" si="267"/>
        <v>2</v>
      </c>
      <c r="BE900" s="130">
        <f t="shared" si="268"/>
        <v>3</v>
      </c>
      <c r="BF900" s="195">
        <f t="shared" si="269"/>
        <v>66.666666666666657</v>
      </c>
      <c r="BG900" s="373">
        <f t="shared" ref="BG900:BG909" si="270">BE900-BD900</f>
        <v>1</v>
      </c>
    </row>
    <row r="901" spans="1:59" s="21" customFormat="1" ht="15.95" customHeight="1">
      <c r="A901" s="163">
        <v>46</v>
      </c>
      <c r="B901" s="9" t="s">
        <v>1933</v>
      </c>
      <c r="C901" s="11" t="s">
        <v>1934</v>
      </c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22">
        <f t="shared" si="265"/>
        <v>0</v>
      </c>
      <c r="AC901" s="25">
        <v>0</v>
      </c>
      <c r="AD901" s="24"/>
      <c r="AE901" s="24"/>
      <c r="AF901" s="24"/>
      <c r="AG901" s="24"/>
      <c r="AH901" s="24"/>
      <c r="AI901" s="24"/>
      <c r="AJ901" s="24"/>
      <c r="AK901" s="24"/>
      <c r="AL901" s="24">
        <v>1</v>
      </c>
      <c r="AM901" s="24"/>
      <c r="AN901" s="24"/>
      <c r="AO901" s="24"/>
      <c r="AP901" s="24">
        <v>1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2">
        <f t="shared" si="266"/>
        <v>2</v>
      </c>
      <c r="BC901" s="23">
        <v>2</v>
      </c>
      <c r="BD901" s="130">
        <f t="shared" si="267"/>
        <v>2</v>
      </c>
      <c r="BE901" s="130">
        <f t="shared" si="268"/>
        <v>2</v>
      </c>
      <c r="BF901" s="195">
        <f t="shared" si="269"/>
        <v>100</v>
      </c>
      <c r="BG901" s="373">
        <f t="shared" si="270"/>
        <v>0</v>
      </c>
    </row>
    <row r="902" spans="1:59" s="21" customFormat="1" ht="15.95" customHeight="1">
      <c r="A902" s="163">
        <v>47</v>
      </c>
      <c r="B902" s="9" t="s">
        <v>2328</v>
      </c>
      <c r="C902" s="11" t="s">
        <v>2329</v>
      </c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22">
        <f t="shared" si="265"/>
        <v>0</v>
      </c>
      <c r="AC902" s="25">
        <v>0</v>
      </c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2">
        <f t="shared" si="266"/>
        <v>0</v>
      </c>
      <c r="BC902" s="23">
        <v>1</v>
      </c>
      <c r="BD902" s="130">
        <f t="shared" si="267"/>
        <v>0</v>
      </c>
      <c r="BE902" s="130">
        <f t="shared" si="268"/>
        <v>1</v>
      </c>
      <c r="BF902" s="195">
        <f t="shared" si="269"/>
        <v>0</v>
      </c>
      <c r="BG902" s="373">
        <f t="shared" si="270"/>
        <v>1</v>
      </c>
    </row>
    <row r="903" spans="1:59" s="21" customFormat="1" ht="15.95" customHeight="1">
      <c r="A903" s="163">
        <v>48</v>
      </c>
      <c r="B903" s="9" t="s">
        <v>3278</v>
      </c>
      <c r="C903" s="11" t="s">
        <v>3279</v>
      </c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22">
        <f t="shared" si="265"/>
        <v>0</v>
      </c>
      <c r="AC903" s="25">
        <v>0</v>
      </c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2">
        <f t="shared" si="266"/>
        <v>0</v>
      </c>
      <c r="BC903" s="23">
        <v>1</v>
      </c>
      <c r="BD903" s="130">
        <f t="shared" si="267"/>
        <v>0</v>
      </c>
      <c r="BE903" s="130">
        <f t="shared" si="268"/>
        <v>1</v>
      </c>
      <c r="BF903" s="195">
        <f t="shared" si="269"/>
        <v>0</v>
      </c>
      <c r="BG903" s="373">
        <f t="shared" si="270"/>
        <v>1</v>
      </c>
    </row>
    <row r="904" spans="1:59" s="21" customFormat="1" ht="15.95" customHeight="1">
      <c r="A904" s="163">
        <v>49</v>
      </c>
      <c r="B904" s="9" t="s">
        <v>3280</v>
      </c>
      <c r="C904" s="11" t="s">
        <v>3281</v>
      </c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22">
        <f t="shared" si="265"/>
        <v>0</v>
      </c>
      <c r="AC904" s="25">
        <v>0</v>
      </c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2">
        <f t="shared" si="266"/>
        <v>0</v>
      </c>
      <c r="BC904" s="23">
        <v>1</v>
      </c>
      <c r="BD904" s="130">
        <f t="shared" si="267"/>
        <v>0</v>
      </c>
      <c r="BE904" s="130">
        <f t="shared" si="268"/>
        <v>1</v>
      </c>
      <c r="BF904" s="195">
        <f t="shared" si="269"/>
        <v>0</v>
      </c>
      <c r="BG904" s="373">
        <f t="shared" si="270"/>
        <v>1</v>
      </c>
    </row>
    <row r="905" spans="1:59" s="21" customFormat="1" ht="15.95" customHeight="1">
      <c r="A905" s="163">
        <v>50</v>
      </c>
      <c r="B905" s="9" t="s">
        <v>548</v>
      </c>
      <c r="C905" s="10" t="s">
        <v>549</v>
      </c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22">
        <f t="shared" si="265"/>
        <v>0</v>
      </c>
      <c r="AC905" s="25">
        <v>0</v>
      </c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>
        <v>1</v>
      </c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2">
        <f t="shared" si="266"/>
        <v>1</v>
      </c>
      <c r="BC905" s="23">
        <v>8</v>
      </c>
      <c r="BD905" s="130">
        <f t="shared" si="267"/>
        <v>1</v>
      </c>
      <c r="BE905" s="130">
        <f t="shared" si="268"/>
        <v>8</v>
      </c>
      <c r="BF905" s="195">
        <f t="shared" si="269"/>
        <v>12.5</v>
      </c>
      <c r="BG905" s="373">
        <f t="shared" si="270"/>
        <v>7</v>
      </c>
    </row>
    <row r="906" spans="1:59" s="21" customFormat="1" ht="15.95" customHeight="1">
      <c r="A906" s="163">
        <v>51</v>
      </c>
      <c r="B906" s="9" t="s">
        <v>1935</v>
      </c>
      <c r="C906" s="10" t="s">
        <v>1936</v>
      </c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22">
        <f t="shared" si="265"/>
        <v>0</v>
      </c>
      <c r="AC906" s="25">
        <v>0</v>
      </c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>
        <v>2</v>
      </c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2">
        <f t="shared" si="266"/>
        <v>2</v>
      </c>
      <c r="BC906" s="23">
        <v>2</v>
      </c>
      <c r="BD906" s="130">
        <f t="shared" si="267"/>
        <v>2</v>
      </c>
      <c r="BE906" s="130">
        <f t="shared" si="268"/>
        <v>2</v>
      </c>
      <c r="BF906" s="195">
        <f t="shared" si="269"/>
        <v>100</v>
      </c>
      <c r="BG906" s="373">
        <f t="shared" si="270"/>
        <v>0</v>
      </c>
    </row>
    <row r="907" spans="1:59" s="21" customFormat="1" ht="15.95" customHeight="1">
      <c r="A907" s="163">
        <v>52</v>
      </c>
      <c r="B907" s="9" t="s">
        <v>550</v>
      </c>
      <c r="C907" s="10" t="s">
        <v>551</v>
      </c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22">
        <f t="shared" si="265"/>
        <v>0</v>
      </c>
      <c r="AC907" s="25">
        <v>0</v>
      </c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>
        <v>4</v>
      </c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2">
        <f t="shared" si="266"/>
        <v>4</v>
      </c>
      <c r="BC907" s="23">
        <v>2</v>
      </c>
      <c r="BD907" s="130">
        <f t="shared" si="267"/>
        <v>4</v>
      </c>
      <c r="BE907" s="130">
        <f t="shared" si="268"/>
        <v>2</v>
      </c>
      <c r="BF907" s="195">
        <f t="shared" si="269"/>
        <v>200</v>
      </c>
      <c r="BG907" s="373">
        <f t="shared" si="270"/>
        <v>-2</v>
      </c>
    </row>
    <row r="908" spans="1:59" s="21" customFormat="1" ht="15.95" customHeight="1">
      <c r="A908" s="163">
        <v>53</v>
      </c>
      <c r="B908" s="9" t="s">
        <v>701</v>
      </c>
      <c r="C908" s="11" t="s">
        <v>702</v>
      </c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22">
        <f t="shared" si="265"/>
        <v>0</v>
      </c>
      <c r="AC908" s="25">
        <v>0</v>
      </c>
      <c r="AD908" s="24"/>
      <c r="AE908" s="24"/>
      <c r="AF908" s="24"/>
      <c r="AG908" s="24"/>
      <c r="AH908" s="24"/>
      <c r="AI908" s="24"/>
      <c r="AJ908" s="24"/>
      <c r="AK908" s="24"/>
      <c r="AL908" s="24">
        <v>2</v>
      </c>
      <c r="AM908" s="24"/>
      <c r="AN908" s="24"/>
      <c r="AO908" s="24"/>
      <c r="AP908" s="24">
        <v>1</v>
      </c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2">
        <f t="shared" si="266"/>
        <v>3</v>
      </c>
      <c r="BC908" s="23">
        <v>3</v>
      </c>
      <c r="BD908" s="130">
        <f t="shared" si="267"/>
        <v>3</v>
      </c>
      <c r="BE908" s="130">
        <f t="shared" si="268"/>
        <v>3</v>
      </c>
      <c r="BF908" s="195">
        <f t="shared" si="269"/>
        <v>100</v>
      </c>
      <c r="BG908" s="373">
        <f t="shared" si="270"/>
        <v>0</v>
      </c>
    </row>
    <row r="909" spans="1:59" s="21" customFormat="1" ht="15.95" customHeight="1">
      <c r="A909" s="163">
        <v>54</v>
      </c>
      <c r="B909" s="9" t="s">
        <v>3282</v>
      </c>
      <c r="C909" s="11" t="s">
        <v>3283</v>
      </c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22">
        <f t="shared" si="265"/>
        <v>0</v>
      </c>
      <c r="AC909" s="25">
        <v>0</v>
      </c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2">
        <f t="shared" si="266"/>
        <v>0</v>
      </c>
      <c r="BC909" s="23">
        <v>2</v>
      </c>
      <c r="BD909" s="130">
        <f t="shared" si="267"/>
        <v>0</v>
      </c>
      <c r="BE909" s="130">
        <f t="shared" si="268"/>
        <v>2</v>
      </c>
      <c r="BF909" s="195">
        <f t="shared" si="269"/>
        <v>0</v>
      </c>
      <c r="BG909" s="373">
        <f t="shared" si="270"/>
        <v>2</v>
      </c>
    </row>
    <row r="910" spans="1:59" s="21" customFormat="1" ht="15.95" customHeight="1">
      <c r="A910" s="163">
        <v>55</v>
      </c>
      <c r="B910" s="9" t="s">
        <v>4129</v>
      </c>
      <c r="C910" s="11" t="s">
        <v>4130</v>
      </c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22">
        <f t="shared" si="265"/>
        <v>0</v>
      </c>
      <c r="AC910" s="25">
        <v>0</v>
      </c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>
        <v>1</v>
      </c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2">
        <f t="shared" si="266"/>
        <v>1</v>
      </c>
      <c r="BC910" s="23">
        <v>0</v>
      </c>
      <c r="BD910" s="130">
        <f t="shared" si="267"/>
        <v>1</v>
      </c>
      <c r="BE910" s="130">
        <f t="shared" si="268"/>
        <v>0</v>
      </c>
      <c r="BF910" s="195" t="e">
        <f t="shared" si="269"/>
        <v>#DIV/0!</v>
      </c>
      <c r="BG910" s="373"/>
    </row>
    <row r="911" spans="1:59" s="21" customFormat="1" ht="15.95" customHeight="1">
      <c r="A911" s="163">
        <v>56</v>
      </c>
      <c r="B911" s="9" t="s">
        <v>2865</v>
      </c>
      <c r="C911" s="11" t="s">
        <v>2866</v>
      </c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22">
        <f t="shared" si="265"/>
        <v>0</v>
      </c>
      <c r="AC911" s="25">
        <v>0</v>
      </c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>
        <v>1</v>
      </c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2">
        <f t="shared" si="266"/>
        <v>1</v>
      </c>
      <c r="BC911" s="23">
        <v>1</v>
      </c>
      <c r="BD911" s="130">
        <f t="shared" si="267"/>
        <v>1</v>
      </c>
      <c r="BE911" s="130">
        <f t="shared" si="268"/>
        <v>1</v>
      </c>
      <c r="BF911" s="195">
        <f t="shared" si="269"/>
        <v>100</v>
      </c>
      <c r="BG911" s="373">
        <f>BE911-BD911</f>
        <v>0</v>
      </c>
    </row>
    <row r="912" spans="1:59" s="21" customFormat="1" ht="15.95" customHeight="1">
      <c r="A912" s="163">
        <v>57</v>
      </c>
      <c r="B912" s="9" t="s">
        <v>3284</v>
      </c>
      <c r="C912" s="11" t="s">
        <v>3285</v>
      </c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22">
        <f t="shared" si="265"/>
        <v>0</v>
      </c>
      <c r="AC912" s="25">
        <v>0</v>
      </c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2">
        <f t="shared" si="266"/>
        <v>0</v>
      </c>
      <c r="BC912" s="23">
        <v>2</v>
      </c>
      <c r="BD912" s="130">
        <f t="shared" si="267"/>
        <v>0</v>
      </c>
      <c r="BE912" s="130">
        <f t="shared" si="268"/>
        <v>2</v>
      </c>
      <c r="BF912" s="195">
        <f t="shared" si="269"/>
        <v>0</v>
      </c>
      <c r="BG912" s="373">
        <f>BE912-BD912</f>
        <v>2</v>
      </c>
    </row>
    <row r="913" spans="1:59" s="21" customFormat="1" ht="15.95" customHeight="1">
      <c r="A913" s="163">
        <v>58</v>
      </c>
      <c r="B913" s="9" t="s">
        <v>3340</v>
      </c>
      <c r="C913" s="11" t="s">
        <v>3341</v>
      </c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22">
        <f t="shared" si="265"/>
        <v>0</v>
      </c>
      <c r="AC913" s="25">
        <v>0</v>
      </c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>
        <v>3</v>
      </c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2">
        <f t="shared" si="266"/>
        <v>3</v>
      </c>
      <c r="BC913" s="23">
        <v>2</v>
      </c>
      <c r="BD913" s="130">
        <f t="shared" si="267"/>
        <v>3</v>
      </c>
      <c r="BE913" s="130">
        <f t="shared" si="268"/>
        <v>2</v>
      </c>
      <c r="BF913" s="195">
        <f t="shared" si="269"/>
        <v>150</v>
      </c>
      <c r="BG913" s="373">
        <f>BE913-BD913</f>
        <v>-1</v>
      </c>
    </row>
    <row r="914" spans="1:59" s="21" customFormat="1" ht="15.95" customHeight="1">
      <c r="A914" s="163">
        <v>59</v>
      </c>
      <c r="B914" s="9" t="s">
        <v>703</v>
      </c>
      <c r="C914" s="11" t="s">
        <v>704</v>
      </c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22">
        <f t="shared" si="265"/>
        <v>0</v>
      </c>
      <c r="AC914" s="25">
        <v>0</v>
      </c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2">
        <f t="shared" si="266"/>
        <v>0</v>
      </c>
      <c r="BC914" s="23">
        <v>1</v>
      </c>
      <c r="BD914" s="130">
        <f t="shared" si="267"/>
        <v>0</v>
      </c>
      <c r="BE914" s="130">
        <f t="shared" si="268"/>
        <v>1</v>
      </c>
      <c r="BF914" s="195">
        <f t="shared" si="269"/>
        <v>0</v>
      </c>
      <c r="BG914" s="373">
        <f>BE914-BD914</f>
        <v>1</v>
      </c>
    </row>
    <row r="915" spans="1:59" s="21" customFormat="1" ht="15.95" customHeight="1">
      <c r="A915" s="163">
        <v>60</v>
      </c>
      <c r="B915" s="9" t="s">
        <v>705</v>
      </c>
      <c r="C915" s="11" t="s">
        <v>706</v>
      </c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22">
        <f t="shared" si="265"/>
        <v>0</v>
      </c>
      <c r="AC915" s="25">
        <v>0</v>
      </c>
      <c r="AD915" s="24"/>
      <c r="AE915" s="24"/>
      <c r="AF915" s="24"/>
      <c r="AG915" s="24"/>
      <c r="AH915" s="24"/>
      <c r="AI915" s="24"/>
      <c r="AJ915" s="24"/>
      <c r="AK915" s="24"/>
      <c r="AL915" s="24">
        <v>2</v>
      </c>
      <c r="AM915" s="24"/>
      <c r="AN915" s="24"/>
      <c r="AO915" s="24"/>
      <c r="AP915" s="24">
        <v>2</v>
      </c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2">
        <f t="shared" si="266"/>
        <v>4</v>
      </c>
      <c r="BC915" s="23">
        <v>2</v>
      </c>
      <c r="BD915" s="130">
        <f t="shared" si="267"/>
        <v>4</v>
      </c>
      <c r="BE915" s="130">
        <f t="shared" si="268"/>
        <v>2</v>
      </c>
      <c r="BF915" s="195">
        <f t="shared" si="269"/>
        <v>200</v>
      </c>
      <c r="BG915" s="373">
        <f>BE915-BD915</f>
        <v>-2</v>
      </c>
    </row>
    <row r="916" spans="1:59" s="21" customFormat="1" ht="15.95" customHeight="1">
      <c r="A916" s="163">
        <v>61</v>
      </c>
      <c r="B916" s="9" t="s">
        <v>3955</v>
      </c>
      <c r="C916" s="11" t="s">
        <v>3956</v>
      </c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22">
        <f t="shared" si="265"/>
        <v>0</v>
      </c>
      <c r="AC916" s="25">
        <v>0</v>
      </c>
      <c r="AD916" s="24"/>
      <c r="AE916" s="24"/>
      <c r="AF916" s="24"/>
      <c r="AG916" s="24"/>
      <c r="AH916" s="24"/>
      <c r="AI916" s="24"/>
      <c r="AJ916" s="24"/>
      <c r="AK916" s="24"/>
      <c r="AL916" s="24">
        <v>2</v>
      </c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2">
        <f t="shared" si="266"/>
        <v>2</v>
      </c>
      <c r="BC916" s="23">
        <v>0</v>
      </c>
      <c r="BD916" s="130">
        <f t="shared" si="267"/>
        <v>2</v>
      </c>
      <c r="BE916" s="130">
        <f t="shared" si="268"/>
        <v>0</v>
      </c>
      <c r="BF916" s="195" t="e">
        <f t="shared" si="269"/>
        <v>#DIV/0!</v>
      </c>
      <c r="BG916" s="373"/>
    </row>
    <row r="917" spans="1:59" s="21" customFormat="1" ht="15.95" customHeight="1">
      <c r="A917" s="163">
        <v>62</v>
      </c>
      <c r="B917" s="9" t="s">
        <v>3113</v>
      </c>
      <c r="C917" s="11" t="s">
        <v>3114</v>
      </c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22">
        <f t="shared" si="265"/>
        <v>0</v>
      </c>
      <c r="AC917" s="25">
        <v>0</v>
      </c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2">
        <f t="shared" si="266"/>
        <v>0</v>
      </c>
      <c r="BC917" s="23">
        <v>3</v>
      </c>
      <c r="BD917" s="130">
        <f t="shared" si="267"/>
        <v>0</v>
      </c>
      <c r="BE917" s="130">
        <f t="shared" si="268"/>
        <v>3</v>
      </c>
      <c r="BF917" s="195">
        <f t="shared" si="269"/>
        <v>0</v>
      </c>
      <c r="BG917" s="373">
        <f t="shared" ref="BG917:BG934" si="271">BE917-BD917</f>
        <v>3</v>
      </c>
    </row>
    <row r="918" spans="1:59" s="21" customFormat="1" ht="15.95" customHeight="1">
      <c r="A918" s="163">
        <v>63</v>
      </c>
      <c r="B918" s="9" t="s">
        <v>707</v>
      </c>
      <c r="C918" s="11" t="s">
        <v>708</v>
      </c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22">
        <f t="shared" si="265"/>
        <v>0</v>
      </c>
      <c r="AC918" s="25">
        <v>0</v>
      </c>
      <c r="AD918" s="24"/>
      <c r="AE918" s="24"/>
      <c r="AF918" s="24"/>
      <c r="AG918" s="24"/>
      <c r="AH918" s="24"/>
      <c r="AI918" s="24"/>
      <c r="AJ918" s="24"/>
      <c r="AK918" s="24"/>
      <c r="AL918" s="24">
        <v>2</v>
      </c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2">
        <f t="shared" si="266"/>
        <v>2</v>
      </c>
      <c r="BC918" s="23">
        <v>1</v>
      </c>
      <c r="BD918" s="130">
        <f t="shared" si="267"/>
        <v>2</v>
      </c>
      <c r="BE918" s="130">
        <f t="shared" si="268"/>
        <v>1</v>
      </c>
      <c r="BF918" s="195">
        <f t="shared" si="269"/>
        <v>200</v>
      </c>
      <c r="BG918" s="373">
        <f t="shared" si="271"/>
        <v>-1</v>
      </c>
    </row>
    <row r="919" spans="1:59" s="21" customFormat="1" ht="15.95" customHeight="1">
      <c r="A919" s="163">
        <v>64</v>
      </c>
      <c r="B919" s="9" t="s">
        <v>2459</v>
      </c>
      <c r="C919" s="11" t="s">
        <v>2460</v>
      </c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22">
        <f t="shared" si="265"/>
        <v>0</v>
      </c>
      <c r="AC919" s="25">
        <v>0</v>
      </c>
      <c r="AD919" s="24"/>
      <c r="AE919" s="24"/>
      <c r="AF919" s="24"/>
      <c r="AG919" s="24"/>
      <c r="AH919" s="24"/>
      <c r="AI919" s="24"/>
      <c r="AJ919" s="24"/>
      <c r="AK919" s="24"/>
      <c r="AL919" s="24">
        <f>1+2</f>
        <v>3</v>
      </c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2">
        <f t="shared" si="266"/>
        <v>3</v>
      </c>
      <c r="BC919" s="23">
        <v>11</v>
      </c>
      <c r="BD919" s="130">
        <f t="shared" si="267"/>
        <v>3</v>
      </c>
      <c r="BE919" s="130">
        <f t="shared" si="268"/>
        <v>11</v>
      </c>
      <c r="BF919" s="195">
        <f t="shared" si="269"/>
        <v>27.27272727272727</v>
      </c>
      <c r="BG919" s="373">
        <f t="shared" si="271"/>
        <v>8</v>
      </c>
    </row>
    <row r="920" spans="1:59" s="21" customFormat="1" ht="15.95" customHeight="1">
      <c r="A920" s="163">
        <v>65</v>
      </c>
      <c r="B920" s="9" t="s">
        <v>2980</v>
      </c>
      <c r="C920" s="11" t="s">
        <v>2981</v>
      </c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22">
        <f t="shared" ref="AB920:AB951" si="272">SUM(D920:AA920)</f>
        <v>0</v>
      </c>
      <c r="AC920" s="25">
        <v>0</v>
      </c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2">
        <f t="shared" ref="BB920:BB951" si="273">SUM(AD920:BA920)</f>
        <v>0</v>
      </c>
      <c r="BC920" s="23">
        <v>1</v>
      </c>
      <c r="BD920" s="130">
        <f t="shared" ref="BD920:BD951" si="274">AB920+BB920</f>
        <v>0</v>
      </c>
      <c r="BE920" s="130">
        <f t="shared" ref="BE920:BE951" si="275">AC920+BC920</f>
        <v>1</v>
      </c>
      <c r="BF920" s="195">
        <f t="shared" ref="BF920:BF951" si="276">BD920/BE920*100</f>
        <v>0</v>
      </c>
      <c r="BG920" s="373">
        <f t="shared" si="271"/>
        <v>1</v>
      </c>
    </row>
    <row r="921" spans="1:59" s="21" customFormat="1" ht="15.95" customHeight="1">
      <c r="A921" s="163">
        <v>66</v>
      </c>
      <c r="B921" s="9" t="s">
        <v>553</v>
      </c>
      <c r="C921" s="11" t="s">
        <v>554</v>
      </c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22">
        <f t="shared" si="272"/>
        <v>0</v>
      </c>
      <c r="AC921" s="25">
        <v>0</v>
      </c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2">
        <f t="shared" si="273"/>
        <v>0</v>
      </c>
      <c r="BC921" s="23">
        <v>1</v>
      </c>
      <c r="BD921" s="130">
        <f t="shared" si="274"/>
        <v>0</v>
      </c>
      <c r="BE921" s="130">
        <f t="shared" si="275"/>
        <v>1</v>
      </c>
      <c r="BF921" s="195">
        <f t="shared" si="276"/>
        <v>0</v>
      </c>
      <c r="BG921" s="373">
        <f t="shared" si="271"/>
        <v>1</v>
      </c>
    </row>
    <row r="922" spans="1:59" s="21" customFormat="1" ht="15.95" customHeight="1">
      <c r="A922" s="163">
        <v>67</v>
      </c>
      <c r="B922" s="9" t="s">
        <v>555</v>
      </c>
      <c r="C922" s="11" t="s">
        <v>556</v>
      </c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22">
        <f t="shared" si="272"/>
        <v>0</v>
      </c>
      <c r="AC922" s="25">
        <v>0</v>
      </c>
      <c r="AD922" s="24"/>
      <c r="AE922" s="24"/>
      <c r="AF922" s="24"/>
      <c r="AG922" s="24"/>
      <c r="AH922" s="24"/>
      <c r="AI922" s="24"/>
      <c r="AJ922" s="24"/>
      <c r="AK922" s="24"/>
      <c r="AL922" s="24">
        <v>6</v>
      </c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2">
        <f t="shared" si="273"/>
        <v>6</v>
      </c>
      <c r="BC922" s="23">
        <v>10</v>
      </c>
      <c r="BD922" s="130">
        <f t="shared" si="274"/>
        <v>6</v>
      </c>
      <c r="BE922" s="130">
        <f t="shared" si="275"/>
        <v>10</v>
      </c>
      <c r="BF922" s="195">
        <f t="shared" si="276"/>
        <v>60</v>
      </c>
      <c r="BG922" s="373">
        <f t="shared" si="271"/>
        <v>4</v>
      </c>
    </row>
    <row r="923" spans="1:59" s="21" customFormat="1" ht="15.95" customHeight="1">
      <c r="A923" s="163">
        <v>68</v>
      </c>
      <c r="B923" s="9" t="s">
        <v>3286</v>
      </c>
      <c r="C923" s="11" t="s">
        <v>3287</v>
      </c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22">
        <f t="shared" si="272"/>
        <v>0</v>
      </c>
      <c r="AC923" s="25">
        <v>0</v>
      </c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2">
        <f t="shared" si="273"/>
        <v>0</v>
      </c>
      <c r="BC923" s="23">
        <v>2</v>
      </c>
      <c r="BD923" s="130">
        <f t="shared" si="274"/>
        <v>0</v>
      </c>
      <c r="BE923" s="130">
        <f t="shared" si="275"/>
        <v>2</v>
      </c>
      <c r="BF923" s="195">
        <f t="shared" si="276"/>
        <v>0</v>
      </c>
      <c r="BG923" s="373">
        <f t="shared" si="271"/>
        <v>2</v>
      </c>
    </row>
    <row r="924" spans="1:59" s="21" customFormat="1" ht="15.95" customHeight="1">
      <c r="A924" s="163">
        <v>69</v>
      </c>
      <c r="B924" s="9" t="s">
        <v>557</v>
      </c>
      <c r="C924" s="11" t="s">
        <v>558</v>
      </c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22">
        <f t="shared" si="272"/>
        <v>0</v>
      </c>
      <c r="AC924" s="25">
        <v>0</v>
      </c>
      <c r="AD924" s="99"/>
      <c r="AE924" s="99"/>
      <c r="AF924" s="99"/>
      <c r="AG924" s="99"/>
      <c r="AH924" s="99">
        <v>3</v>
      </c>
      <c r="AI924" s="99"/>
      <c r="AJ924" s="99"/>
      <c r="AK924" s="99"/>
      <c r="AL924" s="99">
        <v>19</v>
      </c>
      <c r="AM924" s="99"/>
      <c r="AN924" s="99"/>
      <c r="AO924" s="99"/>
      <c r="AP924" s="99">
        <v>4</v>
      </c>
      <c r="AQ924" s="99"/>
      <c r="AR924" s="99"/>
      <c r="AS924" s="99"/>
      <c r="AT924" s="99"/>
      <c r="AU924" s="99"/>
      <c r="AV924" s="99"/>
      <c r="AW924" s="99"/>
      <c r="AX924" s="99"/>
      <c r="AY924" s="99"/>
      <c r="AZ924" s="99"/>
      <c r="BA924" s="99"/>
      <c r="BB924" s="22">
        <f t="shared" si="273"/>
        <v>26</v>
      </c>
      <c r="BC924" s="23">
        <v>154</v>
      </c>
      <c r="BD924" s="130">
        <f t="shared" si="274"/>
        <v>26</v>
      </c>
      <c r="BE924" s="130">
        <f t="shared" si="275"/>
        <v>154</v>
      </c>
      <c r="BF924" s="195">
        <f t="shared" si="276"/>
        <v>16.883116883116884</v>
      </c>
      <c r="BG924" s="373">
        <f t="shared" si="271"/>
        <v>128</v>
      </c>
    </row>
    <row r="925" spans="1:59" s="21" customFormat="1" ht="15.95" customHeight="1">
      <c r="A925" s="163">
        <v>70</v>
      </c>
      <c r="B925" s="9" t="s">
        <v>559</v>
      </c>
      <c r="C925" s="11" t="s">
        <v>560</v>
      </c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22">
        <f t="shared" si="272"/>
        <v>0</v>
      </c>
      <c r="AC925" s="25">
        <v>0</v>
      </c>
      <c r="AD925" s="99"/>
      <c r="AE925" s="99"/>
      <c r="AF925" s="99"/>
      <c r="AG925" s="99"/>
      <c r="AH925" s="99">
        <v>1</v>
      </c>
      <c r="AI925" s="99"/>
      <c r="AJ925" s="99"/>
      <c r="AK925" s="99"/>
      <c r="AL925" s="99">
        <v>4</v>
      </c>
      <c r="AM925" s="99"/>
      <c r="AN925" s="99"/>
      <c r="AO925" s="99"/>
      <c r="AP925" s="99"/>
      <c r="AQ925" s="99"/>
      <c r="AR925" s="99"/>
      <c r="AS925" s="99"/>
      <c r="AT925" s="99"/>
      <c r="AU925" s="99"/>
      <c r="AV925" s="99"/>
      <c r="AW925" s="99"/>
      <c r="AX925" s="99"/>
      <c r="AY925" s="99"/>
      <c r="AZ925" s="99"/>
      <c r="BA925" s="99"/>
      <c r="BB925" s="22">
        <f t="shared" si="273"/>
        <v>5</v>
      </c>
      <c r="BC925" s="23">
        <v>29</v>
      </c>
      <c r="BD925" s="130">
        <f t="shared" si="274"/>
        <v>5</v>
      </c>
      <c r="BE925" s="130">
        <f t="shared" si="275"/>
        <v>29</v>
      </c>
      <c r="BF925" s="195">
        <f t="shared" si="276"/>
        <v>17.241379310344829</v>
      </c>
      <c r="BG925" s="373">
        <f t="shared" si="271"/>
        <v>24</v>
      </c>
    </row>
    <row r="926" spans="1:59" s="21" customFormat="1" ht="15.95" customHeight="1">
      <c r="A926" s="163">
        <v>71</v>
      </c>
      <c r="B926" s="9" t="s">
        <v>562</v>
      </c>
      <c r="C926" s="11" t="s">
        <v>563</v>
      </c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22">
        <f t="shared" si="272"/>
        <v>0</v>
      </c>
      <c r="AC926" s="25">
        <v>0</v>
      </c>
      <c r="AD926" s="24"/>
      <c r="AE926" s="24"/>
      <c r="AF926" s="24"/>
      <c r="AG926" s="24"/>
      <c r="AH926" s="24"/>
      <c r="AI926" s="24"/>
      <c r="AJ926" s="24"/>
      <c r="AK926" s="24"/>
      <c r="AL926" s="24">
        <v>1</v>
      </c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2">
        <f t="shared" si="273"/>
        <v>1</v>
      </c>
      <c r="BC926" s="23">
        <v>19</v>
      </c>
      <c r="BD926" s="130">
        <f t="shared" si="274"/>
        <v>1</v>
      </c>
      <c r="BE926" s="130">
        <f t="shared" si="275"/>
        <v>19</v>
      </c>
      <c r="BF926" s="195">
        <f t="shared" si="276"/>
        <v>5.2631578947368416</v>
      </c>
      <c r="BG926" s="373">
        <f t="shared" si="271"/>
        <v>18</v>
      </c>
    </row>
    <row r="927" spans="1:59" s="21" customFormat="1" ht="15.95" customHeight="1">
      <c r="A927" s="163">
        <v>72</v>
      </c>
      <c r="B927" s="9" t="s">
        <v>2867</v>
      </c>
      <c r="C927" s="11" t="s">
        <v>2868</v>
      </c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22">
        <f t="shared" si="272"/>
        <v>0</v>
      </c>
      <c r="AC927" s="25">
        <v>0</v>
      </c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2">
        <f t="shared" si="273"/>
        <v>0</v>
      </c>
      <c r="BC927" s="23">
        <v>1</v>
      </c>
      <c r="BD927" s="130">
        <f t="shared" si="274"/>
        <v>0</v>
      </c>
      <c r="BE927" s="130">
        <f t="shared" si="275"/>
        <v>1</v>
      </c>
      <c r="BF927" s="195">
        <f t="shared" si="276"/>
        <v>0</v>
      </c>
      <c r="BG927" s="373">
        <f t="shared" si="271"/>
        <v>1</v>
      </c>
    </row>
    <row r="928" spans="1:59" s="21" customFormat="1" ht="15.95" customHeight="1">
      <c r="A928" s="163">
        <v>73</v>
      </c>
      <c r="B928" s="9" t="s">
        <v>566</v>
      </c>
      <c r="C928" s="11" t="s">
        <v>567</v>
      </c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22">
        <f t="shared" si="272"/>
        <v>0</v>
      </c>
      <c r="AC928" s="25">
        <v>0</v>
      </c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2">
        <f t="shared" si="273"/>
        <v>0</v>
      </c>
      <c r="BC928" s="23">
        <v>2</v>
      </c>
      <c r="BD928" s="130">
        <f t="shared" si="274"/>
        <v>0</v>
      </c>
      <c r="BE928" s="130">
        <f t="shared" si="275"/>
        <v>2</v>
      </c>
      <c r="BF928" s="195">
        <f t="shared" si="276"/>
        <v>0</v>
      </c>
      <c r="BG928" s="373">
        <f t="shared" si="271"/>
        <v>2</v>
      </c>
    </row>
    <row r="929" spans="1:59" s="21" customFormat="1" ht="15.95" customHeight="1">
      <c r="A929" s="163">
        <v>74</v>
      </c>
      <c r="B929" s="9" t="s">
        <v>568</v>
      </c>
      <c r="C929" s="11" t="s">
        <v>569</v>
      </c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22">
        <f t="shared" si="272"/>
        <v>0</v>
      </c>
      <c r="AC929" s="25">
        <v>0</v>
      </c>
      <c r="AD929" s="24"/>
      <c r="AE929" s="24"/>
      <c r="AF929" s="24"/>
      <c r="AG929" s="24"/>
      <c r="AH929" s="24"/>
      <c r="AI929" s="24"/>
      <c r="AJ929" s="24"/>
      <c r="AK929" s="24"/>
      <c r="AL929" s="24">
        <v>6</v>
      </c>
      <c r="AM929" s="24"/>
      <c r="AN929" s="24"/>
      <c r="AO929" s="24"/>
      <c r="AP929" s="24">
        <v>3</v>
      </c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2">
        <f t="shared" si="273"/>
        <v>9</v>
      </c>
      <c r="BC929" s="23">
        <v>12</v>
      </c>
      <c r="BD929" s="130">
        <f t="shared" si="274"/>
        <v>9</v>
      </c>
      <c r="BE929" s="130">
        <f t="shared" si="275"/>
        <v>12</v>
      </c>
      <c r="BF929" s="195">
        <f t="shared" si="276"/>
        <v>75</v>
      </c>
      <c r="BG929" s="373">
        <f t="shared" si="271"/>
        <v>3</v>
      </c>
    </row>
    <row r="930" spans="1:59" s="21" customFormat="1" ht="15.95" customHeight="1">
      <c r="A930" s="163">
        <v>75</v>
      </c>
      <c r="B930" s="9" t="s">
        <v>709</v>
      </c>
      <c r="C930" s="11" t="s">
        <v>710</v>
      </c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22">
        <f t="shared" si="272"/>
        <v>0</v>
      </c>
      <c r="AC930" s="25">
        <v>0</v>
      </c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>
        <v>1</v>
      </c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2">
        <f t="shared" si="273"/>
        <v>1</v>
      </c>
      <c r="BC930" s="23">
        <f>1+2</f>
        <v>3</v>
      </c>
      <c r="BD930" s="130">
        <f t="shared" si="274"/>
        <v>1</v>
      </c>
      <c r="BE930" s="130">
        <f t="shared" si="275"/>
        <v>3</v>
      </c>
      <c r="BF930" s="195">
        <f t="shared" si="276"/>
        <v>33.333333333333329</v>
      </c>
      <c r="BG930" s="373">
        <f t="shared" si="271"/>
        <v>2</v>
      </c>
    </row>
    <row r="931" spans="1:59" s="21" customFormat="1" ht="15.95" customHeight="1">
      <c r="A931" s="163">
        <v>76</v>
      </c>
      <c r="B931" s="9" t="s">
        <v>570</v>
      </c>
      <c r="C931" s="11" t="s">
        <v>571</v>
      </c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22">
        <f t="shared" si="272"/>
        <v>0</v>
      </c>
      <c r="AC931" s="25">
        <v>0</v>
      </c>
      <c r="AD931" s="24"/>
      <c r="AE931" s="24"/>
      <c r="AF931" s="24"/>
      <c r="AG931" s="24"/>
      <c r="AH931" s="24"/>
      <c r="AI931" s="24"/>
      <c r="AJ931" s="24"/>
      <c r="AK931" s="24"/>
      <c r="AL931" s="24">
        <v>1</v>
      </c>
      <c r="AM931" s="24"/>
      <c r="AN931" s="24"/>
      <c r="AO931" s="24"/>
      <c r="AP931" s="24">
        <v>2</v>
      </c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2">
        <f t="shared" si="273"/>
        <v>3</v>
      </c>
      <c r="BC931" s="23">
        <v>2</v>
      </c>
      <c r="BD931" s="130">
        <f t="shared" si="274"/>
        <v>3</v>
      </c>
      <c r="BE931" s="130">
        <f t="shared" si="275"/>
        <v>2</v>
      </c>
      <c r="BF931" s="195">
        <f t="shared" si="276"/>
        <v>150</v>
      </c>
      <c r="BG931" s="373">
        <f t="shared" si="271"/>
        <v>-1</v>
      </c>
    </row>
    <row r="932" spans="1:59" s="21" customFormat="1" ht="15.95" customHeight="1">
      <c r="A932" s="163">
        <v>77</v>
      </c>
      <c r="B932" s="9" t="s">
        <v>572</v>
      </c>
      <c r="C932" s="11" t="s">
        <v>573</v>
      </c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22">
        <f t="shared" si="272"/>
        <v>0</v>
      </c>
      <c r="AC932" s="25">
        <v>0</v>
      </c>
      <c r="AD932" s="24"/>
      <c r="AE932" s="24"/>
      <c r="AF932" s="24"/>
      <c r="AG932" s="24"/>
      <c r="AH932" s="24"/>
      <c r="AI932" s="24"/>
      <c r="AJ932" s="24"/>
      <c r="AK932" s="24"/>
      <c r="AL932" s="24">
        <v>2</v>
      </c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2">
        <f t="shared" si="273"/>
        <v>2</v>
      </c>
      <c r="BC932" s="23">
        <v>9</v>
      </c>
      <c r="BD932" s="130">
        <f t="shared" si="274"/>
        <v>2</v>
      </c>
      <c r="BE932" s="130">
        <f t="shared" si="275"/>
        <v>9</v>
      </c>
      <c r="BF932" s="195">
        <f t="shared" si="276"/>
        <v>22.222222222222221</v>
      </c>
      <c r="BG932" s="373">
        <f t="shared" si="271"/>
        <v>7</v>
      </c>
    </row>
    <row r="933" spans="1:59" s="21" customFormat="1" ht="15.95" customHeight="1">
      <c r="A933" s="163">
        <v>78</v>
      </c>
      <c r="B933" s="9" t="s">
        <v>574</v>
      </c>
      <c r="C933" s="11" t="s">
        <v>575</v>
      </c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22">
        <f t="shared" si="272"/>
        <v>0</v>
      </c>
      <c r="AC933" s="25">
        <v>0</v>
      </c>
      <c r="AD933" s="24"/>
      <c r="AE933" s="24"/>
      <c r="AF933" s="24"/>
      <c r="AG933" s="24"/>
      <c r="AH933" s="24">
        <v>9</v>
      </c>
      <c r="AI933" s="24"/>
      <c r="AJ933" s="24"/>
      <c r="AK933" s="24"/>
      <c r="AL933" s="24">
        <v>25</v>
      </c>
      <c r="AM933" s="24"/>
      <c r="AN933" s="24"/>
      <c r="AO933" s="24"/>
      <c r="AP933" s="24">
        <v>17</v>
      </c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2">
        <f t="shared" si="273"/>
        <v>51</v>
      </c>
      <c r="BC933" s="23">
        <v>90</v>
      </c>
      <c r="BD933" s="130">
        <f t="shared" si="274"/>
        <v>51</v>
      </c>
      <c r="BE933" s="130">
        <f t="shared" si="275"/>
        <v>90</v>
      </c>
      <c r="BF933" s="195">
        <f t="shared" si="276"/>
        <v>56.666666666666664</v>
      </c>
      <c r="BG933" s="373">
        <f t="shared" si="271"/>
        <v>39</v>
      </c>
    </row>
    <row r="934" spans="1:59" s="21" customFormat="1" ht="15.95" customHeight="1">
      <c r="A934" s="163">
        <v>79</v>
      </c>
      <c r="B934" s="9" t="s">
        <v>2982</v>
      </c>
      <c r="C934" s="11" t="s">
        <v>2983</v>
      </c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22">
        <f t="shared" si="272"/>
        <v>0</v>
      </c>
      <c r="AC934" s="25">
        <v>0</v>
      </c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2">
        <f t="shared" si="273"/>
        <v>0</v>
      </c>
      <c r="BC934" s="23">
        <v>1</v>
      </c>
      <c r="BD934" s="130">
        <f t="shared" si="274"/>
        <v>0</v>
      </c>
      <c r="BE934" s="130">
        <f t="shared" si="275"/>
        <v>1</v>
      </c>
      <c r="BF934" s="195">
        <f t="shared" si="276"/>
        <v>0</v>
      </c>
      <c r="BG934" s="373">
        <f t="shared" si="271"/>
        <v>1</v>
      </c>
    </row>
    <row r="935" spans="1:59" s="21" customFormat="1" ht="15.95" customHeight="1">
      <c r="A935" s="163">
        <v>80</v>
      </c>
      <c r="B935" s="9" t="s">
        <v>3918</v>
      </c>
      <c r="C935" s="11" t="s">
        <v>3919</v>
      </c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22">
        <f t="shared" si="272"/>
        <v>0</v>
      </c>
      <c r="AC935" s="25">
        <v>0</v>
      </c>
      <c r="AD935" s="24"/>
      <c r="AE935" s="24"/>
      <c r="AF935" s="24"/>
      <c r="AG935" s="24"/>
      <c r="AH935" s="24"/>
      <c r="AI935" s="24"/>
      <c r="AJ935" s="24"/>
      <c r="AK935" s="24"/>
      <c r="AL935" s="24">
        <v>2</v>
      </c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2">
        <f t="shared" si="273"/>
        <v>2</v>
      </c>
      <c r="BC935" s="23">
        <v>0</v>
      </c>
      <c r="BD935" s="130">
        <f t="shared" si="274"/>
        <v>2</v>
      </c>
      <c r="BE935" s="130">
        <f t="shared" si="275"/>
        <v>0</v>
      </c>
      <c r="BF935" s="195" t="e">
        <f t="shared" si="276"/>
        <v>#DIV/0!</v>
      </c>
      <c r="BG935" s="373"/>
    </row>
    <row r="936" spans="1:59" s="21" customFormat="1" ht="15.95" customHeight="1">
      <c r="A936" s="163">
        <v>81</v>
      </c>
      <c r="B936" s="9" t="s">
        <v>576</v>
      </c>
      <c r="C936" s="11" t="s">
        <v>577</v>
      </c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22">
        <f t="shared" si="272"/>
        <v>0</v>
      </c>
      <c r="AC936" s="25">
        <v>0</v>
      </c>
      <c r="AD936" s="24"/>
      <c r="AE936" s="24"/>
      <c r="AF936" s="24"/>
      <c r="AG936" s="24"/>
      <c r="AH936" s="24"/>
      <c r="AI936" s="24"/>
      <c r="AJ936" s="24"/>
      <c r="AK936" s="24"/>
      <c r="AL936" s="24">
        <v>2</v>
      </c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2">
        <f t="shared" si="273"/>
        <v>2</v>
      </c>
      <c r="BC936" s="23">
        <v>4</v>
      </c>
      <c r="BD936" s="130">
        <f t="shared" si="274"/>
        <v>2</v>
      </c>
      <c r="BE936" s="130">
        <f t="shared" si="275"/>
        <v>4</v>
      </c>
      <c r="BF936" s="195">
        <f t="shared" si="276"/>
        <v>50</v>
      </c>
      <c r="BG936" s="373">
        <f t="shared" ref="BG936:BG944" si="277">BE936-BD936</f>
        <v>2</v>
      </c>
    </row>
    <row r="937" spans="1:59" s="21" customFormat="1" ht="15.95" customHeight="1">
      <c r="A937" s="163">
        <v>82</v>
      </c>
      <c r="B937" s="9" t="s">
        <v>2782</v>
      </c>
      <c r="C937" s="11" t="s">
        <v>2783</v>
      </c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22">
        <f t="shared" si="272"/>
        <v>0</v>
      </c>
      <c r="AC937" s="25">
        <v>0</v>
      </c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>
        <v>1</v>
      </c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2">
        <f t="shared" si="273"/>
        <v>1</v>
      </c>
      <c r="BC937" s="23">
        <v>3</v>
      </c>
      <c r="BD937" s="130">
        <f t="shared" si="274"/>
        <v>1</v>
      </c>
      <c r="BE937" s="130">
        <f t="shared" si="275"/>
        <v>3</v>
      </c>
      <c r="BF937" s="195">
        <f t="shared" si="276"/>
        <v>33.333333333333329</v>
      </c>
      <c r="BG937" s="373">
        <f t="shared" si="277"/>
        <v>2</v>
      </c>
    </row>
    <row r="938" spans="1:59" s="21" customFormat="1" ht="15.95" customHeight="1">
      <c r="A938" s="163">
        <v>83</v>
      </c>
      <c r="B938" s="9" t="s">
        <v>8</v>
      </c>
      <c r="C938" s="11" t="s">
        <v>9</v>
      </c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22">
        <f t="shared" si="272"/>
        <v>0</v>
      </c>
      <c r="AC938" s="25">
        <v>0</v>
      </c>
      <c r="AD938" s="24"/>
      <c r="AE938" s="24"/>
      <c r="AF938" s="24"/>
      <c r="AG938" s="24"/>
      <c r="AH938" s="24">
        <v>4</v>
      </c>
      <c r="AI938" s="24"/>
      <c r="AJ938" s="24"/>
      <c r="AK938" s="24"/>
      <c r="AL938" s="24">
        <v>3</v>
      </c>
      <c r="AM938" s="24"/>
      <c r="AN938" s="24"/>
      <c r="AO938" s="24"/>
      <c r="AP938" s="24">
        <v>8</v>
      </c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2">
        <f t="shared" si="273"/>
        <v>15</v>
      </c>
      <c r="BC938" s="23">
        <v>7</v>
      </c>
      <c r="BD938" s="130">
        <f t="shared" si="274"/>
        <v>15</v>
      </c>
      <c r="BE938" s="130">
        <f t="shared" si="275"/>
        <v>7</v>
      </c>
      <c r="BF938" s="195">
        <f t="shared" si="276"/>
        <v>214.28571428571428</v>
      </c>
      <c r="BG938" s="373">
        <f t="shared" si="277"/>
        <v>-8</v>
      </c>
    </row>
    <row r="939" spans="1:59" s="21" customFormat="1" ht="15.95" customHeight="1">
      <c r="A939" s="163">
        <v>84</v>
      </c>
      <c r="B939" s="9" t="s">
        <v>34</v>
      </c>
      <c r="C939" s="11" t="s">
        <v>578</v>
      </c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22">
        <f t="shared" si="272"/>
        <v>0</v>
      </c>
      <c r="AC939" s="25">
        <v>0</v>
      </c>
      <c r="AD939" s="24"/>
      <c r="AE939" s="24"/>
      <c r="AF939" s="24"/>
      <c r="AG939" s="24"/>
      <c r="AH939" s="24">
        <v>1</v>
      </c>
      <c r="AI939" s="24"/>
      <c r="AJ939" s="24"/>
      <c r="AK939" s="24"/>
      <c r="AL939" s="24">
        <f>1+3</f>
        <v>4</v>
      </c>
      <c r="AM939" s="24"/>
      <c r="AN939" s="24"/>
      <c r="AO939" s="24"/>
      <c r="AP939" s="24">
        <v>3</v>
      </c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2">
        <f t="shared" si="273"/>
        <v>8</v>
      </c>
      <c r="BC939" s="23">
        <v>10</v>
      </c>
      <c r="BD939" s="130">
        <f t="shared" si="274"/>
        <v>8</v>
      </c>
      <c r="BE939" s="130">
        <f t="shared" si="275"/>
        <v>10</v>
      </c>
      <c r="BF939" s="195">
        <f t="shared" si="276"/>
        <v>80</v>
      </c>
      <c r="BG939" s="373">
        <f t="shared" si="277"/>
        <v>2</v>
      </c>
    </row>
    <row r="940" spans="1:59" s="21" customFormat="1" ht="15.95" customHeight="1">
      <c r="A940" s="163">
        <v>85</v>
      </c>
      <c r="B940" s="9" t="s">
        <v>2784</v>
      </c>
      <c r="C940" s="11" t="s">
        <v>2785</v>
      </c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22">
        <f t="shared" si="272"/>
        <v>0</v>
      </c>
      <c r="AC940" s="25">
        <v>0</v>
      </c>
      <c r="AD940" s="24"/>
      <c r="AE940" s="24"/>
      <c r="AF940" s="24"/>
      <c r="AG940" s="24"/>
      <c r="AH940" s="24">
        <v>1</v>
      </c>
      <c r="AI940" s="24"/>
      <c r="AJ940" s="24"/>
      <c r="AK940" s="24"/>
      <c r="AL940" s="24">
        <v>1</v>
      </c>
      <c r="AM940" s="24"/>
      <c r="AN940" s="24"/>
      <c r="AO940" s="24"/>
      <c r="AP940" s="24">
        <v>1</v>
      </c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2">
        <f t="shared" si="273"/>
        <v>3</v>
      </c>
      <c r="BC940" s="23">
        <v>3</v>
      </c>
      <c r="BD940" s="130">
        <f t="shared" si="274"/>
        <v>3</v>
      </c>
      <c r="BE940" s="130">
        <f t="shared" si="275"/>
        <v>3</v>
      </c>
      <c r="BF940" s="195">
        <f t="shared" si="276"/>
        <v>100</v>
      </c>
      <c r="BG940" s="373">
        <f t="shared" si="277"/>
        <v>0</v>
      </c>
    </row>
    <row r="941" spans="1:59" s="21" customFormat="1" ht="15.95" customHeight="1">
      <c r="A941" s="163">
        <v>86</v>
      </c>
      <c r="B941" s="9" t="s">
        <v>2755</v>
      </c>
      <c r="C941" s="11" t="s">
        <v>2756</v>
      </c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22">
        <f t="shared" si="272"/>
        <v>0</v>
      </c>
      <c r="AC941" s="25">
        <v>0</v>
      </c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2">
        <f t="shared" si="273"/>
        <v>0</v>
      </c>
      <c r="BC941" s="23">
        <v>1</v>
      </c>
      <c r="BD941" s="130">
        <f t="shared" si="274"/>
        <v>0</v>
      </c>
      <c r="BE941" s="130">
        <f t="shared" si="275"/>
        <v>1</v>
      </c>
      <c r="BF941" s="195">
        <f t="shared" si="276"/>
        <v>0</v>
      </c>
      <c r="BG941" s="373">
        <f t="shared" si="277"/>
        <v>1</v>
      </c>
    </row>
    <row r="942" spans="1:59" s="21" customFormat="1" ht="15.95" customHeight="1">
      <c r="A942" s="163">
        <v>87</v>
      </c>
      <c r="B942" s="9" t="s">
        <v>2786</v>
      </c>
      <c r="C942" s="11" t="s">
        <v>2787</v>
      </c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22">
        <f t="shared" si="272"/>
        <v>0</v>
      </c>
      <c r="AC942" s="25">
        <v>0</v>
      </c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2">
        <f t="shared" si="273"/>
        <v>0</v>
      </c>
      <c r="BC942" s="23">
        <v>1</v>
      </c>
      <c r="BD942" s="130">
        <f t="shared" si="274"/>
        <v>0</v>
      </c>
      <c r="BE942" s="130">
        <f t="shared" si="275"/>
        <v>1</v>
      </c>
      <c r="BF942" s="195">
        <f t="shared" si="276"/>
        <v>0</v>
      </c>
      <c r="BG942" s="373">
        <f t="shared" si="277"/>
        <v>1</v>
      </c>
    </row>
    <row r="943" spans="1:59" s="21" customFormat="1" ht="15.95" customHeight="1">
      <c r="A943" s="163">
        <v>88</v>
      </c>
      <c r="B943" s="9" t="s">
        <v>581</v>
      </c>
      <c r="C943" s="11" t="s">
        <v>582</v>
      </c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22">
        <f t="shared" si="272"/>
        <v>0</v>
      </c>
      <c r="AC943" s="25">
        <v>0</v>
      </c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2">
        <f t="shared" si="273"/>
        <v>0</v>
      </c>
      <c r="BC943" s="23">
        <v>4</v>
      </c>
      <c r="BD943" s="130">
        <f t="shared" si="274"/>
        <v>0</v>
      </c>
      <c r="BE943" s="130">
        <f t="shared" si="275"/>
        <v>4</v>
      </c>
      <c r="BF943" s="195">
        <f t="shared" si="276"/>
        <v>0</v>
      </c>
      <c r="BG943" s="373">
        <f t="shared" si="277"/>
        <v>4</v>
      </c>
    </row>
    <row r="944" spans="1:59" s="21" customFormat="1" ht="15.95" customHeight="1">
      <c r="A944" s="163">
        <v>89</v>
      </c>
      <c r="B944" s="9" t="s">
        <v>583</v>
      </c>
      <c r="C944" s="11" t="s">
        <v>584</v>
      </c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22">
        <f t="shared" si="272"/>
        <v>0</v>
      </c>
      <c r="AC944" s="25">
        <v>0</v>
      </c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2">
        <f t="shared" si="273"/>
        <v>0</v>
      </c>
      <c r="BC944" s="23">
        <v>11</v>
      </c>
      <c r="BD944" s="130">
        <f t="shared" si="274"/>
        <v>0</v>
      </c>
      <c r="BE944" s="130">
        <f t="shared" si="275"/>
        <v>11</v>
      </c>
      <c r="BF944" s="195">
        <f t="shared" si="276"/>
        <v>0</v>
      </c>
      <c r="BG944" s="373">
        <f t="shared" si="277"/>
        <v>11</v>
      </c>
    </row>
    <row r="945" spans="1:59" s="21" customFormat="1" ht="15.95" customHeight="1">
      <c r="A945" s="163">
        <v>90</v>
      </c>
      <c r="B945" s="9" t="s">
        <v>3889</v>
      </c>
      <c r="C945" s="11" t="s">
        <v>3890</v>
      </c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22">
        <f t="shared" si="272"/>
        <v>0</v>
      </c>
      <c r="AC945" s="25">
        <v>0</v>
      </c>
      <c r="AD945" s="24"/>
      <c r="AE945" s="24"/>
      <c r="AF945" s="24"/>
      <c r="AG945" s="24"/>
      <c r="AH945" s="24"/>
      <c r="AI945" s="24"/>
      <c r="AJ945" s="24"/>
      <c r="AK945" s="24"/>
      <c r="AL945" s="24">
        <v>1</v>
      </c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2">
        <f t="shared" si="273"/>
        <v>1</v>
      </c>
      <c r="BC945" s="23">
        <v>0</v>
      </c>
      <c r="BD945" s="130">
        <f t="shared" si="274"/>
        <v>1</v>
      </c>
      <c r="BE945" s="130">
        <f t="shared" si="275"/>
        <v>0</v>
      </c>
      <c r="BF945" s="195" t="e">
        <f t="shared" si="276"/>
        <v>#DIV/0!</v>
      </c>
      <c r="BG945" s="373"/>
    </row>
    <row r="946" spans="1:59" s="21" customFormat="1" ht="15.95" customHeight="1">
      <c r="A946" s="163">
        <v>91</v>
      </c>
      <c r="B946" s="9" t="s">
        <v>585</v>
      </c>
      <c r="C946" s="11" t="s">
        <v>3443</v>
      </c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22">
        <f t="shared" si="272"/>
        <v>0</v>
      </c>
      <c r="AC946" s="25">
        <v>0</v>
      </c>
      <c r="AD946" s="24"/>
      <c r="AE946" s="24"/>
      <c r="AF946" s="24"/>
      <c r="AG946" s="24"/>
      <c r="AH946" s="24"/>
      <c r="AI946" s="24"/>
      <c r="AJ946" s="24"/>
      <c r="AK946" s="24"/>
      <c r="AL946" s="24">
        <f>1+1</f>
        <v>2</v>
      </c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2">
        <f t="shared" si="273"/>
        <v>2</v>
      </c>
      <c r="BC946" s="23">
        <f>2+1</f>
        <v>3</v>
      </c>
      <c r="BD946" s="130">
        <f t="shared" si="274"/>
        <v>2</v>
      </c>
      <c r="BE946" s="130">
        <f t="shared" si="275"/>
        <v>3</v>
      </c>
      <c r="BF946" s="195">
        <f t="shared" si="276"/>
        <v>66.666666666666657</v>
      </c>
      <c r="BG946" s="373">
        <f t="shared" ref="BG946:BG951" si="278">BE946-BD946</f>
        <v>1</v>
      </c>
    </row>
    <row r="947" spans="1:59" s="21" customFormat="1" ht="15.95" customHeight="1">
      <c r="A947" s="163">
        <v>92</v>
      </c>
      <c r="B947" s="9" t="s">
        <v>586</v>
      </c>
      <c r="C947" s="10" t="s">
        <v>587</v>
      </c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22">
        <f t="shared" si="272"/>
        <v>0</v>
      </c>
      <c r="AC947" s="25">
        <v>0</v>
      </c>
      <c r="AD947" s="24"/>
      <c r="AE947" s="24"/>
      <c r="AF947" s="24"/>
      <c r="AG947" s="24"/>
      <c r="AH947" s="24"/>
      <c r="AI947" s="24"/>
      <c r="AJ947" s="24"/>
      <c r="AK947" s="24"/>
      <c r="AL947" s="24">
        <v>1</v>
      </c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2">
        <f t="shared" si="273"/>
        <v>1</v>
      </c>
      <c r="BC947" s="23">
        <v>6</v>
      </c>
      <c r="BD947" s="130">
        <f t="shared" si="274"/>
        <v>1</v>
      </c>
      <c r="BE947" s="130">
        <f t="shared" si="275"/>
        <v>6</v>
      </c>
      <c r="BF947" s="195">
        <f t="shared" si="276"/>
        <v>16.666666666666664</v>
      </c>
      <c r="BG947" s="373">
        <f t="shared" si="278"/>
        <v>5</v>
      </c>
    </row>
    <row r="948" spans="1:59" s="21" customFormat="1" ht="15.95" customHeight="1">
      <c r="A948" s="163">
        <v>93</v>
      </c>
      <c r="B948" s="9" t="s">
        <v>588</v>
      </c>
      <c r="C948" s="10" t="s">
        <v>589</v>
      </c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22">
        <f t="shared" si="272"/>
        <v>0</v>
      </c>
      <c r="AC948" s="25">
        <v>0</v>
      </c>
      <c r="AD948" s="24"/>
      <c r="AE948" s="24"/>
      <c r="AF948" s="24"/>
      <c r="AG948" s="24"/>
      <c r="AH948" s="24">
        <v>4</v>
      </c>
      <c r="AI948" s="24"/>
      <c r="AJ948" s="24"/>
      <c r="AK948" s="24"/>
      <c r="AL948" s="24">
        <f>8+9</f>
        <v>17</v>
      </c>
      <c r="AM948" s="24"/>
      <c r="AN948" s="24"/>
      <c r="AO948" s="24"/>
      <c r="AP948" s="24">
        <f>11+9</f>
        <v>20</v>
      </c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2">
        <f t="shared" si="273"/>
        <v>41</v>
      </c>
      <c r="BC948" s="23">
        <v>53</v>
      </c>
      <c r="BD948" s="130">
        <f t="shared" si="274"/>
        <v>41</v>
      </c>
      <c r="BE948" s="130">
        <f t="shared" si="275"/>
        <v>53</v>
      </c>
      <c r="BF948" s="195">
        <f t="shared" si="276"/>
        <v>77.358490566037744</v>
      </c>
      <c r="BG948" s="373">
        <f t="shared" si="278"/>
        <v>12</v>
      </c>
    </row>
    <row r="949" spans="1:59" s="21" customFormat="1" ht="15.95" customHeight="1">
      <c r="A949" s="163">
        <v>94</v>
      </c>
      <c r="B949" s="415" t="s">
        <v>3043</v>
      </c>
      <c r="C949" s="412" t="s">
        <v>3044</v>
      </c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22">
        <f t="shared" si="272"/>
        <v>0</v>
      </c>
      <c r="AC949" s="25">
        <v>0</v>
      </c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2">
        <f t="shared" si="273"/>
        <v>0</v>
      </c>
      <c r="BC949" s="23">
        <v>1</v>
      </c>
      <c r="BD949" s="130">
        <f t="shared" si="274"/>
        <v>0</v>
      </c>
      <c r="BE949" s="130">
        <f t="shared" si="275"/>
        <v>1</v>
      </c>
      <c r="BF949" s="195">
        <f t="shared" si="276"/>
        <v>0</v>
      </c>
      <c r="BG949" s="373">
        <f t="shared" si="278"/>
        <v>1</v>
      </c>
    </row>
    <row r="950" spans="1:59" s="21" customFormat="1" ht="15.95" customHeight="1">
      <c r="A950" s="163">
        <v>95</v>
      </c>
      <c r="B950" s="9" t="s">
        <v>2594</v>
      </c>
      <c r="C950" s="10" t="s">
        <v>2596</v>
      </c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22">
        <f t="shared" si="272"/>
        <v>0</v>
      </c>
      <c r="AC950" s="25">
        <v>0</v>
      </c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2">
        <f t="shared" si="273"/>
        <v>0</v>
      </c>
      <c r="BC950" s="23">
        <v>1</v>
      </c>
      <c r="BD950" s="130">
        <f t="shared" si="274"/>
        <v>0</v>
      </c>
      <c r="BE950" s="130">
        <f t="shared" si="275"/>
        <v>1</v>
      </c>
      <c r="BF950" s="195">
        <f t="shared" si="276"/>
        <v>0</v>
      </c>
      <c r="BG950" s="373">
        <f t="shared" si="278"/>
        <v>1</v>
      </c>
    </row>
    <row r="951" spans="1:59" s="21" customFormat="1" ht="15.95" customHeight="1">
      <c r="A951" s="163">
        <v>96</v>
      </c>
      <c r="B951" s="413" t="s">
        <v>3045</v>
      </c>
      <c r="C951" s="414" t="s">
        <v>3046</v>
      </c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22">
        <f t="shared" si="272"/>
        <v>0</v>
      </c>
      <c r="AC951" s="25">
        <v>0</v>
      </c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2">
        <f t="shared" si="273"/>
        <v>0</v>
      </c>
      <c r="BC951" s="23">
        <v>2</v>
      </c>
      <c r="BD951" s="130">
        <f t="shared" si="274"/>
        <v>0</v>
      </c>
      <c r="BE951" s="130">
        <f t="shared" si="275"/>
        <v>2</v>
      </c>
      <c r="BF951" s="195">
        <f t="shared" si="276"/>
        <v>0</v>
      </c>
      <c r="BG951" s="373">
        <f t="shared" si="278"/>
        <v>2</v>
      </c>
    </row>
    <row r="952" spans="1:59" s="21" customFormat="1" ht="15.95" customHeight="1">
      <c r="A952" s="163">
        <v>97</v>
      </c>
      <c r="B952" s="546" t="s">
        <v>3891</v>
      </c>
      <c r="C952" s="547" t="s">
        <v>3892</v>
      </c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22">
        <f t="shared" ref="AB952:AB983" si="279">SUM(D952:AA952)</f>
        <v>0</v>
      </c>
      <c r="AC952" s="25">
        <v>0</v>
      </c>
      <c r="AD952" s="24"/>
      <c r="AE952" s="24"/>
      <c r="AF952" s="24"/>
      <c r="AG952" s="24"/>
      <c r="AH952" s="24"/>
      <c r="AI952" s="24"/>
      <c r="AJ952" s="24"/>
      <c r="AK952" s="24"/>
      <c r="AL952" s="24">
        <f>1+1</f>
        <v>2</v>
      </c>
      <c r="AM952" s="24"/>
      <c r="AN952" s="24"/>
      <c r="AO952" s="24"/>
      <c r="AP952" s="24">
        <v>1</v>
      </c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2">
        <f t="shared" ref="BB952:BB983" si="280">SUM(AD952:BA952)</f>
        <v>3</v>
      </c>
      <c r="BC952" s="23">
        <v>0</v>
      </c>
      <c r="BD952" s="130">
        <f t="shared" ref="BD952:BD988" si="281">AB952+BB952</f>
        <v>3</v>
      </c>
      <c r="BE952" s="130">
        <f t="shared" ref="BE952:BE988" si="282">AC952+BC952</f>
        <v>0</v>
      </c>
      <c r="BF952" s="195" t="e">
        <f t="shared" ref="BF952:BF983" si="283">BD952/BE952*100</f>
        <v>#DIV/0!</v>
      </c>
      <c r="BG952" s="373"/>
    </row>
    <row r="953" spans="1:59" s="21" customFormat="1" ht="15.95" customHeight="1">
      <c r="A953" s="163">
        <v>98</v>
      </c>
      <c r="B953" s="9" t="s">
        <v>3262</v>
      </c>
      <c r="C953" s="11" t="s">
        <v>3263</v>
      </c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22">
        <f t="shared" si="279"/>
        <v>0</v>
      </c>
      <c r="AC953" s="25">
        <v>1</v>
      </c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2">
        <f t="shared" si="280"/>
        <v>0</v>
      </c>
      <c r="BC953" s="23">
        <v>0</v>
      </c>
      <c r="BD953" s="130">
        <f t="shared" si="281"/>
        <v>0</v>
      </c>
      <c r="BE953" s="130">
        <f t="shared" si="282"/>
        <v>1</v>
      </c>
      <c r="BF953" s="195">
        <f t="shared" si="283"/>
        <v>0</v>
      </c>
      <c r="BG953" s="373">
        <f>BE953-BD953</f>
        <v>1</v>
      </c>
    </row>
    <row r="954" spans="1:59" s="21" customFormat="1" ht="15.95" customHeight="1">
      <c r="A954" s="163">
        <v>99</v>
      </c>
      <c r="B954" s="9" t="s">
        <v>4131</v>
      </c>
      <c r="C954" s="11" t="s">
        <v>4132</v>
      </c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22">
        <f t="shared" si="279"/>
        <v>0</v>
      </c>
      <c r="AC954" s="25">
        <v>0</v>
      </c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>
        <v>1</v>
      </c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2">
        <f t="shared" si="280"/>
        <v>1</v>
      </c>
      <c r="BC954" s="23">
        <v>0</v>
      </c>
      <c r="BD954" s="130">
        <f t="shared" si="281"/>
        <v>1</v>
      </c>
      <c r="BE954" s="130">
        <f t="shared" si="282"/>
        <v>0</v>
      </c>
      <c r="BF954" s="195" t="e">
        <f t="shared" si="283"/>
        <v>#DIV/0!</v>
      </c>
      <c r="BG954" s="373"/>
    </row>
    <row r="955" spans="1:59" s="21" customFormat="1" ht="15.95" customHeight="1">
      <c r="A955" s="163">
        <v>100</v>
      </c>
      <c r="B955" s="9" t="s">
        <v>2984</v>
      </c>
      <c r="C955" s="11" t="s">
        <v>2985</v>
      </c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22">
        <f t="shared" si="279"/>
        <v>0</v>
      </c>
      <c r="AC955" s="25">
        <v>0</v>
      </c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2">
        <f t="shared" si="280"/>
        <v>0</v>
      </c>
      <c r="BC955" s="23">
        <v>1</v>
      </c>
      <c r="BD955" s="130">
        <f t="shared" si="281"/>
        <v>0</v>
      </c>
      <c r="BE955" s="130">
        <f t="shared" si="282"/>
        <v>1</v>
      </c>
      <c r="BF955" s="195">
        <f t="shared" si="283"/>
        <v>0</v>
      </c>
      <c r="BG955" s="373">
        <f>BE955-BD955</f>
        <v>1</v>
      </c>
    </row>
    <row r="956" spans="1:59" s="21" customFormat="1" ht="15.95" customHeight="1">
      <c r="A956" s="163">
        <v>101</v>
      </c>
      <c r="B956" s="9" t="s">
        <v>4133</v>
      </c>
      <c r="C956" s="11" t="s">
        <v>4134</v>
      </c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22">
        <f t="shared" si="279"/>
        <v>0</v>
      </c>
      <c r="AC956" s="25">
        <v>0</v>
      </c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>
        <v>1</v>
      </c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2">
        <f t="shared" si="280"/>
        <v>1</v>
      </c>
      <c r="BC956" s="23">
        <v>0</v>
      </c>
      <c r="BD956" s="130">
        <f t="shared" si="281"/>
        <v>1</v>
      </c>
      <c r="BE956" s="130">
        <f t="shared" si="282"/>
        <v>0</v>
      </c>
      <c r="BF956" s="195" t="e">
        <f t="shared" si="283"/>
        <v>#DIV/0!</v>
      </c>
      <c r="BG956" s="373"/>
    </row>
    <row r="957" spans="1:59" s="21" customFormat="1" ht="15.95" customHeight="1">
      <c r="A957" s="163">
        <v>102</v>
      </c>
      <c r="B957" s="9" t="s">
        <v>711</v>
      </c>
      <c r="C957" s="11" t="s">
        <v>712</v>
      </c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22">
        <f t="shared" si="279"/>
        <v>0</v>
      </c>
      <c r="AC957" s="25">
        <v>0</v>
      </c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2">
        <f t="shared" si="280"/>
        <v>0</v>
      </c>
      <c r="BC957" s="23">
        <v>1</v>
      </c>
      <c r="BD957" s="130">
        <f t="shared" si="281"/>
        <v>0</v>
      </c>
      <c r="BE957" s="130">
        <f t="shared" si="282"/>
        <v>1</v>
      </c>
      <c r="BF957" s="195">
        <f t="shared" si="283"/>
        <v>0</v>
      </c>
      <c r="BG957" s="373">
        <f>BE957-BD957</f>
        <v>1</v>
      </c>
    </row>
    <row r="958" spans="1:59" s="21" customFormat="1" ht="15.95" customHeight="1">
      <c r="A958" s="163">
        <v>103</v>
      </c>
      <c r="B958" s="9" t="s">
        <v>2757</v>
      </c>
      <c r="C958" s="11" t="s">
        <v>2758</v>
      </c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22">
        <f t="shared" si="279"/>
        <v>0</v>
      </c>
      <c r="AC958" s="25">
        <v>0</v>
      </c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2">
        <f t="shared" si="280"/>
        <v>0</v>
      </c>
      <c r="BC958" s="23">
        <v>1</v>
      </c>
      <c r="BD958" s="130">
        <f t="shared" si="281"/>
        <v>0</v>
      </c>
      <c r="BE958" s="130">
        <f t="shared" si="282"/>
        <v>1</v>
      </c>
      <c r="BF958" s="195">
        <f t="shared" si="283"/>
        <v>0</v>
      </c>
      <c r="BG958" s="373">
        <f>BE958-BD958</f>
        <v>1</v>
      </c>
    </row>
    <row r="959" spans="1:59" s="21" customFormat="1" ht="15.95" customHeight="1">
      <c r="A959" s="163">
        <v>104</v>
      </c>
      <c r="B959" s="9" t="s">
        <v>713</v>
      </c>
      <c r="C959" s="11" t="s">
        <v>714</v>
      </c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22">
        <f t="shared" si="279"/>
        <v>0</v>
      </c>
      <c r="AC959" s="25">
        <v>0</v>
      </c>
      <c r="AD959" s="24"/>
      <c r="AE959" s="24"/>
      <c r="AF959" s="24"/>
      <c r="AG959" s="24"/>
      <c r="AH959" s="24"/>
      <c r="AI959" s="24"/>
      <c r="AJ959" s="24"/>
      <c r="AK959" s="24"/>
      <c r="AL959" s="24">
        <v>2</v>
      </c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2">
        <f t="shared" si="280"/>
        <v>2</v>
      </c>
      <c r="BC959" s="23">
        <v>7</v>
      </c>
      <c r="BD959" s="130">
        <f t="shared" si="281"/>
        <v>2</v>
      </c>
      <c r="BE959" s="130">
        <f t="shared" si="282"/>
        <v>7</v>
      </c>
      <c r="BF959" s="195">
        <f t="shared" si="283"/>
        <v>28.571428571428569</v>
      </c>
      <c r="BG959" s="373"/>
    </row>
    <row r="960" spans="1:59" s="21" customFormat="1" ht="15.95" customHeight="1">
      <c r="A960" s="163">
        <v>105</v>
      </c>
      <c r="B960" s="9" t="s">
        <v>3143</v>
      </c>
      <c r="C960" s="11" t="s">
        <v>3144</v>
      </c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22">
        <f t="shared" si="279"/>
        <v>0</v>
      </c>
      <c r="AC960" s="25">
        <v>0</v>
      </c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2">
        <f t="shared" si="280"/>
        <v>0</v>
      </c>
      <c r="BC960" s="23">
        <v>1</v>
      </c>
      <c r="BD960" s="130">
        <f t="shared" si="281"/>
        <v>0</v>
      </c>
      <c r="BE960" s="130">
        <f t="shared" si="282"/>
        <v>1</v>
      </c>
      <c r="BF960" s="195">
        <f t="shared" si="283"/>
        <v>0</v>
      </c>
      <c r="BG960" s="373">
        <f>BE960-BD960</f>
        <v>1</v>
      </c>
    </row>
    <row r="961" spans="1:59" s="21" customFormat="1" ht="15.95" customHeight="1">
      <c r="A961" s="163">
        <v>106</v>
      </c>
      <c r="B961" s="9" t="s">
        <v>3306</v>
      </c>
      <c r="C961" s="11" t="s">
        <v>3307</v>
      </c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22">
        <f t="shared" si="279"/>
        <v>0</v>
      </c>
      <c r="AC961" s="25">
        <v>0</v>
      </c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2">
        <f t="shared" si="280"/>
        <v>0</v>
      </c>
      <c r="BC961" s="23">
        <v>1</v>
      </c>
      <c r="BD961" s="130">
        <f t="shared" si="281"/>
        <v>0</v>
      </c>
      <c r="BE961" s="130">
        <f t="shared" si="282"/>
        <v>1</v>
      </c>
      <c r="BF961" s="195">
        <f t="shared" si="283"/>
        <v>0</v>
      </c>
      <c r="BG961" s="373">
        <f>BE961-BD961</f>
        <v>1</v>
      </c>
    </row>
    <row r="962" spans="1:59" s="21" customFormat="1" ht="15.95" customHeight="1">
      <c r="A962" s="163">
        <v>107</v>
      </c>
      <c r="B962" s="9" t="s">
        <v>590</v>
      </c>
      <c r="C962" s="11" t="s">
        <v>591</v>
      </c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22">
        <f t="shared" si="279"/>
        <v>0</v>
      </c>
      <c r="AC962" s="25">
        <v>0</v>
      </c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2">
        <f t="shared" si="280"/>
        <v>0</v>
      </c>
      <c r="BC962" s="23">
        <v>4</v>
      </c>
      <c r="BD962" s="130">
        <f t="shared" si="281"/>
        <v>0</v>
      </c>
      <c r="BE962" s="130">
        <f t="shared" si="282"/>
        <v>4</v>
      </c>
      <c r="BF962" s="195">
        <f t="shared" si="283"/>
        <v>0</v>
      </c>
      <c r="BG962" s="373">
        <f>BE962-BD962</f>
        <v>4</v>
      </c>
    </row>
    <row r="963" spans="1:59" s="21" customFormat="1" ht="15.95" customHeight="1">
      <c r="A963" s="163">
        <v>108</v>
      </c>
      <c r="B963" s="9" t="s">
        <v>592</v>
      </c>
      <c r="C963" s="11" t="s">
        <v>593</v>
      </c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22">
        <f t="shared" si="279"/>
        <v>0</v>
      </c>
      <c r="AC963" s="25">
        <v>0</v>
      </c>
      <c r="AD963" s="24"/>
      <c r="AE963" s="24"/>
      <c r="AF963" s="24"/>
      <c r="AG963" s="24"/>
      <c r="AH963" s="24"/>
      <c r="AI963" s="24"/>
      <c r="AJ963" s="24"/>
      <c r="AK963" s="24"/>
      <c r="AL963" s="24">
        <f>1+2</f>
        <v>3</v>
      </c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2">
        <f t="shared" si="280"/>
        <v>3</v>
      </c>
      <c r="BC963" s="23">
        <v>6</v>
      </c>
      <c r="BD963" s="130">
        <f t="shared" si="281"/>
        <v>3</v>
      </c>
      <c r="BE963" s="130">
        <f t="shared" si="282"/>
        <v>6</v>
      </c>
      <c r="BF963" s="195">
        <f t="shared" si="283"/>
        <v>50</v>
      </c>
      <c r="BG963" s="373"/>
    </row>
    <row r="964" spans="1:59" s="21" customFormat="1" ht="15.95" customHeight="1">
      <c r="A964" s="163">
        <v>109</v>
      </c>
      <c r="B964" s="9" t="s">
        <v>594</v>
      </c>
      <c r="C964" s="11" t="s">
        <v>593</v>
      </c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22">
        <f t="shared" si="279"/>
        <v>0</v>
      </c>
      <c r="AC964" s="25">
        <v>0</v>
      </c>
      <c r="AD964" s="24"/>
      <c r="AE964" s="24"/>
      <c r="AF964" s="24"/>
      <c r="AG964" s="24"/>
      <c r="AH964" s="24">
        <v>1</v>
      </c>
      <c r="AI964" s="24"/>
      <c r="AJ964" s="24"/>
      <c r="AK964" s="24"/>
      <c r="AL964" s="24">
        <v>1</v>
      </c>
      <c r="AM964" s="24"/>
      <c r="AN964" s="24"/>
      <c r="AO964" s="24"/>
      <c r="AP964" s="24">
        <v>1</v>
      </c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2">
        <f t="shared" si="280"/>
        <v>3</v>
      </c>
      <c r="BC964" s="23">
        <v>5</v>
      </c>
      <c r="BD964" s="130">
        <f t="shared" si="281"/>
        <v>3</v>
      </c>
      <c r="BE964" s="130">
        <f t="shared" si="282"/>
        <v>5</v>
      </c>
      <c r="BF964" s="195">
        <f t="shared" si="283"/>
        <v>60</v>
      </c>
      <c r="BG964" s="373"/>
    </row>
    <row r="965" spans="1:59" s="21" customFormat="1" ht="15.95" customHeight="1">
      <c r="A965" s="163">
        <v>110</v>
      </c>
      <c r="B965" s="9" t="s">
        <v>3920</v>
      </c>
      <c r="C965" s="11" t="s">
        <v>3921</v>
      </c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22">
        <f t="shared" si="279"/>
        <v>0</v>
      </c>
      <c r="AC965" s="25">
        <v>0</v>
      </c>
      <c r="AD965" s="24"/>
      <c r="AE965" s="24"/>
      <c r="AF965" s="24"/>
      <c r="AG965" s="24"/>
      <c r="AH965" s="24"/>
      <c r="AI965" s="24"/>
      <c r="AJ965" s="24"/>
      <c r="AK965" s="24"/>
      <c r="AL965" s="24">
        <v>1</v>
      </c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2">
        <f t="shared" si="280"/>
        <v>1</v>
      </c>
      <c r="BC965" s="23">
        <v>0</v>
      </c>
      <c r="BD965" s="130">
        <f t="shared" si="281"/>
        <v>1</v>
      </c>
      <c r="BE965" s="130">
        <f t="shared" si="282"/>
        <v>0</v>
      </c>
      <c r="BF965" s="195" t="e">
        <f t="shared" si="283"/>
        <v>#DIV/0!</v>
      </c>
      <c r="BG965" s="373"/>
    </row>
    <row r="966" spans="1:59" s="21" customFormat="1" ht="15.95" customHeight="1">
      <c r="A966" s="163">
        <v>111</v>
      </c>
      <c r="B966" s="9" t="s">
        <v>4135</v>
      </c>
      <c r="C966" s="11" t="s">
        <v>4136</v>
      </c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22">
        <f t="shared" si="279"/>
        <v>0</v>
      </c>
      <c r="AC966" s="25">
        <v>0</v>
      </c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>
        <v>1</v>
      </c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2">
        <f t="shared" si="280"/>
        <v>1</v>
      </c>
      <c r="BC966" s="23">
        <v>0</v>
      </c>
      <c r="BD966" s="130">
        <f t="shared" si="281"/>
        <v>1</v>
      </c>
      <c r="BE966" s="130">
        <f t="shared" si="282"/>
        <v>0</v>
      </c>
      <c r="BF966" s="195" t="e">
        <f t="shared" si="283"/>
        <v>#DIV/0!</v>
      </c>
      <c r="BG966" s="373"/>
    </row>
    <row r="967" spans="1:59" s="21" customFormat="1" ht="15.95" customHeight="1">
      <c r="A967" s="163">
        <v>112</v>
      </c>
      <c r="B967" s="9" t="s">
        <v>3444</v>
      </c>
      <c r="C967" s="11" t="s">
        <v>3445</v>
      </c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22">
        <f t="shared" si="279"/>
        <v>0</v>
      </c>
      <c r="AC967" s="25">
        <v>0</v>
      </c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>
        <v>1</v>
      </c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2">
        <f t="shared" si="280"/>
        <v>1</v>
      </c>
      <c r="BC967" s="23">
        <v>1</v>
      </c>
      <c r="BD967" s="130">
        <f t="shared" si="281"/>
        <v>1</v>
      </c>
      <c r="BE967" s="130">
        <f t="shared" si="282"/>
        <v>1</v>
      </c>
      <c r="BF967" s="195">
        <f t="shared" si="283"/>
        <v>100</v>
      </c>
      <c r="BG967" s="373">
        <f>BE967-BD967</f>
        <v>0</v>
      </c>
    </row>
    <row r="968" spans="1:59" s="21" customFormat="1" ht="15.95" customHeight="1">
      <c r="A968" s="163">
        <v>113</v>
      </c>
      <c r="B968" s="9" t="s">
        <v>2547</v>
      </c>
      <c r="C968" s="11" t="s">
        <v>2548</v>
      </c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22">
        <f t="shared" si="279"/>
        <v>0</v>
      </c>
      <c r="AC968" s="25">
        <v>0</v>
      </c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2">
        <f t="shared" si="280"/>
        <v>0</v>
      </c>
      <c r="BC968" s="23">
        <v>3</v>
      </c>
      <c r="BD968" s="130">
        <f t="shared" si="281"/>
        <v>0</v>
      </c>
      <c r="BE968" s="130">
        <f t="shared" si="282"/>
        <v>3</v>
      </c>
      <c r="BF968" s="195">
        <f t="shared" si="283"/>
        <v>0</v>
      </c>
      <c r="BG968" s="373">
        <f>BE968-BD968</f>
        <v>3</v>
      </c>
    </row>
    <row r="969" spans="1:59" s="21" customFormat="1" ht="15.95" customHeight="1">
      <c r="A969" s="163">
        <v>114</v>
      </c>
      <c r="B969" s="9" t="s">
        <v>3157</v>
      </c>
      <c r="C969" s="11" t="s">
        <v>3158</v>
      </c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22">
        <f t="shared" si="279"/>
        <v>0</v>
      </c>
      <c r="AC969" s="25">
        <v>0</v>
      </c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>
        <v>1</v>
      </c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2">
        <f t="shared" si="280"/>
        <v>1</v>
      </c>
      <c r="BC969" s="23">
        <v>0</v>
      </c>
      <c r="BD969" s="130">
        <f t="shared" si="281"/>
        <v>1</v>
      </c>
      <c r="BE969" s="130">
        <f t="shared" si="282"/>
        <v>0</v>
      </c>
      <c r="BF969" s="195" t="e">
        <f t="shared" si="283"/>
        <v>#DIV/0!</v>
      </c>
      <c r="BG969" s="373"/>
    </row>
    <row r="970" spans="1:59" s="21" customFormat="1" ht="15.95" customHeight="1">
      <c r="A970" s="163">
        <v>115</v>
      </c>
      <c r="B970" s="9" t="s">
        <v>460</v>
      </c>
      <c r="C970" s="11" t="s">
        <v>3446</v>
      </c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22">
        <f t="shared" si="279"/>
        <v>0</v>
      </c>
      <c r="AC970" s="25">
        <v>0</v>
      </c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2">
        <f t="shared" si="280"/>
        <v>0</v>
      </c>
      <c r="BC970" s="23">
        <v>1</v>
      </c>
      <c r="BD970" s="130">
        <f t="shared" si="281"/>
        <v>0</v>
      </c>
      <c r="BE970" s="130">
        <f t="shared" si="282"/>
        <v>1</v>
      </c>
      <c r="BF970" s="195">
        <f t="shared" si="283"/>
        <v>0</v>
      </c>
      <c r="BG970" s="373">
        <f>BE970-BD970</f>
        <v>1</v>
      </c>
    </row>
    <row r="971" spans="1:59" s="21" customFormat="1" ht="15.95" customHeight="1">
      <c r="A971" s="163">
        <v>116</v>
      </c>
      <c r="B971" s="9" t="s">
        <v>4137</v>
      </c>
      <c r="C971" s="11" t="s">
        <v>4138</v>
      </c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22">
        <f t="shared" si="279"/>
        <v>0</v>
      </c>
      <c r="AC971" s="25">
        <v>0</v>
      </c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>
        <v>1</v>
      </c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2">
        <f t="shared" si="280"/>
        <v>1</v>
      </c>
      <c r="BC971" s="23">
        <v>0</v>
      </c>
      <c r="BD971" s="130">
        <f t="shared" si="281"/>
        <v>1</v>
      </c>
      <c r="BE971" s="130">
        <f t="shared" si="282"/>
        <v>0</v>
      </c>
      <c r="BF971" s="195" t="e">
        <f t="shared" si="283"/>
        <v>#DIV/0!</v>
      </c>
      <c r="BG971" s="373"/>
    </row>
    <row r="972" spans="1:59" s="21" customFormat="1" ht="15.95" customHeight="1">
      <c r="A972" s="163">
        <v>117</v>
      </c>
      <c r="B972" s="9" t="s">
        <v>2869</v>
      </c>
      <c r="C972" s="10" t="s">
        <v>2870</v>
      </c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22">
        <f t="shared" si="279"/>
        <v>0</v>
      </c>
      <c r="AC972" s="25">
        <v>0</v>
      </c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2">
        <f t="shared" si="280"/>
        <v>0</v>
      </c>
      <c r="BC972" s="23">
        <v>1</v>
      </c>
      <c r="BD972" s="130">
        <f t="shared" si="281"/>
        <v>0</v>
      </c>
      <c r="BE972" s="130">
        <f t="shared" si="282"/>
        <v>1</v>
      </c>
      <c r="BF972" s="195">
        <f t="shared" si="283"/>
        <v>0</v>
      </c>
      <c r="BG972" s="373">
        <f t="shared" ref="BG972:BG980" si="284">BE972-BD972</f>
        <v>1</v>
      </c>
    </row>
    <row r="973" spans="1:59" s="21" customFormat="1" ht="15.95" customHeight="1">
      <c r="A973" s="163">
        <v>118</v>
      </c>
      <c r="B973" s="9" t="s">
        <v>3342</v>
      </c>
      <c r="C973" s="10" t="s">
        <v>3343</v>
      </c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22">
        <f t="shared" si="279"/>
        <v>0</v>
      </c>
      <c r="AC973" s="25">
        <v>0</v>
      </c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2">
        <f t="shared" si="280"/>
        <v>0</v>
      </c>
      <c r="BC973" s="23">
        <v>1</v>
      </c>
      <c r="BD973" s="130">
        <f t="shared" si="281"/>
        <v>0</v>
      </c>
      <c r="BE973" s="130">
        <f t="shared" si="282"/>
        <v>1</v>
      </c>
      <c r="BF973" s="195">
        <f t="shared" si="283"/>
        <v>0</v>
      </c>
      <c r="BG973" s="373">
        <f t="shared" si="284"/>
        <v>1</v>
      </c>
    </row>
    <row r="974" spans="1:59" s="21" customFormat="1" ht="15.95" customHeight="1">
      <c r="A974" s="163">
        <v>119</v>
      </c>
      <c r="B974" s="9" t="s">
        <v>502</v>
      </c>
      <c r="C974" s="11" t="s">
        <v>503</v>
      </c>
      <c r="D974" s="14">
        <v>1</v>
      </c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22">
        <f t="shared" si="279"/>
        <v>1</v>
      </c>
      <c r="AC974" s="25">
        <v>0</v>
      </c>
      <c r="AD974" s="24"/>
      <c r="AE974" s="24"/>
      <c r="AF974" s="24"/>
      <c r="AG974" s="24"/>
      <c r="AH974" s="24"/>
      <c r="AI974" s="24"/>
      <c r="AJ974" s="24"/>
      <c r="AK974" s="24"/>
      <c r="AL974" s="24">
        <v>2</v>
      </c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2">
        <f t="shared" si="280"/>
        <v>2</v>
      </c>
      <c r="BC974" s="23">
        <v>3</v>
      </c>
      <c r="BD974" s="130">
        <f t="shared" si="281"/>
        <v>3</v>
      </c>
      <c r="BE974" s="130">
        <f t="shared" si="282"/>
        <v>3</v>
      </c>
      <c r="BF974" s="195">
        <f t="shared" si="283"/>
        <v>100</v>
      </c>
      <c r="BG974" s="373">
        <f t="shared" si="284"/>
        <v>0</v>
      </c>
    </row>
    <row r="975" spans="1:59" s="21" customFormat="1" ht="15.95" customHeight="1">
      <c r="A975" s="163">
        <v>120</v>
      </c>
      <c r="B975" s="9" t="s">
        <v>3288</v>
      </c>
      <c r="C975" s="11" t="s">
        <v>3289</v>
      </c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22">
        <f t="shared" si="279"/>
        <v>0</v>
      </c>
      <c r="AC975" s="25">
        <v>0</v>
      </c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2">
        <f t="shared" si="280"/>
        <v>0</v>
      </c>
      <c r="BC975" s="23">
        <v>1</v>
      </c>
      <c r="BD975" s="130">
        <f t="shared" si="281"/>
        <v>0</v>
      </c>
      <c r="BE975" s="130">
        <f t="shared" si="282"/>
        <v>1</v>
      </c>
      <c r="BF975" s="195">
        <f t="shared" si="283"/>
        <v>0</v>
      </c>
      <c r="BG975" s="373">
        <f t="shared" si="284"/>
        <v>1</v>
      </c>
    </row>
    <row r="976" spans="1:59" s="21" customFormat="1" ht="15.95" customHeight="1">
      <c r="A976" s="163">
        <v>121</v>
      </c>
      <c r="B976" s="9" t="s">
        <v>2453</v>
      </c>
      <c r="C976" s="10" t="s">
        <v>2454</v>
      </c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22">
        <f t="shared" si="279"/>
        <v>0</v>
      </c>
      <c r="AC976" s="25">
        <v>0</v>
      </c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2">
        <f t="shared" si="280"/>
        <v>0</v>
      </c>
      <c r="BC976" s="23">
        <v>1</v>
      </c>
      <c r="BD976" s="130">
        <f t="shared" si="281"/>
        <v>0</v>
      </c>
      <c r="BE976" s="130">
        <f t="shared" si="282"/>
        <v>1</v>
      </c>
      <c r="BF976" s="195">
        <f t="shared" si="283"/>
        <v>0</v>
      </c>
      <c r="BG976" s="373">
        <f t="shared" si="284"/>
        <v>1</v>
      </c>
    </row>
    <row r="977" spans="1:59" s="21" customFormat="1" ht="15.95" customHeight="1">
      <c r="A977" s="163">
        <v>122</v>
      </c>
      <c r="B977" s="9" t="s">
        <v>595</v>
      </c>
      <c r="C977" s="10" t="s">
        <v>596</v>
      </c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22">
        <f t="shared" si="279"/>
        <v>0</v>
      </c>
      <c r="AC977" s="25">
        <v>0</v>
      </c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2">
        <f t="shared" si="280"/>
        <v>0</v>
      </c>
      <c r="BC977" s="23">
        <v>30</v>
      </c>
      <c r="BD977" s="130">
        <f t="shared" si="281"/>
        <v>0</v>
      </c>
      <c r="BE977" s="130">
        <f t="shared" si="282"/>
        <v>30</v>
      </c>
      <c r="BF977" s="195">
        <f t="shared" si="283"/>
        <v>0</v>
      </c>
      <c r="BG977" s="373">
        <f t="shared" si="284"/>
        <v>30</v>
      </c>
    </row>
    <row r="978" spans="1:59" s="21" customFormat="1" ht="15.95" customHeight="1">
      <c r="A978" s="163">
        <v>123</v>
      </c>
      <c r="B978" s="9" t="s">
        <v>2986</v>
      </c>
      <c r="C978" s="11" t="s">
        <v>2987</v>
      </c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22">
        <f t="shared" si="279"/>
        <v>0</v>
      </c>
      <c r="AC978" s="25">
        <v>0</v>
      </c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2">
        <f t="shared" si="280"/>
        <v>0</v>
      </c>
      <c r="BC978" s="23">
        <v>1</v>
      </c>
      <c r="BD978" s="130">
        <f t="shared" si="281"/>
        <v>0</v>
      </c>
      <c r="BE978" s="130">
        <f t="shared" si="282"/>
        <v>1</v>
      </c>
      <c r="BF978" s="195">
        <f t="shared" si="283"/>
        <v>0</v>
      </c>
      <c r="BG978" s="373">
        <f t="shared" si="284"/>
        <v>1</v>
      </c>
    </row>
    <row r="979" spans="1:59" s="21" customFormat="1" ht="15.95" customHeight="1">
      <c r="A979" s="163">
        <v>124</v>
      </c>
      <c r="B979" s="9" t="s">
        <v>10</v>
      </c>
      <c r="C979" s="11" t="s">
        <v>11</v>
      </c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22">
        <f t="shared" si="279"/>
        <v>0</v>
      </c>
      <c r="AC979" s="25">
        <v>0</v>
      </c>
      <c r="AD979" s="24"/>
      <c r="AE979" s="24"/>
      <c r="AF979" s="24"/>
      <c r="AG979" s="24"/>
      <c r="AH979" s="24">
        <v>1</v>
      </c>
      <c r="AI979" s="24"/>
      <c r="AJ979" s="24"/>
      <c r="AK979" s="24"/>
      <c r="AL979" s="24">
        <v>2</v>
      </c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2">
        <f t="shared" si="280"/>
        <v>3</v>
      </c>
      <c r="BC979" s="23">
        <v>4</v>
      </c>
      <c r="BD979" s="130">
        <f t="shared" si="281"/>
        <v>3</v>
      </c>
      <c r="BE979" s="130">
        <f t="shared" si="282"/>
        <v>4</v>
      </c>
      <c r="BF979" s="195">
        <f t="shared" si="283"/>
        <v>75</v>
      </c>
      <c r="BG979" s="373">
        <f t="shared" si="284"/>
        <v>1</v>
      </c>
    </row>
    <row r="980" spans="1:59" s="21" customFormat="1" ht="15.95" customHeight="1">
      <c r="A980" s="163">
        <v>125</v>
      </c>
      <c r="B980" s="296" t="s">
        <v>3290</v>
      </c>
      <c r="C980" s="297" t="s">
        <v>3291</v>
      </c>
      <c r="D980" s="305"/>
      <c r="E980" s="305"/>
      <c r="F980" s="305"/>
      <c r="G980" s="305"/>
      <c r="H980" s="305"/>
      <c r="I980" s="305"/>
      <c r="J980" s="305"/>
      <c r="K980" s="305"/>
      <c r="L980" s="305"/>
      <c r="M980" s="305"/>
      <c r="N980" s="305"/>
      <c r="O980" s="305"/>
      <c r="P980" s="305"/>
      <c r="Q980" s="305"/>
      <c r="R980" s="305"/>
      <c r="S980" s="305"/>
      <c r="T980" s="305"/>
      <c r="U980" s="305"/>
      <c r="V980" s="305"/>
      <c r="W980" s="305"/>
      <c r="X980" s="305"/>
      <c r="Y980" s="305"/>
      <c r="Z980" s="305"/>
      <c r="AA980" s="305"/>
      <c r="AB980" s="306">
        <f t="shared" si="279"/>
        <v>0</v>
      </c>
      <c r="AC980" s="307">
        <v>0</v>
      </c>
      <c r="AD980" s="308"/>
      <c r="AE980" s="308"/>
      <c r="AF980" s="308"/>
      <c r="AG980" s="308"/>
      <c r="AH980" s="308"/>
      <c r="AI980" s="308"/>
      <c r="AJ980" s="308"/>
      <c r="AK980" s="308"/>
      <c r="AL980" s="308"/>
      <c r="AM980" s="308"/>
      <c r="AN980" s="308"/>
      <c r="AO980" s="308"/>
      <c r="AP980" s="308"/>
      <c r="AQ980" s="308"/>
      <c r="AR980" s="308"/>
      <c r="AS980" s="308"/>
      <c r="AT980" s="308"/>
      <c r="AU980" s="308"/>
      <c r="AV980" s="308"/>
      <c r="AW980" s="308"/>
      <c r="AX980" s="308"/>
      <c r="AY980" s="308"/>
      <c r="AZ980" s="308"/>
      <c r="BA980" s="308"/>
      <c r="BB980" s="306">
        <f t="shared" si="280"/>
        <v>0</v>
      </c>
      <c r="BC980" s="309">
        <v>1</v>
      </c>
      <c r="BD980" s="310">
        <f t="shared" si="281"/>
        <v>0</v>
      </c>
      <c r="BE980" s="310">
        <f t="shared" si="282"/>
        <v>1</v>
      </c>
      <c r="BF980" s="195">
        <f t="shared" si="283"/>
        <v>0</v>
      </c>
      <c r="BG980" s="373">
        <f t="shared" si="284"/>
        <v>1</v>
      </c>
    </row>
    <row r="981" spans="1:59" s="21" customFormat="1" ht="15.95" customHeight="1">
      <c r="A981" s="163">
        <v>126</v>
      </c>
      <c r="B981" s="296" t="s">
        <v>3893</v>
      </c>
      <c r="C981" s="297" t="s">
        <v>3894</v>
      </c>
      <c r="D981" s="305"/>
      <c r="E981" s="305"/>
      <c r="F981" s="305"/>
      <c r="G981" s="305"/>
      <c r="H981" s="305"/>
      <c r="I981" s="305"/>
      <c r="J981" s="305"/>
      <c r="K981" s="305"/>
      <c r="L981" s="305"/>
      <c r="M981" s="305"/>
      <c r="N981" s="305"/>
      <c r="O981" s="305"/>
      <c r="P981" s="305"/>
      <c r="Q981" s="305"/>
      <c r="R981" s="305"/>
      <c r="S981" s="305"/>
      <c r="T981" s="305"/>
      <c r="U981" s="305"/>
      <c r="V981" s="305"/>
      <c r="W981" s="305"/>
      <c r="X981" s="305"/>
      <c r="Y981" s="305"/>
      <c r="Z981" s="305"/>
      <c r="AA981" s="305"/>
      <c r="AB981" s="306">
        <f t="shared" si="279"/>
        <v>0</v>
      </c>
      <c r="AC981" s="307">
        <v>0</v>
      </c>
      <c r="AD981" s="308"/>
      <c r="AE981" s="308"/>
      <c r="AF981" s="308"/>
      <c r="AG981" s="308"/>
      <c r="AH981" s="308"/>
      <c r="AI981" s="308"/>
      <c r="AJ981" s="308"/>
      <c r="AK981" s="308"/>
      <c r="AL981" s="308">
        <v>1</v>
      </c>
      <c r="AM981" s="308"/>
      <c r="AN981" s="308"/>
      <c r="AO981" s="308"/>
      <c r="AP981" s="308"/>
      <c r="AQ981" s="308"/>
      <c r="AR981" s="308"/>
      <c r="AS981" s="308"/>
      <c r="AT981" s="308"/>
      <c r="AU981" s="308"/>
      <c r="AV981" s="308"/>
      <c r="AW981" s="308"/>
      <c r="AX981" s="308"/>
      <c r="AY981" s="308"/>
      <c r="AZ981" s="308"/>
      <c r="BA981" s="308"/>
      <c r="BB981" s="306">
        <f t="shared" si="280"/>
        <v>1</v>
      </c>
      <c r="BC981" s="309">
        <v>0</v>
      </c>
      <c r="BD981" s="310">
        <f t="shared" si="281"/>
        <v>1</v>
      </c>
      <c r="BE981" s="310">
        <f t="shared" si="282"/>
        <v>0</v>
      </c>
      <c r="BF981" s="195" t="e">
        <f t="shared" si="283"/>
        <v>#DIV/0!</v>
      </c>
      <c r="BG981" s="373"/>
    </row>
    <row r="982" spans="1:59" s="21" customFormat="1" ht="15.95" customHeight="1">
      <c r="A982" s="163">
        <v>127</v>
      </c>
      <c r="B982" s="9" t="s">
        <v>597</v>
      </c>
      <c r="C982" s="11" t="s">
        <v>598</v>
      </c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306">
        <f t="shared" si="279"/>
        <v>0</v>
      </c>
      <c r="AC982" s="25">
        <v>0</v>
      </c>
      <c r="AD982" s="24"/>
      <c r="AE982" s="24"/>
      <c r="AF982" s="24"/>
      <c r="AG982" s="24"/>
      <c r="AH982" s="24"/>
      <c r="AI982" s="24"/>
      <c r="AJ982" s="24"/>
      <c r="AK982" s="24"/>
      <c r="AL982" s="24">
        <v>1</v>
      </c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2">
        <f t="shared" si="280"/>
        <v>1</v>
      </c>
      <c r="BC982" s="23">
        <v>5</v>
      </c>
      <c r="BD982" s="130">
        <f t="shared" si="281"/>
        <v>1</v>
      </c>
      <c r="BE982" s="130">
        <f t="shared" si="282"/>
        <v>5</v>
      </c>
      <c r="BF982" s="195">
        <f t="shared" si="283"/>
        <v>20</v>
      </c>
      <c r="BG982" s="373">
        <f>BE982-BD982</f>
        <v>4</v>
      </c>
    </row>
    <row r="983" spans="1:59" s="21" customFormat="1" ht="15.95" customHeight="1">
      <c r="A983" s="163">
        <v>128</v>
      </c>
      <c r="B983" s="9" t="s">
        <v>3922</v>
      </c>
      <c r="C983" s="11" t="s">
        <v>3923</v>
      </c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306">
        <f t="shared" si="279"/>
        <v>0</v>
      </c>
      <c r="AC983" s="25">
        <v>0</v>
      </c>
      <c r="AD983" s="24"/>
      <c r="AE983" s="24"/>
      <c r="AF983" s="24"/>
      <c r="AG983" s="24"/>
      <c r="AH983" s="24"/>
      <c r="AI983" s="24"/>
      <c r="AJ983" s="24"/>
      <c r="AK983" s="24"/>
      <c r="AL983" s="24">
        <v>1</v>
      </c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2">
        <f t="shared" si="280"/>
        <v>1</v>
      </c>
      <c r="BC983" s="23">
        <v>0</v>
      </c>
      <c r="BD983" s="130">
        <f t="shared" si="281"/>
        <v>1</v>
      </c>
      <c r="BE983" s="130">
        <f t="shared" si="282"/>
        <v>0</v>
      </c>
      <c r="BF983" s="195" t="e">
        <f t="shared" si="283"/>
        <v>#DIV/0!</v>
      </c>
      <c r="BG983" s="373"/>
    </row>
    <row r="984" spans="1:59" s="21" customFormat="1" ht="15.95" customHeight="1">
      <c r="A984" s="163">
        <v>129</v>
      </c>
      <c r="B984" s="9" t="s">
        <v>3924</v>
      </c>
      <c r="C984" s="11" t="s">
        <v>3925</v>
      </c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306">
        <f t="shared" ref="AB984:AB988" si="285">SUM(D984:AA984)</f>
        <v>0</v>
      </c>
      <c r="AC984" s="25">
        <v>0</v>
      </c>
      <c r="AD984" s="24"/>
      <c r="AE984" s="24"/>
      <c r="AF984" s="24"/>
      <c r="AG984" s="24"/>
      <c r="AH984" s="24"/>
      <c r="AI984" s="24"/>
      <c r="AJ984" s="24"/>
      <c r="AK984" s="24"/>
      <c r="AL984" s="24">
        <v>1</v>
      </c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2">
        <f t="shared" ref="BB984:BB988" si="286">SUM(AD984:BA984)</f>
        <v>1</v>
      </c>
      <c r="BC984" s="23">
        <v>0</v>
      </c>
      <c r="BD984" s="130">
        <f t="shared" si="281"/>
        <v>1</v>
      </c>
      <c r="BE984" s="130">
        <f t="shared" si="282"/>
        <v>0</v>
      </c>
      <c r="BF984" s="195" t="e">
        <f t="shared" ref="BF984:BF988" si="287">BD984/BE984*100</f>
        <v>#DIV/0!</v>
      </c>
      <c r="BG984" s="373"/>
    </row>
    <row r="985" spans="1:59" s="21" customFormat="1" ht="15.95" customHeight="1">
      <c r="A985" s="163">
        <v>130</v>
      </c>
      <c r="B985" s="9" t="s">
        <v>672</v>
      </c>
      <c r="C985" s="11" t="s">
        <v>673</v>
      </c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22">
        <f t="shared" si="285"/>
        <v>0</v>
      </c>
      <c r="AC985" s="25">
        <v>0</v>
      </c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2">
        <f t="shared" si="286"/>
        <v>0</v>
      </c>
      <c r="BC985" s="23">
        <v>1</v>
      </c>
      <c r="BD985" s="130">
        <f t="shared" si="281"/>
        <v>0</v>
      </c>
      <c r="BE985" s="130">
        <f t="shared" si="282"/>
        <v>1</v>
      </c>
      <c r="BF985" s="195">
        <f t="shared" si="287"/>
        <v>0</v>
      </c>
      <c r="BG985" s="373">
        <f>BE985-BD985</f>
        <v>1</v>
      </c>
    </row>
    <row r="986" spans="1:59" s="21" customFormat="1" ht="15.95" customHeight="1">
      <c r="A986" s="163">
        <v>131</v>
      </c>
      <c r="B986" s="9" t="s">
        <v>2988</v>
      </c>
      <c r="C986" s="11" t="s">
        <v>2989</v>
      </c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22">
        <f t="shared" si="285"/>
        <v>0</v>
      </c>
      <c r="AC986" s="25">
        <v>0</v>
      </c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2">
        <f t="shared" si="286"/>
        <v>0</v>
      </c>
      <c r="BC986" s="23">
        <v>1</v>
      </c>
      <c r="BD986" s="130">
        <f t="shared" si="281"/>
        <v>0</v>
      </c>
      <c r="BE986" s="130">
        <f t="shared" si="282"/>
        <v>1</v>
      </c>
      <c r="BF986" s="195">
        <f t="shared" si="287"/>
        <v>0</v>
      </c>
      <c r="BG986" s="373">
        <f>BE986-BD986</f>
        <v>1</v>
      </c>
    </row>
    <row r="987" spans="1:59" s="21" customFormat="1" ht="15.95" customHeight="1">
      <c r="A987" s="163">
        <v>132</v>
      </c>
      <c r="B987" s="9" t="s">
        <v>599</v>
      </c>
      <c r="C987" s="10" t="s">
        <v>600</v>
      </c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22">
        <f t="shared" si="285"/>
        <v>0</v>
      </c>
      <c r="AC987" s="25">
        <v>0</v>
      </c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>
        <v>1</v>
      </c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2">
        <f t="shared" si="286"/>
        <v>1</v>
      </c>
      <c r="BC987" s="23">
        <v>2</v>
      </c>
      <c r="BD987" s="130">
        <f t="shared" si="281"/>
        <v>1</v>
      </c>
      <c r="BE987" s="130">
        <f t="shared" si="282"/>
        <v>2</v>
      </c>
      <c r="BF987" s="195">
        <f t="shared" si="287"/>
        <v>50</v>
      </c>
      <c r="BG987" s="373">
        <f>BE987-BD987</f>
        <v>1</v>
      </c>
    </row>
    <row r="988" spans="1:59" s="21" customFormat="1" ht="15.95" customHeight="1">
      <c r="A988" s="163">
        <v>133</v>
      </c>
      <c r="B988" s="9" t="s">
        <v>2877</v>
      </c>
      <c r="C988" s="10" t="s">
        <v>2878</v>
      </c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22">
        <f t="shared" si="285"/>
        <v>0</v>
      </c>
      <c r="AC988" s="25">
        <v>0</v>
      </c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2">
        <f t="shared" si="286"/>
        <v>0</v>
      </c>
      <c r="BC988" s="23">
        <v>1</v>
      </c>
      <c r="BD988" s="130">
        <f t="shared" si="281"/>
        <v>0</v>
      </c>
      <c r="BE988" s="130">
        <f t="shared" si="282"/>
        <v>1</v>
      </c>
      <c r="BF988" s="195">
        <f t="shared" si="287"/>
        <v>0</v>
      </c>
      <c r="BG988" s="373">
        <f>BE988-BD988</f>
        <v>1</v>
      </c>
    </row>
    <row r="989" spans="1:59" s="21" customFormat="1" ht="15.95" customHeight="1">
      <c r="A989" s="632" t="s">
        <v>601</v>
      </c>
      <c r="B989" s="633"/>
      <c r="C989" s="633"/>
      <c r="D989" s="159">
        <f t="shared" ref="D989:AI989" si="288">SUM(D990:D998)</f>
        <v>0</v>
      </c>
      <c r="E989" s="159">
        <f t="shared" si="288"/>
        <v>0</v>
      </c>
      <c r="F989" s="159">
        <f t="shared" si="288"/>
        <v>0</v>
      </c>
      <c r="G989" s="159">
        <f t="shared" si="288"/>
        <v>0</v>
      </c>
      <c r="H989" s="159">
        <f t="shared" si="288"/>
        <v>0</v>
      </c>
      <c r="I989" s="159">
        <f t="shared" si="288"/>
        <v>0</v>
      </c>
      <c r="J989" s="159">
        <f t="shared" si="288"/>
        <v>0</v>
      </c>
      <c r="K989" s="159">
        <f t="shared" si="288"/>
        <v>0</v>
      </c>
      <c r="L989" s="159">
        <f t="shared" si="288"/>
        <v>3</v>
      </c>
      <c r="M989" s="159">
        <f t="shared" si="288"/>
        <v>0</v>
      </c>
      <c r="N989" s="159">
        <f t="shared" si="288"/>
        <v>0</v>
      </c>
      <c r="O989" s="159">
        <f t="shared" si="288"/>
        <v>0</v>
      </c>
      <c r="P989" s="159">
        <f t="shared" si="288"/>
        <v>0</v>
      </c>
      <c r="Q989" s="159">
        <f t="shared" si="288"/>
        <v>0</v>
      </c>
      <c r="R989" s="159">
        <f t="shared" si="288"/>
        <v>0</v>
      </c>
      <c r="S989" s="159">
        <f t="shared" si="288"/>
        <v>0</v>
      </c>
      <c r="T989" s="159">
        <f t="shared" si="288"/>
        <v>0</v>
      </c>
      <c r="U989" s="159">
        <f t="shared" si="288"/>
        <v>0</v>
      </c>
      <c r="V989" s="159">
        <f t="shared" si="288"/>
        <v>0</v>
      </c>
      <c r="W989" s="159">
        <f t="shared" si="288"/>
        <v>0</v>
      </c>
      <c r="X989" s="159">
        <f t="shared" si="288"/>
        <v>0</v>
      </c>
      <c r="Y989" s="159">
        <f t="shared" si="288"/>
        <v>0</v>
      </c>
      <c r="Z989" s="159">
        <f t="shared" si="288"/>
        <v>0</v>
      </c>
      <c r="AA989" s="159">
        <f t="shared" si="288"/>
        <v>0</v>
      </c>
      <c r="AB989" s="159">
        <f t="shared" si="288"/>
        <v>3</v>
      </c>
      <c r="AC989" s="161">
        <f t="shared" si="288"/>
        <v>0</v>
      </c>
      <c r="AD989" s="160">
        <f t="shared" si="288"/>
        <v>0</v>
      </c>
      <c r="AE989" s="160">
        <f t="shared" si="288"/>
        <v>0</v>
      </c>
      <c r="AF989" s="160">
        <f t="shared" si="288"/>
        <v>0</v>
      </c>
      <c r="AG989" s="160">
        <f t="shared" si="288"/>
        <v>0</v>
      </c>
      <c r="AH989" s="160">
        <f t="shared" si="288"/>
        <v>0</v>
      </c>
      <c r="AI989" s="160">
        <f t="shared" si="288"/>
        <v>0</v>
      </c>
      <c r="AJ989" s="160">
        <f t="shared" ref="AJ989:BC989" si="289">SUM(AJ990:AJ998)</f>
        <v>0</v>
      </c>
      <c r="AK989" s="160">
        <f t="shared" si="289"/>
        <v>0</v>
      </c>
      <c r="AL989" s="160">
        <f t="shared" si="289"/>
        <v>5</v>
      </c>
      <c r="AM989" s="160">
        <f t="shared" si="289"/>
        <v>0</v>
      </c>
      <c r="AN989" s="160">
        <f t="shared" si="289"/>
        <v>0</v>
      </c>
      <c r="AO989" s="160">
        <f t="shared" si="289"/>
        <v>0</v>
      </c>
      <c r="AP989" s="160">
        <f t="shared" si="289"/>
        <v>2</v>
      </c>
      <c r="AQ989" s="160">
        <f t="shared" si="289"/>
        <v>0</v>
      </c>
      <c r="AR989" s="160">
        <f t="shared" si="289"/>
        <v>0</v>
      </c>
      <c r="AS989" s="160">
        <f t="shared" si="289"/>
        <v>0</v>
      </c>
      <c r="AT989" s="160">
        <f t="shared" si="289"/>
        <v>0</v>
      </c>
      <c r="AU989" s="160">
        <f t="shared" si="289"/>
        <v>0</v>
      </c>
      <c r="AV989" s="160">
        <f t="shared" si="289"/>
        <v>0</v>
      </c>
      <c r="AW989" s="160">
        <f t="shared" si="289"/>
        <v>0</v>
      </c>
      <c r="AX989" s="160">
        <f t="shared" si="289"/>
        <v>0</v>
      </c>
      <c r="AY989" s="160">
        <f t="shared" si="289"/>
        <v>0</v>
      </c>
      <c r="AZ989" s="160">
        <f t="shared" si="289"/>
        <v>0</v>
      </c>
      <c r="BA989" s="160">
        <f t="shared" si="289"/>
        <v>0</v>
      </c>
      <c r="BB989" s="160">
        <f t="shared" si="289"/>
        <v>7</v>
      </c>
      <c r="BC989" s="103">
        <f t="shared" si="289"/>
        <v>20</v>
      </c>
      <c r="BD989" s="130">
        <f t="shared" ref="BD989:BD1018" si="290">AB989+BB989</f>
        <v>10</v>
      </c>
      <c r="BE989" s="130">
        <f t="shared" ref="BE989:BE1018" si="291">AC989+BC989</f>
        <v>20</v>
      </c>
      <c r="BF989" s="195">
        <f t="shared" ref="BF989:BF1005" si="292">BD989/BE989*100</f>
        <v>50</v>
      </c>
      <c r="BG989" s="374">
        <f t="shared" ref="BG989:BG1023" si="293">BE989-BD989</f>
        <v>10</v>
      </c>
    </row>
    <row r="990" spans="1:59" s="21" customFormat="1" ht="15.95" customHeight="1">
      <c r="A990" s="163">
        <v>1</v>
      </c>
      <c r="B990" s="9" t="s">
        <v>619</v>
      </c>
      <c r="C990" s="17" t="s">
        <v>620</v>
      </c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22">
        <f t="shared" ref="AB990:AB998" si="294">SUM(D990:AA990)</f>
        <v>0</v>
      </c>
      <c r="AC990" s="25">
        <v>0</v>
      </c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2">
        <f t="shared" ref="BB990:BB998" si="295">SUM(AD990:BA990)</f>
        <v>0</v>
      </c>
      <c r="BC990" s="23">
        <v>1</v>
      </c>
      <c r="BD990" s="130">
        <f t="shared" ref="BD990:BD998" si="296">AB990+BB990</f>
        <v>0</v>
      </c>
      <c r="BE990" s="130">
        <f t="shared" si="291"/>
        <v>1</v>
      </c>
      <c r="BF990" s="195">
        <f t="shared" ref="BF990:BF998" si="297">BD990/BE990*100</f>
        <v>0</v>
      </c>
      <c r="BG990" s="373">
        <f>BE990-BD990</f>
        <v>1</v>
      </c>
    </row>
    <row r="991" spans="1:59" s="21" customFormat="1" ht="15.95" customHeight="1">
      <c r="A991" s="163">
        <v>2</v>
      </c>
      <c r="B991" s="9" t="s">
        <v>358</v>
      </c>
      <c r="C991" s="17" t="s">
        <v>359</v>
      </c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22">
        <f t="shared" si="294"/>
        <v>0</v>
      </c>
      <c r="AC991" s="25">
        <v>0</v>
      </c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2">
        <f t="shared" si="295"/>
        <v>0</v>
      </c>
      <c r="BC991" s="23">
        <v>1</v>
      </c>
      <c r="BD991" s="130">
        <f t="shared" si="296"/>
        <v>0</v>
      </c>
      <c r="BE991" s="130">
        <f t="shared" si="291"/>
        <v>1</v>
      </c>
      <c r="BF991" s="195">
        <f t="shared" si="297"/>
        <v>0</v>
      </c>
      <c r="BG991" s="373">
        <f>BE991-BD991</f>
        <v>1</v>
      </c>
    </row>
    <row r="992" spans="1:59" s="21" customFormat="1" ht="15.95" customHeight="1">
      <c r="A992" s="163">
        <v>3</v>
      </c>
      <c r="B992" s="9" t="s">
        <v>160</v>
      </c>
      <c r="C992" s="17" t="s">
        <v>530</v>
      </c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22">
        <f t="shared" si="294"/>
        <v>0</v>
      </c>
      <c r="AC992" s="25">
        <v>0</v>
      </c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2">
        <f t="shared" si="295"/>
        <v>0</v>
      </c>
      <c r="BC992" s="23">
        <v>1</v>
      </c>
      <c r="BD992" s="130">
        <f t="shared" si="296"/>
        <v>0</v>
      </c>
      <c r="BE992" s="130">
        <f t="shared" si="291"/>
        <v>1</v>
      </c>
      <c r="BF992" s="195">
        <f t="shared" si="297"/>
        <v>0</v>
      </c>
      <c r="BG992" s="373">
        <f>BE992-BD992</f>
        <v>1</v>
      </c>
    </row>
    <row r="993" spans="1:59" s="21" customFormat="1" ht="15.95" customHeight="1">
      <c r="A993" s="163">
        <v>4</v>
      </c>
      <c r="B993" s="9" t="s">
        <v>617</v>
      </c>
      <c r="C993" s="17" t="s">
        <v>618</v>
      </c>
      <c r="D993" s="14"/>
      <c r="E993" s="14"/>
      <c r="F993" s="14"/>
      <c r="G993" s="14"/>
      <c r="H993" s="14"/>
      <c r="I993" s="14"/>
      <c r="J993" s="14"/>
      <c r="K993" s="14"/>
      <c r="L993" s="14">
        <v>3</v>
      </c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22">
        <f t="shared" si="294"/>
        <v>3</v>
      </c>
      <c r="AC993" s="25">
        <v>0</v>
      </c>
      <c r="AD993" s="24"/>
      <c r="AE993" s="24"/>
      <c r="AF993" s="24"/>
      <c r="AG993" s="24"/>
      <c r="AH993" s="24"/>
      <c r="AI993" s="24"/>
      <c r="AJ993" s="24"/>
      <c r="AK993" s="24"/>
      <c r="AL993" s="24">
        <v>4</v>
      </c>
      <c r="AM993" s="24"/>
      <c r="AN993" s="24"/>
      <c r="AO993" s="24"/>
      <c r="AP993" s="24">
        <v>2</v>
      </c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2">
        <f t="shared" si="295"/>
        <v>6</v>
      </c>
      <c r="BC993" s="23">
        <v>14</v>
      </c>
      <c r="BD993" s="130">
        <f t="shared" si="296"/>
        <v>9</v>
      </c>
      <c r="BE993" s="130">
        <f t="shared" si="291"/>
        <v>14</v>
      </c>
      <c r="BF993" s="195">
        <f t="shared" si="297"/>
        <v>64.285714285714292</v>
      </c>
      <c r="BG993" s="373">
        <f>BE993-BD993</f>
        <v>5</v>
      </c>
    </row>
    <row r="994" spans="1:59" s="21" customFormat="1" ht="15.95" customHeight="1">
      <c r="A994" s="163">
        <v>5</v>
      </c>
      <c r="B994" s="19" t="s">
        <v>19</v>
      </c>
      <c r="C994" s="20" t="s">
        <v>20</v>
      </c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22">
        <f t="shared" si="294"/>
        <v>0</v>
      </c>
      <c r="AC994" s="25">
        <v>0</v>
      </c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2">
        <f t="shared" si="295"/>
        <v>0</v>
      </c>
      <c r="BC994" s="23">
        <v>1</v>
      </c>
      <c r="BD994" s="130">
        <f t="shared" si="296"/>
        <v>0</v>
      </c>
      <c r="BE994" s="130">
        <f t="shared" si="291"/>
        <v>1</v>
      </c>
      <c r="BF994" s="195">
        <f t="shared" si="297"/>
        <v>0</v>
      </c>
      <c r="BG994" s="373">
        <f>BE994-BD994</f>
        <v>1</v>
      </c>
    </row>
    <row r="995" spans="1:59" s="21" customFormat="1" ht="15.95" customHeight="1">
      <c r="A995" s="163">
        <v>6</v>
      </c>
      <c r="B995" s="19" t="s">
        <v>1882</v>
      </c>
      <c r="C995" s="20" t="s">
        <v>3129</v>
      </c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22">
        <f t="shared" si="294"/>
        <v>0</v>
      </c>
      <c r="AC995" s="25">
        <v>0</v>
      </c>
      <c r="AD995" s="24"/>
      <c r="AE995" s="24"/>
      <c r="AF995" s="24"/>
      <c r="AG995" s="24"/>
      <c r="AH995" s="24"/>
      <c r="AI995" s="24"/>
      <c r="AJ995" s="24"/>
      <c r="AK995" s="24"/>
      <c r="AL995" s="24">
        <v>1</v>
      </c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2">
        <f t="shared" si="295"/>
        <v>1</v>
      </c>
      <c r="BC995" s="23">
        <v>0</v>
      </c>
      <c r="BD995" s="130">
        <f t="shared" si="296"/>
        <v>1</v>
      </c>
      <c r="BE995" s="130">
        <f t="shared" si="291"/>
        <v>0</v>
      </c>
      <c r="BF995" s="195" t="e">
        <f t="shared" si="297"/>
        <v>#DIV/0!</v>
      </c>
      <c r="BG995" s="373"/>
    </row>
    <row r="996" spans="1:59" s="21" customFormat="1" ht="15.95" customHeight="1">
      <c r="A996" s="163">
        <v>7</v>
      </c>
      <c r="B996" s="19" t="s">
        <v>24</v>
      </c>
      <c r="C996" s="20" t="s">
        <v>25</v>
      </c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22">
        <f t="shared" si="294"/>
        <v>0</v>
      </c>
      <c r="AC996" s="25">
        <v>0</v>
      </c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2">
        <f t="shared" si="295"/>
        <v>0</v>
      </c>
      <c r="BC996" s="23">
        <v>1</v>
      </c>
      <c r="BD996" s="130">
        <f t="shared" si="296"/>
        <v>0</v>
      </c>
      <c r="BE996" s="130">
        <f t="shared" si="291"/>
        <v>1</v>
      </c>
      <c r="BF996" s="195">
        <f t="shared" si="297"/>
        <v>0</v>
      </c>
      <c r="BG996" s="373">
        <f>BE996-BD996</f>
        <v>1</v>
      </c>
    </row>
    <row r="997" spans="1:59" s="21" customFormat="1" ht="15.95" customHeight="1">
      <c r="A997" s="163">
        <v>8</v>
      </c>
      <c r="B997" s="19" t="s">
        <v>8</v>
      </c>
      <c r="C997" s="20" t="s">
        <v>9</v>
      </c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22">
        <f t="shared" si="294"/>
        <v>0</v>
      </c>
      <c r="AC997" s="25">
        <v>0</v>
      </c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2">
        <f t="shared" si="295"/>
        <v>0</v>
      </c>
      <c r="BC997" s="23">
        <v>1</v>
      </c>
      <c r="BD997" s="130">
        <f t="shared" si="296"/>
        <v>0</v>
      </c>
      <c r="BE997" s="130">
        <f t="shared" si="291"/>
        <v>1</v>
      </c>
      <c r="BF997" s="195">
        <f t="shared" si="297"/>
        <v>0</v>
      </c>
      <c r="BG997" s="373">
        <f>BE997-BD997</f>
        <v>1</v>
      </c>
    </row>
    <row r="998" spans="1:59" s="21" customFormat="1" ht="15.95" customHeight="1">
      <c r="A998" s="163">
        <v>9</v>
      </c>
      <c r="B998" s="19"/>
      <c r="C998" s="20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22">
        <f t="shared" si="294"/>
        <v>0</v>
      </c>
      <c r="AC998" s="25">
        <v>0</v>
      </c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2">
        <f t="shared" si="295"/>
        <v>0</v>
      </c>
      <c r="BC998" s="23">
        <v>0</v>
      </c>
      <c r="BD998" s="130">
        <f t="shared" si="296"/>
        <v>0</v>
      </c>
      <c r="BE998" s="130">
        <f t="shared" si="291"/>
        <v>0</v>
      </c>
      <c r="BF998" s="195" t="e">
        <f t="shared" si="297"/>
        <v>#DIV/0!</v>
      </c>
      <c r="BG998" s="373">
        <f>BE998-BD998</f>
        <v>0</v>
      </c>
    </row>
    <row r="999" spans="1:59" s="21" customFormat="1" ht="15.95" customHeight="1">
      <c r="A999" s="632" t="s">
        <v>602</v>
      </c>
      <c r="B999" s="633"/>
      <c r="C999" s="633"/>
      <c r="D999" s="159">
        <f t="shared" ref="D999:BC999" si="298">SUM(D1000:D1001)</f>
        <v>0</v>
      </c>
      <c r="E999" s="159">
        <f t="shared" si="298"/>
        <v>0</v>
      </c>
      <c r="F999" s="159">
        <f t="shared" si="298"/>
        <v>0</v>
      </c>
      <c r="G999" s="159">
        <f t="shared" si="298"/>
        <v>0</v>
      </c>
      <c r="H999" s="159">
        <f t="shared" si="298"/>
        <v>0</v>
      </c>
      <c r="I999" s="159">
        <f t="shared" si="298"/>
        <v>0</v>
      </c>
      <c r="J999" s="159">
        <f t="shared" si="298"/>
        <v>0</v>
      </c>
      <c r="K999" s="159">
        <f t="shared" si="298"/>
        <v>0</v>
      </c>
      <c r="L999" s="159">
        <f t="shared" si="298"/>
        <v>0</v>
      </c>
      <c r="M999" s="159">
        <f t="shared" si="298"/>
        <v>0</v>
      </c>
      <c r="N999" s="159">
        <f t="shared" si="298"/>
        <v>0</v>
      </c>
      <c r="O999" s="159">
        <f t="shared" si="298"/>
        <v>0</v>
      </c>
      <c r="P999" s="159">
        <f t="shared" si="298"/>
        <v>0</v>
      </c>
      <c r="Q999" s="159">
        <f t="shared" si="298"/>
        <v>0</v>
      </c>
      <c r="R999" s="159">
        <f t="shared" si="298"/>
        <v>0</v>
      </c>
      <c r="S999" s="159">
        <f t="shared" si="298"/>
        <v>0</v>
      </c>
      <c r="T999" s="159">
        <f t="shared" si="298"/>
        <v>0</v>
      </c>
      <c r="U999" s="159">
        <f t="shared" si="298"/>
        <v>0</v>
      </c>
      <c r="V999" s="159">
        <f t="shared" si="298"/>
        <v>0</v>
      </c>
      <c r="W999" s="159">
        <f t="shared" si="298"/>
        <v>0</v>
      </c>
      <c r="X999" s="159">
        <f t="shared" si="298"/>
        <v>0</v>
      </c>
      <c r="Y999" s="159">
        <f t="shared" ref="Y999:Z999" si="299">SUM(Y1000:Y1001)</f>
        <v>0</v>
      </c>
      <c r="Z999" s="159">
        <f t="shared" si="299"/>
        <v>0</v>
      </c>
      <c r="AA999" s="159">
        <f t="shared" si="298"/>
        <v>0</v>
      </c>
      <c r="AB999" s="159">
        <f t="shared" si="298"/>
        <v>0</v>
      </c>
      <c r="AC999" s="25">
        <f t="shared" si="298"/>
        <v>0</v>
      </c>
      <c r="AD999" s="162">
        <f t="shared" si="298"/>
        <v>0</v>
      </c>
      <c r="AE999" s="162">
        <f t="shared" si="298"/>
        <v>0</v>
      </c>
      <c r="AF999" s="162">
        <f t="shared" si="298"/>
        <v>0</v>
      </c>
      <c r="AG999" s="162">
        <f t="shared" si="298"/>
        <v>0</v>
      </c>
      <c r="AH999" s="162">
        <f t="shared" si="298"/>
        <v>0</v>
      </c>
      <c r="AI999" s="162">
        <f t="shared" si="298"/>
        <v>0</v>
      </c>
      <c r="AJ999" s="162">
        <f t="shared" si="298"/>
        <v>0</v>
      </c>
      <c r="AK999" s="162">
        <f t="shared" si="298"/>
        <v>0</v>
      </c>
      <c r="AL999" s="162">
        <f t="shared" si="298"/>
        <v>0</v>
      </c>
      <c r="AM999" s="162">
        <f t="shared" si="298"/>
        <v>0</v>
      </c>
      <c r="AN999" s="162">
        <f t="shared" si="298"/>
        <v>0</v>
      </c>
      <c r="AO999" s="162">
        <f t="shared" si="298"/>
        <v>0</v>
      </c>
      <c r="AP999" s="162">
        <f t="shared" si="298"/>
        <v>0</v>
      </c>
      <c r="AQ999" s="162">
        <f t="shared" si="298"/>
        <v>0</v>
      </c>
      <c r="AR999" s="162">
        <f t="shared" si="298"/>
        <v>0</v>
      </c>
      <c r="AS999" s="162">
        <f t="shared" si="298"/>
        <v>0</v>
      </c>
      <c r="AT999" s="162">
        <f t="shared" si="298"/>
        <v>0</v>
      </c>
      <c r="AU999" s="162">
        <f t="shared" si="298"/>
        <v>0</v>
      </c>
      <c r="AV999" s="162">
        <f t="shared" si="298"/>
        <v>0</v>
      </c>
      <c r="AW999" s="162">
        <f t="shared" si="298"/>
        <v>0</v>
      </c>
      <c r="AX999" s="162">
        <f t="shared" si="298"/>
        <v>0</v>
      </c>
      <c r="AY999" s="162">
        <f t="shared" ref="AY999:AZ999" si="300">SUM(AY1000:AY1001)</f>
        <v>0</v>
      </c>
      <c r="AZ999" s="162">
        <f t="shared" si="300"/>
        <v>0</v>
      </c>
      <c r="BA999" s="162">
        <f t="shared" si="298"/>
        <v>0</v>
      </c>
      <c r="BB999" s="162">
        <f t="shared" si="298"/>
        <v>0</v>
      </c>
      <c r="BC999" s="23">
        <f t="shared" si="298"/>
        <v>0</v>
      </c>
      <c r="BD999" s="130">
        <f t="shared" si="290"/>
        <v>0</v>
      </c>
      <c r="BE999" s="130">
        <f t="shared" si="291"/>
        <v>0</v>
      </c>
      <c r="BF999" s="195" t="e">
        <f t="shared" si="292"/>
        <v>#DIV/0!</v>
      </c>
      <c r="BG999" s="374">
        <f t="shared" si="293"/>
        <v>0</v>
      </c>
    </row>
    <row r="1000" spans="1:59" s="21" customFormat="1" ht="15.95" customHeight="1">
      <c r="A1000" s="163">
        <v>1</v>
      </c>
      <c r="B1000" s="9"/>
      <c r="C1000" s="11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22">
        <f>SUM(D1000:AA1000)</f>
        <v>0</v>
      </c>
      <c r="AC1000" s="25">
        <v>0</v>
      </c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2">
        <f>SUM(AD1000:BA1000)</f>
        <v>0</v>
      </c>
      <c r="BC1000" s="23">
        <v>0</v>
      </c>
      <c r="BD1000" s="130">
        <f t="shared" si="290"/>
        <v>0</v>
      </c>
      <c r="BE1000" s="130">
        <f t="shared" si="291"/>
        <v>0</v>
      </c>
      <c r="BF1000" s="195" t="e">
        <f t="shared" si="292"/>
        <v>#DIV/0!</v>
      </c>
      <c r="BG1000" s="373">
        <f t="shared" si="293"/>
        <v>0</v>
      </c>
    </row>
    <row r="1001" spans="1:59" s="21" customFormat="1" ht="15.95" customHeight="1">
      <c r="A1001" s="163">
        <v>2</v>
      </c>
      <c r="B1001" s="9"/>
      <c r="C1001" s="11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22">
        <f>SUM(D1001:AA1001)</f>
        <v>0</v>
      </c>
      <c r="AC1001" s="25">
        <v>0</v>
      </c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2">
        <f>SUM(AD1001:BA1001)</f>
        <v>0</v>
      </c>
      <c r="BC1001" s="23">
        <v>0</v>
      </c>
      <c r="BD1001" s="130">
        <f t="shared" si="290"/>
        <v>0</v>
      </c>
      <c r="BE1001" s="130">
        <f t="shared" si="291"/>
        <v>0</v>
      </c>
      <c r="BF1001" s="195" t="e">
        <f t="shared" si="292"/>
        <v>#DIV/0!</v>
      </c>
      <c r="BG1001" s="373">
        <f t="shared" si="293"/>
        <v>0</v>
      </c>
    </row>
    <row r="1002" spans="1:59" s="21" customFormat="1" ht="15.95" customHeight="1">
      <c r="A1002" s="632" t="s">
        <v>715</v>
      </c>
      <c r="B1002" s="633"/>
      <c r="C1002" s="633"/>
      <c r="D1002" s="159">
        <f t="shared" ref="D1002:AI1002" si="301">SUM(D1003:D1004)</f>
        <v>0</v>
      </c>
      <c r="E1002" s="159">
        <f t="shared" si="301"/>
        <v>0</v>
      </c>
      <c r="F1002" s="159">
        <f t="shared" si="301"/>
        <v>0</v>
      </c>
      <c r="G1002" s="159">
        <f t="shared" si="301"/>
        <v>0</v>
      </c>
      <c r="H1002" s="159">
        <f t="shared" si="301"/>
        <v>0</v>
      </c>
      <c r="I1002" s="159">
        <f t="shared" si="301"/>
        <v>0</v>
      </c>
      <c r="J1002" s="159">
        <f t="shared" si="301"/>
        <v>0</v>
      </c>
      <c r="K1002" s="159">
        <f t="shared" si="301"/>
        <v>0</v>
      </c>
      <c r="L1002" s="159">
        <f t="shared" si="301"/>
        <v>0</v>
      </c>
      <c r="M1002" s="159">
        <f t="shared" si="301"/>
        <v>0</v>
      </c>
      <c r="N1002" s="159">
        <f t="shared" si="301"/>
        <v>0</v>
      </c>
      <c r="O1002" s="159">
        <f t="shared" si="301"/>
        <v>0</v>
      </c>
      <c r="P1002" s="159">
        <f t="shared" si="301"/>
        <v>12</v>
      </c>
      <c r="Q1002" s="159">
        <f t="shared" si="301"/>
        <v>0</v>
      </c>
      <c r="R1002" s="159">
        <f t="shared" si="301"/>
        <v>0</v>
      </c>
      <c r="S1002" s="159">
        <f t="shared" si="301"/>
        <v>0</v>
      </c>
      <c r="T1002" s="159">
        <f t="shared" si="301"/>
        <v>0</v>
      </c>
      <c r="U1002" s="159">
        <f t="shared" si="301"/>
        <v>0</v>
      </c>
      <c r="V1002" s="159">
        <f t="shared" si="301"/>
        <v>0</v>
      </c>
      <c r="W1002" s="159">
        <f t="shared" si="301"/>
        <v>0</v>
      </c>
      <c r="X1002" s="159">
        <f t="shared" si="301"/>
        <v>0</v>
      </c>
      <c r="Y1002" s="159">
        <f t="shared" si="301"/>
        <v>0</v>
      </c>
      <c r="Z1002" s="159">
        <f t="shared" si="301"/>
        <v>0</v>
      </c>
      <c r="AA1002" s="159">
        <f t="shared" si="301"/>
        <v>0</v>
      </c>
      <c r="AB1002" s="159">
        <f t="shared" si="301"/>
        <v>12</v>
      </c>
      <c r="AC1002" s="25">
        <f t="shared" si="301"/>
        <v>4</v>
      </c>
      <c r="AD1002" s="162">
        <f t="shared" si="301"/>
        <v>0</v>
      </c>
      <c r="AE1002" s="162">
        <f t="shared" si="301"/>
        <v>0</v>
      </c>
      <c r="AF1002" s="162">
        <f t="shared" si="301"/>
        <v>0</v>
      </c>
      <c r="AG1002" s="162">
        <f t="shared" si="301"/>
        <v>0</v>
      </c>
      <c r="AH1002" s="162">
        <f t="shared" si="301"/>
        <v>0</v>
      </c>
      <c r="AI1002" s="162">
        <f t="shared" si="301"/>
        <v>0</v>
      </c>
      <c r="AJ1002" s="162">
        <f t="shared" ref="AJ1002:BC1002" si="302">SUM(AJ1003:AJ1004)</f>
        <v>0</v>
      </c>
      <c r="AK1002" s="162">
        <f t="shared" si="302"/>
        <v>0</v>
      </c>
      <c r="AL1002" s="162">
        <f t="shared" si="302"/>
        <v>0</v>
      </c>
      <c r="AM1002" s="162">
        <f t="shared" si="302"/>
        <v>0</v>
      </c>
      <c r="AN1002" s="162">
        <f t="shared" si="302"/>
        <v>0</v>
      </c>
      <c r="AO1002" s="162">
        <f t="shared" si="302"/>
        <v>0</v>
      </c>
      <c r="AP1002" s="162">
        <f t="shared" si="302"/>
        <v>0</v>
      </c>
      <c r="AQ1002" s="162">
        <f t="shared" si="302"/>
        <v>0</v>
      </c>
      <c r="AR1002" s="162">
        <f t="shared" si="302"/>
        <v>0</v>
      </c>
      <c r="AS1002" s="162">
        <f t="shared" si="302"/>
        <v>0</v>
      </c>
      <c r="AT1002" s="162">
        <f t="shared" si="302"/>
        <v>0</v>
      </c>
      <c r="AU1002" s="162">
        <f t="shared" si="302"/>
        <v>0</v>
      </c>
      <c r="AV1002" s="162">
        <f t="shared" si="302"/>
        <v>0</v>
      </c>
      <c r="AW1002" s="162">
        <f t="shared" si="302"/>
        <v>0</v>
      </c>
      <c r="AX1002" s="162">
        <f t="shared" si="302"/>
        <v>0</v>
      </c>
      <c r="AY1002" s="162">
        <f t="shared" si="302"/>
        <v>0</v>
      </c>
      <c r="AZ1002" s="162">
        <f t="shared" si="302"/>
        <v>0</v>
      </c>
      <c r="BA1002" s="162">
        <f t="shared" si="302"/>
        <v>0</v>
      </c>
      <c r="BB1002" s="162">
        <f t="shared" si="302"/>
        <v>0</v>
      </c>
      <c r="BC1002" s="23">
        <f t="shared" si="302"/>
        <v>12</v>
      </c>
      <c r="BD1002" s="130">
        <f t="shared" si="290"/>
        <v>12</v>
      </c>
      <c r="BE1002" s="130">
        <f t="shared" si="291"/>
        <v>16</v>
      </c>
      <c r="BF1002" s="195">
        <f t="shared" si="292"/>
        <v>75</v>
      </c>
      <c r="BG1002" s="374">
        <f t="shared" si="293"/>
        <v>4</v>
      </c>
    </row>
    <row r="1003" spans="1:59" s="21" customFormat="1" ht="15.95" customHeight="1">
      <c r="A1003" s="163">
        <v>1</v>
      </c>
      <c r="B1003" s="19" t="s">
        <v>624</v>
      </c>
      <c r="C1003" s="169" t="s">
        <v>625</v>
      </c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22">
        <f>SUM(D1003:AA1003)</f>
        <v>0</v>
      </c>
      <c r="AC1003" s="25">
        <v>1</v>
      </c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2">
        <f>SUM(AD1003:BA1003)</f>
        <v>0</v>
      </c>
      <c r="BC1003" s="23">
        <v>0</v>
      </c>
      <c r="BD1003" s="130">
        <f t="shared" ref="BD1003" si="303">AB1003+BB1003</f>
        <v>0</v>
      </c>
      <c r="BE1003" s="130">
        <f t="shared" ref="BE1003" si="304">AC1003+BC1003</f>
        <v>1</v>
      </c>
      <c r="BF1003" s="195">
        <f t="shared" si="292"/>
        <v>0</v>
      </c>
      <c r="BG1003" s="373">
        <f t="shared" si="293"/>
        <v>1</v>
      </c>
    </row>
    <row r="1004" spans="1:59" s="21" customFormat="1" ht="15.95" customHeight="1">
      <c r="A1004" s="163">
        <v>2</v>
      </c>
      <c r="B1004" s="9" t="s">
        <v>617</v>
      </c>
      <c r="C1004" s="16" t="s">
        <v>618</v>
      </c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>
        <v>12</v>
      </c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22">
        <f>SUM(D1004:AA1004)</f>
        <v>12</v>
      </c>
      <c r="AC1004" s="25">
        <v>3</v>
      </c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2">
        <f>SUM(AD1004:BA1004)</f>
        <v>0</v>
      </c>
      <c r="BC1004" s="23">
        <v>12</v>
      </c>
      <c r="BD1004" s="130">
        <f t="shared" si="290"/>
        <v>12</v>
      </c>
      <c r="BE1004" s="130">
        <f t="shared" si="291"/>
        <v>15</v>
      </c>
      <c r="BF1004" s="195">
        <f t="shared" si="292"/>
        <v>80</v>
      </c>
      <c r="BG1004" s="373">
        <f t="shared" si="293"/>
        <v>3</v>
      </c>
    </row>
    <row r="1005" spans="1:59" s="21" customFormat="1" ht="15.95" customHeight="1">
      <c r="A1005" s="632" t="s">
        <v>716</v>
      </c>
      <c r="B1005" s="633"/>
      <c r="C1005" s="633"/>
      <c r="D1005" s="159">
        <f t="shared" ref="D1005:AI1005" si="305">D1006+D1018+D1023+D1028+D1040+D1043+D1068</f>
        <v>0</v>
      </c>
      <c r="E1005" s="159">
        <f t="shared" si="305"/>
        <v>0</v>
      </c>
      <c r="F1005" s="159">
        <f t="shared" si="305"/>
        <v>0</v>
      </c>
      <c r="G1005" s="159">
        <f t="shared" si="305"/>
        <v>0</v>
      </c>
      <c r="H1005" s="159">
        <f t="shared" si="305"/>
        <v>92</v>
      </c>
      <c r="I1005" s="159">
        <f t="shared" si="305"/>
        <v>0</v>
      </c>
      <c r="J1005" s="159">
        <f t="shared" si="305"/>
        <v>0</v>
      </c>
      <c r="K1005" s="159">
        <f t="shared" si="305"/>
        <v>0</v>
      </c>
      <c r="L1005" s="159">
        <f t="shared" si="305"/>
        <v>420</v>
      </c>
      <c r="M1005" s="159">
        <f t="shared" si="305"/>
        <v>0</v>
      </c>
      <c r="N1005" s="159">
        <f t="shared" si="305"/>
        <v>0</v>
      </c>
      <c r="O1005" s="159">
        <f t="shared" si="305"/>
        <v>0</v>
      </c>
      <c r="P1005" s="159">
        <f t="shared" si="305"/>
        <v>411</v>
      </c>
      <c r="Q1005" s="159">
        <f t="shared" si="305"/>
        <v>0</v>
      </c>
      <c r="R1005" s="159">
        <f t="shared" si="305"/>
        <v>0</v>
      </c>
      <c r="S1005" s="159">
        <f t="shared" si="305"/>
        <v>0</v>
      </c>
      <c r="T1005" s="159">
        <f t="shared" si="305"/>
        <v>0</v>
      </c>
      <c r="U1005" s="159">
        <f t="shared" si="305"/>
        <v>0</v>
      </c>
      <c r="V1005" s="159">
        <f t="shared" si="305"/>
        <v>0</v>
      </c>
      <c r="W1005" s="159">
        <f t="shared" si="305"/>
        <v>0</v>
      </c>
      <c r="X1005" s="159">
        <f t="shared" si="305"/>
        <v>0</v>
      </c>
      <c r="Y1005" s="159">
        <f t="shared" si="305"/>
        <v>0</v>
      </c>
      <c r="Z1005" s="159">
        <f t="shared" si="305"/>
        <v>0</v>
      </c>
      <c r="AA1005" s="159">
        <f t="shared" si="305"/>
        <v>0</v>
      </c>
      <c r="AB1005" s="159">
        <f t="shared" si="305"/>
        <v>922</v>
      </c>
      <c r="AC1005" s="23">
        <f t="shared" si="305"/>
        <v>1226</v>
      </c>
      <c r="AD1005" s="159">
        <f t="shared" si="305"/>
        <v>0</v>
      </c>
      <c r="AE1005" s="159">
        <f t="shared" si="305"/>
        <v>0</v>
      </c>
      <c r="AF1005" s="159">
        <f t="shared" si="305"/>
        <v>0</v>
      </c>
      <c r="AG1005" s="159">
        <f t="shared" si="305"/>
        <v>0</v>
      </c>
      <c r="AH1005" s="159">
        <f t="shared" si="305"/>
        <v>0</v>
      </c>
      <c r="AI1005" s="159">
        <f t="shared" si="305"/>
        <v>0</v>
      </c>
      <c r="AJ1005" s="159">
        <f t="shared" ref="AJ1005:BC1005" si="306">AJ1006+AJ1018+AJ1023+AJ1028+AJ1040+AJ1043+AJ1068</f>
        <v>0</v>
      </c>
      <c r="AK1005" s="159">
        <f t="shared" si="306"/>
        <v>0</v>
      </c>
      <c r="AL1005" s="159">
        <f t="shared" si="306"/>
        <v>1</v>
      </c>
      <c r="AM1005" s="159">
        <f t="shared" si="306"/>
        <v>0</v>
      </c>
      <c r="AN1005" s="159">
        <f t="shared" si="306"/>
        <v>0</v>
      </c>
      <c r="AO1005" s="159">
        <f t="shared" si="306"/>
        <v>0</v>
      </c>
      <c r="AP1005" s="159">
        <f t="shared" si="306"/>
        <v>0</v>
      </c>
      <c r="AQ1005" s="159">
        <f t="shared" si="306"/>
        <v>0</v>
      </c>
      <c r="AR1005" s="159">
        <f t="shared" si="306"/>
        <v>0</v>
      </c>
      <c r="AS1005" s="159">
        <f t="shared" si="306"/>
        <v>0</v>
      </c>
      <c r="AT1005" s="159">
        <f t="shared" si="306"/>
        <v>0</v>
      </c>
      <c r="AU1005" s="159">
        <f t="shared" si="306"/>
        <v>0</v>
      </c>
      <c r="AV1005" s="159">
        <f t="shared" si="306"/>
        <v>0</v>
      </c>
      <c r="AW1005" s="159">
        <f t="shared" si="306"/>
        <v>0</v>
      </c>
      <c r="AX1005" s="159">
        <f t="shared" si="306"/>
        <v>0</v>
      </c>
      <c r="AY1005" s="159">
        <f t="shared" si="306"/>
        <v>0</v>
      </c>
      <c r="AZ1005" s="159">
        <f t="shared" si="306"/>
        <v>0</v>
      </c>
      <c r="BA1005" s="159">
        <f t="shared" si="306"/>
        <v>0</v>
      </c>
      <c r="BB1005" s="159">
        <f t="shared" si="306"/>
        <v>1</v>
      </c>
      <c r="BC1005" s="127">
        <f t="shared" si="306"/>
        <v>4</v>
      </c>
      <c r="BD1005" s="130">
        <f t="shared" si="290"/>
        <v>923</v>
      </c>
      <c r="BE1005" s="130">
        <f t="shared" si="291"/>
        <v>1230</v>
      </c>
      <c r="BF1005" s="195">
        <f t="shared" si="292"/>
        <v>75.040650406504056</v>
      </c>
      <c r="BG1005" s="374">
        <f t="shared" si="293"/>
        <v>307</v>
      </c>
    </row>
    <row r="1006" spans="1:59" s="21" customFormat="1" ht="15.95" customHeight="1">
      <c r="A1006" s="634" t="s">
        <v>717</v>
      </c>
      <c r="B1006" s="635"/>
      <c r="C1006" s="635"/>
      <c r="D1006" s="14">
        <f t="shared" ref="D1006:AI1006" si="307">SUM(D1007:D1017)</f>
        <v>0</v>
      </c>
      <c r="E1006" s="14">
        <f t="shared" si="307"/>
        <v>0</v>
      </c>
      <c r="F1006" s="14">
        <f t="shared" si="307"/>
        <v>0</v>
      </c>
      <c r="G1006" s="14">
        <f t="shared" si="307"/>
        <v>0</v>
      </c>
      <c r="H1006" s="14">
        <f t="shared" si="307"/>
        <v>48</v>
      </c>
      <c r="I1006" s="14">
        <f t="shared" si="307"/>
        <v>0</v>
      </c>
      <c r="J1006" s="14">
        <f t="shared" si="307"/>
        <v>0</v>
      </c>
      <c r="K1006" s="14">
        <f t="shared" si="307"/>
        <v>0</v>
      </c>
      <c r="L1006" s="14">
        <f t="shared" si="307"/>
        <v>189</v>
      </c>
      <c r="M1006" s="14">
        <f t="shared" si="307"/>
        <v>0</v>
      </c>
      <c r="N1006" s="14">
        <f t="shared" si="307"/>
        <v>0</v>
      </c>
      <c r="O1006" s="14">
        <f t="shared" si="307"/>
        <v>0</v>
      </c>
      <c r="P1006" s="14">
        <f t="shared" si="307"/>
        <v>177</v>
      </c>
      <c r="Q1006" s="14">
        <f t="shared" si="307"/>
        <v>0</v>
      </c>
      <c r="R1006" s="14">
        <f t="shared" si="307"/>
        <v>0</v>
      </c>
      <c r="S1006" s="14">
        <f t="shared" si="307"/>
        <v>0</v>
      </c>
      <c r="T1006" s="14">
        <f t="shared" si="307"/>
        <v>0</v>
      </c>
      <c r="U1006" s="14">
        <f t="shared" si="307"/>
        <v>0</v>
      </c>
      <c r="V1006" s="14">
        <f t="shared" si="307"/>
        <v>0</v>
      </c>
      <c r="W1006" s="14">
        <f t="shared" si="307"/>
        <v>0</v>
      </c>
      <c r="X1006" s="14">
        <f t="shared" si="307"/>
        <v>0</v>
      </c>
      <c r="Y1006" s="14">
        <f t="shared" si="307"/>
        <v>0</v>
      </c>
      <c r="Z1006" s="14">
        <f t="shared" si="307"/>
        <v>0</v>
      </c>
      <c r="AA1006" s="14">
        <f t="shared" si="307"/>
        <v>0</v>
      </c>
      <c r="AB1006" s="14">
        <f t="shared" si="307"/>
        <v>414</v>
      </c>
      <c r="AC1006" s="23">
        <f t="shared" si="307"/>
        <v>489</v>
      </c>
      <c r="AD1006" s="24">
        <f t="shared" si="307"/>
        <v>0</v>
      </c>
      <c r="AE1006" s="24">
        <f t="shared" si="307"/>
        <v>0</v>
      </c>
      <c r="AF1006" s="24">
        <f t="shared" si="307"/>
        <v>0</v>
      </c>
      <c r="AG1006" s="24">
        <f t="shared" si="307"/>
        <v>0</v>
      </c>
      <c r="AH1006" s="24">
        <f t="shared" si="307"/>
        <v>0</v>
      </c>
      <c r="AI1006" s="24">
        <f t="shared" si="307"/>
        <v>0</v>
      </c>
      <c r="AJ1006" s="24">
        <f t="shared" ref="AJ1006:BC1006" si="308">SUM(AJ1007:AJ1017)</f>
        <v>0</v>
      </c>
      <c r="AK1006" s="24">
        <f t="shared" si="308"/>
        <v>0</v>
      </c>
      <c r="AL1006" s="24">
        <f t="shared" si="308"/>
        <v>1</v>
      </c>
      <c r="AM1006" s="24">
        <f t="shared" si="308"/>
        <v>0</v>
      </c>
      <c r="AN1006" s="24">
        <f t="shared" si="308"/>
        <v>0</v>
      </c>
      <c r="AO1006" s="24">
        <f t="shared" si="308"/>
        <v>0</v>
      </c>
      <c r="AP1006" s="24">
        <f t="shared" si="308"/>
        <v>0</v>
      </c>
      <c r="AQ1006" s="24">
        <f t="shared" si="308"/>
        <v>0</v>
      </c>
      <c r="AR1006" s="24">
        <f t="shared" si="308"/>
        <v>0</v>
      </c>
      <c r="AS1006" s="24">
        <f t="shared" si="308"/>
        <v>0</v>
      </c>
      <c r="AT1006" s="24">
        <f t="shared" si="308"/>
        <v>0</v>
      </c>
      <c r="AU1006" s="24">
        <f t="shared" si="308"/>
        <v>0</v>
      </c>
      <c r="AV1006" s="24">
        <f t="shared" si="308"/>
        <v>0</v>
      </c>
      <c r="AW1006" s="24">
        <f t="shared" si="308"/>
        <v>0</v>
      </c>
      <c r="AX1006" s="24">
        <f t="shared" si="308"/>
        <v>0</v>
      </c>
      <c r="AY1006" s="24">
        <f t="shared" si="308"/>
        <v>0</v>
      </c>
      <c r="AZ1006" s="24">
        <f t="shared" si="308"/>
        <v>0</v>
      </c>
      <c r="BA1006" s="24">
        <f t="shared" si="308"/>
        <v>0</v>
      </c>
      <c r="BB1006" s="24">
        <f t="shared" si="308"/>
        <v>1</v>
      </c>
      <c r="BC1006" s="23">
        <f t="shared" si="308"/>
        <v>4</v>
      </c>
      <c r="BD1006" s="130">
        <f t="shared" si="290"/>
        <v>415</v>
      </c>
      <c r="BE1006" s="130">
        <f t="shared" si="291"/>
        <v>493</v>
      </c>
      <c r="BF1006" s="195">
        <f t="shared" ref="BF1006:BF1068" si="309">BD1006/BE1006*100</f>
        <v>84.178498985801227</v>
      </c>
      <c r="BG1006" s="374">
        <f t="shared" si="293"/>
        <v>78</v>
      </c>
    </row>
    <row r="1007" spans="1:59" s="21" customFormat="1" ht="20.25" customHeight="1">
      <c r="A1007" s="170">
        <v>1</v>
      </c>
      <c r="B1007" s="26" t="s">
        <v>718</v>
      </c>
      <c r="C1007" s="30" t="s">
        <v>719</v>
      </c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2">
        <f t="shared" ref="AB1007:AB1017" si="310">SUM(D1007:AA1007)</f>
        <v>0</v>
      </c>
      <c r="AC1007" s="23">
        <v>6</v>
      </c>
      <c r="AD1007" s="29"/>
      <c r="AE1007" s="29"/>
      <c r="AF1007" s="29"/>
      <c r="AG1007" s="29"/>
      <c r="AH1007" s="29"/>
      <c r="AI1007" s="29"/>
      <c r="AJ1007" s="29"/>
      <c r="AK1007" s="29"/>
      <c r="AL1007" s="29">
        <v>1</v>
      </c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2">
        <f t="shared" ref="BB1007:BB1017" si="311">SUM(AD1007:BA1007)</f>
        <v>1</v>
      </c>
      <c r="BC1007" s="23">
        <v>1</v>
      </c>
      <c r="BD1007" s="130">
        <f t="shared" ref="BD1007:BD1017" si="312">AB1007+BB1007</f>
        <v>1</v>
      </c>
      <c r="BE1007" s="130">
        <f t="shared" si="291"/>
        <v>7</v>
      </c>
      <c r="BF1007" s="195">
        <f t="shared" ref="BF1007:BF1017" si="313">BD1007/BE1007*100</f>
        <v>14.285714285714285</v>
      </c>
      <c r="BG1007" s="373">
        <f>BE1007-BD1007</f>
        <v>6</v>
      </c>
    </row>
    <row r="1008" spans="1:59" s="21" customFormat="1" ht="20.25" customHeight="1">
      <c r="A1008" s="170">
        <v>2</v>
      </c>
      <c r="B1008" s="26" t="s">
        <v>613</v>
      </c>
      <c r="C1008" s="30" t="s">
        <v>614</v>
      </c>
      <c r="D1008" s="28"/>
      <c r="E1008" s="28"/>
      <c r="F1008" s="28"/>
      <c r="G1008" s="28"/>
      <c r="H1008" s="28"/>
      <c r="I1008" s="28"/>
      <c r="J1008" s="28"/>
      <c r="K1008" s="28"/>
      <c r="L1008" s="28">
        <f>1+1</f>
        <v>2</v>
      </c>
      <c r="M1008" s="28"/>
      <c r="N1008" s="28"/>
      <c r="O1008" s="28"/>
      <c r="P1008" s="28">
        <v>10</v>
      </c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2">
        <f t="shared" si="310"/>
        <v>12</v>
      </c>
      <c r="AC1008" s="23">
        <v>0</v>
      </c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2">
        <f t="shared" si="311"/>
        <v>0</v>
      </c>
      <c r="BC1008" s="23">
        <v>0</v>
      </c>
      <c r="BD1008" s="130">
        <f t="shared" si="312"/>
        <v>12</v>
      </c>
      <c r="BE1008" s="130">
        <f t="shared" si="291"/>
        <v>0</v>
      </c>
      <c r="BF1008" s="195" t="e">
        <f t="shared" si="313"/>
        <v>#DIV/0!</v>
      </c>
      <c r="BG1008" s="373"/>
    </row>
    <row r="1009" spans="1:59" s="21" customFormat="1" ht="15.95" customHeight="1">
      <c r="A1009" s="170">
        <v>3</v>
      </c>
      <c r="B1009" s="26" t="s">
        <v>32</v>
      </c>
      <c r="C1009" s="30" t="s">
        <v>33</v>
      </c>
      <c r="D1009" s="28"/>
      <c r="E1009" s="28"/>
      <c r="F1009" s="28"/>
      <c r="G1009" s="28"/>
      <c r="H1009" s="28"/>
      <c r="I1009" s="28"/>
      <c r="J1009" s="28"/>
      <c r="K1009" s="28"/>
      <c r="L1009" s="28">
        <v>33</v>
      </c>
      <c r="M1009" s="28"/>
      <c r="N1009" s="28"/>
      <c r="O1009" s="28"/>
      <c r="P1009" s="28">
        <v>9</v>
      </c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2">
        <f t="shared" si="310"/>
        <v>42</v>
      </c>
      <c r="AC1009" s="23">
        <v>1</v>
      </c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2">
        <f t="shared" si="311"/>
        <v>0</v>
      </c>
      <c r="BC1009" s="23">
        <v>0</v>
      </c>
      <c r="BD1009" s="130">
        <f t="shared" si="312"/>
        <v>42</v>
      </c>
      <c r="BE1009" s="130">
        <f t="shared" si="291"/>
        <v>1</v>
      </c>
      <c r="BF1009" s="195">
        <f t="shared" si="313"/>
        <v>4200</v>
      </c>
      <c r="BG1009" s="373">
        <f t="shared" ref="BG1009:BG1017" si="314">BE1009-BD1009</f>
        <v>-41</v>
      </c>
    </row>
    <row r="1010" spans="1:59" s="21" customFormat="1" ht="15.95" customHeight="1">
      <c r="A1010" s="170">
        <v>4</v>
      </c>
      <c r="B1010" s="26" t="s">
        <v>615</v>
      </c>
      <c r="C1010" s="30" t="s">
        <v>616</v>
      </c>
      <c r="D1010" s="28"/>
      <c r="E1010" s="28"/>
      <c r="F1010" s="28"/>
      <c r="G1010" s="28"/>
      <c r="H1010" s="28">
        <v>46</v>
      </c>
      <c r="I1010" s="28"/>
      <c r="J1010" s="28"/>
      <c r="K1010" s="28"/>
      <c r="L1010" s="28">
        <v>145</v>
      </c>
      <c r="M1010" s="28"/>
      <c r="N1010" s="28"/>
      <c r="O1010" s="28"/>
      <c r="P1010" s="28">
        <v>148</v>
      </c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2">
        <f t="shared" si="310"/>
        <v>339</v>
      </c>
      <c r="AC1010" s="23">
        <v>463</v>
      </c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2">
        <f t="shared" si="311"/>
        <v>0</v>
      </c>
      <c r="BC1010" s="23">
        <v>3</v>
      </c>
      <c r="BD1010" s="130">
        <f t="shared" si="312"/>
        <v>339</v>
      </c>
      <c r="BE1010" s="130">
        <f t="shared" si="291"/>
        <v>466</v>
      </c>
      <c r="BF1010" s="195">
        <f t="shared" si="313"/>
        <v>72.746781115879827</v>
      </c>
      <c r="BG1010" s="373">
        <f t="shared" si="314"/>
        <v>127</v>
      </c>
    </row>
    <row r="1011" spans="1:59" s="21" customFormat="1" ht="15.95" customHeight="1">
      <c r="A1011" s="170">
        <v>5</v>
      </c>
      <c r="B1011" s="26" t="s">
        <v>720</v>
      </c>
      <c r="C1011" s="30" t="s">
        <v>721</v>
      </c>
      <c r="D1011" s="28"/>
      <c r="E1011" s="28"/>
      <c r="F1011" s="28"/>
      <c r="G1011" s="28"/>
      <c r="H1011" s="28">
        <v>1</v>
      </c>
      <c r="I1011" s="28"/>
      <c r="J1011" s="28"/>
      <c r="K1011" s="28"/>
      <c r="L1011" s="28">
        <v>6</v>
      </c>
      <c r="M1011" s="28"/>
      <c r="N1011" s="28"/>
      <c r="O1011" s="28"/>
      <c r="P1011" s="28">
        <v>4</v>
      </c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2">
        <f t="shared" si="310"/>
        <v>11</v>
      </c>
      <c r="AC1011" s="23">
        <v>7</v>
      </c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2">
        <f t="shared" si="311"/>
        <v>0</v>
      </c>
      <c r="BC1011" s="23">
        <v>0</v>
      </c>
      <c r="BD1011" s="130">
        <f t="shared" si="312"/>
        <v>11</v>
      </c>
      <c r="BE1011" s="130">
        <f t="shared" si="291"/>
        <v>7</v>
      </c>
      <c r="BF1011" s="195">
        <f t="shared" si="313"/>
        <v>157.14285714285714</v>
      </c>
      <c r="BG1011" s="373">
        <f t="shared" si="314"/>
        <v>-4</v>
      </c>
    </row>
    <row r="1012" spans="1:59" s="21" customFormat="1" ht="15.95" customHeight="1">
      <c r="A1012" s="170">
        <v>6</v>
      </c>
      <c r="B1012" s="26" t="s">
        <v>617</v>
      </c>
      <c r="C1012" s="30" t="s">
        <v>618</v>
      </c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2">
        <f t="shared" si="310"/>
        <v>0</v>
      </c>
      <c r="AC1012" s="23">
        <v>1</v>
      </c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2">
        <f t="shared" si="311"/>
        <v>0</v>
      </c>
      <c r="BC1012" s="23">
        <v>0</v>
      </c>
      <c r="BD1012" s="130">
        <f t="shared" si="312"/>
        <v>0</v>
      </c>
      <c r="BE1012" s="130">
        <f t="shared" si="291"/>
        <v>1</v>
      </c>
      <c r="BF1012" s="195">
        <f t="shared" si="313"/>
        <v>0</v>
      </c>
      <c r="BG1012" s="373">
        <f t="shared" si="314"/>
        <v>1</v>
      </c>
    </row>
    <row r="1013" spans="1:59" s="21" customFormat="1" ht="15.95" customHeight="1">
      <c r="A1013" s="170">
        <v>7</v>
      </c>
      <c r="B1013" s="26" t="s">
        <v>246</v>
      </c>
      <c r="C1013" s="27" t="s">
        <v>247</v>
      </c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>
        <v>1</v>
      </c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2">
        <f t="shared" si="310"/>
        <v>1</v>
      </c>
      <c r="AC1013" s="23">
        <v>5</v>
      </c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2">
        <f t="shared" si="311"/>
        <v>0</v>
      </c>
      <c r="BC1013" s="23">
        <v>0</v>
      </c>
      <c r="BD1013" s="130">
        <f t="shared" si="312"/>
        <v>1</v>
      </c>
      <c r="BE1013" s="130">
        <f t="shared" si="291"/>
        <v>5</v>
      </c>
      <c r="BF1013" s="195">
        <f t="shared" si="313"/>
        <v>20</v>
      </c>
      <c r="BG1013" s="373">
        <f t="shared" si="314"/>
        <v>4</v>
      </c>
    </row>
    <row r="1014" spans="1:59" s="21" customFormat="1" ht="15.95" customHeight="1">
      <c r="A1014" s="170">
        <v>8</v>
      </c>
      <c r="B1014" s="26" t="s">
        <v>1306</v>
      </c>
      <c r="C1014" s="30" t="s">
        <v>3447</v>
      </c>
      <c r="D1014" s="28"/>
      <c r="E1014" s="28"/>
      <c r="F1014" s="28"/>
      <c r="G1014" s="28"/>
      <c r="H1014" s="28">
        <v>1</v>
      </c>
      <c r="I1014" s="28"/>
      <c r="J1014" s="28"/>
      <c r="K1014" s="28"/>
      <c r="L1014" s="28">
        <v>3</v>
      </c>
      <c r="M1014" s="28"/>
      <c r="N1014" s="28"/>
      <c r="O1014" s="28"/>
      <c r="P1014" s="28">
        <v>4</v>
      </c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2">
        <f t="shared" si="310"/>
        <v>8</v>
      </c>
      <c r="AC1014" s="23">
        <v>3</v>
      </c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2">
        <f t="shared" si="311"/>
        <v>0</v>
      </c>
      <c r="BC1014" s="23">
        <v>0</v>
      </c>
      <c r="BD1014" s="130">
        <f t="shared" si="312"/>
        <v>8</v>
      </c>
      <c r="BE1014" s="130">
        <f t="shared" si="291"/>
        <v>3</v>
      </c>
      <c r="BF1014" s="195">
        <f t="shared" si="313"/>
        <v>266.66666666666663</v>
      </c>
      <c r="BG1014" s="373">
        <f t="shared" si="314"/>
        <v>-5</v>
      </c>
    </row>
    <row r="1015" spans="1:59" s="21" customFormat="1" ht="15.95" customHeight="1">
      <c r="A1015" s="170">
        <v>9</v>
      </c>
      <c r="B1015" s="26" t="s">
        <v>62</v>
      </c>
      <c r="C1015" s="27" t="s">
        <v>63</v>
      </c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2">
        <f t="shared" si="310"/>
        <v>0</v>
      </c>
      <c r="AC1015" s="23">
        <v>1</v>
      </c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2">
        <f t="shared" si="311"/>
        <v>0</v>
      </c>
      <c r="BC1015" s="23">
        <v>0</v>
      </c>
      <c r="BD1015" s="130">
        <f t="shared" si="312"/>
        <v>0</v>
      </c>
      <c r="BE1015" s="130">
        <f t="shared" si="291"/>
        <v>1</v>
      </c>
      <c r="BF1015" s="195">
        <f t="shared" si="313"/>
        <v>0</v>
      </c>
      <c r="BG1015" s="373">
        <f t="shared" si="314"/>
        <v>1</v>
      </c>
    </row>
    <row r="1016" spans="1:59" s="21" customFormat="1" ht="15.95" customHeight="1">
      <c r="A1016" s="170">
        <v>10</v>
      </c>
      <c r="B1016" s="26" t="s">
        <v>335</v>
      </c>
      <c r="C1016" s="27" t="s">
        <v>2146</v>
      </c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>
        <v>1</v>
      </c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2">
        <f t="shared" si="310"/>
        <v>1</v>
      </c>
      <c r="AC1016" s="23">
        <v>1</v>
      </c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2">
        <f t="shared" si="311"/>
        <v>0</v>
      </c>
      <c r="BC1016" s="23">
        <v>0</v>
      </c>
      <c r="BD1016" s="130">
        <f t="shared" si="312"/>
        <v>1</v>
      </c>
      <c r="BE1016" s="130">
        <f t="shared" si="291"/>
        <v>1</v>
      </c>
      <c r="BF1016" s="195">
        <f t="shared" si="313"/>
        <v>100</v>
      </c>
      <c r="BG1016" s="373">
        <f t="shared" si="314"/>
        <v>0</v>
      </c>
    </row>
    <row r="1017" spans="1:59" s="21" customFormat="1" ht="15.95" customHeight="1">
      <c r="A1017" s="170">
        <v>11</v>
      </c>
      <c r="B1017" s="26" t="s">
        <v>672</v>
      </c>
      <c r="C1017" s="27" t="s">
        <v>673</v>
      </c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2">
        <f t="shared" si="310"/>
        <v>0</v>
      </c>
      <c r="AC1017" s="23">
        <v>1</v>
      </c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2">
        <f t="shared" si="311"/>
        <v>0</v>
      </c>
      <c r="BC1017" s="23">
        <v>0</v>
      </c>
      <c r="BD1017" s="130">
        <f t="shared" si="312"/>
        <v>0</v>
      </c>
      <c r="BE1017" s="130">
        <f t="shared" si="291"/>
        <v>1</v>
      </c>
      <c r="BF1017" s="195">
        <f t="shared" si="313"/>
        <v>0</v>
      </c>
      <c r="BG1017" s="373">
        <f t="shared" si="314"/>
        <v>1</v>
      </c>
    </row>
    <row r="1018" spans="1:59" s="21" customFormat="1" ht="15.95" customHeight="1">
      <c r="A1018" s="634" t="s">
        <v>722</v>
      </c>
      <c r="B1018" s="635"/>
      <c r="C1018" s="635"/>
      <c r="D1018" s="14">
        <f t="shared" ref="D1018:AI1018" si="315">SUM(D1019:D1022)</f>
        <v>0</v>
      </c>
      <c r="E1018" s="14">
        <f t="shared" si="315"/>
        <v>0</v>
      </c>
      <c r="F1018" s="14">
        <f t="shared" si="315"/>
        <v>0</v>
      </c>
      <c r="G1018" s="14">
        <f t="shared" si="315"/>
        <v>0</v>
      </c>
      <c r="H1018" s="14">
        <f t="shared" si="315"/>
        <v>1</v>
      </c>
      <c r="I1018" s="14">
        <f t="shared" si="315"/>
        <v>0</v>
      </c>
      <c r="J1018" s="14">
        <f t="shared" si="315"/>
        <v>0</v>
      </c>
      <c r="K1018" s="14">
        <f t="shared" si="315"/>
        <v>0</v>
      </c>
      <c r="L1018" s="14">
        <f t="shared" si="315"/>
        <v>7</v>
      </c>
      <c r="M1018" s="14">
        <f t="shared" si="315"/>
        <v>0</v>
      </c>
      <c r="N1018" s="14">
        <f t="shared" si="315"/>
        <v>0</v>
      </c>
      <c r="O1018" s="14">
        <f t="shared" si="315"/>
        <v>0</v>
      </c>
      <c r="P1018" s="14">
        <f t="shared" si="315"/>
        <v>10</v>
      </c>
      <c r="Q1018" s="14">
        <f t="shared" si="315"/>
        <v>0</v>
      </c>
      <c r="R1018" s="14">
        <f t="shared" si="315"/>
        <v>0</v>
      </c>
      <c r="S1018" s="14">
        <f t="shared" si="315"/>
        <v>0</v>
      </c>
      <c r="T1018" s="14">
        <f t="shared" si="315"/>
        <v>0</v>
      </c>
      <c r="U1018" s="14">
        <f t="shared" si="315"/>
        <v>0</v>
      </c>
      <c r="V1018" s="14">
        <f t="shared" si="315"/>
        <v>0</v>
      </c>
      <c r="W1018" s="14">
        <f t="shared" si="315"/>
        <v>0</v>
      </c>
      <c r="X1018" s="14">
        <f t="shared" si="315"/>
        <v>0</v>
      </c>
      <c r="Y1018" s="14">
        <f t="shared" si="315"/>
        <v>0</v>
      </c>
      <c r="Z1018" s="14">
        <f t="shared" si="315"/>
        <v>0</v>
      </c>
      <c r="AA1018" s="14">
        <f t="shared" si="315"/>
        <v>0</v>
      </c>
      <c r="AB1018" s="14">
        <f t="shared" si="315"/>
        <v>18</v>
      </c>
      <c r="AC1018" s="23">
        <f t="shared" si="315"/>
        <v>16</v>
      </c>
      <c r="AD1018" s="24">
        <f t="shared" si="315"/>
        <v>0</v>
      </c>
      <c r="AE1018" s="24">
        <f t="shared" si="315"/>
        <v>0</v>
      </c>
      <c r="AF1018" s="24">
        <f t="shared" si="315"/>
        <v>0</v>
      </c>
      <c r="AG1018" s="24">
        <f t="shared" si="315"/>
        <v>0</v>
      </c>
      <c r="AH1018" s="24">
        <f t="shared" si="315"/>
        <v>0</v>
      </c>
      <c r="AI1018" s="24">
        <f t="shared" si="315"/>
        <v>0</v>
      </c>
      <c r="AJ1018" s="24">
        <f t="shared" ref="AJ1018:BC1018" si="316">SUM(AJ1019:AJ1022)</f>
        <v>0</v>
      </c>
      <c r="AK1018" s="24">
        <f t="shared" si="316"/>
        <v>0</v>
      </c>
      <c r="AL1018" s="24">
        <f t="shared" si="316"/>
        <v>0</v>
      </c>
      <c r="AM1018" s="24">
        <f t="shared" si="316"/>
        <v>0</v>
      </c>
      <c r="AN1018" s="24">
        <f t="shared" si="316"/>
        <v>0</v>
      </c>
      <c r="AO1018" s="24">
        <f t="shared" si="316"/>
        <v>0</v>
      </c>
      <c r="AP1018" s="24">
        <f t="shared" si="316"/>
        <v>0</v>
      </c>
      <c r="AQ1018" s="24">
        <f t="shared" si="316"/>
        <v>0</v>
      </c>
      <c r="AR1018" s="24">
        <f t="shared" si="316"/>
        <v>0</v>
      </c>
      <c r="AS1018" s="24">
        <f t="shared" si="316"/>
        <v>0</v>
      </c>
      <c r="AT1018" s="24">
        <f t="shared" si="316"/>
        <v>0</v>
      </c>
      <c r="AU1018" s="24">
        <f t="shared" si="316"/>
        <v>0</v>
      </c>
      <c r="AV1018" s="24">
        <f t="shared" si="316"/>
        <v>0</v>
      </c>
      <c r="AW1018" s="24">
        <f t="shared" si="316"/>
        <v>0</v>
      </c>
      <c r="AX1018" s="24">
        <f t="shared" si="316"/>
        <v>0</v>
      </c>
      <c r="AY1018" s="24">
        <f t="shared" si="316"/>
        <v>0</v>
      </c>
      <c r="AZ1018" s="24">
        <f t="shared" si="316"/>
        <v>0</v>
      </c>
      <c r="BA1018" s="24">
        <f t="shared" si="316"/>
        <v>0</v>
      </c>
      <c r="BB1018" s="24">
        <f t="shared" si="316"/>
        <v>0</v>
      </c>
      <c r="BC1018" s="23">
        <f t="shared" si="316"/>
        <v>0</v>
      </c>
      <c r="BD1018" s="130">
        <f t="shared" si="290"/>
        <v>18</v>
      </c>
      <c r="BE1018" s="130">
        <f t="shared" si="291"/>
        <v>16</v>
      </c>
      <c r="BF1018" s="195">
        <f t="shared" si="309"/>
        <v>112.5</v>
      </c>
      <c r="BG1018" s="374">
        <f t="shared" si="293"/>
        <v>-2</v>
      </c>
    </row>
    <row r="1019" spans="1:59" s="21" customFormat="1" ht="15.95" customHeight="1">
      <c r="A1019" s="170">
        <v>1</v>
      </c>
      <c r="B1019" s="26" t="s">
        <v>615</v>
      </c>
      <c r="C1019" s="27" t="s">
        <v>616</v>
      </c>
      <c r="D1019" s="28"/>
      <c r="E1019" s="28"/>
      <c r="F1019" s="28"/>
      <c r="G1019" s="28"/>
      <c r="H1019" s="28">
        <v>1</v>
      </c>
      <c r="I1019" s="28"/>
      <c r="J1019" s="28"/>
      <c r="K1019" s="28"/>
      <c r="L1019" s="28">
        <f>2+3</f>
        <v>5</v>
      </c>
      <c r="M1019" s="28"/>
      <c r="N1019" s="28"/>
      <c r="O1019" s="28"/>
      <c r="P1019" s="28">
        <v>8</v>
      </c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2">
        <f t="shared" ref="AB1019:AB1022" si="317">SUM(D1019:AA1019)</f>
        <v>14</v>
      </c>
      <c r="AC1019" s="23">
        <v>10</v>
      </c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2">
        <f t="shared" ref="BB1019:BB1022" si="318">SUM(AD1019:BA1019)</f>
        <v>0</v>
      </c>
      <c r="BC1019" s="23">
        <v>0</v>
      </c>
      <c r="BD1019" s="130">
        <f t="shared" ref="BD1019:BD1022" si="319">AB1019+BB1019</f>
        <v>14</v>
      </c>
      <c r="BE1019" s="130">
        <f t="shared" ref="BE1019:BE1022" si="320">AC1019+BC1019</f>
        <v>10</v>
      </c>
      <c r="BF1019" s="195">
        <f t="shared" si="309"/>
        <v>140</v>
      </c>
      <c r="BG1019" s="373">
        <f t="shared" si="293"/>
        <v>-4</v>
      </c>
    </row>
    <row r="1020" spans="1:59" s="21" customFormat="1" ht="15.95" customHeight="1">
      <c r="A1020" s="170">
        <v>2</v>
      </c>
      <c r="B1020" s="26" t="s">
        <v>2461</v>
      </c>
      <c r="C1020" s="27" t="s">
        <v>2462</v>
      </c>
      <c r="D1020" s="28"/>
      <c r="E1020" s="28"/>
      <c r="F1020" s="28"/>
      <c r="G1020" s="28"/>
      <c r="H1020" s="28"/>
      <c r="I1020" s="28"/>
      <c r="J1020" s="28"/>
      <c r="K1020" s="28"/>
      <c r="L1020" s="28">
        <v>1</v>
      </c>
      <c r="M1020" s="28"/>
      <c r="N1020" s="28"/>
      <c r="O1020" s="28"/>
      <c r="P1020" s="28">
        <v>1</v>
      </c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2">
        <f t="shared" si="317"/>
        <v>2</v>
      </c>
      <c r="AC1020" s="23">
        <v>3</v>
      </c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2">
        <f t="shared" si="318"/>
        <v>0</v>
      </c>
      <c r="BC1020" s="23">
        <v>0</v>
      </c>
      <c r="BD1020" s="130">
        <f t="shared" si="319"/>
        <v>2</v>
      </c>
      <c r="BE1020" s="130">
        <f t="shared" si="320"/>
        <v>3</v>
      </c>
      <c r="BF1020" s="195">
        <f t="shared" si="309"/>
        <v>66.666666666666657</v>
      </c>
      <c r="BG1020" s="373">
        <f t="shared" si="293"/>
        <v>1</v>
      </c>
    </row>
    <row r="1021" spans="1:59" s="21" customFormat="1" ht="15.95" customHeight="1">
      <c r="A1021" s="170">
        <v>3</v>
      </c>
      <c r="B1021" s="26" t="s">
        <v>21</v>
      </c>
      <c r="C1021" s="27" t="s">
        <v>22</v>
      </c>
      <c r="D1021" s="28"/>
      <c r="E1021" s="28"/>
      <c r="F1021" s="28"/>
      <c r="G1021" s="28"/>
      <c r="H1021" s="28"/>
      <c r="I1021" s="28"/>
      <c r="J1021" s="28"/>
      <c r="K1021" s="28"/>
      <c r="L1021" s="28">
        <v>1</v>
      </c>
      <c r="M1021" s="28"/>
      <c r="N1021" s="28"/>
      <c r="O1021" s="28"/>
      <c r="P1021" s="28">
        <v>1</v>
      </c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2">
        <f t="shared" si="317"/>
        <v>2</v>
      </c>
      <c r="AC1021" s="23">
        <v>1</v>
      </c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2">
        <f t="shared" si="318"/>
        <v>0</v>
      </c>
      <c r="BC1021" s="23">
        <v>0</v>
      </c>
      <c r="BD1021" s="130">
        <f t="shared" si="319"/>
        <v>2</v>
      </c>
      <c r="BE1021" s="130">
        <f t="shared" si="320"/>
        <v>1</v>
      </c>
      <c r="BF1021" s="195">
        <f t="shared" si="309"/>
        <v>200</v>
      </c>
      <c r="BG1021" s="373">
        <f t="shared" si="293"/>
        <v>-1</v>
      </c>
    </row>
    <row r="1022" spans="1:59" s="21" customFormat="1" ht="15.95" customHeight="1">
      <c r="A1022" s="170">
        <v>4</v>
      </c>
      <c r="B1022" s="26" t="s">
        <v>411</v>
      </c>
      <c r="C1022" s="27" t="s">
        <v>412</v>
      </c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2">
        <f t="shared" si="317"/>
        <v>0</v>
      </c>
      <c r="AC1022" s="23">
        <v>2</v>
      </c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2">
        <f t="shared" si="318"/>
        <v>0</v>
      </c>
      <c r="BC1022" s="23">
        <v>0</v>
      </c>
      <c r="BD1022" s="130">
        <f t="shared" si="319"/>
        <v>0</v>
      </c>
      <c r="BE1022" s="130">
        <f t="shared" si="320"/>
        <v>2</v>
      </c>
      <c r="BF1022" s="195">
        <f t="shared" si="309"/>
        <v>0</v>
      </c>
      <c r="BG1022" s="373">
        <f t="shared" si="293"/>
        <v>2</v>
      </c>
    </row>
    <row r="1023" spans="1:59" s="21" customFormat="1" ht="15.95" customHeight="1">
      <c r="A1023" s="634" t="s">
        <v>723</v>
      </c>
      <c r="B1023" s="635"/>
      <c r="C1023" s="635"/>
      <c r="D1023" s="14">
        <f t="shared" ref="D1023:AI1023" si="321">SUM(D1024:D1027)</f>
        <v>0</v>
      </c>
      <c r="E1023" s="14">
        <f t="shared" si="321"/>
        <v>0</v>
      </c>
      <c r="F1023" s="14">
        <f t="shared" si="321"/>
        <v>0</v>
      </c>
      <c r="G1023" s="14">
        <f t="shared" si="321"/>
        <v>0</v>
      </c>
      <c r="H1023" s="14">
        <f t="shared" si="321"/>
        <v>1</v>
      </c>
      <c r="I1023" s="14">
        <f t="shared" si="321"/>
        <v>0</v>
      </c>
      <c r="J1023" s="14">
        <f t="shared" si="321"/>
        <v>0</v>
      </c>
      <c r="K1023" s="14">
        <f t="shared" si="321"/>
        <v>0</v>
      </c>
      <c r="L1023" s="14">
        <f t="shared" si="321"/>
        <v>0</v>
      </c>
      <c r="M1023" s="14">
        <f t="shared" si="321"/>
        <v>0</v>
      </c>
      <c r="N1023" s="14">
        <f t="shared" si="321"/>
        <v>0</v>
      </c>
      <c r="O1023" s="14">
        <f t="shared" si="321"/>
        <v>0</v>
      </c>
      <c r="P1023" s="14">
        <f t="shared" si="321"/>
        <v>3</v>
      </c>
      <c r="Q1023" s="14">
        <f t="shared" si="321"/>
        <v>0</v>
      </c>
      <c r="R1023" s="14">
        <f t="shared" si="321"/>
        <v>0</v>
      </c>
      <c r="S1023" s="14">
        <f t="shared" si="321"/>
        <v>0</v>
      </c>
      <c r="T1023" s="14">
        <f t="shared" si="321"/>
        <v>0</v>
      </c>
      <c r="U1023" s="14">
        <f t="shared" si="321"/>
        <v>0</v>
      </c>
      <c r="V1023" s="14">
        <f t="shared" si="321"/>
        <v>0</v>
      </c>
      <c r="W1023" s="14">
        <f t="shared" si="321"/>
        <v>0</v>
      </c>
      <c r="X1023" s="14">
        <f t="shared" si="321"/>
        <v>0</v>
      </c>
      <c r="Y1023" s="14">
        <f t="shared" si="321"/>
        <v>0</v>
      </c>
      <c r="Z1023" s="14">
        <f t="shared" si="321"/>
        <v>0</v>
      </c>
      <c r="AA1023" s="14">
        <f t="shared" si="321"/>
        <v>0</v>
      </c>
      <c r="AB1023" s="14">
        <f t="shared" si="321"/>
        <v>4</v>
      </c>
      <c r="AC1023" s="23">
        <f t="shared" si="321"/>
        <v>17</v>
      </c>
      <c r="AD1023" s="24">
        <f t="shared" si="321"/>
        <v>0</v>
      </c>
      <c r="AE1023" s="24">
        <f t="shared" si="321"/>
        <v>0</v>
      </c>
      <c r="AF1023" s="24">
        <f t="shared" si="321"/>
        <v>0</v>
      </c>
      <c r="AG1023" s="24">
        <f t="shared" si="321"/>
        <v>0</v>
      </c>
      <c r="AH1023" s="24">
        <f t="shared" si="321"/>
        <v>0</v>
      </c>
      <c r="AI1023" s="24">
        <f t="shared" si="321"/>
        <v>0</v>
      </c>
      <c r="AJ1023" s="24">
        <f t="shared" ref="AJ1023:BB1023" si="322">SUM(AJ1024:AJ1027)</f>
        <v>0</v>
      </c>
      <c r="AK1023" s="24">
        <f t="shared" si="322"/>
        <v>0</v>
      </c>
      <c r="AL1023" s="24">
        <f t="shared" si="322"/>
        <v>0</v>
      </c>
      <c r="AM1023" s="24">
        <f t="shared" si="322"/>
        <v>0</v>
      </c>
      <c r="AN1023" s="24">
        <f t="shared" si="322"/>
        <v>0</v>
      </c>
      <c r="AO1023" s="24">
        <f t="shared" si="322"/>
        <v>0</v>
      </c>
      <c r="AP1023" s="24">
        <f t="shared" si="322"/>
        <v>0</v>
      </c>
      <c r="AQ1023" s="24">
        <f t="shared" si="322"/>
        <v>0</v>
      </c>
      <c r="AR1023" s="24">
        <f t="shared" si="322"/>
        <v>0</v>
      </c>
      <c r="AS1023" s="24">
        <f t="shared" si="322"/>
        <v>0</v>
      </c>
      <c r="AT1023" s="24">
        <f t="shared" si="322"/>
        <v>0</v>
      </c>
      <c r="AU1023" s="24">
        <f t="shared" si="322"/>
        <v>0</v>
      </c>
      <c r="AV1023" s="24">
        <f t="shared" si="322"/>
        <v>0</v>
      </c>
      <c r="AW1023" s="24">
        <f t="shared" si="322"/>
        <v>0</v>
      </c>
      <c r="AX1023" s="24">
        <f t="shared" si="322"/>
        <v>0</v>
      </c>
      <c r="AY1023" s="24">
        <f t="shared" si="322"/>
        <v>0</v>
      </c>
      <c r="AZ1023" s="24">
        <f t="shared" si="322"/>
        <v>0</v>
      </c>
      <c r="BA1023" s="24">
        <f t="shared" si="322"/>
        <v>0</v>
      </c>
      <c r="BB1023" s="24">
        <f t="shared" si="322"/>
        <v>0</v>
      </c>
      <c r="BC1023" s="23">
        <v>0</v>
      </c>
      <c r="BD1023" s="130">
        <f t="shared" ref="BD1023:BD1068" si="323">AB1023+BB1023</f>
        <v>4</v>
      </c>
      <c r="BE1023" s="130">
        <f t="shared" ref="BE1023:BE1068" si="324">AC1023+BC1023</f>
        <v>17</v>
      </c>
      <c r="BF1023" s="195">
        <f t="shared" si="309"/>
        <v>23.52941176470588</v>
      </c>
      <c r="BG1023" s="374">
        <f t="shared" si="293"/>
        <v>13</v>
      </c>
    </row>
    <row r="1024" spans="1:59" s="21" customFormat="1" ht="15.95" customHeight="1">
      <c r="A1024" s="170">
        <v>1</v>
      </c>
      <c r="B1024" s="26" t="s">
        <v>718</v>
      </c>
      <c r="C1024" s="27" t="s">
        <v>2242</v>
      </c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2">
        <f>SUM(D1024:AA1024)</f>
        <v>0</v>
      </c>
      <c r="AC1024" s="23">
        <v>2</v>
      </c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2">
        <f>SUM(AD1024:BA1024)</f>
        <v>0</v>
      </c>
      <c r="BC1024" s="23">
        <v>0</v>
      </c>
      <c r="BD1024" s="130">
        <f t="shared" ref="BD1024:BE1027" si="325">AB1024+BB1024</f>
        <v>0</v>
      </c>
      <c r="BE1024" s="130">
        <f t="shared" si="325"/>
        <v>2</v>
      </c>
      <c r="BF1024" s="195">
        <f t="shared" si="309"/>
        <v>0</v>
      </c>
      <c r="BG1024" s="373">
        <f>BE1024-BD1024</f>
        <v>2</v>
      </c>
    </row>
    <row r="1025" spans="1:59" s="21" customFormat="1" ht="15.95" customHeight="1">
      <c r="A1025" s="170">
        <v>2</v>
      </c>
      <c r="B1025" s="26" t="s">
        <v>615</v>
      </c>
      <c r="C1025" s="30" t="s">
        <v>616</v>
      </c>
      <c r="D1025" s="28"/>
      <c r="E1025" s="28"/>
      <c r="F1025" s="28"/>
      <c r="G1025" s="28"/>
      <c r="H1025" s="28">
        <v>1</v>
      </c>
      <c r="I1025" s="28"/>
      <c r="J1025" s="28"/>
      <c r="K1025" s="28"/>
      <c r="L1025" s="28"/>
      <c r="M1025" s="28"/>
      <c r="N1025" s="28"/>
      <c r="O1025" s="28"/>
      <c r="P1025" s="28">
        <v>3</v>
      </c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2">
        <f>SUM(D1025:AA1025)</f>
        <v>4</v>
      </c>
      <c r="AC1025" s="23">
        <v>10</v>
      </c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2">
        <f>SUM(AD1025:BA1025)</f>
        <v>0</v>
      </c>
      <c r="BC1025" s="23">
        <v>0</v>
      </c>
      <c r="BD1025" s="130">
        <f t="shared" si="325"/>
        <v>4</v>
      </c>
      <c r="BE1025" s="130">
        <f t="shared" si="325"/>
        <v>10</v>
      </c>
      <c r="BF1025" s="195">
        <f t="shared" si="309"/>
        <v>40</v>
      </c>
      <c r="BG1025" s="373">
        <f>BE1025-BD1025</f>
        <v>6</v>
      </c>
    </row>
    <row r="1026" spans="1:59" s="21" customFormat="1" ht="15.95" customHeight="1">
      <c r="A1026" s="170">
        <v>3</v>
      </c>
      <c r="B1026" s="26" t="s">
        <v>246</v>
      </c>
      <c r="C1026" s="30" t="s">
        <v>3448</v>
      </c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2">
        <f>SUM(D1026:AA1026)</f>
        <v>0</v>
      </c>
      <c r="AC1026" s="23">
        <v>4</v>
      </c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2">
        <f>SUM(AD1026:BA1026)</f>
        <v>0</v>
      </c>
      <c r="BC1026" s="23">
        <v>0</v>
      </c>
      <c r="BD1026" s="130">
        <f t="shared" si="325"/>
        <v>0</v>
      </c>
      <c r="BE1026" s="130">
        <f t="shared" si="325"/>
        <v>4</v>
      </c>
      <c r="BF1026" s="195">
        <f t="shared" si="309"/>
        <v>0</v>
      </c>
      <c r="BG1026" s="373">
        <f t="shared" ref="BG1026:BG1027" si="326">BE1026-BD1026</f>
        <v>4</v>
      </c>
    </row>
    <row r="1027" spans="1:59" s="21" customFormat="1" ht="15.95" customHeight="1">
      <c r="A1027" s="170">
        <v>4</v>
      </c>
      <c r="B1027" s="26" t="s">
        <v>1941</v>
      </c>
      <c r="C1027" s="27" t="s">
        <v>1947</v>
      </c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2">
        <f>SUM(D1027:AA1027)</f>
        <v>0</v>
      </c>
      <c r="AC1027" s="23">
        <v>1</v>
      </c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2">
        <f>SUM(AD1027:BA1027)</f>
        <v>0</v>
      </c>
      <c r="BC1027" s="23">
        <v>0</v>
      </c>
      <c r="BD1027" s="130">
        <f t="shared" si="325"/>
        <v>0</v>
      </c>
      <c r="BE1027" s="130">
        <f t="shared" si="325"/>
        <v>1</v>
      </c>
      <c r="BF1027" s="195">
        <f t="shared" si="309"/>
        <v>0</v>
      </c>
      <c r="BG1027" s="373">
        <f t="shared" si="326"/>
        <v>1</v>
      </c>
    </row>
    <row r="1028" spans="1:59" s="21" customFormat="1" ht="15.95" customHeight="1">
      <c r="A1028" s="634" t="s">
        <v>724</v>
      </c>
      <c r="B1028" s="635"/>
      <c r="C1028" s="635"/>
      <c r="D1028" s="14">
        <f t="shared" ref="D1028:AI1028" si="327">SUM(D1029:D1039)</f>
        <v>0</v>
      </c>
      <c r="E1028" s="14">
        <f t="shared" si="327"/>
        <v>0</v>
      </c>
      <c r="F1028" s="14">
        <f t="shared" si="327"/>
        <v>0</v>
      </c>
      <c r="G1028" s="14">
        <f t="shared" si="327"/>
        <v>0</v>
      </c>
      <c r="H1028" s="14">
        <f t="shared" si="327"/>
        <v>5</v>
      </c>
      <c r="I1028" s="14">
        <f t="shared" si="327"/>
        <v>0</v>
      </c>
      <c r="J1028" s="14">
        <f t="shared" si="327"/>
        <v>0</v>
      </c>
      <c r="K1028" s="14">
        <f t="shared" si="327"/>
        <v>0</v>
      </c>
      <c r="L1028" s="14">
        <f t="shared" si="327"/>
        <v>35</v>
      </c>
      <c r="M1028" s="14">
        <f t="shared" si="327"/>
        <v>0</v>
      </c>
      <c r="N1028" s="14">
        <f t="shared" si="327"/>
        <v>0</v>
      </c>
      <c r="O1028" s="14">
        <f t="shared" si="327"/>
        <v>0</v>
      </c>
      <c r="P1028" s="14">
        <f t="shared" si="327"/>
        <v>48</v>
      </c>
      <c r="Q1028" s="14">
        <f t="shared" si="327"/>
        <v>0</v>
      </c>
      <c r="R1028" s="14">
        <f t="shared" si="327"/>
        <v>0</v>
      </c>
      <c r="S1028" s="14">
        <f t="shared" si="327"/>
        <v>0</v>
      </c>
      <c r="T1028" s="14">
        <f t="shared" si="327"/>
        <v>0</v>
      </c>
      <c r="U1028" s="14">
        <f t="shared" si="327"/>
        <v>0</v>
      </c>
      <c r="V1028" s="14">
        <f t="shared" si="327"/>
        <v>0</v>
      </c>
      <c r="W1028" s="14">
        <f t="shared" si="327"/>
        <v>0</v>
      </c>
      <c r="X1028" s="14">
        <f t="shared" si="327"/>
        <v>0</v>
      </c>
      <c r="Y1028" s="14">
        <f t="shared" si="327"/>
        <v>0</v>
      </c>
      <c r="Z1028" s="14">
        <f t="shared" si="327"/>
        <v>0</v>
      </c>
      <c r="AA1028" s="14">
        <f t="shared" si="327"/>
        <v>0</v>
      </c>
      <c r="AB1028" s="14">
        <f t="shared" si="327"/>
        <v>87</v>
      </c>
      <c r="AC1028" s="23">
        <f t="shared" si="327"/>
        <v>77</v>
      </c>
      <c r="AD1028" s="24">
        <f t="shared" si="327"/>
        <v>0</v>
      </c>
      <c r="AE1028" s="24">
        <f t="shared" si="327"/>
        <v>0</v>
      </c>
      <c r="AF1028" s="24">
        <f t="shared" si="327"/>
        <v>0</v>
      </c>
      <c r="AG1028" s="24">
        <f t="shared" si="327"/>
        <v>0</v>
      </c>
      <c r="AH1028" s="24">
        <f t="shared" si="327"/>
        <v>0</v>
      </c>
      <c r="AI1028" s="24">
        <f t="shared" si="327"/>
        <v>0</v>
      </c>
      <c r="AJ1028" s="24">
        <f t="shared" ref="AJ1028:BB1028" si="328">SUM(AJ1029:AJ1039)</f>
        <v>0</v>
      </c>
      <c r="AK1028" s="24">
        <f t="shared" si="328"/>
        <v>0</v>
      </c>
      <c r="AL1028" s="24">
        <f t="shared" si="328"/>
        <v>0</v>
      </c>
      <c r="AM1028" s="24">
        <f t="shared" si="328"/>
        <v>0</v>
      </c>
      <c r="AN1028" s="24">
        <f t="shared" si="328"/>
        <v>0</v>
      </c>
      <c r="AO1028" s="24">
        <f t="shared" si="328"/>
        <v>0</v>
      </c>
      <c r="AP1028" s="24">
        <f t="shared" si="328"/>
        <v>0</v>
      </c>
      <c r="AQ1028" s="24">
        <f t="shared" si="328"/>
        <v>0</v>
      </c>
      <c r="AR1028" s="24">
        <f t="shared" si="328"/>
        <v>0</v>
      </c>
      <c r="AS1028" s="24">
        <f t="shared" si="328"/>
        <v>0</v>
      </c>
      <c r="AT1028" s="24">
        <f t="shared" si="328"/>
        <v>0</v>
      </c>
      <c r="AU1028" s="24">
        <f t="shared" si="328"/>
        <v>0</v>
      </c>
      <c r="AV1028" s="24">
        <f t="shared" si="328"/>
        <v>0</v>
      </c>
      <c r="AW1028" s="24">
        <f t="shared" si="328"/>
        <v>0</v>
      </c>
      <c r="AX1028" s="24">
        <f t="shared" si="328"/>
        <v>0</v>
      </c>
      <c r="AY1028" s="24">
        <f t="shared" si="328"/>
        <v>0</v>
      </c>
      <c r="AZ1028" s="24">
        <f t="shared" si="328"/>
        <v>0</v>
      </c>
      <c r="BA1028" s="24">
        <f t="shared" si="328"/>
        <v>0</v>
      </c>
      <c r="BB1028" s="24">
        <f t="shared" si="328"/>
        <v>0</v>
      </c>
      <c r="BC1028" s="23">
        <v>0</v>
      </c>
      <c r="BD1028" s="130">
        <f t="shared" si="323"/>
        <v>87</v>
      </c>
      <c r="BE1028" s="130">
        <f t="shared" si="324"/>
        <v>77</v>
      </c>
      <c r="BF1028" s="195">
        <f t="shared" si="309"/>
        <v>112.98701298701299</v>
      </c>
      <c r="BG1028" s="374">
        <f t="shared" ref="BG1028:BG1091" si="329">BE1028-BD1028</f>
        <v>-10</v>
      </c>
    </row>
    <row r="1029" spans="1:59" s="21" customFormat="1" ht="15.95" customHeight="1">
      <c r="A1029" s="170">
        <v>1</v>
      </c>
      <c r="B1029" s="26" t="s">
        <v>718</v>
      </c>
      <c r="C1029" s="27" t="s">
        <v>2126</v>
      </c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2">
        <f>SUM(D1029:AA1029)</f>
        <v>0</v>
      </c>
      <c r="AC1029" s="23">
        <v>1</v>
      </c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2">
        <f>SUM(AD1029:BA1029)</f>
        <v>0</v>
      </c>
      <c r="BC1029" s="23">
        <v>0</v>
      </c>
      <c r="BD1029" s="130">
        <f>AB1029+BB1029</f>
        <v>0</v>
      </c>
      <c r="BE1029" s="130">
        <f>AC1029+BC1029</f>
        <v>1</v>
      </c>
      <c r="BF1029" s="195">
        <f>BD1029/BE1029*100</f>
        <v>0</v>
      </c>
      <c r="BG1029" s="373">
        <f>BE1029-BD1029</f>
        <v>1</v>
      </c>
    </row>
    <row r="1030" spans="1:59" s="21" customFormat="1" ht="15.95" customHeight="1">
      <c r="A1030" s="170">
        <v>2</v>
      </c>
      <c r="B1030" s="26" t="s">
        <v>613</v>
      </c>
      <c r="C1030" s="30" t="s">
        <v>614</v>
      </c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>
        <v>1</v>
      </c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2"/>
      <c r="AC1030" s="23">
        <v>0</v>
      </c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2"/>
      <c r="BC1030" s="23">
        <v>0</v>
      </c>
      <c r="BD1030" s="130"/>
      <c r="BE1030" s="130">
        <f t="shared" ref="BE1030:BE1039" si="330">AC1030+BC1030</f>
        <v>0</v>
      </c>
      <c r="BF1030" s="195"/>
      <c r="BG1030" s="373"/>
    </row>
    <row r="1031" spans="1:59" s="21" customFormat="1" ht="15.95" customHeight="1">
      <c r="A1031" s="170">
        <v>3</v>
      </c>
      <c r="B1031" s="26" t="s">
        <v>32</v>
      </c>
      <c r="C1031" s="27" t="s">
        <v>145</v>
      </c>
      <c r="D1031" s="28"/>
      <c r="E1031" s="28"/>
      <c r="F1031" s="28"/>
      <c r="G1031" s="28"/>
      <c r="H1031" s="28"/>
      <c r="I1031" s="28"/>
      <c r="J1031" s="28"/>
      <c r="K1031" s="28"/>
      <c r="L1031" s="28">
        <v>2</v>
      </c>
      <c r="M1031" s="28"/>
      <c r="N1031" s="28"/>
      <c r="O1031" s="28"/>
      <c r="P1031" s="28">
        <v>1</v>
      </c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2">
        <f t="shared" ref="AB1031:AB1039" si="331">SUM(D1031:AA1031)</f>
        <v>3</v>
      </c>
      <c r="AC1031" s="23">
        <v>0</v>
      </c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2">
        <f t="shared" ref="BB1031:BB1039" si="332">SUM(AD1031:BA1031)</f>
        <v>0</v>
      </c>
      <c r="BC1031" s="23">
        <v>0</v>
      </c>
      <c r="BD1031" s="130">
        <f t="shared" ref="BD1031:BD1039" si="333">AB1031+BB1031</f>
        <v>3</v>
      </c>
      <c r="BE1031" s="130">
        <f t="shared" si="330"/>
        <v>0</v>
      </c>
      <c r="BF1031" s="195" t="e">
        <f t="shared" ref="BF1031:BF1039" si="334">BD1031/BE1031*100</f>
        <v>#DIV/0!</v>
      </c>
      <c r="BG1031" s="373"/>
    </row>
    <row r="1032" spans="1:59" s="21" customFormat="1" ht="15.95" customHeight="1">
      <c r="A1032" s="170">
        <v>4</v>
      </c>
      <c r="B1032" s="26" t="s">
        <v>615</v>
      </c>
      <c r="C1032" s="27" t="s">
        <v>616</v>
      </c>
      <c r="D1032" s="28"/>
      <c r="E1032" s="28"/>
      <c r="F1032" s="28"/>
      <c r="G1032" s="28"/>
      <c r="H1032" s="28">
        <v>2</v>
      </c>
      <c r="I1032" s="28"/>
      <c r="J1032" s="28"/>
      <c r="K1032" s="28"/>
      <c r="L1032" s="28">
        <v>7</v>
      </c>
      <c r="M1032" s="28"/>
      <c r="N1032" s="28"/>
      <c r="O1032" s="28"/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2">
        <f t="shared" si="331"/>
        <v>14</v>
      </c>
      <c r="AC1032" s="23">
        <v>23</v>
      </c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2">
        <f t="shared" si="332"/>
        <v>0</v>
      </c>
      <c r="BC1032" s="23">
        <v>0</v>
      </c>
      <c r="BD1032" s="130">
        <f t="shared" si="333"/>
        <v>14</v>
      </c>
      <c r="BE1032" s="130">
        <f t="shared" si="330"/>
        <v>23</v>
      </c>
      <c r="BF1032" s="195">
        <f t="shared" si="334"/>
        <v>60.869565217391312</v>
      </c>
      <c r="BG1032" s="373">
        <f t="shared" ref="BG1032:BG1039" si="335">BE1032-BD1032</f>
        <v>9</v>
      </c>
    </row>
    <row r="1033" spans="1:59" s="21" customFormat="1" ht="15.95" customHeight="1">
      <c r="A1033" s="170">
        <v>5</v>
      </c>
      <c r="B1033" s="26" t="s">
        <v>720</v>
      </c>
      <c r="C1033" s="27" t="s">
        <v>2403</v>
      </c>
      <c r="D1033" s="28"/>
      <c r="E1033" s="28"/>
      <c r="F1033" s="28"/>
      <c r="G1033" s="28"/>
      <c r="H1033" s="28"/>
      <c r="I1033" s="28"/>
      <c r="J1033" s="28"/>
      <c r="K1033" s="28"/>
      <c r="L1033" s="28">
        <v>1</v>
      </c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2">
        <f t="shared" si="331"/>
        <v>1</v>
      </c>
      <c r="AC1033" s="23">
        <v>1</v>
      </c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2">
        <f t="shared" si="332"/>
        <v>0</v>
      </c>
      <c r="BC1033" s="23">
        <v>0</v>
      </c>
      <c r="BD1033" s="130">
        <f t="shared" si="333"/>
        <v>1</v>
      </c>
      <c r="BE1033" s="130">
        <f t="shared" si="330"/>
        <v>1</v>
      </c>
      <c r="BF1033" s="195">
        <f t="shared" si="334"/>
        <v>100</v>
      </c>
      <c r="BG1033" s="373">
        <f t="shared" si="335"/>
        <v>0</v>
      </c>
    </row>
    <row r="1034" spans="1:59" s="21" customFormat="1" ht="15.95" customHeight="1">
      <c r="A1034" s="170">
        <v>6</v>
      </c>
      <c r="B1034" s="26" t="s">
        <v>246</v>
      </c>
      <c r="C1034" s="27" t="s">
        <v>247</v>
      </c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2">
        <f t="shared" si="331"/>
        <v>0</v>
      </c>
      <c r="AC1034" s="23">
        <v>2</v>
      </c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2">
        <f t="shared" si="332"/>
        <v>0</v>
      </c>
      <c r="BC1034" s="23">
        <v>0</v>
      </c>
      <c r="BD1034" s="130">
        <f t="shared" si="333"/>
        <v>0</v>
      </c>
      <c r="BE1034" s="130">
        <f t="shared" si="330"/>
        <v>2</v>
      </c>
      <c r="BF1034" s="195">
        <f t="shared" si="334"/>
        <v>0</v>
      </c>
      <c r="BG1034" s="373">
        <f t="shared" si="335"/>
        <v>2</v>
      </c>
    </row>
    <row r="1035" spans="1:59" s="21" customFormat="1" ht="15.95" customHeight="1">
      <c r="A1035" s="170">
        <v>7</v>
      </c>
      <c r="B1035" s="26" t="s">
        <v>3308</v>
      </c>
      <c r="C1035" s="27" t="s">
        <v>3309</v>
      </c>
      <c r="D1035" s="28"/>
      <c r="E1035" s="28"/>
      <c r="F1035" s="28"/>
      <c r="G1035" s="28"/>
      <c r="H1035" s="28">
        <v>2</v>
      </c>
      <c r="I1035" s="28"/>
      <c r="J1035" s="28"/>
      <c r="K1035" s="28"/>
      <c r="L1035" s="28">
        <v>14</v>
      </c>
      <c r="M1035" s="28"/>
      <c r="N1035" s="28"/>
      <c r="O1035" s="28"/>
      <c r="P1035" s="28">
        <v>33</v>
      </c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2">
        <f t="shared" si="331"/>
        <v>49</v>
      </c>
      <c r="AC1035" s="23">
        <v>34</v>
      </c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2">
        <f t="shared" si="332"/>
        <v>0</v>
      </c>
      <c r="BC1035" s="23">
        <v>0</v>
      </c>
      <c r="BD1035" s="130">
        <f t="shared" si="333"/>
        <v>49</v>
      </c>
      <c r="BE1035" s="130">
        <f t="shared" si="330"/>
        <v>34</v>
      </c>
      <c r="BF1035" s="195">
        <f t="shared" si="334"/>
        <v>144.11764705882354</v>
      </c>
      <c r="BG1035" s="373">
        <f t="shared" si="335"/>
        <v>-15</v>
      </c>
    </row>
    <row r="1036" spans="1:59" s="21" customFormat="1" ht="15.95" customHeight="1">
      <c r="A1036" s="170">
        <v>8</v>
      </c>
      <c r="B1036" s="26" t="s">
        <v>1941</v>
      </c>
      <c r="C1036" s="27" t="s">
        <v>1947</v>
      </c>
      <c r="D1036" s="28"/>
      <c r="E1036" s="28"/>
      <c r="F1036" s="28"/>
      <c r="G1036" s="28"/>
      <c r="H1036" s="28">
        <v>1</v>
      </c>
      <c r="I1036" s="28"/>
      <c r="J1036" s="28"/>
      <c r="K1036" s="28"/>
      <c r="L1036" s="28"/>
      <c r="M1036" s="28"/>
      <c r="N1036" s="28"/>
      <c r="O1036" s="28"/>
      <c r="P1036" s="28">
        <v>1</v>
      </c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2">
        <f t="shared" si="331"/>
        <v>2</v>
      </c>
      <c r="AC1036" s="23">
        <v>3</v>
      </c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2">
        <f t="shared" si="332"/>
        <v>0</v>
      </c>
      <c r="BC1036" s="23">
        <v>0</v>
      </c>
      <c r="BD1036" s="130">
        <f t="shared" si="333"/>
        <v>2</v>
      </c>
      <c r="BE1036" s="130">
        <f t="shared" si="330"/>
        <v>3</v>
      </c>
      <c r="BF1036" s="195">
        <f t="shared" si="334"/>
        <v>66.666666666666657</v>
      </c>
      <c r="BG1036" s="373">
        <f t="shared" si="335"/>
        <v>1</v>
      </c>
    </row>
    <row r="1037" spans="1:59" s="21" customFormat="1" ht="15.95" customHeight="1">
      <c r="A1037" s="170">
        <v>9</v>
      </c>
      <c r="B1037" s="26" t="s">
        <v>335</v>
      </c>
      <c r="C1037" s="27" t="s">
        <v>2313</v>
      </c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2">
        <f t="shared" si="331"/>
        <v>0</v>
      </c>
      <c r="AC1037" s="23">
        <v>1</v>
      </c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2">
        <f t="shared" si="332"/>
        <v>0</v>
      </c>
      <c r="BC1037" s="23">
        <v>0</v>
      </c>
      <c r="BD1037" s="130">
        <f t="shared" si="333"/>
        <v>0</v>
      </c>
      <c r="BE1037" s="130">
        <f t="shared" si="330"/>
        <v>1</v>
      </c>
      <c r="BF1037" s="195">
        <f t="shared" si="334"/>
        <v>0</v>
      </c>
      <c r="BG1037" s="373">
        <f t="shared" si="335"/>
        <v>1</v>
      </c>
    </row>
    <row r="1038" spans="1:59" s="21" customFormat="1" ht="15.95" customHeight="1">
      <c r="A1038" s="170">
        <v>10</v>
      </c>
      <c r="B1038" s="26" t="s">
        <v>488</v>
      </c>
      <c r="C1038" s="27" t="s">
        <v>489</v>
      </c>
      <c r="D1038" s="28"/>
      <c r="E1038" s="28"/>
      <c r="F1038" s="28"/>
      <c r="G1038" s="28"/>
      <c r="H1038" s="28"/>
      <c r="I1038" s="28"/>
      <c r="J1038" s="28"/>
      <c r="K1038" s="28"/>
      <c r="L1038" s="28">
        <f>1+10</f>
        <v>11</v>
      </c>
      <c r="M1038" s="28"/>
      <c r="N1038" s="28"/>
      <c r="O1038" s="28"/>
      <c r="P1038" s="28">
        <v>7</v>
      </c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2">
        <f t="shared" si="331"/>
        <v>18</v>
      </c>
      <c r="AC1038" s="23">
        <v>10</v>
      </c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2">
        <f t="shared" si="332"/>
        <v>0</v>
      </c>
      <c r="BC1038" s="23">
        <v>0</v>
      </c>
      <c r="BD1038" s="130">
        <f t="shared" si="333"/>
        <v>18</v>
      </c>
      <c r="BE1038" s="130">
        <f t="shared" si="330"/>
        <v>10</v>
      </c>
      <c r="BF1038" s="195">
        <f t="shared" si="334"/>
        <v>180</v>
      </c>
      <c r="BG1038" s="373">
        <f t="shared" si="335"/>
        <v>-8</v>
      </c>
    </row>
    <row r="1039" spans="1:59" s="21" customFormat="1" ht="15.95" customHeight="1">
      <c r="A1039" s="170">
        <v>11</v>
      </c>
      <c r="B1039" s="26" t="s">
        <v>502</v>
      </c>
      <c r="C1039" s="27" t="s">
        <v>503</v>
      </c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2">
        <f t="shared" si="331"/>
        <v>0</v>
      </c>
      <c r="AC1039" s="23">
        <v>2</v>
      </c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2">
        <f t="shared" si="332"/>
        <v>0</v>
      </c>
      <c r="BC1039" s="23">
        <v>0</v>
      </c>
      <c r="BD1039" s="130">
        <f t="shared" si="333"/>
        <v>0</v>
      </c>
      <c r="BE1039" s="130">
        <f t="shared" si="330"/>
        <v>2</v>
      </c>
      <c r="BF1039" s="195">
        <f t="shared" si="334"/>
        <v>0</v>
      </c>
      <c r="BG1039" s="373">
        <f t="shared" si="335"/>
        <v>2</v>
      </c>
    </row>
    <row r="1040" spans="1:59" s="21" customFormat="1" ht="15.95" customHeight="1">
      <c r="A1040" s="634" t="s">
        <v>725</v>
      </c>
      <c r="B1040" s="635"/>
      <c r="C1040" s="635"/>
      <c r="D1040" s="14">
        <f t="shared" ref="D1040:AI1040" si="336">SUM(D1041:D1042)</f>
        <v>0</v>
      </c>
      <c r="E1040" s="14">
        <f t="shared" si="336"/>
        <v>0</v>
      </c>
      <c r="F1040" s="14">
        <f t="shared" si="336"/>
        <v>0</v>
      </c>
      <c r="G1040" s="14">
        <f t="shared" si="336"/>
        <v>0</v>
      </c>
      <c r="H1040" s="14">
        <f t="shared" si="336"/>
        <v>0</v>
      </c>
      <c r="I1040" s="14">
        <f t="shared" si="336"/>
        <v>0</v>
      </c>
      <c r="J1040" s="14">
        <f t="shared" si="336"/>
        <v>0</v>
      </c>
      <c r="K1040" s="14">
        <f t="shared" si="336"/>
        <v>0</v>
      </c>
      <c r="L1040" s="14">
        <f t="shared" si="336"/>
        <v>55</v>
      </c>
      <c r="M1040" s="14">
        <f t="shared" si="336"/>
        <v>0</v>
      </c>
      <c r="N1040" s="14">
        <f t="shared" si="336"/>
        <v>0</v>
      </c>
      <c r="O1040" s="14">
        <f t="shared" si="336"/>
        <v>0</v>
      </c>
      <c r="P1040" s="14">
        <f t="shared" si="336"/>
        <v>2</v>
      </c>
      <c r="Q1040" s="14">
        <f t="shared" si="336"/>
        <v>0</v>
      </c>
      <c r="R1040" s="14">
        <f t="shared" si="336"/>
        <v>0</v>
      </c>
      <c r="S1040" s="14">
        <f t="shared" si="336"/>
        <v>0</v>
      </c>
      <c r="T1040" s="14">
        <f t="shared" si="336"/>
        <v>0</v>
      </c>
      <c r="U1040" s="14">
        <f t="shared" si="336"/>
        <v>0</v>
      </c>
      <c r="V1040" s="14">
        <f t="shared" si="336"/>
        <v>0</v>
      </c>
      <c r="W1040" s="14">
        <f t="shared" si="336"/>
        <v>0</v>
      </c>
      <c r="X1040" s="14">
        <f t="shared" si="336"/>
        <v>0</v>
      </c>
      <c r="Y1040" s="14">
        <f t="shared" si="336"/>
        <v>0</v>
      </c>
      <c r="Z1040" s="14">
        <f t="shared" si="336"/>
        <v>0</v>
      </c>
      <c r="AA1040" s="14">
        <f t="shared" si="336"/>
        <v>0</v>
      </c>
      <c r="AB1040" s="14">
        <f t="shared" si="336"/>
        <v>57</v>
      </c>
      <c r="AC1040" s="23">
        <f t="shared" si="336"/>
        <v>6</v>
      </c>
      <c r="AD1040" s="24">
        <f t="shared" si="336"/>
        <v>0</v>
      </c>
      <c r="AE1040" s="24">
        <f t="shared" si="336"/>
        <v>0</v>
      </c>
      <c r="AF1040" s="24">
        <f t="shared" si="336"/>
        <v>0</v>
      </c>
      <c r="AG1040" s="24">
        <f t="shared" si="336"/>
        <v>0</v>
      </c>
      <c r="AH1040" s="24">
        <f t="shared" si="336"/>
        <v>0</v>
      </c>
      <c r="AI1040" s="24">
        <f t="shared" si="336"/>
        <v>0</v>
      </c>
      <c r="AJ1040" s="24">
        <f t="shared" ref="AJ1040:BB1040" si="337">SUM(AJ1041:AJ1042)</f>
        <v>0</v>
      </c>
      <c r="AK1040" s="24">
        <f t="shared" si="337"/>
        <v>0</v>
      </c>
      <c r="AL1040" s="24">
        <f t="shared" si="337"/>
        <v>0</v>
      </c>
      <c r="AM1040" s="24">
        <f t="shared" si="337"/>
        <v>0</v>
      </c>
      <c r="AN1040" s="24">
        <f t="shared" si="337"/>
        <v>0</v>
      </c>
      <c r="AO1040" s="24">
        <f t="shared" si="337"/>
        <v>0</v>
      </c>
      <c r="AP1040" s="24">
        <f t="shared" si="337"/>
        <v>0</v>
      </c>
      <c r="AQ1040" s="24">
        <f t="shared" si="337"/>
        <v>0</v>
      </c>
      <c r="AR1040" s="24">
        <f t="shared" si="337"/>
        <v>0</v>
      </c>
      <c r="AS1040" s="24">
        <f t="shared" si="337"/>
        <v>0</v>
      </c>
      <c r="AT1040" s="24">
        <f t="shared" si="337"/>
        <v>0</v>
      </c>
      <c r="AU1040" s="24">
        <f t="shared" si="337"/>
        <v>0</v>
      </c>
      <c r="AV1040" s="24">
        <f t="shared" si="337"/>
        <v>0</v>
      </c>
      <c r="AW1040" s="24">
        <f t="shared" si="337"/>
        <v>0</v>
      </c>
      <c r="AX1040" s="24">
        <f t="shared" si="337"/>
        <v>0</v>
      </c>
      <c r="AY1040" s="24">
        <f t="shared" si="337"/>
        <v>0</v>
      </c>
      <c r="AZ1040" s="24">
        <f t="shared" si="337"/>
        <v>0</v>
      </c>
      <c r="BA1040" s="24">
        <f t="shared" si="337"/>
        <v>0</v>
      </c>
      <c r="BB1040" s="24">
        <f t="shared" si="337"/>
        <v>0</v>
      </c>
      <c r="BC1040" s="23">
        <v>0</v>
      </c>
      <c r="BD1040" s="130">
        <f t="shared" si="323"/>
        <v>57</v>
      </c>
      <c r="BE1040" s="130">
        <f t="shared" si="324"/>
        <v>6</v>
      </c>
      <c r="BF1040" s="195">
        <f t="shared" si="309"/>
        <v>950</v>
      </c>
      <c r="BG1040" s="374">
        <f t="shared" si="329"/>
        <v>-51</v>
      </c>
    </row>
    <row r="1041" spans="1:59" s="21" customFormat="1" ht="15.95" customHeight="1">
      <c r="A1041" s="170">
        <v>1</v>
      </c>
      <c r="B1041" s="26" t="s">
        <v>144</v>
      </c>
      <c r="C1041" s="386" t="s">
        <v>145</v>
      </c>
      <c r="D1041" s="28"/>
      <c r="E1041" s="28"/>
      <c r="F1041" s="28"/>
      <c r="G1041" s="28"/>
      <c r="H1041" s="28"/>
      <c r="I1041" s="28"/>
      <c r="J1041" s="28"/>
      <c r="K1041" s="28"/>
      <c r="L1041" s="28">
        <v>55</v>
      </c>
      <c r="M1041" s="28"/>
      <c r="N1041" s="28"/>
      <c r="O1041" s="28"/>
      <c r="P1041" s="28">
        <v>2</v>
      </c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2">
        <f>SUM(D1041:AA1041)</f>
        <v>57</v>
      </c>
      <c r="AC1041" s="23">
        <v>5</v>
      </c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2">
        <f>SUM(AD1041:BA1041)</f>
        <v>0</v>
      </c>
      <c r="BC1041" s="23">
        <v>0</v>
      </c>
      <c r="BD1041" s="130">
        <f t="shared" ref="BD1041:BE1042" si="338">AB1041+BB1041</f>
        <v>57</v>
      </c>
      <c r="BE1041" s="130">
        <f t="shared" si="338"/>
        <v>5</v>
      </c>
      <c r="BF1041" s="195">
        <f t="shared" si="309"/>
        <v>1140</v>
      </c>
      <c r="BG1041" s="373">
        <f>BE1041-BD1041</f>
        <v>-52</v>
      </c>
    </row>
    <row r="1042" spans="1:59" s="21" customFormat="1" ht="15.95" customHeight="1">
      <c r="A1042" s="170">
        <v>2</v>
      </c>
      <c r="B1042" s="26" t="s">
        <v>246</v>
      </c>
      <c r="C1042" s="386" t="s">
        <v>3449</v>
      </c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2">
        <f>SUM(D1042:AA1042)</f>
        <v>0</v>
      </c>
      <c r="AC1042" s="23">
        <v>1</v>
      </c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2">
        <f>SUM(AD1042:BA1042)</f>
        <v>0</v>
      </c>
      <c r="BC1042" s="23">
        <v>0</v>
      </c>
      <c r="BD1042" s="130">
        <f t="shared" si="338"/>
        <v>0</v>
      </c>
      <c r="BE1042" s="130">
        <f t="shared" si="338"/>
        <v>1</v>
      </c>
      <c r="BF1042" s="195">
        <f t="shared" si="309"/>
        <v>0</v>
      </c>
      <c r="BG1042" s="373">
        <f t="shared" ref="BG1042" si="339">BE1042-BD1042</f>
        <v>1</v>
      </c>
    </row>
    <row r="1043" spans="1:59" s="21" customFormat="1" ht="15.95" customHeight="1">
      <c r="A1043" s="634" t="s">
        <v>726</v>
      </c>
      <c r="B1043" s="635"/>
      <c r="C1043" s="635"/>
      <c r="D1043" s="14">
        <f t="shared" ref="D1043:AI1043" si="340">SUM(D1044:D1067)</f>
        <v>0</v>
      </c>
      <c r="E1043" s="14">
        <f t="shared" si="340"/>
        <v>0</v>
      </c>
      <c r="F1043" s="14">
        <f t="shared" si="340"/>
        <v>0</v>
      </c>
      <c r="G1043" s="14">
        <f t="shared" si="340"/>
        <v>0</v>
      </c>
      <c r="H1043" s="14">
        <f t="shared" si="340"/>
        <v>34</v>
      </c>
      <c r="I1043" s="14">
        <f t="shared" si="340"/>
        <v>0</v>
      </c>
      <c r="J1043" s="14">
        <f t="shared" si="340"/>
        <v>0</v>
      </c>
      <c r="K1043" s="14">
        <f t="shared" si="340"/>
        <v>0</v>
      </c>
      <c r="L1043" s="14">
        <f t="shared" si="340"/>
        <v>119</v>
      </c>
      <c r="M1043" s="14">
        <f t="shared" si="340"/>
        <v>0</v>
      </c>
      <c r="N1043" s="14">
        <f t="shared" si="340"/>
        <v>0</v>
      </c>
      <c r="O1043" s="14">
        <f t="shared" si="340"/>
        <v>0</v>
      </c>
      <c r="P1043" s="14">
        <f t="shared" si="340"/>
        <v>155</v>
      </c>
      <c r="Q1043" s="14">
        <f t="shared" si="340"/>
        <v>0</v>
      </c>
      <c r="R1043" s="14">
        <f t="shared" si="340"/>
        <v>0</v>
      </c>
      <c r="S1043" s="14">
        <f t="shared" si="340"/>
        <v>0</v>
      </c>
      <c r="T1043" s="14">
        <f t="shared" si="340"/>
        <v>0</v>
      </c>
      <c r="U1043" s="14">
        <f t="shared" si="340"/>
        <v>0</v>
      </c>
      <c r="V1043" s="14">
        <f t="shared" si="340"/>
        <v>0</v>
      </c>
      <c r="W1043" s="14">
        <f t="shared" si="340"/>
        <v>0</v>
      </c>
      <c r="X1043" s="14">
        <f t="shared" si="340"/>
        <v>0</v>
      </c>
      <c r="Y1043" s="14">
        <f t="shared" si="340"/>
        <v>0</v>
      </c>
      <c r="Z1043" s="14">
        <f t="shared" si="340"/>
        <v>0</v>
      </c>
      <c r="AA1043" s="14">
        <f t="shared" si="340"/>
        <v>0</v>
      </c>
      <c r="AB1043" s="14">
        <f t="shared" si="340"/>
        <v>308</v>
      </c>
      <c r="AC1043" s="23">
        <f t="shared" si="340"/>
        <v>412</v>
      </c>
      <c r="AD1043" s="24">
        <f t="shared" si="340"/>
        <v>0</v>
      </c>
      <c r="AE1043" s="24">
        <f t="shared" si="340"/>
        <v>0</v>
      </c>
      <c r="AF1043" s="24">
        <f t="shared" si="340"/>
        <v>0</v>
      </c>
      <c r="AG1043" s="24">
        <f t="shared" si="340"/>
        <v>0</v>
      </c>
      <c r="AH1043" s="24">
        <f t="shared" si="340"/>
        <v>0</v>
      </c>
      <c r="AI1043" s="24">
        <f t="shared" si="340"/>
        <v>0</v>
      </c>
      <c r="AJ1043" s="24">
        <f t="shared" ref="AJ1043:BB1043" si="341">SUM(AJ1044:AJ1067)</f>
        <v>0</v>
      </c>
      <c r="AK1043" s="24">
        <f t="shared" si="341"/>
        <v>0</v>
      </c>
      <c r="AL1043" s="24">
        <f t="shared" si="341"/>
        <v>0</v>
      </c>
      <c r="AM1043" s="24">
        <f t="shared" si="341"/>
        <v>0</v>
      </c>
      <c r="AN1043" s="24">
        <f t="shared" si="341"/>
        <v>0</v>
      </c>
      <c r="AO1043" s="24">
        <f t="shared" si="341"/>
        <v>0</v>
      </c>
      <c r="AP1043" s="24">
        <f t="shared" si="341"/>
        <v>0</v>
      </c>
      <c r="AQ1043" s="24">
        <f t="shared" si="341"/>
        <v>0</v>
      </c>
      <c r="AR1043" s="24">
        <f t="shared" si="341"/>
        <v>0</v>
      </c>
      <c r="AS1043" s="24">
        <f t="shared" si="341"/>
        <v>0</v>
      </c>
      <c r="AT1043" s="24">
        <f t="shared" si="341"/>
        <v>0</v>
      </c>
      <c r="AU1043" s="24">
        <f t="shared" si="341"/>
        <v>0</v>
      </c>
      <c r="AV1043" s="24">
        <f t="shared" si="341"/>
        <v>0</v>
      </c>
      <c r="AW1043" s="24">
        <f t="shared" si="341"/>
        <v>0</v>
      </c>
      <c r="AX1043" s="24">
        <f t="shared" si="341"/>
        <v>0</v>
      </c>
      <c r="AY1043" s="24">
        <f t="shared" si="341"/>
        <v>0</v>
      </c>
      <c r="AZ1043" s="24">
        <f t="shared" si="341"/>
        <v>0</v>
      </c>
      <c r="BA1043" s="24">
        <f t="shared" si="341"/>
        <v>0</v>
      </c>
      <c r="BB1043" s="24">
        <f t="shared" si="341"/>
        <v>0</v>
      </c>
      <c r="BC1043" s="23">
        <v>0</v>
      </c>
      <c r="BD1043" s="130">
        <f t="shared" si="323"/>
        <v>308</v>
      </c>
      <c r="BE1043" s="130">
        <f t="shared" si="324"/>
        <v>412</v>
      </c>
      <c r="BF1043" s="195">
        <f t="shared" si="309"/>
        <v>74.757281553398059</v>
      </c>
      <c r="BG1043" s="374">
        <f t="shared" si="329"/>
        <v>104</v>
      </c>
    </row>
    <row r="1044" spans="1:59" s="21" customFormat="1" ht="15.95" customHeight="1">
      <c r="A1044" s="170">
        <v>1</v>
      </c>
      <c r="B1044" s="26" t="s">
        <v>638</v>
      </c>
      <c r="C1044" s="27" t="s">
        <v>3156</v>
      </c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2">
        <f t="shared" ref="AB1044:AB1067" si="342">SUM(D1044:AA1044)</f>
        <v>0</v>
      </c>
      <c r="AC1044" s="23">
        <v>1</v>
      </c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2">
        <f t="shared" ref="BB1044:BB1067" si="343">SUM(AD1044:BA1044)</f>
        <v>0</v>
      </c>
      <c r="BC1044" s="23">
        <v>0</v>
      </c>
      <c r="BD1044" s="130">
        <f t="shared" ref="BD1044:BD1067" si="344">AB1044+BB1044</f>
        <v>0</v>
      </c>
      <c r="BE1044" s="130">
        <f t="shared" si="324"/>
        <v>1</v>
      </c>
      <c r="BF1044" s="195">
        <f t="shared" ref="BF1044:BF1067" si="345">BD1044/BE1044*100</f>
        <v>0</v>
      </c>
      <c r="BG1044" s="373">
        <f>BE1044-BD1044</f>
        <v>1</v>
      </c>
    </row>
    <row r="1045" spans="1:59" s="21" customFormat="1" ht="15.95" customHeight="1">
      <c r="A1045" s="170">
        <v>2</v>
      </c>
      <c r="B1045" s="26" t="s">
        <v>718</v>
      </c>
      <c r="C1045" s="27" t="s">
        <v>719</v>
      </c>
      <c r="D1045" s="28"/>
      <c r="E1045" s="28"/>
      <c r="F1045" s="28"/>
      <c r="G1045" s="28"/>
      <c r="H1045" s="28">
        <v>31</v>
      </c>
      <c r="I1045" s="28"/>
      <c r="J1045" s="28"/>
      <c r="K1045" s="28"/>
      <c r="L1045" s="28">
        <v>98</v>
      </c>
      <c r="M1045" s="28"/>
      <c r="N1045" s="28"/>
      <c r="O1045" s="28"/>
      <c r="P1045" s="28">
        <v>135</v>
      </c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2">
        <f t="shared" si="342"/>
        <v>264</v>
      </c>
      <c r="AC1045" s="23">
        <v>295</v>
      </c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2">
        <f t="shared" si="343"/>
        <v>0</v>
      </c>
      <c r="BC1045" s="23">
        <v>0</v>
      </c>
      <c r="BD1045" s="130">
        <f t="shared" si="344"/>
        <v>264</v>
      </c>
      <c r="BE1045" s="130">
        <f t="shared" si="324"/>
        <v>295</v>
      </c>
      <c r="BF1045" s="195">
        <f t="shared" si="345"/>
        <v>89.491525423728817</v>
      </c>
      <c r="BG1045" s="373">
        <f>BE1045-BD1045</f>
        <v>31</v>
      </c>
    </row>
    <row r="1046" spans="1:59" s="21" customFormat="1" ht="15.95" customHeight="1">
      <c r="A1046" s="170">
        <v>3</v>
      </c>
      <c r="B1046" s="26" t="s">
        <v>613</v>
      </c>
      <c r="C1046" s="27" t="s">
        <v>614</v>
      </c>
      <c r="D1046" s="28"/>
      <c r="E1046" s="28"/>
      <c r="F1046" s="28"/>
      <c r="G1046" s="28"/>
      <c r="H1046" s="28"/>
      <c r="I1046" s="28"/>
      <c r="J1046" s="28"/>
      <c r="K1046" s="28"/>
      <c r="L1046" s="28">
        <v>1</v>
      </c>
      <c r="M1046" s="28"/>
      <c r="N1046" s="28"/>
      <c r="O1046" s="28"/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2">
        <f t="shared" si="342"/>
        <v>4</v>
      </c>
      <c r="AC1046" s="23">
        <v>0</v>
      </c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2">
        <f t="shared" si="343"/>
        <v>0</v>
      </c>
      <c r="BC1046" s="23">
        <v>0</v>
      </c>
      <c r="BD1046" s="130">
        <f t="shared" si="344"/>
        <v>4</v>
      </c>
      <c r="BE1046" s="130">
        <f t="shared" si="324"/>
        <v>0</v>
      </c>
      <c r="BF1046" s="195" t="e">
        <f t="shared" si="345"/>
        <v>#DIV/0!</v>
      </c>
      <c r="BG1046" s="373"/>
    </row>
    <row r="1047" spans="1:59" s="21" customFormat="1" ht="15.95" customHeight="1">
      <c r="A1047" s="170">
        <v>4</v>
      </c>
      <c r="B1047" s="26" t="s">
        <v>695</v>
      </c>
      <c r="C1047" s="30" t="s">
        <v>696</v>
      </c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2">
        <f t="shared" si="342"/>
        <v>0</v>
      </c>
      <c r="AC1047" s="23">
        <v>1</v>
      </c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2">
        <f t="shared" si="343"/>
        <v>0</v>
      </c>
      <c r="BC1047" s="23">
        <v>0</v>
      </c>
      <c r="BD1047" s="130">
        <f t="shared" si="344"/>
        <v>0</v>
      </c>
      <c r="BE1047" s="130">
        <f t="shared" si="324"/>
        <v>1</v>
      </c>
      <c r="BF1047" s="195">
        <f t="shared" si="345"/>
        <v>0</v>
      </c>
      <c r="BG1047" s="373">
        <f>BE1047-BD1047</f>
        <v>1</v>
      </c>
    </row>
    <row r="1048" spans="1:59" s="21" customFormat="1" ht="15.95" customHeight="1">
      <c r="A1048" s="170">
        <v>5</v>
      </c>
      <c r="B1048" s="26" t="s">
        <v>507</v>
      </c>
      <c r="C1048" s="30" t="s">
        <v>2546</v>
      </c>
      <c r="D1048" s="28"/>
      <c r="E1048" s="28"/>
      <c r="F1048" s="28"/>
      <c r="G1048" s="28"/>
      <c r="H1048" s="28"/>
      <c r="I1048" s="28"/>
      <c r="J1048" s="28"/>
      <c r="K1048" s="28"/>
      <c r="L1048" s="28">
        <v>1</v>
      </c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2">
        <f t="shared" si="342"/>
        <v>1</v>
      </c>
      <c r="AC1048" s="23">
        <v>0</v>
      </c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2">
        <f t="shared" si="343"/>
        <v>0</v>
      </c>
      <c r="BC1048" s="23">
        <v>0</v>
      </c>
      <c r="BD1048" s="130">
        <f t="shared" si="344"/>
        <v>1</v>
      </c>
      <c r="BE1048" s="130">
        <f t="shared" si="324"/>
        <v>0</v>
      </c>
      <c r="BF1048" s="195" t="e">
        <f t="shared" si="345"/>
        <v>#DIV/0!</v>
      </c>
      <c r="BG1048" s="373"/>
    </row>
    <row r="1049" spans="1:59" s="21" customFormat="1" ht="15.95" customHeight="1">
      <c r="A1049" s="170">
        <v>6</v>
      </c>
      <c r="B1049" s="26" t="s">
        <v>508</v>
      </c>
      <c r="C1049" s="30" t="s">
        <v>509</v>
      </c>
      <c r="D1049" s="28"/>
      <c r="E1049" s="28"/>
      <c r="F1049" s="28"/>
      <c r="G1049" s="28"/>
      <c r="H1049" s="28">
        <v>1</v>
      </c>
      <c r="I1049" s="28"/>
      <c r="J1049" s="28"/>
      <c r="K1049" s="28"/>
      <c r="L1049" s="28">
        <v>6</v>
      </c>
      <c r="M1049" s="28"/>
      <c r="N1049" s="28"/>
      <c r="O1049" s="28"/>
      <c r="P1049" s="28">
        <v>4</v>
      </c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2">
        <f t="shared" si="342"/>
        <v>11</v>
      </c>
      <c r="AC1049" s="23">
        <v>1</v>
      </c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2">
        <f t="shared" si="343"/>
        <v>0</v>
      </c>
      <c r="BC1049" s="23">
        <v>0</v>
      </c>
      <c r="BD1049" s="130">
        <f t="shared" si="344"/>
        <v>11</v>
      </c>
      <c r="BE1049" s="130">
        <f t="shared" si="324"/>
        <v>1</v>
      </c>
      <c r="BF1049" s="195">
        <f t="shared" si="345"/>
        <v>1100</v>
      </c>
      <c r="BG1049" s="373">
        <f t="shared" ref="BG1049:BG1067" si="346">BE1049-BD1049</f>
        <v>-10</v>
      </c>
    </row>
    <row r="1050" spans="1:59" s="21" customFormat="1" ht="15.95" customHeight="1">
      <c r="A1050" s="170">
        <v>7</v>
      </c>
      <c r="B1050" s="26" t="s">
        <v>3141</v>
      </c>
      <c r="C1050" s="30" t="s">
        <v>3142</v>
      </c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2">
        <f t="shared" si="342"/>
        <v>0</v>
      </c>
      <c r="AC1050" s="23">
        <v>1</v>
      </c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2">
        <f t="shared" si="343"/>
        <v>0</v>
      </c>
      <c r="BC1050" s="23">
        <v>0</v>
      </c>
      <c r="BD1050" s="130">
        <f t="shared" si="344"/>
        <v>0</v>
      </c>
      <c r="BE1050" s="130">
        <f t="shared" si="324"/>
        <v>1</v>
      </c>
      <c r="BF1050" s="195">
        <f t="shared" si="345"/>
        <v>0</v>
      </c>
      <c r="BG1050" s="373">
        <f t="shared" si="346"/>
        <v>1</v>
      </c>
    </row>
    <row r="1051" spans="1:59" s="21" customFormat="1" ht="15.95" customHeight="1">
      <c r="A1051" s="170">
        <v>8</v>
      </c>
      <c r="B1051" s="26" t="s">
        <v>1910</v>
      </c>
      <c r="C1051" s="30" t="s">
        <v>3450</v>
      </c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2">
        <f t="shared" si="342"/>
        <v>0</v>
      </c>
      <c r="AC1051" s="23">
        <v>1</v>
      </c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2">
        <f t="shared" si="343"/>
        <v>0</v>
      </c>
      <c r="BC1051" s="23">
        <v>0</v>
      </c>
      <c r="BD1051" s="130">
        <f t="shared" si="344"/>
        <v>0</v>
      </c>
      <c r="BE1051" s="130">
        <f t="shared" si="324"/>
        <v>1</v>
      </c>
      <c r="BF1051" s="195">
        <f t="shared" si="345"/>
        <v>0</v>
      </c>
      <c r="BG1051" s="373">
        <f t="shared" si="346"/>
        <v>1</v>
      </c>
    </row>
    <row r="1052" spans="1:59" s="21" customFormat="1" ht="15.95" customHeight="1">
      <c r="A1052" s="170">
        <v>9</v>
      </c>
      <c r="B1052" s="26" t="s">
        <v>32</v>
      </c>
      <c r="C1052" s="27" t="s">
        <v>33</v>
      </c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2">
        <f t="shared" si="342"/>
        <v>0</v>
      </c>
      <c r="AC1052" s="23">
        <v>6</v>
      </c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2">
        <f t="shared" si="343"/>
        <v>0</v>
      </c>
      <c r="BC1052" s="23">
        <v>0</v>
      </c>
      <c r="BD1052" s="130">
        <f t="shared" si="344"/>
        <v>0</v>
      </c>
      <c r="BE1052" s="130">
        <f t="shared" si="324"/>
        <v>6</v>
      </c>
      <c r="BF1052" s="195">
        <f t="shared" si="345"/>
        <v>0</v>
      </c>
      <c r="BG1052" s="373">
        <f t="shared" si="346"/>
        <v>6</v>
      </c>
    </row>
    <row r="1053" spans="1:59" s="21" customFormat="1" ht="15.95" customHeight="1">
      <c r="A1053" s="170">
        <v>10</v>
      </c>
      <c r="B1053" s="26" t="s">
        <v>615</v>
      </c>
      <c r="C1053" s="27" t="s">
        <v>616</v>
      </c>
      <c r="D1053" s="28"/>
      <c r="E1053" s="28"/>
      <c r="F1053" s="28"/>
      <c r="G1053" s="28"/>
      <c r="H1053" s="28">
        <v>1</v>
      </c>
      <c r="I1053" s="28"/>
      <c r="J1053" s="28"/>
      <c r="K1053" s="28"/>
      <c r="L1053" s="28">
        <v>1</v>
      </c>
      <c r="M1053" s="28"/>
      <c r="N1053" s="28"/>
      <c r="O1053" s="28"/>
      <c r="P1053" s="28">
        <v>1</v>
      </c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2">
        <f t="shared" si="342"/>
        <v>3</v>
      </c>
      <c r="AC1053" s="23">
        <v>16</v>
      </c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2">
        <f t="shared" si="343"/>
        <v>0</v>
      </c>
      <c r="BC1053" s="23">
        <v>0</v>
      </c>
      <c r="BD1053" s="130">
        <f t="shared" si="344"/>
        <v>3</v>
      </c>
      <c r="BE1053" s="130">
        <f t="shared" si="324"/>
        <v>16</v>
      </c>
      <c r="BF1053" s="195">
        <f t="shared" si="345"/>
        <v>18.75</v>
      </c>
      <c r="BG1053" s="373">
        <f t="shared" si="346"/>
        <v>13</v>
      </c>
    </row>
    <row r="1054" spans="1:59" s="21" customFormat="1" ht="15.95" customHeight="1">
      <c r="A1054" s="170">
        <v>11</v>
      </c>
      <c r="B1054" s="26" t="s">
        <v>720</v>
      </c>
      <c r="C1054" s="27" t="s">
        <v>721</v>
      </c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2">
        <f t="shared" si="342"/>
        <v>0</v>
      </c>
      <c r="AC1054" s="23">
        <v>4</v>
      </c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2">
        <f t="shared" si="343"/>
        <v>0</v>
      </c>
      <c r="BC1054" s="23">
        <v>0</v>
      </c>
      <c r="BD1054" s="130">
        <f t="shared" si="344"/>
        <v>0</v>
      </c>
      <c r="BE1054" s="130">
        <f t="shared" si="324"/>
        <v>4</v>
      </c>
      <c r="BF1054" s="195">
        <f t="shared" si="345"/>
        <v>0</v>
      </c>
      <c r="BG1054" s="373">
        <f t="shared" si="346"/>
        <v>4</v>
      </c>
    </row>
    <row r="1055" spans="1:59" s="21" customFormat="1" ht="15.95" customHeight="1">
      <c r="A1055" s="170">
        <v>12</v>
      </c>
      <c r="B1055" s="26" t="s">
        <v>699</v>
      </c>
      <c r="C1055" s="27" t="s">
        <v>700</v>
      </c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2">
        <f t="shared" si="342"/>
        <v>0</v>
      </c>
      <c r="AC1055" s="23">
        <v>1</v>
      </c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2">
        <f t="shared" si="343"/>
        <v>0</v>
      </c>
      <c r="BC1055" s="23">
        <v>0</v>
      </c>
      <c r="BD1055" s="130">
        <f t="shared" si="344"/>
        <v>0</v>
      </c>
      <c r="BE1055" s="130">
        <f t="shared" si="324"/>
        <v>1</v>
      </c>
      <c r="BF1055" s="195">
        <f t="shared" si="345"/>
        <v>0</v>
      </c>
      <c r="BG1055" s="373">
        <f t="shared" si="346"/>
        <v>1</v>
      </c>
    </row>
    <row r="1056" spans="1:59" s="21" customFormat="1" ht="15.95" customHeight="1">
      <c r="A1056" s="170">
        <v>13</v>
      </c>
      <c r="B1056" s="26" t="s">
        <v>241</v>
      </c>
      <c r="C1056" s="27" t="s">
        <v>2876</v>
      </c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2">
        <f t="shared" si="342"/>
        <v>0</v>
      </c>
      <c r="AC1056" s="23">
        <v>2</v>
      </c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2">
        <f t="shared" si="343"/>
        <v>0</v>
      </c>
      <c r="BC1056" s="23">
        <v>0</v>
      </c>
      <c r="BD1056" s="130">
        <f t="shared" si="344"/>
        <v>0</v>
      </c>
      <c r="BE1056" s="130">
        <f t="shared" si="324"/>
        <v>2</v>
      </c>
      <c r="BF1056" s="195">
        <f t="shared" si="345"/>
        <v>0</v>
      </c>
      <c r="BG1056" s="373">
        <f t="shared" si="346"/>
        <v>2</v>
      </c>
    </row>
    <row r="1057" spans="1:59" s="21" customFormat="1" ht="15.95" customHeight="1">
      <c r="A1057" s="170">
        <v>14</v>
      </c>
      <c r="B1057" s="26" t="s">
        <v>243</v>
      </c>
      <c r="C1057" s="27" t="s">
        <v>727</v>
      </c>
      <c r="D1057" s="28"/>
      <c r="E1057" s="28"/>
      <c r="F1057" s="28"/>
      <c r="G1057" s="28"/>
      <c r="H1057" s="28"/>
      <c r="I1057" s="28"/>
      <c r="J1057" s="28"/>
      <c r="K1057" s="28"/>
      <c r="L1057" s="28">
        <v>3</v>
      </c>
      <c r="M1057" s="28"/>
      <c r="N1057" s="28"/>
      <c r="O1057" s="28"/>
      <c r="P1057" s="28">
        <v>1</v>
      </c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2">
        <f t="shared" si="342"/>
        <v>4</v>
      </c>
      <c r="AC1057" s="23">
        <v>14</v>
      </c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2">
        <f t="shared" si="343"/>
        <v>0</v>
      </c>
      <c r="BC1057" s="23">
        <v>0</v>
      </c>
      <c r="BD1057" s="130">
        <f t="shared" si="344"/>
        <v>4</v>
      </c>
      <c r="BE1057" s="130">
        <f t="shared" si="324"/>
        <v>14</v>
      </c>
      <c r="BF1057" s="195">
        <f t="shared" si="345"/>
        <v>28.571428571428569</v>
      </c>
      <c r="BG1057" s="373">
        <f t="shared" si="346"/>
        <v>10</v>
      </c>
    </row>
    <row r="1058" spans="1:59" s="21" customFormat="1" ht="15.95" customHeight="1">
      <c r="A1058" s="170">
        <v>15</v>
      </c>
      <c r="B1058" s="26" t="s">
        <v>538</v>
      </c>
      <c r="C1058" s="27" t="s">
        <v>1948</v>
      </c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2">
        <f t="shared" si="342"/>
        <v>0</v>
      </c>
      <c r="AC1058" s="23">
        <v>1</v>
      </c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2">
        <f t="shared" si="343"/>
        <v>0</v>
      </c>
      <c r="BC1058" s="23">
        <v>0</v>
      </c>
      <c r="BD1058" s="130">
        <f t="shared" si="344"/>
        <v>0</v>
      </c>
      <c r="BE1058" s="130">
        <f t="shared" si="324"/>
        <v>1</v>
      </c>
      <c r="BF1058" s="195">
        <f t="shared" si="345"/>
        <v>0</v>
      </c>
      <c r="BG1058" s="373">
        <f t="shared" si="346"/>
        <v>1</v>
      </c>
    </row>
    <row r="1059" spans="1:59" s="21" customFormat="1" ht="15.95" customHeight="1">
      <c r="A1059" s="170">
        <v>16</v>
      </c>
      <c r="B1059" s="26" t="s">
        <v>1530</v>
      </c>
      <c r="C1059" s="30" t="s">
        <v>1932</v>
      </c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2">
        <f t="shared" si="342"/>
        <v>0</v>
      </c>
      <c r="AC1059" s="23">
        <v>1</v>
      </c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2">
        <f t="shared" si="343"/>
        <v>0</v>
      </c>
      <c r="BC1059" s="23">
        <v>0</v>
      </c>
      <c r="BD1059" s="130">
        <f t="shared" si="344"/>
        <v>0</v>
      </c>
      <c r="BE1059" s="130">
        <f t="shared" si="324"/>
        <v>1</v>
      </c>
      <c r="BF1059" s="195">
        <f t="shared" si="345"/>
        <v>0</v>
      </c>
      <c r="BG1059" s="373">
        <f t="shared" si="346"/>
        <v>1</v>
      </c>
    </row>
    <row r="1060" spans="1:59" s="21" customFormat="1" ht="15.95" customHeight="1">
      <c r="A1060" s="170">
        <v>17</v>
      </c>
      <c r="B1060" s="26" t="s">
        <v>540</v>
      </c>
      <c r="C1060" s="30" t="s">
        <v>541</v>
      </c>
      <c r="D1060" s="28"/>
      <c r="E1060" s="28"/>
      <c r="F1060" s="28"/>
      <c r="G1060" s="28"/>
      <c r="H1060" s="28"/>
      <c r="I1060" s="28"/>
      <c r="J1060" s="28"/>
      <c r="K1060" s="28"/>
      <c r="L1060" s="28">
        <v>1</v>
      </c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2">
        <f t="shared" si="342"/>
        <v>1</v>
      </c>
      <c r="AC1060" s="23">
        <v>2</v>
      </c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2">
        <f t="shared" si="343"/>
        <v>0</v>
      </c>
      <c r="BC1060" s="23">
        <v>0</v>
      </c>
      <c r="BD1060" s="130">
        <f t="shared" si="344"/>
        <v>1</v>
      </c>
      <c r="BE1060" s="130">
        <f t="shared" si="324"/>
        <v>2</v>
      </c>
      <c r="BF1060" s="195">
        <f t="shared" si="345"/>
        <v>50</v>
      </c>
      <c r="BG1060" s="373">
        <f t="shared" si="346"/>
        <v>1</v>
      </c>
    </row>
    <row r="1061" spans="1:59" s="21" customFormat="1" ht="15.95" customHeight="1">
      <c r="A1061" s="170">
        <v>18</v>
      </c>
      <c r="B1061" s="26" t="s">
        <v>544</v>
      </c>
      <c r="C1061" s="30" t="s">
        <v>545</v>
      </c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2">
        <f t="shared" si="342"/>
        <v>0</v>
      </c>
      <c r="AC1061" s="23">
        <v>1</v>
      </c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2">
        <f t="shared" si="343"/>
        <v>0</v>
      </c>
      <c r="BC1061" s="23">
        <v>0</v>
      </c>
      <c r="BD1061" s="130">
        <f t="shared" si="344"/>
        <v>0</v>
      </c>
      <c r="BE1061" s="130">
        <f t="shared" si="324"/>
        <v>1</v>
      </c>
      <c r="BF1061" s="195">
        <f t="shared" si="345"/>
        <v>0</v>
      </c>
      <c r="BG1061" s="373">
        <f t="shared" si="346"/>
        <v>1</v>
      </c>
    </row>
    <row r="1062" spans="1:59" s="21" customFormat="1" ht="15.95" customHeight="1">
      <c r="A1062" s="170">
        <v>19</v>
      </c>
      <c r="B1062" s="26" t="s">
        <v>2459</v>
      </c>
      <c r="C1062" s="30" t="s">
        <v>2460</v>
      </c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2">
        <f t="shared" si="342"/>
        <v>0</v>
      </c>
      <c r="AC1062" s="23">
        <v>1</v>
      </c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2">
        <f t="shared" si="343"/>
        <v>0</v>
      </c>
      <c r="BC1062" s="23">
        <v>1</v>
      </c>
      <c r="BD1062" s="130">
        <f t="shared" si="344"/>
        <v>0</v>
      </c>
      <c r="BE1062" s="130">
        <f t="shared" si="324"/>
        <v>2</v>
      </c>
      <c r="BF1062" s="195">
        <f t="shared" si="345"/>
        <v>0</v>
      </c>
      <c r="BG1062" s="373">
        <f t="shared" si="346"/>
        <v>2</v>
      </c>
    </row>
    <row r="1063" spans="1:59" s="21" customFormat="1" ht="15.95" customHeight="1">
      <c r="A1063" s="170">
        <v>20</v>
      </c>
      <c r="B1063" s="26" t="s">
        <v>564</v>
      </c>
      <c r="C1063" s="30" t="s">
        <v>565</v>
      </c>
      <c r="D1063" s="28"/>
      <c r="E1063" s="28"/>
      <c r="F1063" s="28"/>
      <c r="G1063" s="28"/>
      <c r="H1063" s="28">
        <v>1</v>
      </c>
      <c r="I1063" s="28"/>
      <c r="J1063" s="28"/>
      <c r="K1063" s="28"/>
      <c r="L1063" s="28">
        <v>8</v>
      </c>
      <c r="M1063" s="28"/>
      <c r="N1063" s="28"/>
      <c r="O1063" s="28"/>
      <c r="P1063" s="28">
        <v>11</v>
      </c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2">
        <f t="shared" si="342"/>
        <v>20</v>
      </c>
      <c r="AC1063" s="23">
        <v>46</v>
      </c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2">
        <f t="shared" si="343"/>
        <v>0</v>
      </c>
      <c r="BC1063" s="23">
        <v>0</v>
      </c>
      <c r="BD1063" s="130">
        <f t="shared" si="344"/>
        <v>20</v>
      </c>
      <c r="BE1063" s="130">
        <f t="shared" si="324"/>
        <v>46</v>
      </c>
      <c r="BF1063" s="195">
        <f t="shared" si="345"/>
        <v>43.478260869565219</v>
      </c>
      <c r="BG1063" s="373">
        <f t="shared" si="346"/>
        <v>26</v>
      </c>
    </row>
    <row r="1064" spans="1:59" s="21" customFormat="1" ht="15.95" customHeight="1">
      <c r="A1064" s="170">
        <v>21</v>
      </c>
      <c r="B1064" s="26" t="s">
        <v>3157</v>
      </c>
      <c r="C1064" s="30" t="s">
        <v>3158</v>
      </c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2">
        <f t="shared" si="342"/>
        <v>0</v>
      </c>
      <c r="AC1064" s="23">
        <v>1</v>
      </c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2">
        <f t="shared" si="343"/>
        <v>0</v>
      </c>
      <c r="BC1064" s="23">
        <v>0</v>
      </c>
      <c r="BD1064" s="130">
        <f t="shared" si="344"/>
        <v>0</v>
      </c>
      <c r="BE1064" s="130">
        <f t="shared" si="324"/>
        <v>1</v>
      </c>
      <c r="BF1064" s="195">
        <f t="shared" si="345"/>
        <v>0</v>
      </c>
      <c r="BG1064" s="373">
        <f t="shared" si="346"/>
        <v>1</v>
      </c>
    </row>
    <row r="1065" spans="1:59" s="21" customFormat="1" ht="15.95" customHeight="1">
      <c r="A1065" s="170">
        <v>22</v>
      </c>
      <c r="B1065" s="26" t="s">
        <v>672</v>
      </c>
      <c r="C1065" s="30" t="s">
        <v>673</v>
      </c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2">
        <f t="shared" si="342"/>
        <v>0</v>
      </c>
      <c r="AC1065" s="23">
        <v>11</v>
      </c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2">
        <f t="shared" si="343"/>
        <v>0</v>
      </c>
      <c r="BC1065" s="23">
        <v>0</v>
      </c>
      <c r="BD1065" s="130">
        <f t="shared" si="344"/>
        <v>0</v>
      </c>
      <c r="BE1065" s="130">
        <f t="shared" si="324"/>
        <v>11</v>
      </c>
      <c r="BF1065" s="195">
        <f t="shared" si="345"/>
        <v>0</v>
      </c>
      <c r="BG1065" s="373">
        <f t="shared" si="346"/>
        <v>11</v>
      </c>
    </row>
    <row r="1066" spans="1:59" s="21" customFormat="1" ht="15.95" customHeight="1">
      <c r="A1066" s="170">
        <v>23</v>
      </c>
      <c r="B1066" s="26" t="s">
        <v>599</v>
      </c>
      <c r="C1066" s="27" t="s">
        <v>729</v>
      </c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2">
        <f t="shared" si="342"/>
        <v>0</v>
      </c>
      <c r="AC1066" s="23">
        <v>4</v>
      </c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2">
        <f t="shared" si="343"/>
        <v>0</v>
      </c>
      <c r="BC1066" s="23">
        <v>0</v>
      </c>
      <c r="BD1066" s="130">
        <f t="shared" si="344"/>
        <v>0</v>
      </c>
      <c r="BE1066" s="130">
        <f t="shared" si="324"/>
        <v>4</v>
      </c>
      <c r="BF1066" s="195">
        <f t="shared" si="345"/>
        <v>0</v>
      </c>
      <c r="BG1066" s="373">
        <f t="shared" si="346"/>
        <v>4</v>
      </c>
    </row>
    <row r="1067" spans="1:59" s="21" customFormat="1" ht="15.95" customHeight="1">
      <c r="A1067" s="170">
        <v>24</v>
      </c>
      <c r="B1067" s="26" t="s">
        <v>2877</v>
      </c>
      <c r="C1067" s="27" t="s">
        <v>2878</v>
      </c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2">
        <f t="shared" si="342"/>
        <v>0</v>
      </c>
      <c r="AC1067" s="23">
        <v>1</v>
      </c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2">
        <f t="shared" si="343"/>
        <v>0</v>
      </c>
      <c r="BC1067" s="23">
        <v>0</v>
      </c>
      <c r="BD1067" s="130">
        <f t="shared" si="344"/>
        <v>0</v>
      </c>
      <c r="BE1067" s="130">
        <f t="shared" si="324"/>
        <v>1</v>
      </c>
      <c r="BF1067" s="195">
        <f t="shared" si="345"/>
        <v>0</v>
      </c>
      <c r="BG1067" s="373">
        <f t="shared" si="346"/>
        <v>1</v>
      </c>
    </row>
    <row r="1068" spans="1:59" s="21" customFormat="1" ht="15.95" customHeight="1">
      <c r="A1068" s="634" t="s">
        <v>728</v>
      </c>
      <c r="B1068" s="635"/>
      <c r="C1068" s="635"/>
      <c r="D1068" s="14">
        <f t="shared" ref="D1068:AI1068" si="347">SUM(D1069:D1080)</f>
        <v>0</v>
      </c>
      <c r="E1068" s="14">
        <f t="shared" si="347"/>
        <v>0</v>
      </c>
      <c r="F1068" s="14">
        <f t="shared" si="347"/>
        <v>0</v>
      </c>
      <c r="G1068" s="14">
        <f t="shared" si="347"/>
        <v>0</v>
      </c>
      <c r="H1068" s="14">
        <f t="shared" si="347"/>
        <v>3</v>
      </c>
      <c r="I1068" s="14">
        <f t="shared" si="347"/>
        <v>0</v>
      </c>
      <c r="J1068" s="14">
        <f t="shared" si="347"/>
        <v>0</v>
      </c>
      <c r="K1068" s="14">
        <f t="shared" si="347"/>
        <v>0</v>
      </c>
      <c r="L1068" s="14">
        <f t="shared" si="347"/>
        <v>15</v>
      </c>
      <c r="M1068" s="14">
        <f t="shared" si="347"/>
        <v>0</v>
      </c>
      <c r="N1068" s="14">
        <f t="shared" si="347"/>
        <v>0</v>
      </c>
      <c r="O1068" s="14">
        <f t="shared" si="347"/>
        <v>0</v>
      </c>
      <c r="P1068" s="14">
        <f t="shared" si="347"/>
        <v>16</v>
      </c>
      <c r="Q1068" s="14">
        <f t="shared" si="347"/>
        <v>0</v>
      </c>
      <c r="R1068" s="14">
        <f t="shared" si="347"/>
        <v>0</v>
      </c>
      <c r="S1068" s="14">
        <f t="shared" si="347"/>
        <v>0</v>
      </c>
      <c r="T1068" s="14">
        <f t="shared" si="347"/>
        <v>0</v>
      </c>
      <c r="U1068" s="14">
        <f t="shared" si="347"/>
        <v>0</v>
      </c>
      <c r="V1068" s="14">
        <f t="shared" si="347"/>
        <v>0</v>
      </c>
      <c r="W1068" s="14">
        <f t="shared" si="347"/>
        <v>0</v>
      </c>
      <c r="X1068" s="14">
        <f t="shared" si="347"/>
        <v>0</v>
      </c>
      <c r="Y1068" s="14">
        <f t="shared" si="347"/>
        <v>0</v>
      </c>
      <c r="Z1068" s="14">
        <f t="shared" si="347"/>
        <v>0</v>
      </c>
      <c r="AA1068" s="14">
        <f t="shared" si="347"/>
        <v>0</v>
      </c>
      <c r="AB1068" s="14">
        <f t="shared" si="347"/>
        <v>34</v>
      </c>
      <c r="AC1068" s="23">
        <f t="shared" si="347"/>
        <v>209</v>
      </c>
      <c r="AD1068" s="24">
        <f t="shared" si="347"/>
        <v>0</v>
      </c>
      <c r="AE1068" s="24">
        <f t="shared" si="347"/>
        <v>0</v>
      </c>
      <c r="AF1068" s="24">
        <f t="shared" si="347"/>
        <v>0</v>
      </c>
      <c r="AG1068" s="24">
        <f t="shared" si="347"/>
        <v>0</v>
      </c>
      <c r="AH1068" s="24">
        <f t="shared" si="347"/>
        <v>0</v>
      </c>
      <c r="AI1068" s="24">
        <f t="shared" si="347"/>
        <v>0</v>
      </c>
      <c r="AJ1068" s="24">
        <f t="shared" ref="AJ1068:BB1068" si="348">SUM(AJ1069:AJ1080)</f>
        <v>0</v>
      </c>
      <c r="AK1068" s="24">
        <f t="shared" si="348"/>
        <v>0</v>
      </c>
      <c r="AL1068" s="24">
        <f t="shared" si="348"/>
        <v>0</v>
      </c>
      <c r="AM1068" s="24">
        <f t="shared" si="348"/>
        <v>0</v>
      </c>
      <c r="AN1068" s="24">
        <f t="shared" si="348"/>
        <v>0</v>
      </c>
      <c r="AO1068" s="24">
        <f t="shared" si="348"/>
        <v>0</v>
      </c>
      <c r="AP1068" s="24">
        <f t="shared" si="348"/>
        <v>0</v>
      </c>
      <c r="AQ1068" s="24">
        <f t="shared" si="348"/>
        <v>0</v>
      </c>
      <c r="AR1068" s="24">
        <f t="shared" si="348"/>
        <v>0</v>
      </c>
      <c r="AS1068" s="24">
        <f t="shared" si="348"/>
        <v>0</v>
      </c>
      <c r="AT1068" s="24">
        <f t="shared" si="348"/>
        <v>0</v>
      </c>
      <c r="AU1068" s="24">
        <f t="shared" si="348"/>
        <v>0</v>
      </c>
      <c r="AV1068" s="24">
        <f t="shared" si="348"/>
        <v>0</v>
      </c>
      <c r="AW1068" s="24">
        <f t="shared" si="348"/>
        <v>0</v>
      </c>
      <c r="AX1068" s="24">
        <f t="shared" si="348"/>
        <v>0</v>
      </c>
      <c r="AY1068" s="24">
        <f t="shared" si="348"/>
        <v>0</v>
      </c>
      <c r="AZ1068" s="24">
        <f t="shared" si="348"/>
        <v>0</v>
      </c>
      <c r="BA1068" s="24">
        <f t="shared" si="348"/>
        <v>0</v>
      </c>
      <c r="BB1068" s="24">
        <f t="shared" si="348"/>
        <v>0</v>
      </c>
      <c r="BC1068" s="23">
        <v>0</v>
      </c>
      <c r="BD1068" s="130">
        <f t="shared" si="323"/>
        <v>34</v>
      </c>
      <c r="BE1068" s="130">
        <f t="shared" si="324"/>
        <v>209</v>
      </c>
      <c r="BF1068" s="195">
        <f t="shared" si="309"/>
        <v>16.267942583732058</v>
      </c>
      <c r="BG1068" s="374">
        <f t="shared" si="329"/>
        <v>175</v>
      </c>
    </row>
    <row r="1069" spans="1:59" s="21" customFormat="1" ht="15.95" customHeight="1">
      <c r="A1069" s="170">
        <v>1</v>
      </c>
      <c r="B1069" s="26" t="s">
        <v>718</v>
      </c>
      <c r="C1069" s="30" t="s">
        <v>719</v>
      </c>
      <c r="D1069" s="28"/>
      <c r="E1069" s="28"/>
      <c r="F1069" s="28"/>
      <c r="G1069" s="28"/>
      <c r="H1069" s="28">
        <v>1</v>
      </c>
      <c r="I1069" s="28"/>
      <c r="J1069" s="28"/>
      <c r="K1069" s="28"/>
      <c r="L1069" s="28">
        <v>10</v>
      </c>
      <c r="M1069" s="28"/>
      <c r="N1069" s="28"/>
      <c r="O1069" s="28"/>
      <c r="P1069" s="28">
        <v>14</v>
      </c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2">
        <f t="shared" ref="AB1069:AB1080" si="349">SUM(D1069:AA1069)</f>
        <v>25</v>
      </c>
      <c r="AC1069" s="23">
        <v>53</v>
      </c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2">
        <f t="shared" ref="BB1069:BB1080" si="350">SUM(AD1069:BA1069)</f>
        <v>0</v>
      </c>
      <c r="BC1069" s="23">
        <v>0</v>
      </c>
      <c r="BD1069" s="130">
        <f t="shared" ref="BD1069:BD1080" si="351">AB1069+BB1069</f>
        <v>25</v>
      </c>
      <c r="BE1069" s="130">
        <f t="shared" ref="BE1069:BE1080" si="352">AC1069+BC1069</f>
        <v>53</v>
      </c>
      <c r="BF1069" s="195">
        <f t="shared" ref="BF1069:BF1080" si="353">BD1069/BE1069*100</f>
        <v>47.169811320754718</v>
      </c>
      <c r="BG1069" s="373">
        <f t="shared" ref="BG1069:BG1076" si="354">BE1069-BD1069</f>
        <v>28</v>
      </c>
    </row>
    <row r="1070" spans="1:59" s="21" customFormat="1" ht="15.95" customHeight="1">
      <c r="A1070" s="170">
        <v>2</v>
      </c>
      <c r="B1070" s="26" t="s">
        <v>507</v>
      </c>
      <c r="C1070" s="30" t="s">
        <v>2546</v>
      </c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2">
        <f t="shared" si="349"/>
        <v>0</v>
      </c>
      <c r="AC1070" s="23">
        <v>2</v>
      </c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2">
        <f t="shared" si="350"/>
        <v>0</v>
      </c>
      <c r="BC1070" s="23">
        <v>0</v>
      </c>
      <c r="BD1070" s="130">
        <f t="shared" si="351"/>
        <v>0</v>
      </c>
      <c r="BE1070" s="130">
        <f t="shared" si="352"/>
        <v>2</v>
      </c>
      <c r="BF1070" s="195">
        <f t="shared" si="353"/>
        <v>0</v>
      </c>
      <c r="BG1070" s="373">
        <f t="shared" si="354"/>
        <v>2</v>
      </c>
    </row>
    <row r="1071" spans="1:59" s="21" customFormat="1" ht="15.95" customHeight="1">
      <c r="A1071" s="170">
        <v>3</v>
      </c>
      <c r="B1071" s="26" t="s">
        <v>508</v>
      </c>
      <c r="C1071" s="30" t="s">
        <v>509</v>
      </c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2">
        <f t="shared" si="349"/>
        <v>0</v>
      </c>
      <c r="AC1071" s="23">
        <v>4</v>
      </c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2">
        <f t="shared" si="350"/>
        <v>0</v>
      </c>
      <c r="BC1071" s="23">
        <v>0</v>
      </c>
      <c r="BD1071" s="130">
        <f t="shared" si="351"/>
        <v>0</v>
      </c>
      <c r="BE1071" s="130">
        <f t="shared" si="352"/>
        <v>4</v>
      </c>
      <c r="BF1071" s="195">
        <f t="shared" si="353"/>
        <v>0</v>
      </c>
      <c r="BG1071" s="373">
        <f t="shared" si="354"/>
        <v>4</v>
      </c>
    </row>
    <row r="1072" spans="1:59" s="21" customFormat="1" ht="15.95" customHeight="1">
      <c r="A1072" s="170">
        <v>4</v>
      </c>
      <c r="B1072" s="26" t="s">
        <v>32</v>
      </c>
      <c r="C1072" s="30" t="s">
        <v>33</v>
      </c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2">
        <f t="shared" si="349"/>
        <v>0</v>
      </c>
      <c r="AC1072" s="23">
        <v>17</v>
      </c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2">
        <f t="shared" si="350"/>
        <v>0</v>
      </c>
      <c r="BC1072" s="23">
        <v>0</v>
      </c>
      <c r="BD1072" s="130">
        <f t="shared" si="351"/>
        <v>0</v>
      </c>
      <c r="BE1072" s="130">
        <f t="shared" si="352"/>
        <v>17</v>
      </c>
      <c r="BF1072" s="195">
        <f t="shared" si="353"/>
        <v>0</v>
      </c>
      <c r="BG1072" s="373">
        <f t="shared" si="354"/>
        <v>17</v>
      </c>
    </row>
    <row r="1073" spans="1:59" s="21" customFormat="1" ht="15.95" customHeight="1">
      <c r="A1073" s="170">
        <v>5</v>
      </c>
      <c r="B1073" s="26" t="s">
        <v>615</v>
      </c>
      <c r="C1073" s="30" t="s">
        <v>616</v>
      </c>
      <c r="D1073" s="28"/>
      <c r="E1073" s="28"/>
      <c r="F1073" s="28"/>
      <c r="G1073" s="28"/>
      <c r="H1073" s="28">
        <v>2</v>
      </c>
      <c r="I1073" s="28"/>
      <c r="J1073" s="28"/>
      <c r="K1073" s="28"/>
      <c r="L1073" s="28">
        <v>2</v>
      </c>
      <c r="M1073" s="28"/>
      <c r="N1073" s="28"/>
      <c r="O1073" s="28"/>
      <c r="P1073" s="28">
        <v>1</v>
      </c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2">
        <f t="shared" si="349"/>
        <v>5</v>
      </c>
      <c r="AC1073" s="23">
        <v>42</v>
      </c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2">
        <f t="shared" si="350"/>
        <v>0</v>
      </c>
      <c r="BC1073" s="23">
        <v>0</v>
      </c>
      <c r="BD1073" s="130">
        <f t="shared" si="351"/>
        <v>5</v>
      </c>
      <c r="BE1073" s="130">
        <f t="shared" si="352"/>
        <v>42</v>
      </c>
      <c r="BF1073" s="195">
        <f t="shared" si="353"/>
        <v>11.904761904761903</v>
      </c>
      <c r="BG1073" s="373">
        <f t="shared" si="354"/>
        <v>37</v>
      </c>
    </row>
    <row r="1074" spans="1:59" s="21" customFormat="1" ht="15.95" customHeight="1">
      <c r="A1074" s="170">
        <v>6</v>
      </c>
      <c r="B1074" s="26" t="s">
        <v>699</v>
      </c>
      <c r="C1074" s="30" t="s">
        <v>2593</v>
      </c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2">
        <f t="shared" si="349"/>
        <v>0</v>
      </c>
      <c r="AC1074" s="23">
        <v>2</v>
      </c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2">
        <f t="shared" si="350"/>
        <v>0</v>
      </c>
      <c r="BC1074" s="23">
        <v>0</v>
      </c>
      <c r="BD1074" s="130">
        <f t="shared" si="351"/>
        <v>0</v>
      </c>
      <c r="BE1074" s="130">
        <f t="shared" si="352"/>
        <v>2</v>
      </c>
      <c r="BF1074" s="195">
        <f t="shared" si="353"/>
        <v>0</v>
      </c>
      <c r="BG1074" s="373">
        <f t="shared" si="354"/>
        <v>2</v>
      </c>
    </row>
    <row r="1075" spans="1:59" s="21" customFormat="1" ht="15.95" customHeight="1">
      <c r="A1075" s="170">
        <v>7</v>
      </c>
      <c r="B1075" s="26" t="s">
        <v>243</v>
      </c>
      <c r="C1075" s="30" t="s">
        <v>727</v>
      </c>
      <c r="D1075" s="28"/>
      <c r="E1075" s="28"/>
      <c r="F1075" s="28"/>
      <c r="G1075" s="28"/>
      <c r="H1075" s="28"/>
      <c r="I1075" s="28"/>
      <c r="J1075" s="28"/>
      <c r="K1075" s="28"/>
      <c r="L1075" s="28">
        <v>2</v>
      </c>
      <c r="M1075" s="28"/>
      <c r="N1075" s="28"/>
      <c r="O1075" s="28"/>
      <c r="P1075" s="28">
        <v>1</v>
      </c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2">
        <f t="shared" si="349"/>
        <v>3</v>
      </c>
      <c r="AC1075" s="23">
        <v>11</v>
      </c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2">
        <f t="shared" si="350"/>
        <v>0</v>
      </c>
      <c r="BC1075" s="23">
        <v>0</v>
      </c>
      <c r="BD1075" s="130">
        <f t="shared" si="351"/>
        <v>3</v>
      </c>
      <c r="BE1075" s="130">
        <f t="shared" si="352"/>
        <v>11</v>
      </c>
      <c r="BF1075" s="195">
        <f t="shared" si="353"/>
        <v>27.27272727272727</v>
      </c>
      <c r="BG1075" s="373">
        <f t="shared" si="354"/>
        <v>8</v>
      </c>
    </row>
    <row r="1076" spans="1:59" s="21" customFormat="1" ht="15.95" customHeight="1">
      <c r="A1076" s="170">
        <v>8</v>
      </c>
      <c r="B1076" s="26" t="s">
        <v>2127</v>
      </c>
      <c r="C1076" s="30" t="s">
        <v>2128</v>
      </c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2">
        <f t="shared" si="349"/>
        <v>0</v>
      </c>
      <c r="AC1076" s="23">
        <v>2</v>
      </c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2">
        <f t="shared" si="350"/>
        <v>0</v>
      </c>
      <c r="BC1076" s="23">
        <v>0</v>
      </c>
      <c r="BD1076" s="130">
        <f t="shared" si="351"/>
        <v>0</v>
      </c>
      <c r="BE1076" s="130">
        <f t="shared" si="352"/>
        <v>2</v>
      </c>
      <c r="BF1076" s="195">
        <f t="shared" si="353"/>
        <v>0</v>
      </c>
      <c r="BG1076" s="373">
        <f t="shared" si="354"/>
        <v>2</v>
      </c>
    </row>
    <row r="1077" spans="1:59" s="21" customFormat="1" ht="15.95" customHeight="1">
      <c r="A1077" s="170">
        <v>9</v>
      </c>
      <c r="B1077" s="26" t="s">
        <v>502</v>
      </c>
      <c r="C1077" s="30" t="s">
        <v>3934</v>
      </c>
      <c r="D1077" s="28"/>
      <c r="E1077" s="28"/>
      <c r="F1077" s="28"/>
      <c r="G1077" s="28"/>
      <c r="H1077" s="28"/>
      <c r="I1077" s="28"/>
      <c r="J1077" s="28"/>
      <c r="K1077" s="28"/>
      <c r="L1077" s="28">
        <v>1</v>
      </c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2">
        <f t="shared" si="349"/>
        <v>1</v>
      </c>
      <c r="AC1077" s="23">
        <v>0</v>
      </c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2">
        <f t="shared" si="350"/>
        <v>0</v>
      </c>
      <c r="BC1077" s="23">
        <v>0</v>
      </c>
      <c r="BD1077" s="130">
        <f t="shared" si="351"/>
        <v>1</v>
      </c>
      <c r="BE1077" s="130">
        <f t="shared" si="352"/>
        <v>0</v>
      </c>
      <c r="BF1077" s="195" t="e">
        <f t="shared" si="353"/>
        <v>#DIV/0!</v>
      </c>
      <c r="BG1077" s="373"/>
    </row>
    <row r="1078" spans="1:59" s="21" customFormat="1" ht="15.95" customHeight="1">
      <c r="A1078" s="170">
        <v>10</v>
      </c>
      <c r="B1078" s="26" t="s">
        <v>17</v>
      </c>
      <c r="C1078" s="30" t="s">
        <v>2163</v>
      </c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2">
        <f t="shared" si="349"/>
        <v>0</v>
      </c>
      <c r="AC1078" s="23">
        <v>2</v>
      </c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2">
        <f t="shared" si="350"/>
        <v>0</v>
      </c>
      <c r="BC1078" s="23">
        <v>0</v>
      </c>
      <c r="BD1078" s="130">
        <f t="shared" si="351"/>
        <v>0</v>
      </c>
      <c r="BE1078" s="130">
        <f t="shared" si="352"/>
        <v>2</v>
      </c>
      <c r="BF1078" s="195">
        <f t="shared" si="353"/>
        <v>0</v>
      </c>
      <c r="BG1078" s="373">
        <f>BE1078-BD1078</f>
        <v>2</v>
      </c>
    </row>
    <row r="1079" spans="1:59" s="21" customFormat="1" ht="15.95" customHeight="1">
      <c r="A1079" s="170">
        <v>11</v>
      </c>
      <c r="B1079" s="26" t="s">
        <v>672</v>
      </c>
      <c r="C1079" s="30" t="s">
        <v>673</v>
      </c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2">
        <f t="shared" si="349"/>
        <v>0</v>
      </c>
      <c r="AC1079" s="23">
        <v>73</v>
      </c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2">
        <f t="shared" si="350"/>
        <v>0</v>
      </c>
      <c r="BC1079" s="23">
        <v>0</v>
      </c>
      <c r="BD1079" s="130">
        <f t="shared" si="351"/>
        <v>0</v>
      </c>
      <c r="BE1079" s="130">
        <f t="shared" si="352"/>
        <v>73</v>
      </c>
      <c r="BF1079" s="195">
        <f t="shared" si="353"/>
        <v>0</v>
      </c>
      <c r="BG1079" s="373">
        <f>BE1079-BD1079</f>
        <v>73</v>
      </c>
    </row>
    <row r="1080" spans="1:59" s="21" customFormat="1" ht="15.95" customHeight="1">
      <c r="A1080" s="170">
        <v>12</v>
      </c>
      <c r="B1080" s="26" t="s">
        <v>599</v>
      </c>
      <c r="C1080" s="30" t="s">
        <v>3451</v>
      </c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2">
        <f t="shared" si="349"/>
        <v>0</v>
      </c>
      <c r="AC1080" s="23">
        <v>1</v>
      </c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2">
        <f t="shared" si="350"/>
        <v>0</v>
      </c>
      <c r="BC1080" s="23">
        <v>0</v>
      </c>
      <c r="BD1080" s="130">
        <f t="shared" si="351"/>
        <v>0</v>
      </c>
      <c r="BE1080" s="130">
        <f t="shared" si="352"/>
        <v>1</v>
      </c>
      <c r="BF1080" s="195">
        <f t="shared" si="353"/>
        <v>0</v>
      </c>
      <c r="BG1080" s="373">
        <f>BE1080-BD1080</f>
        <v>1</v>
      </c>
    </row>
    <row r="1081" spans="1:59" s="21" customFormat="1" ht="15.95" customHeight="1">
      <c r="A1081" s="632" t="s">
        <v>603</v>
      </c>
      <c r="B1081" s="633"/>
      <c r="C1081" s="633"/>
      <c r="D1081" s="159">
        <f t="shared" ref="D1081:AI1081" si="355">SUM(D1082:D1082)</f>
        <v>0</v>
      </c>
      <c r="E1081" s="159">
        <f t="shared" si="355"/>
        <v>0</v>
      </c>
      <c r="F1081" s="159">
        <f t="shared" si="355"/>
        <v>0</v>
      </c>
      <c r="G1081" s="159">
        <f t="shared" si="355"/>
        <v>0</v>
      </c>
      <c r="H1081" s="159">
        <f t="shared" si="355"/>
        <v>2</v>
      </c>
      <c r="I1081" s="159">
        <f t="shared" si="355"/>
        <v>0</v>
      </c>
      <c r="J1081" s="159">
        <f t="shared" si="355"/>
        <v>0</v>
      </c>
      <c r="K1081" s="159">
        <f t="shared" si="355"/>
        <v>0</v>
      </c>
      <c r="L1081" s="159">
        <f t="shared" si="355"/>
        <v>7</v>
      </c>
      <c r="M1081" s="159">
        <f t="shared" si="355"/>
        <v>0</v>
      </c>
      <c r="N1081" s="159">
        <f t="shared" si="355"/>
        <v>0</v>
      </c>
      <c r="O1081" s="159">
        <f t="shared" si="355"/>
        <v>0</v>
      </c>
      <c r="P1081" s="159">
        <f t="shared" si="355"/>
        <v>3</v>
      </c>
      <c r="Q1081" s="159">
        <f t="shared" si="355"/>
        <v>0</v>
      </c>
      <c r="R1081" s="159">
        <f t="shared" si="355"/>
        <v>0</v>
      </c>
      <c r="S1081" s="159">
        <f t="shared" si="355"/>
        <v>0</v>
      </c>
      <c r="T1081" s="159">
        <f t="shared" si="355"/>
        <v>0</v>
      </c>
      <c r="U1081" s="159">
        <f t="shared" si="355"/>
        <v>0</v>
      </c>
      <c r="V1081" s="159">
        <f t="shared" si="355"/>
        <v>0</v>
      </c>
      <c r="W1081" s="159">
        <f t="shared" si="355"/>
        <v>0</v>
      </c>
      <c r="X1081" s="159">
        <f t="shared" si="355"/>
        <v>0</v>
      </c>
      <c r="Y1081" s="159">
        <f t="shared" si="355"/>
        <v>0</v>
      </c>
      <c r="Z1081" s="159">
        <f t="shared" si="355"/>
        <v>0</v>
      </c>
      <c r="AA1081" s="159">
        <f t="shared" si="355"/>
        <v>0</v>
      </c>
      <c r="AB1081" s="159">
        <f t="shared" si="355"/>
        <v>12</v>
      </c>
      <c r="AC1081" s="25">
        <f t="shared" si="355"/>
        <v>2</v>
      </c>
      <c r="AD1081" s="162">
        <f t="shared" si="355"/>
        <v>0</v>
      </c>
      <c r="AE1081" s="162">
        <f t="shared" si="355"/>
        <v>0</v>
      </c>
      <c r="AF1081" s="162">
        <f t="shared" si="355"/>
        <v>0</v>
      </c>
      <c r="AG1081" s="162">
        <f t="shared" si="355"/>
        <v>0</v>
      </c>
      <c r="AH1081" s="162">
        <f t="shared" si="355"/>
        <v>0</v>
      </c>
      <c r="AI1081" s="162">
        <f t="shared" si="355"/>
        <v>0</v>
      </c>
      <c r="AJ1081" s="162">
        <f t="shared" ref="AJ1081:BB1081" si="356">SUM(AJ1082:AJ1082)</f>
        <v>0</v>
      </c>
      <c r="AK1081" s="162">
        <f t="shared" si="356"/>
        <v>0</v>
      </c>
      <c r="AL1081" s="162">
        <f t="shared" si="356"/>
        <v>0</v>
      </c>
      <c r="AM1081" s="162">
        <f t="shared" si="356"/>
        <v>0</v>
      </c>
      <c r="AN1081" s="162">
        <f t="shared" si="356"/>
        <v>0</v>
      </c>
      <c r="AO1081" s="162">
        <f t="shared" si="356"/>
        <v>0</v>
      </c>
      <c r="AP1081" s="162">
        <f t="shared" si="356"/>
        <v>0</v>
      </c>
      <c r="AQ1081" s="162">
        <f t="shared" si="356"/>
        <v>0</v>
      </c>
      <c r="AR1081" s="162">
        <f t="shared" si="356"/>
        <v>0</v>
      </c>
      <c r="AS1081" s="162">
        <f t="shared" si="356"/>
        <v>0</v>
      </c>
      <c r="AT1081" s="162">
        <f t="shared" si="356"/>
        <v>0</v>
      </c>
      <c r="AU1081" s="162">
        <f t="shared" si="356"/>
        <v>0</v>
      </c>
      <c r="AV1081" s="162">
        <f t="shared" si="356"/>
        <v>0</v>
      </c>
      <c r="AW1081" s="162">
        <f t="shared" si="356"/>
        <v>0</v>
      </c>
      <c r="AX1081" s="162">
        <f t="shared" si="356"/>
        <v>0</v>
      </c>
      <c r="AY1081" s="162">
        <f t="shared" si="356"/>
        <v>0</v>
      </c>
      <c r="AZ1081" s="162">
        <f t="shared" si="356"/>
        <v>0</v>
      </c>
      <c r="BA1081" s="162">
        <f t="shared" si="356"/>
        <v>0</v>
      </c>
      <c r="BB1081" s="162">
        <f t="shared" si="356"/>
        <v>0</v>
      </c>
      <c r="BC1081" s="23">
        <f t="shared" ref="BC1081" si="357">BC1082</f>
        <v>0</v>
      </c>
      <c r="BD1081" s="130">
        <f t="shared" ref="BD1081:BD1091" si="358">AB1081+BB1081</f>
        <v>12</v>
      </c>
      <c r="BE1081" s="130">
        <f t="shared" ref="BE1081:BE1091" si="359">AC1081+BC1081</f>
        <v>2</v>
      </c>
      <c r="BF1081" s="195">
        <f t="shared" ref="BF1081:BF1091" si="360">BD1081/BE1081*100</f>
        <v>600</v>
      </c>
      <c r="BG1081" s="374">
        <f t="shared" si="329"/>
        <v>-10</v>
      </c>
    </row>
    <row r="1082" spans="1:59" s="21" customFormat="1" ht="15.95" customHeight="1">
      <c r="A1082" s="163">
        <v>1</v>
      </c>
      <c r="B1082" s="9" t="s">
        <v>641</v>
      </c>
      <c r="C1082" s="16" t="s">
        <v>642</v>
      </c>
      <c r="D1082" s="14"/>
      <c r="E1082" s="14"/>
      <c r="F1082" s="14"/>
      <c r="G1082" s="14"/>
      <c r="H1082" s="14">
        <v>2</v>
      </c>
      <c r="I1082" s="14"/>
      <c r="J1082" s="14"/>
      <c r="K1082" s="14"/>
      <c r="L1082" s="14">
        <v>7</v>
      </c>
      <c r="M1082" s="14"/>
      <c r="N1082" s="14"/>
      <c r="O1082" s="14"/>
      <c r="P1082" s="14">
        <v>3</v>
      </c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22">
        <f>SUM(D1082:AA1082)</f>
        <v>12</v>
      </c>
      <c r="AC1082" s="25">
        <v>2</v>
      </c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2">
        <f>SUM(AD1082:BA1082)</f>
        <v>0</v>
      </c>
      <c r="BC1082" s="23">
        <v>0</v>
      </c>
      <c r="BD1082" s="130">
        <f t="shared" si="358"/>
        <v>12</v>
      </c>
      <c r="BE1082" s="130">
        <f t="shared" si="359"/>
        <v>2</v>
      </c>
      <c r="BF1082" s="195">
        <f t="shared" si="360"/>
        <v>600</v>
      </c>
      <c r="BG1082" s="373">
        <f t="shared" si="329"/>
        <v>-10</v>
      </c>
    </row>
    <row r="1083" spans="1:59" s="21" customFormat="1" ht="15.95" customHeight="1">
      <c r="A1083" s="632" t="s">
        <v>604</v>
      </c>
      <c r="B1083" s="633"/>
      <c r="C1083" s="633"/>
      <c r="D1083" s="159">
        <f t="shared" ref="D1083:BC1083" si="361">SUM(D1084:D1085)</f>
        <v>0</v>
      </c>
      <c r="E1083" s="159">
        <f t="shared" si="361"/>
        <v>0</v>
      </c>
      <c r="F1083" s="159">
        <f t="shared" si="361"/>
        <v>0</v>
      </c>
      <c r="G1083" s="159">
        <f t="shared" si="361"/>
        <v>0</v>
      </c>
      <c r="H1083" s="159">
        <f t="shared" si="361"/>
        <v>0</v>
      </c>
      <c r="I1083" s="159">
        <f t="shared" si="361"/>
        <v>0</v>
      </c>
      <c r="J1083" s="159">
        <f t="shared" si="361"/>
        <v>0</v>
      </c>
      <c r="K1083" s="159">
        <f t="shared" si="361"/>
        <v>0</v>
      </c>
      <c r="L1083" s="159">
        <f t="shared" si="361"/>
        <v>0</v>
      </c>
      <c r="M1083" s="159">
        <f t="shared" si="361"/>
        <v>0</v>
      </c>
      <c r="N1083" s="159">
        <f t="shared" si="361"/>
        <v>0</v>
      </c>
      <c r="O1083" s="159">
        <f t="shared" si="361"/>
        <v>0</v>
      </c>
      <c r="P1083" s="159">
        <f t="shared" si="361"/>
        <v>0</v>
      </c>
      <c r="Q1083" s="159">
        <f t="shared" si="361"/>
        <v>0</v>
      </c>
      <c r="R1083" s="159">
        <f t="shared" si="361"/>
        <v>0</v>
      </c>
      <c r="S1083" s="159">
        <f t="shared" si="361"/>
        <v>0</v>
      </c>
      <c r="T1083" s="159">
        <f t="shared" si="361"/>
        <v>0</v>
      </c>
      <c r="U1083" s="159">
        <f t="shared" si="361"/>
        <v>0</v>
      </c>
      <c r="V1083" s="159">
        <f t="shared" si="361"/>
        <v>0</v>
      </c>
      <c r="W1083" s="159">
        <f t="shared" si="361"/>
        <v>0</v>
      </c>
      <c r="X1083" s="159">
        <f t="shared" si="361"/>
        <v>0</v>
      </c>
      <c r="Y1083" s="159">
        <f t="shared" ref="Y1083:Z1083" si="362">SUM(Y1084:Y1085)</f>
        <v>0</v>
      </c>
      <c r="Z1083" s="159">
        <f t="shared" si="362"/>
        <v>0</v>
      </c>
      <c r="AA1083" s="159">
        <f t="shared" si="361"/>
        <v>0</v>
      </c>
      <c r="AB1083" s="159">
        <f t="shared" si="361"/>
        <v>0</v>
      </c>
      <c r="AC1083" s="25">
        <f t="shared" si="361"/>
        <v>2</v>
      </c>
      <c r="AD1083" s="162">
        <f t="shared" si="361"/>
        <v>0</v>
      </c>
      <c r="AE1083" s="162">
        <f t="shared" si="361"/>
        <v>0</v>
      </c>
      <c r="AF1083" s="162">
        <f t="shared" si="361"/>
        <v>0</v>
      </c>
      <c r="AG1083" s="162">
        <f t="shared" si="361"/>
        <v>0</v>
      </c>
      <c r="AH1083" s="162">
        <f t="shared" si="361"/>
        <v>0</v>
      </c>
      <c r="AI1083" s="162">
        <f t="shared" si="361"/>
        <v>0</v>
      </c>
      <c r="AJ1083" s="162">
        <f t="shared" si="361"/>
        <v>0</v>
      </c>
      <c r="AK1083" s="162">
        <f t="shared" si="361"/>
        <v>0</v>
      </c>
      <c r="AL1083" s="162">
        <f t="shared" si="361"/>
        <v>0</v>
      </c>
      <c r="AM1083" s="162">
        <f t="shared" si="361"/>
        <v>0</v>
      </c>
      <c r="AN1083" s="162">
        <f t="shared" si="361"/>
        <v>0</v>
      </c>
      <c r="AO1083" s="162">
        <f t="shared" si="361"/>
        <v>0</v>
      </c>
      <c r="AP1083" s="162">
        <f t="shared" si="361"/>
        <v>0</v>
      </c>
      <c r="AQ1083" s="162">
        <f t="shared" si="361"/>
        <v>0</v>
      </c>
      <c r="AR1083" s="162">
        <f t="shared" si="361"/>
        <v>0</v>
      </c>
      <c r="AS1083" s="162">
        <f t="shared" si="361"/>
        <v>0</v>
      </c>
      <c r="AT1083" s="162">
        <f t="shared" si="361"/>
        <v>0</v>
      </c>
      <c r="AU1083" s="162">
        <f t="shared" si="361"/>
        <v>0</v>
      </c>
      <c r="AV1083" s="162">
        <f t="shared" si="361"/>
        <v>0</v>
      </c>
      <c r="AW1083" s="162">
        <f t="shared" si="361"/>
        <v>0</v>
      </c>
      <c r="AX1083" s="162">
        <f t="shared" si="361"/>
        <v>0</v>
      </c>
      <c r="AY1083" s="162">
        <f t="shared" ref="AY1083:AZ1083" si="363">SUM(AY1084:AY1085)</f>
        <v>0</v>
      </c>
      <c r="AZ1083" s="162">
        <f t="shared" si="363"/>
        <v>0</v>
      </c>
      <c r="BA1083" s="162">
        <f t="shared" si="361"/>
        <v>0</v>
      </c>
      <c r="BB1083" s="162">
        <f t="shared" si="361"/>
        <v>0</v>
      </c>
      <c r="BC1083" s="23">
        <f t="shared" si="361"/>
        <v>0</v>
      </c>
      <c r="BD1083" s="130">
        <f t="shared" si="358"/>
        <v>0</v>
      </c>
      <c r="BE1083" s="130">
        <f t="shared" si="359"/>
        <v>2</v>
      </c>
      <c r="BF1083" s="195">
        <f t="shared" si="360"/>
        <v>0</v>
      </c>
      <c r="BG1083" s="374">
        <f t="shared" si="329"/>
        <v>2</v>
      </c>
    </row>
    <row r="1084" spans="1:59" s="21" customFormat="1" ht="15.95" customHeight="1">
      <c r="A1084" s="163">
        <v>1</v>
      </c>
      <c r="B1084" s="9" t="s">
        <v>605</v>
      </c>
      <c r="C1084" s="11" t="s">
        <v>606</v>
      </c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22">
        <f>SUM(D1084:AA1084)</f>
        <v>0</v>
      </c>
      <c r="AC1084" s="25">
        <v>1</v>
      </c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2">
        <f>SUM(AD1084:BA1084)</f>
        <v>0</v>
      </c>
      <c r="BC1084" s="23">
        <v>0</v>
      </c>
      <c r="BD1084" s="130">
        <f t="shared" si="358"/>
        <v>0</v>
      </c>
      <c r="BE1084" s="130">
        <f t="shared" si="359"/>
        <v>1</v>
      </c>
      <c r="BF1084" s="195">
        <f t="shared" si="360"/>
        <v>0</v>
      </c>
      <c r="BG1084" s="373">
        <f t="shared" si="329"/>
        <v>1</v>
      </c>
    </row>
    <row r="1085" spans="1:59" s="21" customFormat="1" ht="15.95" customHeight="1">
      <c r="A1085" s="163">
        <v>2</v>
      </c>
      <c r="B1085" s="9" t="s">
        <v>579</v>
      </c>
      <c r="C1085" s="11" t="s">
        <v>580</v>
      </c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22">
        <f>SUM(D1085:AA1085)</f>
        <v>0</v>
      </c>
      <c r="AC1085" s="25">
        <v>1</v>
      </c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2">
        <f>SUM(AD1085:BA1085)</f>
        <v>0</v>
      </c>
      <c r="BC1085" s="23">
        <v>0</v>
      </c>
      <c r="BD1085" s="130">
        <f t="shared" si="358"/>
        <v>0</v>
      </c>
      <c r="BE1085" s="130">
        <f t="shared" si="359"/>
        <v>1</v>
      </c>
      <c r="BF1085" s="195">
        <f t="shared" si="360"/>
        <v>0</v>
      </c>
      <c r="BG1085" s="373">
        <f t="shared" si="329"/>
        <v>1</v>
      </c>
    </row>
    <row r="1086" spans="1:59" s="21" customFormat="1" ht="15.95" customHeight="1">
      <c r="A1086" s="625" t="s">
        <v>607</v>
      </c>
      <c r="B1086" s="622"/>
      <c r="C1086" s="622"/>
      <c r="D1086" s="159">
        <f t="shared" ref="D1086:BC1086" si="364">D1087</f>
        <v>0</v>
      </c>
      <c r="E1086" s="159">
        <f t="shared" si="364"/>
        <v>0</v>
      </c>
      <c r="F1086" s="159">
        <f t="shared" si="364"/>
        <v>0</v>
      </c>
      <c r="G1086" s="159">
        <f t="shared" si="364"/>
        <v>0</v>
      </c>
      <c r="H1086" s="159">
        <f t="shared" si="364"/>
        <v>0</v>
      </c>
      <c r="I1086" s="159">
        <f t="shared" si="364"/>
        <v>0</v>
      </c>
      <c r="J1086" s="159">
        <f t="shared" si="364"/>
        <v>0</v>
      </c>
      <c r="K1086" s="159">
        <f t="shared" si="364"/>
        <v>0</v>
      </c>
      <c r="L1086" s="159">
        <f t="shared" si="364"/>
        <v>0</v>
      </c>
      <c r="M1086" s="159">
        <f t="shared" si="364"/>
        <v>0</v>
      </c>
      <c r="N1086" s="159">
        <f t="shared" si="364"/>
        <v>0</v>
      </c>
      <c r="O1086" s="159">
        <f t="shared" si="364"/>
        <v>0</v>
      </c>
      <c r="P1086" s="159">
        <f t="shared" si="364"/>
        <v>0</v>
      </c>
      <c r="Q1086" s="159">
        <f t="shared" si="364"/>
        <v>0</v>
      </c>
      <c r="R1086" s="159">
        <f t="shared" si="364"/>
        <v>0</v>
      </c>
      <c r="S1086" s="159">
        <f t="shared" si="364"/>
        <v>0</v>
      </c>
      <c r="T1086" s="159">
        <f t="shared" si="364"/>
        <v>0</v>
      </c>
      <c r="U1086" s="159">
        <f t="shared" si="364"/>
        <v>0</v>
      </c>
      <c r="V1086" s="159">
        <f t="shared" si="364"/>
        <v>0</v>
      </c>
      <c r="W1086" s="159">
        <f t="shared" si="364"/>
        <v>0</v>
      </c>
      <c r="X1086" s="159">
        <f t="shared" si="364"/>
        <v>0</v>
      </c>
      <c r="Y1086" s="159">
        <f t="shared" si="364"/>
        <v>0</v>
      </c>
      <c r="Z1086" s="159">
        <f t="shared" si="364"/>
        <v>0</v>
      </c>
      <c r="AA1086" s="159">
        <f t="shared" si="364"/>
        <v>0</v>
      </c>
      <c r="AB1086" s="159">
        <f t="shared" si="364"/>
        <v>0</v>
      </c>
      <c r="AC1086" s="25">
        <f t="shared" si="364"/>
        <v>0</v>
      </c>
      <c r="AD1086" s="162">
        <f t="shared" si="364"/>
        <v>0</v>
      </c>
      <c r="AE1086" s="162">
        <f t="shared" si="364"/>
        <v>0</v>
      </c>
      <c r="AF1086" s="162">
        <f t="shared" si="364"/>
        <v>0</v>
      </c>
      <c r="AG1086" s="162">
        <f t="shared" si="364"/>
        <v>0</v>
      </c>
      <c r="AH1086" s="162">
        <f t="shared" si="364"/>
        <v>0</v>
      </c>
      <c r="AI1086" s="162">
        <f t="shared" si="364"/>
        <v>0</v>
      </c>
      <c r="AJ1086" s="162">
        <f t="shared" si="364"/>
        <v>0</v>
      </c>
      <c r="AK1086" s="162">
        <f t="shared" si="364"/>
        <v>0</v>
      </c>
      <c r="AL1086" s="162">
        <f t="shared" si="364"/>
        <v>0</v>
      </c>
      <c r="AM1086" s="162">
        <f t="shared" si="364"/>
        <v>0</v>
      </c>
      <c r="AN1086" s="162">
        <f t="shared" si="364"/>
        <v>0</v>
      </c>
      <c r="AO1086" s="162">
        <f t="shared" si="364"/>
        <v>0</v>
      </c>
      <c r="AP1086" s="162">
        <f t="shared" si="364"/>
        <v>0</v>
      </c>
      <c r="AQ1086" s="162">
        <f t="shared" si="364"/>
        <v>0</v>
      </c>
      <c r="AR1086" s="162">
        <f t="shared" si="364"/>
        <v>0</v>
      </c>
      <c r="AS1086" s="162">
        <f t="shared" si="364"/>
        <v>0</v>
      </c>
      <c r="AT1086" s="162">
        <f t="shared" si="364"/>
        <v>0</v>
      </c>
      <c r="AU1086" s="162">
        <f t="shared" si="364"/>
        <v>0</v>
      </c>
      <c r="AV1086" s="162">
        <f t="shared" si="364"/>
        <v>0</v>
      </c>
      <c r="AW1086" s="162">
        <f t="shared" si="364"/>
        <v>0</v>
      </c>
      <c r="AX1086" s="162">
        <f t="shared" si="364"/>
        <v>0</v>
      </c>
      <c r="AY1086" s="162">
        <f t="shared" si="364"/>
        <v>0</v>
      </c>
      <c r="AZ1086" s="162">
        <f t="shared" si="364"/>
        <v>0</v>
      </c>
      <c r="BA1086" s="162">
        <f t="shared" si="364"/>
        <v>0</v>
      </c>
      <c r="BB1086" s="162">
        <f t="shared" si="364"/>
        <v>0</v>
      </c>
      <c r="BC1086" s="23">
        <f t="shared" si="364"/>
        <v>0</v>
      </c>
      <c r="BD1086" s="130">
        <f t="shared" si="358"/>
        <v>0</v>
      </c>
      <c r="BE1086" s="130">
        <f t="shared" si="359"/>
        <v>0</v>
      </c>
      <c r="BF1086" s="195" t="e">
        <f t="shared" si="360"/>
        <v>#DIV/0!</v>
      </c>
      <c r="BG1086" s="373">
        <f t="shared" si="329"/>
        <v>0</v>
      </c>
    </row>
    <row r="1087" spans="1:59" s="21" customFormat="1" ht="15.95" customHeight="1">
      <c r="A1087" s="163">
        <v>1</v>
      </c>
      <c r="B1087" s="171"/>
      <c r="C1087" s="172"/>
      <c r="D1087" s="173"/>
      <c r="E1087" s="173"/>
      <c r="F1087" s="173"/>
      <c r="G1087" s="173"/>
      <c r="H1087" s="173"/>
      <c r="I1087" s="173"/>
      <c r="J1087" s="173"/>
      <c r="K1087" s="173"/>
      <c r="L1087" s="173"/>
      <c r="M1087" s="173"/>
      <c r="N1087" s="173"/>
      <c r="O1087" s="173"/>
      <c r="P1087" s="173"/>
      <c r="Q1087" s="173"/>
      <c r="R1087" s="173"/>
      <c r="S1087" s="173"/>
      <c r="T1087" s="173"/>
      <c r="U1087" s="173"/>
      <c r="V1087" s="173"/>
      <c r="W1087" s="173"/>
      <c r="X1087" s="173"/>
      <c r="Y1087" s="173"/>
      <c r="Z1087" s="173"/>
      <c r="AA1087" s="173"/>
      <c r="AB1087" s="22">
        <f>SUM(D1087:AA1087)</f>
        <v>0</v>
      </c>
      <c r="AC1087" s="25">
        <v>0</v>
      </c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2">
        <f>SUM(AD1087:BA1087)</f>
        <v>0</v>
      </c>
      <c r="BC1087" s="23">
        <v>0</v>
      </c>
      <c r="BD1087" s="130">
        <f t="shared" si="358"/>
        <v>0</v>
      </c>
      <c r="BE1087" s="130">
        <f t="shared" si="359"/>
        <v>0</v>
      </c>
      <c r="BF1087" s="195" t="e">
        <f t="shared" si="360"/>
        <v>#DIV/0!</v>
      </c>
      <c r="BG1087" s="374">
        <f t="shared" si="329"/>
        <v>0</v>
      </c>
    </row>
    <row r="1088" spans="1:59" s="21" customFormat="1" ht="15.95" customHeight="1">
      <c r="A1088" s="625" t="s">
        <v>608</v>
      </c>
      <c r="B1088" s="622"/>
      <c r="C1088" s="622"/>
      <c r="D1088" s="159">
        <f t="shared" ref="D1088:AB1088" si="365">D1089</f>
        <v>0</v>
      </c>
      <c r="E1088" s="159">
        <f t="shared" si="365"/>
        <v>0</v>
      </c>
      <c r="F1088" s="159">
        <f t="shared" si="365"/>
        <v>0</v>
      </c>
      <c r="G1088" s="159">
        <f t="shared" si="365"/>
        <v>0</v>
      </c>
      <c r="H1088" s="159">
        <f t="shared" si="365"/>
        <v>0</v>
      </c>
      <c r="I1088" s="159">
        <f t="shared" si="365"/>
        <v>0</v>
      </c>
      <c r="J1088" s="159">
        <f t="shared" si="365"/>
        <v>0</v>
      </c>
      <c r="K1088" s="159">
        <f t="shared" si="365"/>
        <v>0</v>
      </c>
      <c r="L1088" s="159">
        <f t="shared" si="365"/>
        <v>0</v>
      </c>
      <c r="M1088" s="159">
        <f t="shared" si="365"/>
        <v>0</v>
      </c>
      <c r="N1088" s="159">
        <f t="shared" si="365"/>
        <v>0</v>
      </c>
      <c r="O1088" s="159">
        <f t="shared" si="365"/>
        <v>0</v>
      </c>
      <c r="P1088" s="159">
        <f t="shared" si="365"/>
        <v>0</v>
      </c>
      <c r="Q1088" s="159">
        <f t="shared" si="365"/>
        <v>0</v>
      </c>
      <c r="R1088" s="159">
        <f t="shared" si="365"/>
        <v>0</v>
      </c>
      <c r="S1088" s="159">
        <f t="shared" si="365"/>
        <v>0</v>
      </c>
      <c r="T1088" s="159">
        <f t="shared" si="365"/>
        <v>0</v>
      </c>
      <c r="U1088" s="159">
        <f t="shared" si="365"/>
        <v>0</v>
      </c>
      <c r="V1088" s="159">
        <f t="shared" si="365"/>
        <v>0</v>
      </c>
      <c r="W1088" s="159">
        <f t="shared" si="365"/>
        <v>0</v>
      </c>
      <c r="X1088" s="159">
        <f t="shared" si="365"/>
        <v>0</v>
      </c>
      <c r="Y1088" s="159">
        <f t="shared" si="365"/>
        <v>0</v>
      </c>
      <c r="Z1088" s="159">
        <f t="shared" si="365"/>
        <v>0</v>
      </c>
      <c r="AA1088" s="159">
        <f t="shared" si="365"/>
        <v>0</v>
      </c>
      <c r="AB1088" s="159">
        <f t="shared" si="365"/>
        <v>0</v>
      </c>
      <c r="AC1088" s="25">
        <f t="shared" ref="AC1088:BC1088" si="366">SUM(AC1089:AC1089)</f>
        <v>0</v>
      </c>
      <c r="AD1088" s="162">
        <f t="shared" ref="AD1088:BB1088" si="367">AD1089</f>
        <v>0</v>
      </c>
      <c r="AE1088" s="162">
        <f t="shared" si="367"/>
        <v>0</v>
      </c>
      <c r="AF1088" s="162">
        <f t="shared" si="367"/>
        <v>0</v>
      </c>
      <c r="AG1088" s="162">
        <f t="shared" si="367"/>
        <v>0</v>
      </c>
      <c r="AH1088" s="162">
        <f t="shared" si="367"/>
        <v>0</v>
      </c>
      <c r="AI1088" s="162">
        <f t="shared" si="367"/>
        <v>0</v>
      </c>
      <c r="AJ1088" s="162">
        <f t="shared" si="367"/>
        <v>0</v>
      </c>
      <c r="AK1088" s="162">
        <f t="shared" si="367"/>
        <v>0</v>
      </c>
      <c r="AL1088" s="162">
        <f t="shared" si="367"/>
        <v>0</v>
      </c>
      <c r="AM1088" s="162">
        <f t="shared" si="367"/>
        <v>0</v>
      </c>
      <c r="AN1088" s="162">
        <f t="shared" si="367"/>
        <v>0</v>
      </c>
      <c r="AO1088" s="162">
        <f t="shared" si="367"/>
        <v>0</v>
      </c>
      <c r="AP1088" s="162">
        <f t="shared" si="367"/>
        <v>0</v>
      </c>
      <c r="AQ1088" s="162">
        <f t="shared" si="367"/>
        <v>0</v>
      </c>
      <c r="AR1088" s="162">
        <f t="shared" si="367"/>
        <v>0</v>
      </c>
      <c r="AS1088" s="162">
        <f t="shared" si="367"/>
        <v>0</v>
      </c>
      <c r="AT1088" s="162">
        <f t="shared" si="367"/>
        <v>0</v>
      </c>
      <c r="AU1088" s="162">
        <f t="shared" si="367"/>
        <v>0</v>
      </c>
      <c r="AV1088" s="162">
        <f t="shared" si="367"/>
        <v>0</v>
      </c>
      <c r="AW1088" s="162">
        <f t="shared" si="367"/>
        <v>0</v>
      </c>
      <c r="AX1088" s="162">
        <f t="shared" si="367"/>
        <v>0</v>
      </c>
      <c r="AY1088" s="162">
        <f t="shared" si="367"/>
        <v>0</v>
      </c>
      <c r="AZ1088" s="162">
        <f t="shared" si="367"/>
        <v>0</v>
      </c>
      <c r="BA1088" s="162">
        <f t="shared" si="367"/>
        <v>0</v>
      </c>
      <c r="BB1088" s="162">
        <f t="shared" si="367"/>
        <v>0</v>
      </c>
      <c r="BC1088" s="23">
        <f t="shared" si="366"/>
        <v>0</v>
      </c>
      <c r="BD1088" s="130">
        <f t="shared" si="358"/>
        <v>0</v>
      </c>
      <c r="BE1088" s="130">
        <f t="shared" si="359"/>
        <v>0</v>
      </c>
      <c r="BF1088" s="195" t="e">
        <f t="shared" si="360"/>
        <v>#DIV/0!</v>
      </c>
      <c r="BG1088" s="373">
        <f t="shared" si="329"/>
        <v>0</v>
      </c>
    </row>
    <row r="1089" spans="1:61" s="21" customFormat="1" ht="15.95" customHeight="1">
      <c r="A1089" s="163">
        <v>1</v>
      </c>
      <c r="B1089" s="171"/>
      <c r="C1089" s="174"/>
      <c r="D1089" s="175"/>
      <c r="E1089" s="175"/>
      <c r="F1089" s="175"/>
      <c r="G1089" s="175"/>
      <c r="H1089" s="175"/>
      <c r="I1089" s="175"/>
      <c r="J1089" s="175"/>
      <c r="K1089" s="175"/>
      <c r="L1089" s="175"/>
      <c r="M1089" s="175"/>
      <c r="N1089" s="175"/>
      <c r="O1089" s="175"/>
      <c r="P1089" s="175"/>
      <c r="Q1089" s="175"/>
      <c r="R1089" s="175"/>
      <c r="S1089" s="175"/>
      <c r="T1089" s="175"/>
      <c r="U1089" s="175"/>
      <c r="V1089" s="175"/>
      <c r="W1089" s="175"/>
      <c r="X1089" s="175"/>
      <c r="Y1089" s="175"/>
      <c r="Z1089" s="175"/>
      <c r="AA1089" s="175"/>
      <c r="AB1089" s="22">
        <f>SUM(D1089:AA1089)</f>
        <v>0</v>
      </c>
      <c r="AC1089" s="25">
        <v>0</v>
      </c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2">
        <f>SUM(AD1089:BA1089)</f>
        <v>0</v>
      </c>
      <c r="BC1089" s="23">
        <v>0</v>
      </c>
      <c r="BD1089" s="130">
        <f t="shared" si="358"/>
        <v>0</v>
      </c>
      <c r="BE1089" s="130">
        <f t="shared" si="359"/>
        <v>0</v>
      </c>
      <c r="BF1089" s="195" t="e">
        <f t="shared" si="360"/>
        <v>#DIV/0!</v>
      </c>
      <c r="BG1089" s="373">
        <f t="shared" si="329"/>
        <v>0</v>
      </c>
    </row>
    <row r="1090" spans="1:61" s="21" customFormat="1" ht="15.95" customHeight="1">
      <c r="A1090" s="163"/>
      <c r="B1090" s="9"/>
      <c r="C1090" s="11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22">
        <f>SUM(D1090:AA1090)</f>
        <v>0</v>
      </c>
      <c r="AC1090" s="25">
        <v>0</v>
      </c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2">
        <f t="shared" ref="BB1090" si="368">SUM(AD1090:BA1090)</f>
        <v>0</v>
      </c>
      <c r="BC1090" s="23">
        <v>0</v>
      </c>
      <c r="BD1090" s="130">
        <f t="shared" si="358"/>
        <v>0</v>
      </c>
      <c r="BE1090" s="130">
        <f t="shared" si="359"/>
        <v>0</v>
      </c>
      <c r="BF1090" s="195" t="e">
        <f t="shared" si="360"/>
        <v>#DIV/0!</v>
      </c>
      <c r="BG1090" s="373">
        <f t="shared" si="329"/>
        <v>0</v>
      </c>
    </row>
    <row r="1091" spans="1:61" s="21" customFormat="1" ht="15.95" customHeight="1">
      <c r="A1091" s="636" t="s">
        <v>730</v>
      </c>
      <c r="B1091" s="637"/>
      <c r="C1091" s="637"/>
      <c r="D1091" s="98">
        <f t="shared" ref="D1091:AI1091" si="369">SUM(D1092:D1257)</f>
        <v>343</v>
      </c>
      <c r="E1091" s="98">
        <f t="shared" si="369"/>
        <v>0</v>
      </c>
      <c r="F1091" s="98">
        <f t="shared" si="369"/>
        <v>0</v>
      </c>
      <c r="G1091" s="98">
        <f t="shared" si="369"/>
        <v>173</v>
      </c>
      <c r="H1091" s="98">
        <f t="shared" si="369"/>
        <v>1298</v>
      </c>
      <c r="I1091" s="98">
        <f t="shared" si="369"/>
        <v>0</v>
      </c>
      <c r="J1091" s="98">
        <f t="shared" si="369"/>
        <v>0</v>
      </c>
      <c r="K1091" s="98">
        <f t="shared" si="369"/>
        <v>2848</v>
      </c>
      <c r="L1091" s="98">
        <f t="shared" si="369"/>
        <v>2434</v>
      </c>
      <c r="M1091" s="98">
        <f t="shared" si="369"/>
        <v>0</v>
      </c>
      <c r="N1091" s="98">
        <f t="shared" si="369"/>
        <v>0</v>
      </c>
      <c r="O1091" s="98">
        <f t="shared" si="369"/>
        <v>4171</v>
      </c>
      <c r="P1091" s="98">
        <f t="shared" si="369"/>
        <v>1432</v>
      </c>
      <c r="Q1091" s="98">
        <f t="shared" si="369"/>
        <v>0</v>
      </c>
      <c r="R1091" s="98">
        <f t="shared" si="369"/>
        <v>0</v>
      </c>
      <c r="S1091" s="98">
        <f t="shared" si="369"/>
        <v>5165</v>
      </c>
      <c r="T1091" s="98">
        <f t="shared" si="369"/>
        <v>0</v>
      </c>
      <c r="U1091" s="98">
        <f t="shared" si="369"/>
        <v>0</v>
      </c>
      <c r="V1091" s="98">
        <f t="shared" si="369"/>
        <v>0</v>
      </c>
      <c r="W1091" s="98">
        <f t="shared" si="369"/>
        <v>0</v>
      </c>
      <c r="X1091" s="98">
        <f t="shared" si="369"/>
        <v>0</v>
      </c>
      <c r="Y1091" s="98">
        <f t="shared" si="369"/>
        <v>0</v>
      </c>
      <c r="Z1091" s="98">
        <f t="shared" si="369"/>
        <v>0</v>
      </c>
      <c r="AA1091" s="98">
        <f t="shared" si="369"/>
        <v>0</v>
      </c>
      <c r="AB1091" s="98">
        <f t="shared" si="369"/>
        <v>17864</v>
      </c>
      <c r="AC1091" s="161">
        <f t="shared" si="369"/>
        <v>19279</v>
      </c>
      <c r="AD1091" s="368">
        <f t="shared" si="369"/>
        <v>164</v>
      </c>
      <c r="AE1091" s="368">
        <f t="shared" si="369"/>
        <v>0</v>
      </c>
      <c r="AF1091" s="368">
        <f t="shared" si="369"/>
        <v>0</v>
      </c>
      <c r="AG1091" s="368">
        <f t="shared" si="369"/>
        <v>0</v>
      </c>
      <c r="AH1091" s="368">
        <f t="shared" si="369"/>
        <v>4836</v>
      </c>
      <c r="AI1091" s="368">
        <f t="shared" si="369"/>
        <v>0</v>
      </c>
      <c r="AJ1091" s="368">
        <f t="shared" ref="AJ1091:BC1091" si="370">SUM(AJ1092:AJ1257)</f>
        <v>0</v>
      </c>
      <c r="AK1091" s="368">
        <f t="shared" si="370"/>
        <v>6</v>
      </c>
      <c r="AL1091" s="368">
        <f t="shared" si="370"/>
        <v>34681</v>
      </c>
      <c r="AM1091" s="368">
        <f t="shared" si="370"/>
        <v>0</v>
      </c>
      <c r="AN1091" s="368">
        <f t="shared" si="370"/>
        <v>0</v>
      </c>
      <c r="AO1091" s="368">
        <f t="shared" si="370"/>
        <v>0</v>
      </c>
      <c r="AP1091" s="368">
        <f t="shared" si="370"/>
        <v>29405</v>
      </c>
      <c r="AQ1091" s="368">
        <f t="shared" si="370"/>
        <v>0</v>
      </c>
      <c r="AR1091" s="368">
        <f t="shared" si="370"/>
        <v>0</v>
      </c>
      <c r="AS1091" s="368">
        <f t="shared" si="370"/>
        <v>0</v>
      </c>
      <c r="AT1091" s="368">
        <f t="shared" si="370"/>
        <v>0</v>
      </c>
      <c r="AU1091" s="368">
        <f t="shared" si="370"/>
        <v>0</v>
      </c>
      <c r="AV1091" s="368">
        <f t="shared" si="370"/>
        <v>0</v>
      </c>
      <c r="AW1091" s="368">
        <f t="shared" si="370"/>
        <v>0</v>
      </c>
      <c r="AX1091" s="368">
        <f t="shared" si="370"/>
        <v>0</v>
      </c>
      <c r="AY1091" s="368">
        <f t="shared" si="370"/>
        <v>0</v>
      </c>
      <c r="AZ1091" s="368">
        <f t="shared" si="370"/>
        <v>0</v>
      </c>
      <c r="BA1091" s="368">
        <f t="shared" si="370"/>
        <v>0</v>
      </c>
      <c r="BB1091" s="368">
        <f t="shared" si="370"/>
        <v>69092</v>
      </c>
      <c r="BC1091" s="63">
        <f t="shared" si="370"/>
        <v>112727</v>
      </c>
      <c r="BD1091" s="130">
        <f t="shared" si="358"/>
        <v>86956</v>
      </c>
      <c r="BE1091" s="130">
        <f t="shared" si="359"/>
        <v>132006</v>
      </c>
      <c r="BF1091" s="195">
        <f t="shared" si="360"/>
        <v>65.872763359241247</v>
      </c>
      <c r="BG1091" s="374">
        <f t="shared" si="329"/>
        <v>45050</v>
      </c>
    </row>
    <row r="1092" spans="1:61" s="21" customFormat="1" ht="21" customHeight="1">
      <c r="A1092" s="417">
        <v>1</v>
      </c>
      <c r="B1092" s="418" t="s">
        <v>731</v>
      </c>
      <c r="C1092" s="419" t="s">
        <v>2050</v>
      </c>
      <c r="D1092" s="231"/>
      <c r="E1092" s="231"/>
      <c r="F1092" s="231"/>
      <c r="G1092" s="231"/>
      <c r="H1092" s="231"/>
      <c r="I1092" s="231"/>
      <c r="J1092" s="231"/>
      <c r="K1092" s="231"/>
      <c r="L1092" s="231">
        <v>1</v>
      </c>
      <c r="M1092" s="231"/>
      <c r="N1092" s="231"/>
      <c r="O1092" s="231"/>
      <c r="P1092" s="231"/>
      <c r="Q1092" s="231"/>
      <c r="R1092" s="231"/>
      <c r="S1092" s="231"/>
      <c r="T1092" s="231"/>
      <c r="U1092" s="231"/>
      <c r="V1092" s="231"/>
      <c r="W1092" s="231"/>
      <c r="X1092" s="231"/>
      <c r="Y1092" s="231"/>
      <c r="Z1092" s="231"/>
      <c r="AA1092" s="231"/>
      <c r="AB1092" s="22">
        <f t="shared" ref="AB1092:AB1123" si="371">SUM(D1092:AA1092)</f>
        <v>1</v>
      </c>
      <c r="AC1092" s="23">
        <v>1</v>
      </c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22">
        <f t="shared" ref="BB1092:BB1123" si="372">SUM(AD1092:BA1092)</f>
        <v>0</v>
      </c>
      <c r="BC1092" s="23">
        <v>0</v>
      </c>
      <c r="BD1092" s="130">
        <f t="shared" ref="BD1092:BD1123" si="373">AB1092+BB1092</f>
        <v>1</v>
      </c>
      <c r="BE1092" s="130">
        <f t="shared" ref="BE1092:BE1123" si="374">AC1092+BC1092</f>
        <v>1</v>
      </c>
      <c r="BF1092" s="195">
        <f t="shared" ref="BF1092:BF1123" si="375">BD1092/BE1092*100</f>
        <v>100</v>
      </c>
      <c r="BG1092" s="373">
        <f>BE1092-BD1092</f>
        <v>0</v>
      </c>
      <c r="BH1092" s="426" t="s">
        <v>3675</v>
      </c>
      <c r="BI1092" s="420"/>
    </row>
    <row r="1093" spans="1:61" s="21" customFormat="1" ht="21" customHeight="1">
      <c r="A1093" s="417">
        <v>2</v>
      </c>
      <c r="B1093" s="418" t="s">
        <v>926</v>
      </c>
      <c r="C1093" s="419" t="s">
        <v>927</v>
      </c>
      <c r="D1093" s="553"/>
      <c r="E1093" s="553"/>
      <c r="F1093" s="553"/>
      <c r="G1093" s="553"/>
      <c r="H1093" s="553"/>
      <c r="I1093" s="553"/>
      <c r="J1093" s="553"/>
      <c r="K1093" s="553"/>
      <c r="L1093" s="553"/>
      <c r="M1093" s="553"/>
      <c r="N1093" s="553"/>
      <c r="O1093" s="553">
        <v>9</v>
      </c>
      <c r="P1093" s="553"/>
      <c r="Q1093" s="553"/>
      <c r="R1093" s="553"/>
      <c r="S1093" s="553">
        <f>40+2+125+37+6</f>
        <v>210</v>
      </c>
      <c r="T1093" s="553"/>
      <c r="U1093" s="553"/>
      <c r="V1093" s="553"/>
      <c r="W1093" s="553"/>
      <c r="X1093" s="553"/>
      <c r="Y1093" s="553"/>
      <c r="Z1093" s="553"/>
      <c r="AA1093" s="553"/>
      <c r="AB1093" s="22">
        <f t="shared" si="371"/>
        <v>219</v>
      </c>
      <c r="AC1093" s="23">
        <v>0</v>
      </c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33"/>
      <c r="AX1093" s="33"/>
      <c r="AY1093" s="33"/>
      <c r="AZ1093" s="33"/>
      <c r="BA1093" s="33"/>
      <c r="BB1093" s="22">
        <f t="shared" si="372"/>
        <v>0</v>
      </c>
      <c r="BC1093" s="23">
        <v>0</v>
      </c>
      <c r="BD1093" s="130">
        <f t="shared" si="373"/>
        <v>219</v>
      </c>
      <c r="BE1093" s="130">
        <f t="shared" si="374"/>
        <v>0</v>
      </c>
      <c r="BF1093" s="195" t="e">
        <f t="shared" si="375"/>
        <v>#DIV/0!</v>
      </c>
      <c r="BG1093" s="373"/>
      <c r="BH1093" s="426" t="s">
        <v>3675</v>
      </c>
      <c r="BI1093" s="420"/>
    </row>
    <row r="1094" spans="1:61" s="21" customFormat="1" ht="21" customHeight="1">
      <c r="A1094" s="417">
        <v>3</v>
      </c>
      <c r="B1094" s="418" t="s">
        <v>2015</v>
      </c>
      <c r="C1094" s="419" t="s">
        <v>2016</v>
      </c>
      <c r="D1094" s="231"/>
      <c r="E1094" s="231"/>
      <c r="F1094" s="231"/>
      <c r="G1094" s="231"/>
      <c r="H1094" s="231"/>
      <c r="I1094" s="231"/>
      <c r="J1094" s="231"/>
      <c r="K1094" s="231"/>
      <c r="L1094" s="231"/>
      <c r="M1094" s="231"/>
      <c r="N1094" s="231"/>
      <c r="O1094" s="231"/>
      <c r="P1094" s="231"/>
      <c r="Q1094" s="231"/>
      <c r="R1094" s="231"/>
      <c r="S1094" s="231"/>
      <c r="T1094" s="231"/>
      <c r="U1094" s="231"/>
      <c r="V1094" s="231"/>
      <c r="W1094" s="231"/>
      <c r="X1094" s="231"/>
      <c r="Y1094" s="231"/>
      <c r="Z1094" s="231"/>
      <c r="AA1094" s="231"/>
      <c r="AB1094" s="22">
        <f t="shared" si="371"/>
        <v>0</v>
      </c>
      <c r="AC1094" s="23">
        <v>1</v>
      </c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22">
        <f t="shared" si="372"/>
        <v>0</v>
      </c>
      <c r="BC1094" s="23">
        <v>0</v>
      </c>
      <c r="BD1094" s="130">
        <f t="shared" si="373"/>
        <v>0</v>
      </c>
      <c r="BE1094" s="130">
        <f t="shared" si="374"/>
        <v>1</v>
      </c>
      <c r="BF1094" s="195">
        <f t="shared" si="375"/>
        <v>0</v>
      </c>
      <c r="BG1094" s="373">
        <f>BE1094-BD1094</f>
        <v>1</v>
      </c>
      <c r="BH1094" s="426" t="s">
        <v>3675</v>
      </c>
      <c r="BI1094" s="421"/>
    </row>
    <row r="1095" spans="1:61" s="21" customFormat="1" ht="21" customHeight="1">
      <c r="A1095" s="417">
        <v>4</v>
      </c>
      <c r="B1095" s="418" t="s">
        <v>1266</v>
      </c>
      <c r="C1095" s="419" t="s">
        <v>2208</v>
      </c>
      <c r="D1095" s="231"/>
      <c r="E1095" s="231"/>
      <c r="F1095" s="231"/>
      <c r="G1095" s="231"/>
      <c r="H1095" s="231"/>
      <c r="I1095" s="231"/>
      <c r="J1095" s="231"/>
      <c r="K1095" s="231">
        <f>590+1310</f>
        <v>1900</v>
      </c>
      <c r="L1095" s="231"/>
      <c r="M1095" s="231"/>
      <c r="N1095" s="231"/>
      <c r="O1095" s="231">
        <v>263</v>
      </c>
      <c r="P1095" s="231"/>
      <c r="Q1095" s="231"/>
      <c r="R1095" s="231"/>
      <c r="S1095" s="231">
        <f>323+1+12</f>
        <v>336</v>
      </c>
      <c r="T1095" s="231"/>
      <c r="U1095" s="231"/>
      <c r="V1095" s="231"/>
      <c r="W1095" s="231"/>
      <c r="X1095" s="231"/>
      <c r="Y1095" s="231"/>
      <c r="Z1095" s="231"/>
      <c r="AA1095" s="231"/>
      <c r="AB1095" s="22">
        <f t="shared" si="371"/>
        <v>2499</v>
      </c>
      <c r="AC1095" s="23">
        <v>682</v>
      </c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22">
        <f t="shared" si="372"/>
        <v>0</v>
      </c>
      <c r="BC1095" s="23">
        <v>0</v>
      </c>
      <c r="BD1095" s="130">
        <f t="shared" si="373"/>
        <v>2499</v>
      </c>
      <c r="BE1095" s="130">
        <f t="shared" si="374"/>
        <v>682</v>
      </c>
      <c r="BF1095" s="195">
        <f t="shared" si="375"/>
        <v>366.42228739002928</v>
      </c>
      <c r="BG1095" s="387">
        <f>BE1095-BD1095</f>
        <v>-1817</v>
      </c>
      <c r="BH1095" s="426" t="s">
        <v>3675</v>
      </c>
      <c r="BI1095" s="421"/>
    </row>
    <row r="1096" spans="1:61" s="21" customFormat="1" ht="21" customHeight="1">
      <c r="A1096" s="417">
        <v>5</v>
      </c>
      <c r="B1096" s="418" t="s">
        <v>3676</v>
      </c>
      <c r="C1096" s="419" t="s">
        <v>3677</v>
      </c>
      <c r="D1096" s="231"/>
      <c r="E1096" s="231"/>
      <c r="F1096" s="231"/>
      <c r="G1096" s="231"/>
      <c r="H1096" s="231"/>
      <c r="I1096" s="231"/>
      <c r="J1096" s="231"/>
      <c r="K1096" s="231"/>
      <c r="L1096" s="231"/>
      <c r="M1096" s="231"/>
      <c r="N1096" s="231"/>
      <c r="O1096" s="231">
        <v>1</v>
      </c>
      <c r="P1096" s="231"/>
      <c r="Q1096" s="231"/>
      <c r="R1096" s="231"/>
      <c r="S1096" s="231"/>
      <c r="T1096" s="231"/>
      <c r="U1096" s="231"/>
      <c r="V1096" s="231"/>
      <c r="W1096" s="231"/>
      <c r="X1096" s="231"/>
      <c r="Y1096" s="231"/>
      <c r="Z1096" s="231"/>
      <c r="AA1096" s="231"/>
      <c r="AB1096" s="22">
        <f t="shared" si="371"/>
        <v>1</v>
      </c>
      <c r="AC1096" s="23">
        <v>0</v>
      </c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22">
        <f t="shared" si="372"/>
        <v>0</v>
      </c>
      <c r="BC1096" s="23">
        <v>0</v>
      </c>
      <c r="BD1096" s="130">
        <f t="shared" si="373"/>
        <v>1</v>
      </c>
      <c r="BE1096" s="130">
        <f t="shared" si="374"/>
        <v>0</v>
      </c>
      <c r="BF1096" s="195" t="e">
        <f t="shared" si="375"/>
        <v>#DIV/0!</v>
      </c>
      <c r="BG1096" s="373"/>
      <c r="BH1096" s="426" t="s">
        <v>3675</v>
      </c>
      <c r="BI1096" s="421"/>
    </row>
    <row r="1097" spans="1:61" s="21" customFormat="1" ht="21" customHeight="1">
      <c r="A1097" s="417">
        <v>6</v>
      </c>
      <c r="B1097" s="418" t="s">
        <v>2218</v>
      </c>
      <c r="C1097" s="419" t="s">
        <v>2223</v>
      </c>
      <c r="D1097" s="553"/>
      <c r="E1097" s="553"/>
      <c r="F1097" s="553"/>
      <c r="G1097" s="553">
        <f>1+16</f>
        <v>17</v>
      </c>
      <c r="H1097" s="553"/>
      <c r="I1097" s="553"/>
      <c r="J1097" s="553"/>
      <c r="K1097" s="553">
        <f>9+37+8+819</f>
        <v>873</v>
      </c>
      <c r="L1097" s="553"/>
      <c r="M1097" s="553"/>
      <c r="N1097" s="553"/>
      <c r="O1097" s="553">
        <f>17+2974+313+42+109+9+139+33+1+2+1</f>
        <v>3640</v>
      </c>
      <c r="P1097" s="553"/>
      <c r="Q1097" s="553"/>
      <c r="R1097" s="553"/>
      <c r="S1097" s="553">
        <f>23+3586+341+39+53+181+20+1+144</f>
        <v>4388</v>
      </c>
      <c r="T1097" s="553"/>
      <c r="U1097" s="553"/>
      <c r="V1097" s="553"/>
      <c r="W1097" s="553"/>
      <c r="X1097" s="553"/>
      <c r="Y1097" s="553"/>
      <c r="Z1097" s="553"/>
      <c r="AA1097" s="553"/>
      <c r="AB1097" s="22">
        <f t="shared" si="371"/>
        <v>8918</v>
      </c>
      <c r="AC1097" s="23">
        <f>899+11116</f>
        <v>12015</v>
      </c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  <c r="AX1097" s="33"/>
      <c r="AY1097" s="33"/>
      <c r="AZ1097" s="33"/>
      <c r="BA1097" s="33"/>
      <c r="BB1097" s="22">
        <f t="shared" si="372"/>
        <v>0</v>
      </c>
      <c r="BC1097" s="23">
        <v>0</v>
      </c>
      <c r="BD1097" s="130">
        <f t="shared" si="373"/>
        <v>8918</v>
      </c>
      <c r="BE1097" s="130">
        <f t="shared" si="374"/>
        <v>12015</v>
      </c>
      <c r="BF1097" s="195">
        <f t="shared" si="375"/>
        <v>74.223886808156465</v>
      </c>
      <c r="BG1097" s="373">
        <f t="shared" ref="BG1097:BG1127" si="376">BE1097-BD1097</f>
        <v>3097</v>
      </c>
      <c r="BH1097" s="426" t="s">
        <v>3675</v>
      </c>
      <c r="BI1097" s="421"/>
    </row>
    <row r="1098" spans="1:61" s="21" customFormat="1" ht="21" customHeight="1">
      <c r="A1098" s="417">
        <v>7</v>
      </c>
      <c r="B1098" s="418" t="s">
        <v>2246</v>
      </c>
      <c r="C1098" s="419" t="s">
        <v>2247</v>
      </c>
      <c r="D1098" s="381"/>
      <c r="E1098" s="381"/>
      <c r="F1098" s="381"/>
      <c r="G1098" s="381">
        <v>156</v>
      </c>
      <c r="H1098" s="381"/>
      <c r="I1098" s="381"/>
      <c r="J1098" s="381"/>
      <c r="K1098" s="381">
        <v>75</v>
      </c>
      <c r="L1098" s="381"/>
      <c r="M1098" s="381"/>
      <c r="N1098" s="381"/>
      <c r="O1098" s="381">
        <f>9+1+248</f>
        <v>258</v>
      </c>
      <c r="P1098" s="381"/>
      <c r="Q1098" s="381"/>
      <c r="R1098" s="381"/>
      <c r="S1098" s="381">
        <f>3+144+84</f>
        <v>231</v>
      </c>
      <c r="T1098" s="381"/>
      <c r="U1098" s="381"/>
      <c r="V1098" s="381"/>
      <c r="W1098" s="381"/>
      <c r="X1098" s="381"/>
      <c r="Y1098" s="381"/>
      <c r="Z1098" s="381"/>
      <c r="AA1098" s="381"/>
      <c r="AB1098" s="22">
        <f t="shared" si="371"/>
        <v>720</v>
      </c>
      <c r="AC1098" s="23">
        <v>98</v>
      </c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22">
        <f t="shared" si="372"/>
        <v>0</v>
      </c>
      <c r="BC1098" s="23">
        <v>0</v>
      </c>
      <c r="BD1098" s="130">
        <f t="shared" si="373"/>
        <v>720</v>
      </c>
      <c r="BE1098" s="130">
        <f t="shared" si="374"/>
        <v>98</v>
      </c>
      <c r="BF1098" s="195">
        <f t="shared" si="375"/>
        <v>734.69387755102048</v>
      </c>
      <c r="BG1098" s="373">
        <f t="shared" si="376"/>
        <v>-622</v>
      </c>
      <c r="BH1098" s="426" t="s">
        <v>3675</v>
      </c>
      <c r="BI1098" s="421"/>
    </row>
    <row r="1099" spans="1:61" s="21" customFormat="1" ht="15.95" customHeight="1">
      <c r="A1099" s="176">
        <v>8</v>
      </c>
      <c r="B1099" s="31" t="s">
        <v>738</v>
      </c>
      <c r="C1099" s="32" t="s">
        <v>739</v>
      </c>
      <c r="D1099" s="288"/>
      <c r="E1099" s="288"/>
      <c r="F1099" s="288"/>
      <c r="G1099" s="288"/>
      <c r="H1099" s="288"/>
      <c r="I1099" s="288"/>
      <c r="J1099" s="288"/>
      <c r="K1099" s="288"/>
      <c r="L1099" s="288"/>
      <c r="M1099" s="288"/>
      <c r="N1099" s="288"/>
      <c r="O1099" s="288"/>
      <c r="P1099" s="288"/>
      <c r="Q1099" s="288"/>
      <c r="R1099" s="288"/>
      <c r="S1099" s="288"/>
      <c r="T1099" s="288"/>
      <c r="U1099" s="288"/>
      <c r="V1099" s="288"/>
      <c r="W1099" s="288"/>
      <c r="X1099" s="288"/>
      <c r="Y1099" s="288"/>
      <c r="Z1099" s="288"/>
      <c r="AA1099" s="288"/>
      <c r="AB1099" s="22">
        <f t="shared" si="371"/>
        <v>0</v>
      </c>
      <c r="AC1099" s="23">
        <v>0</v>
      </c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>
        <v>1</v>
      </c>
      <c r="AQ1099" s="33"/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22">
        <f t="shared" si="372"/>
        <v>1</v>
      </c>
      <c r="BC1099" s="23">
        <v>1</v>
      </c>
      <c r="BD1099" s="130">
        <f t="shared" si="373"/>
        <v>1</v>
      </c>
      <c r="BE1099" s="130">
        <f t="shared" si="374"/>
        <v>1</v>
      </c>
      <c r="BF1099" s="195">
        <f t="shared" si="375"/>
        <v>100</v>
      </c>
      <c r="BG1099" s="373">
        <f t="shared" si="376"/>
        <v>0</v>
      </c>
    </row>
    <row r="1100" spans="1:61" s="21" customFormat="1" ht="15.95" customHeight="1">
      <c r="A1100" s="176">
        <v>9</v>
      </c>
      <c r="B1100" s="31" t="s">
        <v>740</v>
      </c>
      <c r="C1100" s="32" t="s">
        <v>741</v>
      </c>
      <c r="D1100" s="231">
        <f>5+1</f>
        <v>6</v>
      </c>
      <c r="E1100" s="231"/>
      <c r="F1100" s="231"/>
      <c r="G1100" s="231"/>
      <c r="H1100" s="231">
        <f>1+1+71+1</f>
        <v>74</v>
      </c>
      <c r="I1100" s="231"/>
      <c r="J1100" s="231"/>
      <c r="K1100" s="231"/>
      <c r="L1100" s="231">
        <f>4+2+313</f>
        <v>319</v>
      </c>
      <c r="M1100" s="231"/>
      <c r="N1100" s="231"/>
      <c r="O1100" s="231"/>
      <c r="P1100" s="231">
        <f>1+2+2+5+250</f>
        <v>260</v>
      </c>
      <c r="Q1100" s="231"/>
      <c r="R1100" s="231"/>
      <c r="S1100" s="231"/>
      <c r="T1100" s="231"/>
      <c r="U1100" s="231"/>
      <c r="V1100" s="231"/>
      <c r="W1100" s="231"/>
      <c r="X1100" s="231"/>
      <c r="Y1100" s="231"/>
      <c r="Z1100" s="231"/>
      <c r="AA1100" s="231"/>
      <c r="AB1100" s="22">
        <f t="shared" si="371"/>
        <v>659</v>
      </c>
      <c r="AC1100" s="23">
        <v>1287</v>
      </c>
      <c r="AD1100" s="33"/>
      <c r="AE1100" s="33"/>
      <c r="AF1100" s="33"/>
      <c r="AG1100" s="33"/>
      <c r="AH1100" s="33">
        <v>155</v>
      </c>
      <c r="AI1100" s="33"/>
      <c r="AJ1100" s="33"/>
      <c r="AK1100" s="33"/>
      <c r="AL1100" s="33">
        <v>662</v>
      </c>
      <c r="AM1100" s="33"/>
      <c r="AN1100" s="33"/>
      <c r="AO1100" s="33"/>
      <c r="AP1100" s="33">
        <v>670</v>
      </c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22">
        <f t="shared" si="372"/>
        <v>1487</v>
      </c>
      <c r="BC1100" s="23">
        <v>1437</v>
      </c>
      <c r="BD1100" s="130">
        <f t="shared" si="373"/>
        <v>2146</v>
      </c>
      <c r="BE1100" s="130">
        <f t="shared" si="374"/>
        <v>2724</v>
      </c>
      <c r="BF1100" s="195">
        <f t="shared" si="375"/>
        <v>78.781204111600587</v>
      </c>
      <c r="BG1100" s="373">
        <f t="shared" si="376"/>
        <v>578</v>
      </c>
    </row>
    <row r="1101" spans="1:61" s="21" customFormat="1" ht="15.95" customHeight="1">
      <c r="A1101" s="176">
        <v>10</v>
      </c>
      <c r="B1101" s="31" t="s">
        <v>742</v>
      </c>
      <c r="C1101" s="32" t="s">
        <v>743</v>
      </c>
      <c r="D1101" s="231">
        <v>1</v>
      </c>
      <c r="E1101" s="231"/>
      <c r="F1101" s="231"/>
      <c r="G1101" s="231"/>
      <c r="H1101" s="231">
        <f>37+2</f>
        <v>39</v>
      </c>
      <c r="I1101" s="231"/>
      <c r="J1101" s="231"/>
      <c r="K1101" s="231"/>
      <c r="L1101" s="231">
        <f>108+1+1</f>
        <v>110</v>
      </c>
      <c r="M1101" s="231"/>
      <c r="N1101" s="231"/>
      <c r="O1101" s="231"/>
      <c r="P1101" s="231">
        <f>51+2+1</f>
        <v>54</v>
      </c>
      <c r="Q1101" s="231"/>
      <c r="R1101" s="231"/>
      <c r="S1101" s="231"/>
      <c r="T1101" s="231"/>
      <c r="U1101" s="231"/>
      <c r="V1101" s="231"/>
      <c r="W1101" s="231"/>
      <c r="X1101" s="231"/>
      <c r="Y1101" s="231"/>
      <c r="Z1101" s="231"/>
      <c r="AA1101" s="231"/>
      <c r="AB1101" s="22">
        <f t="shared" si="371"/>
        <v>204</v>
      </c>
      <c r="AC1101" s="23">
        <v>879</v>
      </c>
      <c r="AD1101" s="33"/>
      <c r="AE1101" s="33"/>
      <c r="AF1101" s="33"/>
      <c r="AG1101" s="33"/>
      <c r="AH1101" s="33">
        <f>2+1</f>
        <v>3</v>
      </c>
      <c r="AI1101" s="33"/>
      <c r="AJ1101" s="33"/>
      <c r="AK1101" s="33"/>
      <c r="AL1101" s="33">
        <f>1+9+2+1+1</f>
        <v>14</v>
      </c>
      <c r="AM1101" s="33"/>
      <c r="AN1101" s="33"/>
      <c r="AO1101" s="33"/>
      <c r="AP1101" s="33">
        <v>7</v>
      </c>
      <c r="AQ1101" s="33"/>
      <c r="AR1101" s="33"/>
      <c r="AS1101" s="33"/>
      <c r="AT1101" s="33"/>
      <c r="AU1101" s="33"/>
      <c r="AV1101" s="33"/>
      <c r="AW1101" s="33"/>
      <c r="AX1101" s="33"/>
      <c r="AY1101" s="33"/>
      <c r="AZ1101" s="33"/>
      <c r="BA1101" s="33"/>
      <c r="BB1101" s="22">
        <f t="shared" si="372"/>
        <v>24</v>
      </c>
      <c r="BC1101" s="23">
        <v>21</v>
      </c>
      <c r="BD1101" s="130">
        <f t="shared" si="373"/>
        <v>228</v>
      </c>
      <c r="BE1101" s="130">
        <f t="shared" si="374"/>
        <v>900</v>
      </c>
      <c r="BF1101" s="195">
        <f t="shared" si="375"/>
        <v>25.333333333333336</v>
      </c>
      <c r="BG1101" s="373">
        <f t="shared" si="376"/>
        <v>672</v>
      </c>
    </row>
    <row r="1102" spans="1:61" s="21" customFormat="1" ht="15.95" customHeight="1">
      <c r="A1102" s="176">
        <v>11</v>
      </c>
      <c r="B1102" s="31" t="s">
        <v>744</v>
      </c>
      <c r="C1102" s="32" t="s">
        <v>745</v>
      </c>
      <c r="D1102" s="231"/>
      <c r="E1102" s="231"/>
      <c r="F1102" s="231"/>
      <c r="G1102" s="231"/>
      <c r="H1102" s="231">
        <v>9</v>
      </c>
      <c r="I1102" s="231"/>
      <c r="J1102" s="231"/>
      <c r="K1102" s="231"/>
      <c r="L1102" s="231">
        <v>40</v>
      </c>
      <c r="M1102" s="231"/>
      <c r="N1102" s="231"/>
      <c r="O1102" s="231"/>
      <c r="P1102" s="231">
        <v>39</v>
      </c>
      <c r="Q1102" s="231"/>
      <c r="R1102" s="231"/>
      <c r="S1102" s="231"/>
      <c r="T1102" s="231"/>
      <c r="U1102" s="231"/>
      <c r="V1102" s="231"/>
      <c r="W1102" s="231"/>
      <c r="X1102" s="231"/>
      <c r="Y1102" s="231"/>
      <c r="Z1102" s="231"/>
      <c r="AA1102" s="231"/>
      <c r="AB1102" s="22">
        <f t="shared" si="371"/>
        <v>88</v>
      </c>
      <c r="AC1102" s="23">
        <v>380</v>
      </c>
      <c r="AD1102" s="33"/>
      <c r="AE1102" s="33"/>
      <c r="AF1102" s="33"/>
      <c r="AG1102" s="33"/>
      <c r="AH1102" s="33">
        <v>1</v>
      </c>
      <c r="AI1102" s="33"/>
      <c r="AJ1102" s="33"/>
      <c r="AK1102" s="33"/>
      <c r="AL1102" s="33"/>
      <c r="AM1102" s="33"/>
      <c r="AN1102" s="33"/>
      <c r="AO1102" s="33"/>
      <c r="AP1102" s="33">
        <v>1</v>
      </c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22">
        <f t="shared" si="372"/>
        <v>2</v>
      </c>
      <c r="BC1102" s="23">
        <v>11</v>
      </c>
      <c r="BD1102" s="130">
        <f t="shared" si="373"/>
        <v>90</v>
      </c>
      <c r="BE1102" s="130">
        <f t="shared" si="374"/>
        <v>391</v>
      </c>
      <c r="BF1102" s="195">
        <f t="shared" si="375"/>
        <v>23.017902813299234</v>
      </c>
      <c r="BG1102" s="373">
        <f t="shared" si="376"/>
        <v>301</v>
      </c>
    </row>
    <row r="1103" spans="1:61" s="21" customFormat="1" ht="20.25" customHeight="1">
      <c r="A1103" s="176">
        <v>12</v>
      </c>
      <c r="B1103" s="31" t="s">
        <v>746</v>
      </c>
      <c r="C1103" s="32" t="s">
        <v>747</v>
      </c>
      <c r="D1103" s="231">
        <f>58+236</f>
        <v>294</v>
      </c>
      <c r="E1103" s="231"/>
      <c r="F1103" s="231"/>
      <c r="G1103" s="231"/>
      <c r="H1103" s="231">
        <f>1+1129</f>
        <v>1130</v>
      </c>
      <c r="I1103" s="231"/>
      <c r="J1103" s="231"/>
      <c r="K1103" s="231"/>
      <c r="L1103" s="231">
        <f>23+1833</f>
        <v>1856</v>
      </c>
      <c r="M1103" s="231"/>
      <c r="N1103" s="231"/>
      <c r="O1103" s="231"/>
      <c r="P1103" s="231">
        <v>966</v>
      </c>
      <c r="Q1103" s="231"/>
      <c r="R1103" s="231"/>
      <c r="S1103" s="231"/>
      <c r="T1103" s="231"/>
      <c r="U1103" s="231"/>
      <c r="V1103" s="231"/>
      <c r="W1103" s="231"/>
      <c r="X1103" s="231"/>
      <c r="Y1103" s="231"/>
      <c r="Z1103" s="231"/>
      <c r="AA1103" s="231"/>
      <c r="AB1103" s="22">
        <f t="shared" si="371"/>
        <v>4246</v>
      </c>
      <c r="AC1103" s="23">
        <v>3598</v>
      </c>
      <c r="AD1103" s="33"/>
      <c r="AE1103" s="33"/>
      <c r="AF1103" s="33"/>
      <c r="AG1103" s="33"/>
      <c r="AH1103" s="33">
        <f>247+6</f>
        <v>253</v>
      </c>
      <c r="AI1103" s="33"/>
      <c r="AJ1103" s="33"/>
      <c r="AK1103" s="33"/>
      <c r="AL1103" s="33">
        <f>1+1343+22</f>
        <v>1366</v>
      </c>
      <c r="AM1103" s="33"/>
      <c r="AN1103" s="33"/>
      <c r="AO1103" s="33"/>
      <c r="AP1103" s="33">
        <f>1355+27+1</f>
        <v>1383</v>
      </c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22">
        <f t="shared" si="372"/>
        <v>3002</v>
      </c>
      <c r="BC1103" s="23">
        <v>5500</v>
      </c>
      <c r="BD1103" s="130">
        <f t="shared" si="373"/>
        <v>7248</v>
      </c>
      <c r="BE1103" s="130">
        <f t="shared" si="374"/>
        <v>9098</v>
      </c>
      <c r="BF1103" s="195">
        <f t="shared" si="375"/>
        <v>79.665860628709609</v>
      </c>
      <c r="BG1103" s="373">
        <f t="shared" si="376"/>
        <v>1850</v>
      </c>
    </row>
    <row r="1104" spans="1:61" s="21" customFormat="1" ht="15.75" customHeight="1">
      <c r="A1104" s="176">
        <v>13</v>
      </c>
      <c r="B1104" s="31" t="s">
        <v>881</v>
      </c>
      <c r="C1104" s="32" t="s">
        <v>882</v>
      </c>
      <c r="D1104" s="381"/>
      <c r="E1104" s="381"/>
      <c r="F1104" s="381"/>
      <c r="G1104" s="381"/>
      <c r="H1104" s="381"/>
      <c r="I1104" s="381"/>
      <c r="J1104" s="381"/>
      <c r="K1104" s="381"/>
      <c r="L1104" s="381"/>
      <c r="M1104" s="381"/>
      <c r="N1104" s="381"/>
      <c r="O1104" s="381"/>
      <c r="P1104" s="381"/>
      <c r="Q1104" s="381"/>
      <c r="R1104" s="381"/>
      <c r="S1104" s="381"/>
      <c r="T1104" s="381"/>
      <c r="U1104" s="381"/>
      <c r="V1104" s="381"/>
      <c r="W1104" s="381"/>
      <c r="X1104" s="381"/>
      <c r="Y1104" s="381"/>
      <c r="Z1104" s="381"/>
      <c r="AA1104" s="381"/>
      <c r="AB1104" s="22">
        <f t="shared" si="371"/>
        <v>0</v>
      </c>
      <c r="AC1104" s="23">
        <v>0</v>
      </c>
      <c r="AD1104" s="33"/>
      <c r="AE1104" s="33"/>
      <c r="AF1104" s="33"/>
      <c r="AG1104" s="33"/>
      <c r="AH1104" s="33">
        <v>241</v>
      </c>
      <c r="AI1104" s="33"/>
      <c r="AJ1104" s="33"/>
      <c r="AK1104" s="33"/>
      <c r="AL1104" s="33">
        <f>2249+273</f>
        <v>2522</v>
      </c>
      <c r="AM1104" s="33"/>
      <c r="AN1104" s="33"/>
      <c r="AO1104" s="33"/>
      <c r="AP1104" s="33">
        <v>3558</v>
      </c>
      <c r="AQ1104" s="33"/>
      <c r="AR1104" s="33"/>
      <c r="AS1104" s="33"/>
      <c r="AT1104" s="33"/>
      <c r="AU1104" s="33"/>
      <c r="AV1104" s="33"/>
      <c r="AW1104" s="33"/>
      <c r="AX1104" s="33"/>
      <c r="AY1104" s="33"/>
      <c r="AZ1104" s="33"/>
      <c r="BA1104" s="33"/>
      <c r="BB1104" s="22">
        <f t="shared" si="372"/>
        <v>6321</v>
      </c>
      <c r="BC1104" s="23">
        <v>6381</v>
      </c>
      <c r="BD1104" s="130">
        <f t="shared" si="373"/>
        <v>6321</v>
      </c>
      <c r="BE1104" s="130">
        <f t="shared" si="374"/>
        <v>6381</v>
      </c>
      <c r="BF1104" s="195">
        <f t="shared" si="375"/>
        <v>99.059708509637986</v>
      </c>
      <c r="BG1104" s="373">
        <f t="shared" si="376"/>
        <v>60</v>
      </c>
    </row>
    <row r="1105" spans="1:59" s="21" customFormat="1" ht="15.75" customHeight="1">
      <c r="A1105" s="176">
        <v>14</v>
      </c>
      <c r="B1105" s="31" t="s">
        <v>748</v>
      </c>
      <c r="C1105" s="32" t="s">
        <v>749</v>
      </c>
      <c r="D1105" s="381"/>
      <c r="E1105" s="381"/>
      <c r="F1105" s="381"/>
      <c r="G1105" s="381"/>
      <c r="H1105" s="381"/>
      <c r="I1105" s="381"/>
      <c r="J1105" s="381"/>
      <c r="K1105" s="381"/>
      <c r="L1105" s="381"/>
      <c r="M1105" s="381"/>
      <c r="N1105" s="381"/>
      <c r="O1105" s="381"/>
      <c r="P1105" s="381"/>
      <c r="Q1105" s="381"/>
      <c r="R1105" s="381"/>
      <c r="S1105" s="381"/>
      <c r="T1105" s="381"/>
      <c r="U1105" s="381"/>
      <c r="V1105" s="381"/>
      <c r="W1105" s="381"/>
      <c r="X1105" s="381"/>
      <c r="Y1105" s="381"/>
      <c r="Z1105" s="381"/>
      <c r="AA1105" s="381"/>
      <c r="AB1105" s="22">
        <f t="shared" si="371"/>
        <v>0</v>
      </c>
      <c r="AC1105" s="23">
        <v>0</v>
      </c>
      <c r="AD1105" s="33"/>
      <c r="AE1105" s="33"/>
      <c r="AF1105" s="33"/>
      <c r="AG1105" s="33"/>
      <c r="AH1105" s="33"/>
      <c r="AI1105" s="33"/>
      <c r="AJ1105" s="33"/>
      <c r="AK1105" s="33"/>
      <c r="AL1105" s="33">
        <f>2+10</f>
        <v>12</v>
      </c>
      <c r="AM1105" s="33"/>
      <c r="AN1105" s="33"/>
      <c r="AO1105" s="33"/>
      <c r="AP1105" s="33">
        <f>6+3</f>
        <v>9</v>
      </c>
      <c r="AQ1105" s="33"/>
      <c r="AR1105" s="33"/>
      <c r="AS1105" s="33"/>
      <c r="AT1105" s="33"/>
      <c r="AU1105" s="33"/>
      <c r="AV1105" s="33"/>
      <c r="AW1105" s="33"/>
      <c r="AX1105" s="33"/>
      <c r="AY1105" s="33"/>
      <c r="AZ1105" s="33"/>
      <c r="BA1105" s="33"/>
      <c r="BB1105" s="22">
        <f t="shared" si="372"/>
        <v>21</v>
      </c>
      <c r="BC1105" s="23">
        <v>112</v>
      </c>
      <c r="BD1105" s="130">
        <f t="shared" si="373"/>
        <v>21</v>
      </c>
      <c r="BE1105" s="130">
        <f t="shared" si="374"/>
        <v>112</v>
      </c>
      <c r="BF1105" s="195">
        <f t="shared" si="375"/>
        <v>18.75</v>
      </c>
      <c r="BG1105" s="373">
        <f t="shared" si="376"/>
        <v>91</v>
      </c>
    </row>
    <row r="1106" spans="1:59" s="21" customFormat="1" ht="15.75" customHeight="1">
      <c r="A1106" s="176">
        <v>15</v>
      </c>
      <c r="B1106" s="31" t="s">
        <v>1066</v>
      </c>
      <c r="C1106" s="32" t="s">
        <v>1067</v>
      </c>
      <c r="D1106" s="381"/>
      <c r="E1106" s="381"/>
      <c r="F1106" s="381"/>
      <c r="G1106" s="381"/>
      <c r="H1106" s="381"/>
      <c r="I1106" s="381"/>
      <c r="J1106" s="381"/>
      <c r="K1106" s="381"/>
      <c r="L1106" s="381"/>
      <c r="M1106" s="381"/>
      <c r="N1106" s="381"/>
      <c r="O1106" s="381"/>
      <c r="P1106" s="381"/>
      <c r="Q1106" s="381"/>
      <c r="R1106" s="381"/>
      <c r="S1106" s="381"/>
      <c r="T1106" s="381"/>
      <c r="U1106" s="381"/>
      <c r="V1106" s="381"/>
      <c r="W1106" s="381"/>
      <c r="X1106" s="381"/>
      <c r="Y1106" s="381"/>
      <c r="Z1106" s="381"/>
      <c r="AA1106" s="381"/>
      <c r="AB1106" s="22">
        <f t="shared" si="371"/>
        <v>0</v>
      </c>
      <c r="AC1106" s="23">
        <v>0</v>
      </c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  <c r="AX1106" s="33"/>
      <c r="AY1106" s="33"/>
      <c r="AZ1106" s="33"/>
      <c r="BA1106" s="33"/>
      <c r="BB1106" s="22">
        <f t="shared" si="372"/>
        <v>0</v>
      </c>
      <c r="BC1106" s="23">
        <v>1</v>
      </c>
      <c r="BD1106" s="130">
        <f t="shared" si="373"/>
        <v>0</v>
      </c>
      <c r="BE1106" s="130">
        <f t="shared" si="374"/>
        <v>1</v>
      </c>
      <c r="BF1106" s="195">
        <f t="shared" si="375"/>
        <v>0</v>
      </c>
      <c r="BG1106" s="373">
        <f t="shared" si="376"/>
        <v>1</v>
      </c>
    </row>
    <row r="1107" spans="1:59" s="21" customFormat="1" ht="15.75" customHeight="1">
      <c r="A1107" s="176">
        <v>16</v>
      </c>
      <c r="B1107" s="31" t="s">
        <v>750</v>
      </c>
      <c r="C1107" s="32" t="s">
        <v>751</v>
      </c>
      <c r="D1107" s="381"/>
      <c r="E1107" s="381"/>
      <c r="F1107" s="381"/>
      <c r="G1107" s="381"/>
      <c r="H1107" s="381"/>
      <c r="I1107" s="381"/>
      <c r="J1107" s="381"/>
      <c r="K1107" s="381"/>
      <c r="L1107" s="381"/>
      <c r="M1107" s="381"/>
      <c r="N1107" s="381"/>
      <c r="O1107" s="381"/>
      <c r="P1107" s="381"/>
      <c r="Q1107" s="381"/>
      <c r="R1107" s="381"/>
      <c r="S1107" s="381"/>
      <c r="T1107" s="381"/>
      <c r="U1107" s="381"/>
      <c r="V1107" s="381"/>
      <c r="W1107" s="381"/>
      <c r="X1107" s="381"/>
      <c r="Y1107" s="381"/>
      <c r="Z1107" s="381"/>
      <c r="AA1107" s="381"/>
      <c r="AB1107" s="22">
        <f t="shared" si="371"/>
        <v>0</v>
      </c>
      <c r="AC1107" s="23">
        <v>0</v>
      </c>
      <c r="AD1107" s="33"/>
      <c r="AE1107" s="33"/>
      <c r="AF1107" s="33"/>
      <c r="AG1107" s="33"/>
      <c r="AH1107" s="33">
        <v>8</v>
      </c>
      <c r="AI1107" s="33"/>
      <c r="AJ1107" s="33"/>
      <c r="AK1107" s="33"/>
      <c r="AL1107" s="33">
        <f>31+9</f>
        <v>40</v>
      </c>
      <c r="AM1107" s="33"/>
      <c r="AN1107" s="33"/>
      <c r="AO1107" s="33"/>
      <c r="AP1107" s="33">
        <v>57</v>
      </c>
      <c r="AQ1107" s="33"/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22">
        <f t="shared" si="372"/>
        <v>105</v>
      </c>
      <c r="BC1107" s="23">
        <v>187</v>
      </c>
      <c r="BD1107" s="130">
        <f t="shared" si="373"/>
        <v>105</v>
      </c>
      <c r="BE1107" s="130">
        <f t="shared" si="374"/>
        <v>187</v>
      </c>
      <c r="BF1107" s="195">
        <f t="shared" si="375"/>
        <v>56.149732620320862</v>
      </c>
      <c r="BG1107" s="373">
        <f t="shared" si="376"/>
        <v>82</v>
      </c>
    </row>
    <row r="1108" spans="1:59" s="21" customFormat="1" ht="15.75" customHeight="1">
      <c r="A1108" s="176">
        <v>17</v>
      </c>
      <c r="B1108" s="31" t="s">
        <v>930</v>
      </c>
      <c r="C1108" s="32" t="s">
        <v>931</v>
      </c>
      <c r="D1108" s="381"/>
      <c r="E1108" s="381"/>
      <c r="F1108" s="381"/>
      <c r="G1108" s="381"/>
      <c r="H1108" s="381"/>
      <c r="I1108" s="381"/>
      <c r="J1108" s="381"/>
      <c r="K1108" s="381"/>
      <c r="L1108" s="381"/>
      <c r="M1108" s="381"/>
      <c r="N1108" s="381"/>
      <c r="O1108" s="381"/>
      <c r="P1108" s="381"/>
      <c r="Q1108" s="381"/>
      <c r="R1108" s="381"/>
      <c r="S1108" s="381"/>
      <c r="T1108" s="381"/>
      <c r="U1108" s="381"/>
      <c r="V1108" s="381"/>
      <c r="W1108" s="381"/>
      <c r="X1108" s="381"/>
      <c r="Y1108" s="381"/>
      <c r="Z1108" s="381"/>
      <c r="AA1108" s="381"/>
      <c r="AB1108" s="22">
        <f t="shared" si="371"/>
        <v>0</v>
      </c>
      <c r="AC1108" s="23">
        <v>0</v>
      </c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>
        <v>1</v>
      </c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22">
        <f t="shared" si="372"/>
        <v>1</v>
      </c>
      <c r="BC1108" s="23">
        <v>23</v>
      </c>
      <c r="BD1108" s="130">
        <f t="shared" si="373"/>
        <v>1</v>
      </c>
      <c r="BE1108" s="130">
        <f t="shared" si="374"/>
        <v>23</v>
      </c>
      <c r="BF1108" s="195">
        <f t="shared" si="375"/>
        <v>4.3478260869565215</v>
      </c>
      <c r="BG1108" s="373">
        <f t="shared" si="376"/>
        <v>22</v>
      </c>
    </row>
    <row r="1109" spans="1:59" s="21" customFormat="1" ht="15.75" customHeight="1">
      <c r="A1109" s="176">
        <v>18</v>
      </c>
      <c r="B1109" s="31" t="s">
        <v>982</v>
      </c>
      <c r="C1109" s="32" t="s">
        <v>983</v>
      </c>
      <c r="D1109" s="381"/>
      <c r="E1109" s="381"/>
      <c r="F1109" s="381"/>
      <c r="G1109" s="381"/>
      <c r="H1109" s="381"/>
      <c r="I1109" s="381"/>
      <c r="J1109" s="381"/>
      <c r="K1109" s="381"/>
      <c r="L1109" s="381"/>
      <c r="M1109" s="381"/>
      <c r="N1109" s="381"/>
      <c r="O1109" s="381"/>
      <c r="P1109" s="381"/>
      <c r="Q1109" s="381"/>
      <c r="R1109" s="381"/>
      <c r="S1109" s="381"/>
      <c r="T1109" s="381"/>
      <c r="U1109" s="381"/>
      <c r="V1109" s="381"/>
      <c r="W1109" s="381"/>
      <c r="X1109" s="381"/>
      <c r="Y1109" s="381"/>
      <c r="Z1109" s="381"/>
      <c r="AA1109" s="381"/>
      <c r="AB1109" s="22">
        <f t="shared" si="371"/>
        <v>0</v>
      </c>
      <c r="AC1109" s="23">
        <v>0</v>
      </c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22">
        <f t="shared" si="372"/>
        <v>0</v>
      </c>
      <c r="BC1109" s="23">
        <v>1</v>
      </c>
      <c r="BD1109" s="130">
        <f t="shared" si="373"/>
        <v>0</v>
      </c>
      <c r="BE1109" s="130">
        <f t="shared" si="374"/>
        <v>1</v>
      </c>
      <c r="BF1109" s="195">
        <f t="shared" si="375"/>
        <v>0</v>
      </c>
      <c r="BG1109" s="373">
        <f t="shared" si="376"/>
        <v>1</v>
      </c>
    </row>
    <row r="1110" spans="1:59" s="21" customFormat="1" ht="15.75" customHeight="1">
      <c r="A1110" s="176">
        <v>19</v>
      </c>
      <c r="B1110" s="37" t="s">
        <v>932</v>
      </c>
      <c r="C1110" s="132" t="s">
        <v>933</v>
      </c>
      <c r="D1110" s="381"/>
      <c r="E1110" s="381"/>
      <c r="F1110" s="381"/>
      <c r="G1110" s="381"/>
      <c r="H1110" s="381"/>
      <c r="I1110" s="381"/>
      <c r="J1110" s="381"/>
      <c r="K1110" s="381"/>
      <c r="L1110" s="381"/>
      <c r="M1110" s="381"/>
      <c r="N1110" s="381"/>
      <c r="O1110" s="381"/>
      <c r="P1110" s="381"/>
      <c r="Q1110" s="381"/>
      <c r="R1110" s="381"/>
      <c r="S1110" s="381"/>
      <c r="T1110" s="381"/>
      <c r="U1110" s="381"/>
      <c r="V1110" s="381"/>
      <c r="W1110" s="381"/>
      <c r="X1110" s="381"/>
      <c r="Y1110" s="381"/>
      <c r="Z1110" s="381"/>
      <c r="AA1110" s="381"/>
      <c r="AB1110" s="22">
        <f t="shared" si="371"/>
        <v>0</v>
      </c>
      <c r="AC1110" s="23">
        <v>0</v>
      </c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33"/>
      <c r="AX1110" s="33"/>
      <c r="AY1110" s="33"/>
      <c r="AZ1110" s="33"/>
      <c r="BA1110" s="33"/>
      <c r="BB1110" s="22">
        <f t="shared" si="372"/>
        <v>0</v>
      </c>
      <c r="BC1110" s="23">
        <v>2</v>
      </c>
      <c r="BD1110" s="130">
        <f t="shared" si="373"/>
        <v>0</v>
      </c>
      <c r="BE1110" s="130">
        <f t="shared" si="374"/>
        <v>2</v>
      </c>
      <c r="BF1110" s="195">
        <f t="shared" si="375"/>
        <v>0</v>
      </c>
      <c r="BG1110" s="373">
        <f t="shared" si="376"/>
        <v>2</v>
      </c>
    </row>
    <row r="1111" spans="1:59" s="21" customFormat="1" ht="15.75" customHeight="1">
      <c r="A1111" s="176">
        <v>20</v>
      </c>
      <c r="B1111" s="31" t="s">
        <v>752</v>
      </c>
      <c r="C1111" s="32" t="s">
        <v>753</v>
      </c>
      <c r="D1111" s="381"/>
      <c r="E1111" s="381"/>
      <c r="F1111" s="381"/>
      <c r="G1111" s="381"/>
      <c r="H1111" s="381"/>
      <c r="I1111" s="381"/>
      <c r="J1111" s="381"/>
      <c r="K1111" s="381"/>
      <c r="L1111" s="381"/>
      <c r="M1111" s="381"/>
      <c r="N1111" s="381"/>
      <c r="O1111" s="381"/>
      <c r="P1111" s="381"/>
      <c r="Q1111" s="381"/>
      <c r="R1111" s="381"/>
      <c r="S1111" s="381"/>
      <c r="T1111" s="381"/>
      <c r="U1111" s="381"/>
      <c r="V1111" s="381"/>
      <c r="W1111" s="381"/>
      <c r="X1111" s="381"/>
      <c r="Y1111" s="381"/>
      <c r="Z1111" s="381"/>
      <c r="AA1111" s="381"/>
      <c r="AB1111" s="22">
        <f t="shared" si="371"/>
        <v>0</v>
      </c>
      <c r="AC1111" s="23">
        <v>0</v>
      </c>
      <c r="AD1111" s="35"/>
      <c r="AE1111" s="35"/>
      <c r="AF1111" s="35"/>
      <c r="AG1111" s="35"/>
      <c r="AH1111" s="35">
        <v>2</v>
      </c>
      <c r="AI1111" s="35"/>
      <c r="AJ1111" s="35"/>
      <c r="AK1111" s="35"/>
      <c r="AL1111" s="35">
        <v>15</v>
      </c>
      <c r="AM1111" s="35"/>
      <c r="AN1111" s="35"/>
      <c r="AO1111" s="35"/>
      <c r="AP1111" s="35">
        <v>14</v>
      </c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22">
        <f t="shared" si="372"/>
        <v>31</v>
      </c>
      <c r="BC1111" s="23">
        <v>62</v>
      </c>
      <c r="BD1111" s="130">
        <f t="shared" si="373"/>
        <v>31</v>
      </c>
      <c r="BE1111" s="130">
        <f t="shared" si="374"/>
        <v>62</v>
      </c>
      <c r="BF1111" s="195">
        <f t="shared" si="375"/>
        <v>50</v>
      </c>
      <c r="BG1111" s="373">
        <f t="shared" si="376"/>
        <v>31</v>
      </c>
    </row>
    <row r="1112" spans="1:59" s="21" customFormat="1" ht="15.75" customHeight="1">
      <c r="A1112" s="176">
        <v>21</v>
      </c>
      <c r="B1112" s="37" t="s">
        <v>754</v>
      </c>
      <c r="C1112" s="38" t="s">
        <v>755</v>
      </c>
      <c r="D1112" s="381"/>
      <c r="E1112" s="381"/>
      <c r="F1112" s="381"/>
      <c r="G1112" s="381"/>
      <c r="H1112" s="381"/>
      <c r="I1112" s="381"/>
      <c r="J1112" s="381"/>
      <c r="K1112" s="381"/>
      <c r="L1112" s="381"/>
      <c r="M1112" s="381"/>
      <c r="N1112" s="381"/>
      <c r="O1112" s="381"/>
      <c r="P1112" s="381"/>
      <c r="Q1112" s="381"/>
      <c r="R1112" s="381"/>
      <c r="S1112" s="381"/>
      <c r="T1112" s="381"/>
      <c r="U1112" s="381"/>
      <c r="V1112" s="381"/>
      <c r="W1112" s="381"/>
      <c r="X1112" s="381"/>
      <c r="Y1112" s="381"/>
      <c r="Z1112" s="381"/>
      <c r="AA1112" s="381"/>
      <c r="AB1112" s="22">
        <f t="shared" si="371"/>
        <v>0</v>
      </c>
      <c r="AC1112" s="23">
        <v>0</v>
      </c>
      <c r="AD1112" s="35"/>
      <c r="AE1112" s="35"/>
      <c r="AF1112" s="35"/>
      <c r="AG1112" s="35"/>
      <c r="AH1112" s="35"/>
      <c r="AI1112" s="35"/>
      <c r="AJ1112" s="35"/>
      <c r="AK1112" s="35"/>
      <c r="AL1112" s="35">
        <v>8</v>
      </c>
      <c r="AM1112" s="35"/>
      <c r="AN1112" s="35"/>
      <c r="AO1112" s="35"/>
      <c r="AP1112" s="35">
        <v>7</v>
      </c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22">
        <f t="shared" si="372"/>
        <v>15</v>
      </c>
      <c r="BC1112" s="23">
        <v>27</v>
      </c>
      <c r="BD1112" s="130">
        <f t="shared" si="373"/>
        <v>15</v>
      </c>
      <c r="BE1112" s="130">
        <f t="shared" si="374"/>
        <v>27</v>
      </c>
      <c r="BF1112" s="195">
        <f t="shared" si="375"/>
        <v>55.555555555555557</v>
      </c>
      <c r="BG1112" s="373">
        <f t="shared" si="376"/>
        <v>12</v>
      </c>
    </row>
    <row r="1113" spans="1:59" s="21" customFormat="1" ht="15.75" customHeight="1">
      <c r="A1113" s="176">
        <v>22</v>
      </c>
      <c r="B1113" s="31" t="s">
        <v>2099</v>
      </c>
      <c r="C1113" s="32" t="s">
        <v>2100</v>
      </c>
      <c r="D1113" s="381"/>
      <c r="E1113" s="381"/>
      <c r="F1113" s="381"/>
      <c r="G1113" s="381"/>
      <c r="H1113" s="381"/>
      <c r="I1113" s="381"/>
      <c r="J1113" s="381"/>
      <c r="K1113" s="381"/>
      <c r="L1113" s="381"/>
      <c r="M1113" s="381"/>
      <c r="N1113" s="381"/>
      <c r="O1113" s="381"/>
      <c r="P1113" s="381"/>
      <c r="Q1113" s="381"/>
      <c r="R1113" s="381"/>
      <c r="S1113" s="381"/>
      <c r="T1113" s="381"/>
      <c r="U1113" s="381"/>
      <c r="V1113" s="381"/>
      <c r="W1113" s="381"/>
      <c r="X1113" s="381"/>
      <c r="Y1113" s="381"/>
      <c r="Z1113" s="381"/>
      <c r="AA1113" s="381"/>
      <c r="AB1113" s="22">
        <f t="shared" si="371"/>
        <v>0</v>
      </c>
      <c r="AC1113" s="23">
        <v>0</v>
      </c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>
        <v>1</v>
      </c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22">
        <f t="shared" si="372"/>
        <v>1</v>
      </c>
      <c r="BC1113" s="23">
        <v>1</v>
      </c>
      <c r="BD1113" s="130">
        <f t="shared" si="373"/>
        <v>1</v>
      </c>
      <c r="BE1113" s="130">
        <f t="shared" si="374"/>
        <v>1</v>
      </c>
      <c r="BF1113" s="195">
        <f t="shared" si="375"/>
        <v>100</v>
      </c>
      <c r="BG1113" s="373">
        <f t="shared" si="376"/>
        <v>0</v>
      </c>
    </row>
    <row r="1114" spans="1:59" s="21" customFormat="1" ht="16.5" customHeight="1">
      <c r="A1114" s="176">
        <v>23</v>
      </c>
      <c r="B1114" s="31" t="s">
        <v>756</v>
      </c>
      <c r="C1114" s="32" t="s">
        <v>757</v>
      </c>
      <c r="D1114" s="231"/>
      <c r="E1114" s="231"/>
      <c r="F1114" s="231"/>
      <c r="G1114" s="231"/>
      <c r="H1114" s="231"/>
      <c r="I1114" s="231"/>
      <c r="J1114" s="231"/>
      <c r="K1114" s="231"/>
      <c r="L1114" s="231">
        <v>1</v>
      </c>
      <c r="M1114" s="231"/>
      <c r="N1114" s="231"/>
      <c r="O1114" s="231"/>
      <c r="P1114" s="231">
        <v>5</v>
      </c>
      <c r="Q1114" s="231"/>
      <c r="R1114" s="231"/>
      <c r="S1114" s="231"/>
      <c r="T1114" s="231"/>
      <c r="U1114" s="231"/>
      <c r="V1114" s="231"/>
      <c r="W1114" s="231"/>
      <c r="X1114" s="231"/>
      <c r="Y1114" s="231"/>
      <c r="Z1114" s="231"/>
      <c r="AA1114" s="231"/>
      <c r="AB1114" s="22">
        <f t="shared" si="371"/>
        <v>6</v>
      </c>
      <c r="AC1114" s="23">
        <v>14</v>
      </c>
      <c r="AD1114" s="35"/>
      <c r="AE1114" s="35"/>
      <c r="AF1114" s="35"/>
      <c r="AG1114" s="35"/>
      <c r="AH1114" s="35">
        <f>560+6</f>
        <v>566</v>
      </c>
      <c r="AI1114" s="35"/>
      <c r="AJ1114" s="35"/>
      <c r="AK1114" s="35"/>
      <c r="AL1114" s="35">
        <f>1+2793+22+28</f>
        <v>2844</v>
      </c>
      <c r="AM1114" s="35"/>
      <c r="AN1114" s="35"/>
      <c r="AO1114" s="35"/>
      <c r="AP1114" s="35">
        <f>3032+27</f>
        <v>3059</v>
      </c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22">
        <f t="shared" si="372"/>
        <v>6469</v>
      </c>
      <c r="BC1114" s="23">
        <v>9606</v>
      </c>
      <c r="BD1114" s="130">
        <f t="shared" si="373"/>
        <v>6475</v>
      </c>
      <c r="BE1114" s="130">
        <f t="shared" si="374"/>
        <v>9620</v>
      </c>
      <c r="BF1114" s="195">
        <f t="shared" si="375"/>
        <v>67.307692307692307</v>
      </c>
      <c r="BG1114" s="373">
        <f t="shared" si="376"/>
        <v>3145</v>
      </c>
    </row>
    <row r="1115" spans="1:59" s="21" customFormat="1" ht="11.25" customHeight="1">
      <c r="A1115" s="176">
        <v>24</v>
      </c>
      <c r="B1115" s="31" t="s">
        <v>758</v>
      </c>
      <c r="C1115" s="32" t="s">
        <v>759</v>
      </c>
      <c r="D1115" s="231"/>
      <c r="E1115" s="231"/>
      <c r="F1115" s="231"/>
      <c r="G1115" s="231"/>
      <c r="H1115" s="231"/>
      <c r="I1115" s="231"/>
      <c r="J1115" s="231"/>
      <c r="K1115" s="231"/>
      <c r="L1115" s="231"/>
      <c r="M1115" s="231"/>
      <c r="N1115" s="231"/>
      <c r="O1115" s="231"/>
      <c r="P1115" s="231"/>
      <c r="Q1115" s="231"/>
      <c r="R1115" s="231"/>
      <c r="S1115" s="231"/>
      <c r="T1115" s="231"/>
      <c r="U1115" s="231"/>
      <c r="V1115" s="231"/>
      <c r="W1115" s="231"/>
      <c r="X1115" s="231"/>
      <c r="Y1115" s="231"/>
      <c r="Z1115" s="231"/>
      <c r="AA1115" s="231"/>
      <c r="AB1115" s="22">
        <f t="shared" si="371"/>
        <v>0</v>
      </c>
      <c r="AC1115" s="23">
        <v>0</v>
      </c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22">
        <f t="shared" si="372"/>
        <v>0</v>
      </c>
      <c r="BC1115" s="23">
        <v>6</v>
      </c>
      <c r="BD1115" s="130">
        <f t="shared" si="373"/>
        <v>0</v>
      </c>
      <c r="BE1115" s="130">
        <f t="shared" si="374"/>
        <v>6</v>
      </c>
      <c r="BF1115" s="195">
        <f t="shared" si="375"/>
        <v>0</v>
      </c>
      <c r="BG1115" s="373">
        <f t="shared" si="376"/>
        <v>6</v>
      </c>
    </row>
    <row r="1116" spans="1:59" s="21" customFormat="1" ht="11.25" customHeight="1">
      <c r="A1116" s="176">
        <v>25</v>
      </c>
      <c r="B1116" s="31" t="s">
        <v>760</v>
      </c>
      <c r="C1116" s="32" t="s">
        <v>761</v>
      </c>
      <c r="D1116" s="231"/>
      <c r="E1116" s="231"/>
      <c r="F1116" s="231"/>
      <c r="G1116" s="231"/>
      <c r="H1116" s="231"/>
      <c r="I1116" s="231"/>
      <c r="J1116" s="231"/>
      <c r="K1116" s="231"/>
      <c r="L1116" s="231"/>
      <c r="M1116" s="231"/>
      <c r="N1116" s="231"/>
      <c r="O1116" s="231"/>
      <c r="P1116" s="231"/>
      <c r="Q1116" s="231"/>
      <c r="R1116" s="231"/>
      <c r="S1116" s="231"/>
      <c r="T1116" s="231"/>
      <c r="U1116" s="231"/>
      <c r="V1116" s="231"/>
      <c r="W1116" s="231"/>
      <c r="X1116" s="231"/>
      <c r="Y1116" s="231"/>
      <c r="Z1116" s="231"/>
      <c r="AA1116" s="231"/>
      <c r="AB1116" s="22">
        <f t="shared" si="371"/>
        <v>0</v>
      </c>
      <c r="AC1116" s="23">
        <v>0</v>
      </c>
      <c r="AD1116" s="35">
        <v>2</v>
      </c>
      <c r="AE1116" s="35"/>
      <c r="AF1116" s="35"/>
      <c r="AG1116" s="35"/>
      <c r="AH1116" s="35">
        <v>2</v>
      </c>
      <c r="AI1116" s="35"/>
      <c r="AJ1116" s="35"/>
      <c r="AK1116" s="35"/>
      <c r="AL1116" s="35">
        <f>10+6</f>
        <v>16</v>
      </c>
      <c r="AM1116" s="35"/>
      <c r="AN1116" s="35"/>
      <c r="AO1116" s="35"/>
      <c r="AP1116" s="35">
        <f>12+2</f>
        <v>14</v>
      </c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22">
        <f t="shared" si="372"/>
        <v>34</v>
      </c>
      <c r="BC1116" s="23">
        <v>59</v>
      </c>
      <c r="BD1116" s="130">
        <f t="shared" si="373"/>
        <v>34</v>
      </c>
      <c r="BE1116" s="130">
        <f t="shared" si="374"/>
        <v>59</v>
      </c>
      <c r="BF1116" s="195">
        <f t="shared" si="375"/>
        <v>57.627118644067799</v>
      </c>
      <c r="BG1116" s="373">
        <f t="shared" si="376"/>
        <v>25</v>
      </c>
    </row>
    <row r="1117" spans="1:59" s="21" customFormat="1" ht="11.25" customHeight="1">
      <c r="A1117" s="176">
        <v>26</v>
      </c>
      <c r="B1117" s="31" t="s">
        <v>762</v>
      </c>
      <c r="C1117" s="32" t="s">
        <v>2571</v>
      </c>
      <c r="D1117" s="231"/>
      <c r="E1117" s="231"/>
      <c r="F1117" s="231"/>
      <c r="G1117" s="231"/>
      <c r="H1117" s="231"/>
      <c r="I1117" s="231"/>
      <c r="J1117" s="231"/>
      <c r="K1117" s="231"/>
      <c r="L1117" s="231"/>
      <c r="M1117" s="231"/>
      <c r="N1117" s="231"/>
      <c r="O1117" s="231"/>
      <c r="P1117" s="231"/>
      <c r="Q1117" s="231"/>
      <c r="R1117" s="231"/>
      <c r="S1117" s="231"/>
      <c r="T1117" s="231"/>
      <c r="U1117" s="231"/>
      <c r="V1117" s="231"/>
      <c r="W1117" s="231"/>
      <c r="X1117" s="231"/>
      <c r="Y1117" s="231"/>
      <c r="Z1117" s="231"/>
      <c r="AA1117" s="231"/>
      <c r="AB1117" s="22">
        <f t="shared" si="371"/>
        <v>0</v>
      </c>
      <c r="AC1117" s="23">
        <v>0</v>
      </c>
      <c r="AD1117" s="35"/>
      <c r="AE1117" s="35"/>
      <c r="AF1117" s="35"/>
      <c r="AG1117" s="35"/>
      <c r="AH1117" s="35"/>
      <c r="AI1117" s="35"/>
      <c r="AJ1117" s="35"/>
      <c r="AK1117" s="35"/>
      <c r="AL1117" s="35">
        <v>3</v>
      </c>
      <c r="AM1117" s="35"/>
      <c r="AN1117" s="35"/>
      <c r="AO1117" s="35"/>
      <c r="AP1117" s="35">
        <v>3</v>
      </c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22">
        <f t="shared" si="372"/>
        <v>6</v>
      </c>
      <c r="BC1117" s="23">
        <v>40</v>
      </c>
      <c r="BD1117" s="130">
        <f t="shared" si="373"/>
        <v>6</v>
      </c>
      <c r="BE1117" s="130">
        <f t="shared" si="374"/>
        <v>40</v>
      </c>
      <c r="BF1117" s="195">
        <f t="shared" si="375"/>
        <v>15</v>
      </c>
      <c r="BG1117" s="373">
        <f t="shared" si="376"/>
        <v>34</v>
      </c>
    </row>
    <row r="1118" spans="1:59" s="21" customFormat="1" ht="11.25" customHeight="1">
      <c r="A1118" s="176">
        <v>27</v>
      </c>
      <c r="B1118" s="31" t="s">
        <v>763</v>
      </c>
      <c r="C1118" s="32" t="s">
        <v>2424</v>
      </c>
      <c r="D1118" s="272"/>
      <c r="E1118" s="272"/>
      <c r="F1118" s="272"/>
      <c r="G1118" s="272"/>
      <c r="H1118" s="272"/>
      <c r="I1118" s="272"/>
      <c r="J1118" s="272"/>
      <c r="K1118" s="272"/>
      <c r="L1118" s="272"/>
      <c r="M1118" s="272"/>
      <c r="N1118" s="272"/>
      <c r="O1118" s="272"/>
      <c r="P1118" s="272"/>
      <c r="Q1118" s="272"/>
      <c r="R1118" s="272"/>
      <c r="S1118" s="272"/>
      <c r="T1118" s="272"/>
      <c r="U1118" s="272"/>
      <c r="V1118" s="272"/>
      <c r="W1118" s="272"/>
      <c r="X1118" s="272"/>
      <c r="Y1118" s="272"/>
      <c r="Z1118" s="272"/>
      <c r="AA1118" s="272"/>
      <c r="AB1118" s="22">
        <f t="shared" si="371"/>
        <v>0</v>
      </c>
      <c r="AC1118" s="23">
        <v>0</v>
      </c>
      <c r="AD1118" s="35"/>
      <c r="AE1118" s="35"/>
      <c r="AF1118" s="35"/>
      <c r="AG1118" s="35"/>
      <c r="AH1118" s="35"/>
      <c r="AI1118" s="35"/>
      <c r="AJ1118" s="35"/>
      <c r="AK1118" s="35"/>
      <c r="AL1118" s="35">
        <v>7</v>
      </c>
      <c r="AM1118" s="35"/>
      <c r="AN1118" s="35"/>
      <c r="AO1118" s="35"/>
      <c r="AP1118" s="35">
        <v>10</v>
      </c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22">
        <f t="shared" si="372"/>
        <v>17</v>
      </c>
      <c r="BC1118" s="23">
        <v>24</v>
      </c>
      <c r="BD1118" s="130">
        <f t="shared" si="373"/>
        <v>17</v>
      </c>
      <c r="BE1118" s="130">
        <f t="shared" si="374"/>
        <v>24</v>
      </c>
      <c r="BF1118" s="195">
        <f t="shared" si="375"/>
        <v>70.833333333333343</v>
      </c>
      <c r="BG1118" s="373">
        <f t="shared" si="376"/>
        <v>7</v>
      </c>
    </row>
    <row r="1119" spans="1:59" s="21" customFormat="1" ht="11.25" customHeight="1">
      <c r="A1119" s="176">
        <v>28</v>
      </c>
      <c r="B1119" s="31" t="s">
        <v>764</v>
      </c>
      <c r="C1119" s="32" t="s">
        <v>765</v>
      </c>
      <c r="D1119" s="323"/>
      <c r="E1119" s="323"/>
      <c r="F1119" s="323"/>
      <c r="G1119" s="323"/>
      <c r="H1119" s="323"/>
      <c r="I1119" s="323"/>
      <c r="J1119" s="323"/>
      <c r="K1119" s="323"/>
      <c r="L1119" s="323"/>
      <c r="M1119" s="323"/>
      <c r="N1119" s="323"/>
      <c r="O1119" s="323"/>
      <c r="P1119" s="323"/>
      <c r="Q1119" s="323"/>
      <c r="R1119" s="323"/>
      <c r="S1119" s="323"/>
      <c r="T1119" s="323"/>
      <c r="U1119" s="323"/>
      <c r="V1119" s="323"/>
      <c r="W1119" s="323"/>
      <c r="X1119" s="323"/>
      <c r="Y1119" s="323"/>
      <c r="Z1119" s="323"/>
      <c r="AA1119" s="323"/>
      <c r="AB1119" s="22">
        <f t="shared" si="371"/>
        <v>0</v>
      </c>
      <c r="AC1119" s="23">
        <v>0</v>
      </c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22">
        <f t="shared" si="372"/>
        <v>0</v>
      </c>
      <c r="BC1119" s="23">
        <v>53</v>
      </c>
      <c r="BD1119" s="130">
        <f t="shared" si="373"/>
        <v>0</v>
      </c>
      <c r="BE1119" s="130">
        <f t="shared" si="374"/>
        <v>53</v>
      </c>
      <c r="BF1119" s="195">
        <f t="shared" si="375"/>
        <v>0</v>
      </c>
      <c r="BG1119" s="373">
        <f t="shared" si="376"/>
        <v>53</v>
      </c>
    </row>
    <row r="1120" spans="1:59" s="21" customFormat="1" ht="17.25" customHeight="1">
      <c r="A1120" s="176">
        <v>29</v>
      </c>
      <c r="B1120" s="31" t="s">
        <v>766</v>
      </c>
      <c r="C1120" s="32" t="s">
        <v>767</v>
      </c>
      <c r="D1120" s="231"/>
      <c r="E1120" s="231"/>
      <c r="F1120" s="231"/>
      <c r="G1120" s="231"/>
      <c r="H1120" s="231"/>
      <c r="I1120" s="231"/>
      <c r="J1120" s="231"/>
      <c r="K1120" s="231"/>
      <c r="L1120" s="231"/>
      <c r="M1120" s="231"/>
      <c r="N1120" s="231"/>
      <c r="O1120" s="231"/>
      <c r="P1120" s="231"/>
      <c r="Q1120" s="231"/>
      <c r="R1120" s="231"/>
      <c r="S1120" s="231"/>
      <c r="T1120" s="231"/>
      <c r="U1120" s="231"/>
      <c r="V1120" s="231"/>
      <c r="W1120" s="231"/>
      <c r="X1120" s="231"/>
      <c r="Y1120" s="231"/>
      <c r="Z1120" s="231"/>
      <c r="AA1120" s="231"/>
      <c r="AB1120" s="22">
        <f t="shared" si="371"/>
        <v>0</v>
      </c>
      <c r="AC1120" s="23">
        <v>0</v>
      </c>
      <c r="AD1120" s="35">
        <v>23</v>
      </c>
      <c r="AE1120" s="35"/>
      <c r="AF1120" s="35"/>
      <c r="AG1120" s="35"/>
      <c r="AH1120" s="35">
        <v>113</v>
      </c>
      <c r="AI1120" s="35"/>
      <c r="AJ1120" s="35"/>
      <c r="AK1120" s="35"/>
      <c r="AL1120" s="35">
        <f>1+374</f>
        <v>375</v>
      </c>
      <c r="AM1120" s="35"/>
      <c r="AN1120" s="35"/>
      <c r="AO1120" s="35"/>
      <c r="AP1120" s="35">
        <f>1+428</f>
        <v>429</v>
      </c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22">
        <f t="shared" si="372"/>
        <v>940</v>
      </c>
      <c r="BC1120" s="23">
        <v>2416</v>
      </c>
      <c r="BD1120" s="130">
        <f t="shared" si="373"/>
        <v>940</v>
      </c>
      <c r="BE1120" s="130">
        <f t="shared" si="374"/>
        <v>2416</v>
      </c>
      <c r="BF1120" s="195">
        <f t="shared" si="375"/>
        <v>38.907284768211916</v>
      </c>
      <c r="BG1120" s="373">
        <f t="shared" si="376"/>
        <v>1476</v>
      </c>
    </row>
    <row r="1121" spans="1:59" s="21" customFormat="1" ht="15.75" customHeight="1">
      <c r="A1121" s="176">
        <v>30</v>
      </c>
      <c r="B1121" s="31" t="s">
        <v>768</v>
      </c>
      <c r="C1121" s="32" t="s">
        <v>769</v>
      </c>
      <c r="D1121" s="231"/>
      <c r="E1121" s="231"/>
      <c r="F1121" s="231"/>
      <c r="G1121" s="231"/>
      <c r="H1121" s="231"/>
      <c r="I1121" s="231"/>
      <c r="J1121" s="231"/>
      <c r="K1121" s="231"/>
      <c r="L1121" s="231"/>
      <c r="M1121" s="231"/>
      <c r="N1121" s="231"/>
      <c r="O1121" s="231"/>
      <c r="P1121" s="231"/>
      <c r="Q1121" s="231"/>
      <c r="R1121" s="231"/>
      <c r="S1121" s="231"/>
      <c r="T1121" s="231"/>
      <c r="U1121" s="231"/>
      <c r="V1121" s="231"/>
      <c r="W1121" s="231"/>
      <c r="X1121" s="231"/>
      <c r="Y1121" s="231"/>
      <c r="Z1121" s="231"/>
      <c r="AA1121" s="231"/>
      <c r="AB1121" s="22">
        <f t="shared" si="371"/>
        <v>0</v>
      </c>
      <c r="AC1121" s="23">
        <v>0</v>
      </c>
      <c r="AD1121" s="35"/>
      <c r="AE1121" s="35"/>
      <c r="AF1121" s="35"/>
      <c r="AG1121" s="35"/>
      <c r="AH1121" s="35">
        <v>4</v>
      </c>
      <c r="AI1121" s="35"/>
      <c r="AJ1121" s="35"/>
      <c r="AK1121" s="35"/>
      <c r="AL1121" s="35">
        <v>32</v>
      </c>
      <c r="AM1121" s="35"/>
      <c r="AN1121" s="35"/>
      <c r="AO1121" s="35"/>
      <c r="AP1121" s="35">
        <v>38</v>
      </c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22">
        <f t="shared" si="372"/>
        <v>74</v>
      </c>
      <c r="BC1121" s="23">
        <v>160</v>
      </c>
      <c r="BD1121" s="130">
        <f t="shared" si="373"/>
        <v>74</v>
      </c>
      <c r="BE1121" s="130">
        <f t="shared" si="374"/>
        <v>160</v>
      </c>
      <c r="BF1121" s="195">
        <f t="shared" si="375"/>
        <v>46.25</v>
      </c>
      <c r="BG1121" s="373">
        <f t="shared" si="376"/>
        <v>86</v>
      </c>
    </row>
    <row r="1122" spans="1:59" s="21" customFormat="1" ht="21" customHeight="1">
      <c r="A1122" s="176">
        <v>31</v>
      </c>
      <c r="B1122" s="31" t="s">
        <v>770</v>
      </c>
      <c r="C1122" s="34" t="s">
        <v>771</v>
      </c>
      <c r="D1122" s="231"/>
      <c r="E1122" s="231"/>
      <c r="F1122" s="231"/>
      <c r="G1122" s="231"/>
      <c r="H1122" s="231"/>
      <c r="I1122" s="231"/>
      <c r="J1122" s="231"/>
      <c r="K1122" s="231"/>
      <c r="L1122" s="231"/>
      <c r="M1122" s="231"/>
      <c r="N1122" s="231"/>
      <c r="O1122" s="231"/>
      <c r="P1122" s="231"/>
      <c r="Q1122" s="231"/>
      <c r="R1122" s="231"/>
      <c r="S1122" s="231"/>
      <c r="T1122" s="231"/>
      <c r="U1122" s="231"/>
      <c r="V1122" s="231"/>
      <c r="W1122" s="231"/>
      <c r="X1122" s="231"/>
      <c r="Y1122" s="231"/>
      <c r="Z1122" s="231"/>
      <c r="AA1122" s="231"/>
      <c r="AB1122" s="22">
        <f t="shared" si="371"/>
        <v>0</v>
      </c>
      <c r="AC1122" s="23">
        <v>0</v>
      </c>
      <c r="AD1122" s="35"/>
      <c r="AE1122" s="35"/>
      <c r="AF1122" s="35"/>
      <c r="AG1122" s="35"/>
      <c r="AH1122" s="35">
        <v>3</v>
      </c>
      <c r="AI1122" s="35"/>
      <c r="AJ1122" s="35"/>
      <c r="AK1122" s="35"/>
      <c r="AL1122" s="35">
        <v>108</v>
      </c>
      <c r="AM1122" s="35"/>
      <c r="AN1122" s="35"/>
      <c r="AO1122" s="35"/>
      <c r="AP1122" s="35">
        <v>76</v>
      </c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22">
        <f t="shared" si="372"/>
        <v>187</v>
      </c>
      <c r="BC1122" s="23">
        <v>530</v>
      </c>
      <c r="BD1122" s="130">
        <f t="shared" si="373"/>
        <v>187</v>
      </c>
      <c r="BE1122" s="130">
        <f t="shared" si="374"/>
        <v>530</v>
      </c>
      <c r="BF1122" s="195">
        <f t="shared" si="375"/>
        <v>35.283018867924525</v>
      </c>
      <c r="BG1122" s="373">
        <f t="shared" si="376"/>
        <v>343</v>
      </c>
    </row>
    <row r="1123" spans="1:59" s="21" customFormat="1" ht="17.25" customHeight="1">
      <c r="A1123" s="176">
        <v>32</v>
      </c>
      <c r="B1123" s="31" t="s">
        <v>3452</v>
      </c>
      <c r="C1123" s="32" t="s">
        <v>3453</v>
      </c>
      <c r="D1123" s="231"/>
      <c r="E1123" s="231"/>
      <c r="F1123" s="231"/>
      <c r="G1123" s="231"/>
      <c r="H1123" s="231"/>
      <c r="I1123" s="231"/>
      <c r="J1123" s="231"/>
      <c r="K1123" s="231"/>
      <c r="L1123" s="231"/>
      <c r="M1123" s="231"/>
      <c r="N1123" s="231"/>
      <c r="O1123" s="231"/>
      <c r="P1123" s="231"/>
      <c r="Q1123" s="231"/>
      <c r="R1123" s="231"/>
      <c r="S1123" s="231"/>
      <c r="T1123" s="231"/>
      <c r="U1123" s="231"/>
      <c r="V1123" s="231"/>
      <c r="W1123" s="231"/>
      <c r="X1123" s="231"/>
      <c r="Y1123" s="231"/>
      <c r="Z1123" s="231"/>
      <c r="AA1123" s="231"/>
      <c r="AB1123" s="22">
        <f t="shared" si="371"/>
        <v>0</v>
      </c>
      <c r="AC1123" s="23">
        <v>0</v>
      </c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22">
        <f t="shared" si="372"/>
        <v>0</v>
      </c>
      <c r="BC1123" s="23">
        <v>1</v>
      </c>
      <c r="BD1123" s="130">
        <f t="shared" si="373"/>
        <v>0</v>
      </c>
      <c r="BE1123" s="130">
        <f t="shared" si="374"/>
        <v>1</v>
      </c>
      <c r="BF1123" s="195">
        <f t="shared" si="375"/>
        <v>0</v>
      </c>
      <c r="BG1123" s="373">
        <f t="shared" si="376"/>
        <v>1</v>
      </c>
    </row>
    <row r="1124" spans="1:59" s="21" customFormat="1" ht="19.5" customHeight="1">
      <c r="A1124" s="176">
        <v>33</v>
      </c>
      <c r="B1124" s="31" t="s">
        <v>772</v>
      </c>
      <c r="C1124" s="32" t="s">
        <v>773</v>
      </c>
      <c r="D1124" s="323"/>
      <c r="E1124" s="323"/>
      <c r="F1124" s="323"/>
      <c r="G1124" s="323"/>
      <c r="H1124" s="323"/>
      <c r="I1124" s="323"/>
      <c r="J1124" s="323"/>
      <c r="K1124" s="323"/>
      <c r="L1124" s="323"/>
      <c r="M1124" s="323"/>
      <c r="N1124" s="323"/>
      <c r="O1124" s="323"/>
      <c r="P1124" s="323"/>
      <c r="Q1124" s="323"/>
      <c r="R1124" s="323"/>
      <c r="S1124" s="323"/>
      <c r="T1124" s="323"/>
      <c r="U1124" s="323"/>
      <c r="V1124" s="323"/>
      <c r="W1124" s="323"/>
      <c r="X1124" s="323"/>
      <c r="Y1124" s="323"/>
      <c r="Z1124" s="323"/>
      <c r="AA1124" s="323"/>
      <c r="AB1124" s="22">
        <f t="shared" ref="AB1124:AB1155" si="377">SUM(D1124:AA1124)</f>
        <v>0</v>
      </c>
      <c r="AC1124" s="23">
        <v>1</v>
      </c>
      <c r="AD1124" s="35"/>
      <c r="AE1124" s="35"/>
      <c r="AF1124" s="35"/>
      <c r="AG1124" s="35"/>
      <c r="AH1124" s="35">
        <f>89+1</f>
        <v>90</v>
      </c>
      <c r="AI1124" s="35"/>
      <c r="AJ1124" s="35"/>
      <c r="AK1124" s="35"/>
      <c r="AL1124" s="35">
        <f>500+40</f>
        <v>540</v>
      </c>
      <c r="AM1124" s="35"/>
      <c r="AN1124" s="35"/>
      <c r="AO1124" s="35"/>
      <c r="AP1124" s="35">
        <v>341</v>
      </c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22">
        <f t="shared" ref="BB1124:BB1155" si="378">SUM(AD1124:BA1124)</f>
        <v>971</v>
      </c>
      <c r="BC1124" s="23">
        <v>1508</v>
      </c>
      <c r="BD1124" s="130">
        <f t="shared" ref="BD1124:BD1155" si="379">AB1124+BB1124</f>
        <v>971</v>
      </c>
      <c r="BE1124" s="130">
        <f t="shared" ref="BE1124:BE1155" si="380">AC1124+BC1124</f>
        <v>1509</v>
      </c>
      <c r="BF1124" s="195">
        <f t="shared" ref="BF1124:BF1155" si="381">BD1124/BE1124*100</f>
        <v>64.347249834327371</v>
      </c>
      <c r="BG1124" s="373">
        <f t="shared" si="376"/>
        <v>538</v>
      </c>
    </row>
    <row r="1125" spans="1:59" s="21" customFormat="1" ht="19.5" customHeight="1">
      <c r="A1125" s="176">
        <v>34</v>
      </c>
      <c r="B1125" s="31" t="s">
        <v>892</v>
      </c>
      <c r="C1125" s="32" t="s">
        <v>893</v>
      </c>
      <c r="D1125" s="231"/>
      <c r="E1125" s="231"/>
      <c r="F1125" s="231"/>
      <c r="G1125" s="231"/>
      <c r="H1125" s="231"/>
      <c r="I1125" s="231"/>
      <c r="J1125" s="231"/>
      <c r="K1125" s="231"/>
      <c r="L1125" s="231"/>
      <c r="M1125" s="231"/>
      <c r="N1125" s="231"/>
      <c r="O1125" s="231"/>
      <c r="P1125" s="231"/>
      <c r="Q1125" s="231"/>
      <c r="R1125" s="231"/>
      <c r="S1125" s="231"/>
      <c r="T1125" s="231"/>
      <c r="U1125" s="231"/>
      <c r="V1125" s="231"/>
      <c r="W1125" s="231"/>
      <c r="X1125" s="231"/>
      <c r="Y1125" s="231"/>
      <c r="Z1125" s="231"/>
      <c r="AA1125" s="231"/>
      <c r="AB1125" s="22">
        <f t="shared" si="377"/>
        <v>0</v>
      </c>
      <c r="AC1125" s="23">
        <v>0</v>
      </c>
      <c r="AD1125" s="35"/>
      <c r="AE1125" s="35"/>
      <c r="AF1125" s="35"/>
      <c r="AG1125" s="35"/>
      <c r="AH1125" s="35">
        <v>1</v>
      </c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22">
        <f t="shared" si="378"/>
        <v>1</v>
      </c>
      <c r="BC1125" s="23">
        <v>14</v>
      </c>
      <c r="BD1125" s="130">
        <f t="shared" si="379"/>
        <v>1</v>
      </c>
      <c r="BE1125" s="130">
        <f t="shared" si="380"/>
        <v>14</v>
      </c>
      <c r="BF1125" s="195">
        <f t="shared" si="381"/>
        <v>7.1428571428571423</v>
      </c>
      <c r="BG1125" s="373">
        <f t="shared" si="376"/>
        <v>13</v>
      </c>
    </row>
    <row r="1126" spans="1:59" s="21" customFormat="1" ht="19.5" customHeight="1">
      <c r="A1126" s="176">
        <v>35</v>
      </c>
      <c r="B1126" s="31" t="s">
        <v>3346</v>
      </c>
      <c r="C1126" s="32" t="s">
        <v>3347</v>
      </c>
      <c r="D1126" s="231"/>
      <c r="E1126" s="231"/>
      <c r="F1126" s="231"/>
      <c r="G1126" s="231"/>
      <c r="H1126" s="231"/>
      <c r="I1126" s="231"/>
      <c r="J1126" s="231"/>
      <c r="K1126" s="231"/>
      <c r="L1126" s="231"/>
      <c r="M1126" s="231"/>
      <c r="N1126" s="231"/>
      <c r="O1126" s="231"/>
      <c r="P1126" s="231"/>
      <c r="Q1126" s="231"/>
      <c r="R1126" s="231"/>
      <c r="S1126" s="231"/>
      <c r="T1126" s="231"/>
      <c r="U1126" s="231"/>
      <c r="V1126" s="231"/>
      <c r="W1126" s="231"/>
      <c r="X1126" s="231"/>
      <c r="Y1126" s="231"/>
      <c r="Z1126" s="231"/>
      <c r="AA1126" s="231"/>
      <c r="AB1126" s="22">
        <f t="shared" si="377"/>
        <v>0</v>
      </c>
      <c r="AC1126" s="23">
        <v>0</v>
      </c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22">
        <f t="shared" si="378"/>
        <v>0</v>
      </c>
      <c r="BC1126" s="23">
        <v>2</v>
      </c>
      <c r="BD1126" s="130">
        <f t="shared" si="379"/>
        <v>0</v>
      </c>
      <c r="BE1126" s="130">
        <f t="shared" si="380"/>
        <v>2</v>
      </c>
      <c r="BF1126" s="195">
        <f t="shared" si="381"/>
        <v>0</v>
      </c>
      <c r="BG1126" s="373">
        <f t="shared" si="376"/>
        <v>2</v>
      </c>
    </row>
    <row r="1127" spans="1:59" s="21" customFormat="1" ht="19.5" customHeight="1">
      <c r="A1127" s="176">
        <v>36</v>
      </c>
      <c r="B1127" s="31" t="s">
        <v>775</v>
      </c>
      <c r="C1127" s="32" t="s">
        <v>776</v>
      </c>
      <c r="D1127" s="231"/>
      <c r="E1127" s="231"/>
      <c r="F1127" s="231"/>
      <c r="G1127" s="231"/>
      <c r="H1127" s="231"/>
      <c r="I1127" s="231"/>
      <c r="J1127" s="231"/>
      <c r="K1127" s="231"/>
      <c r="L1127" s="231"/>
      <c r="M1127" s="231"/>
      <c r="N1127" s="231"/>
      <c r="O1127" s="231"/>
      <c r="P1127" s="231"/>
      <c r="Q1127" s="231"/>
      <c r="R1127" s="231"/>
      <c r="S1127" s="231"/>
      <c r="T1127" s="231"/>
      <c r="U1127" s="231"/>
      <c r="V1127" s="231"/>
      <c r="W1127" s="231"/>
      <c r="X1127" s="231"/>
      <c r="Y1127" s="231"/>
      <c r="Z1127" s="231"/>
      <c r="AA1127" s="231"/>
      <c r="AB1127" s="22">
        <f t="shared" si="377"/>
        <v>0</v>
      </c>
      <c r="AC1127" s="23">
        <v>0</v>
      </c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22">
        <f t="shared" si="378"/>
        <v>0</v>
      </c>
      <c r="BC1127" s="23">
        <v>1</v>
      </c>
      <c r="BD1127" s="130">
        <f t="shared" si="379"/>
        <v>0</v>
      </c>
      <c r="BE1127" s="130">
        <f t="shared" si="380"/>
        <v>1</v>
      </c>
      <c r="BF1127" s="195">
        <f t="shared" si="381"/>
        <v>0</v>
      </c>
      <c r="BG1127" s="373">
        <f t="shared" si="376"/>
        <v>1</v>
      </c>
    </row>
    <row r="1128" spans="1:59" s="21" customFormat="1" ht="19.5" customHeight="1">
      <c r="A1128" s="176">
        <v>37</v>
      </c>
      <c r="B1128" s="31" t="s">
        <v>2563</v>
      </c>
      <c r="C1128" s="32" t="s">
        <v>2613</v>
      </c>
      <c r="D1128" s="574"/>
      <c r="E1128" s="574"/>
      <c r="F1128" s="574"/>
      <c r="G1128" s="574"/>
      <c r="H1128" s="574"/>
      <c r="I1128" s="574"/>
      <c r="J1128" s="574"/>
      <c r="K1128" s="574"/>
      <c r="L1128" s="574"/>
      <c r="M1128" s="574"/>
      <c r="N1128" s="574"/>
      <c r="O1128" s="574"/>
      <c r="P1128" s="574"/>
      <c r="Q1128" s="574"/>
      <c r="R1128" s="574"/>
      <c r="S1128" s="574"/>
      <c r="T1128" s="574"/>
      <c r="U1128" s="574"/>
      <c r="V1128" s="574"/>
      <c r="W1128" s="574"/>
      <c r="X1128" s="574"/>
      <c r="Y1128" s="574"/>
      <c r="Z1128" s="574"/>
      <c r="AA1128" s="574"/>
      <c r="AB1128" s="22">
        <f t="shared" si="377"/>
        <v>0</v>
      </c>
      <c r="AC1128" s="23">
        <v>0</v>
      </c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>
        <v>1</v>
      </c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22">
        <f t="shared" si="378"/>
        <v>1</v>
      </c>
      <c r="BC1128" s="23">
        <v>0</v>
      </c>
      <c r="BD1128" s="130">
        <f t="shared" si="379"/>
        <v>1</v>
      </c>
      <c r="BE1128" s="130">
        <f t="shared" si="380"/>
        <v>0</v>
      </c>
      <c r="BF1128" s="195" t="e">
        <f t="shared" si="381"/>
        <v>#DIV/0!</v>
      </c>
      <c r="BG1128" s="373"/>
    </row>
    <row r="1129" spans="1:59" s="21" customFormat="1" ht="14.25" customHeight="1">
      <c r="A1129" s="176">
        <v>38</v>
      </c>
      <c r="B1129" s="31" t="s">
        <v>3454</v>
      </c>
      <c r="C1129" s="32" t="s">
        <v>3455</v>
      </c>
      <c r="D1129" s="288"/>
      <c r="E1129" s="288"/>
      <c r="F1129" s="288"/>
      <c r="G1129" s="288"/>
      <c r="H1129" s="288"/>
      <c r="I1129" s="288"/>
      <c r="J1129" s="288"/>
      <c r="K1129" s="288"/>
      <c r="L1129" s="288"/>
      <c r="M1129" s="288"/>
      <c r="N1129" s="288"/>
      <c r="O1129" s="288"/>
      <c r="P1129" s="288"/>
      <c r="Q1129" s="288"/>
      <c r="R1129" s="288"/>
      <c r="S1129" s="288"/>
      <c r="T1129" s="288"/>
      <c r="U1129" s="288"/>
      <c r="V1129" s="288"/>
      <c r="W1129" s="288"/>
      <c r="X1129" s="288"/>
      <c r="Y1129" s="288"/>
      <c r="Z1129" s="288"/>
      <c r="AA1129" s="288"/>
      <c r="AB1129" s="22">
        <f t="shared" si="377"/>
        <v>0</v>
      </c>
      <c r="AC1129" s="23">
        <v>0</v>
      </c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22">
        <f t="shared" si="378"/>
        <v>0</v>
      </c>
      <c r="BC1129" s="23">
        <v>1</v>
      </c>
      <c r="BD1129" s="130">
        <f t="shared" si="379"/>
        <v>0</v>
      </c>
      <c r="BE1129" s="130">
        <f t="shared" si="380"/>
        <v>1</v>
      </c>
      <c r="BF1129" s="195">
        <f t="shared" si="381"/>
        <v>0</v>
      </c>
      <c r="BG1129" s="373">
        <f t="shared" ref="BG1129:BG1144" si="382">BE1129-BD1129</f>
        <v>1</v>
      </c>
    </row>
    <row r="1130" spans="1:59" s="21" customFormat="1" ht="15.95" customHeight="1">
      <c r="A1130" s="176">
        <v>39</v>
      </c>
      <c r="B1130" s="31" t="s">
        <v>419</v>
      </c>
      <c r="C1130" s="32" t="s">
        <v>420</v>
      </c>
      <c r="D1130" s="231"/>
      <c r="E1130" s="231"/>
      <c r="F1130" s="231"/>
      <c r="G1130" s="231"/>
      <c r="H1130" s="231"/>
      <c r="I1130" s="231"/>
      <c r="J1130" s="231"/>
      <c r="K1130" s="231"/>
      <c r="L1130" s="231"/>
      <c r="M1130" s="231"/>
      <c r="N1130" s="231"/>
      <c r="O1130" s="231"/>
      <c r="P1130" s="231"/>
      <c r="Q1130" s="231"/>
      <c r="R1130" s="231"/>
      <c r="S1130" s="231"/>
      <c r="T1130" s="231"/>
      <c r="U1130" s="231"/>
      <c r="V1130" s="231"/>
      <c r="W1130" s="231"/>
      <c r="X1130" s="231"/>
      <c r="Y1130" s="231"/>
      <c r="Z1130" s="231"/>
      <c r="AA1130" s="231"/>
      <c r="AB1130" s="22">
        <f t="shared" si="377"/>
        <v>0</v>
      </c>
      <c r="AC1130" s="23">
        <v>0</v>
      </c>
      <c r="AD1130" s="35">
        <v>22</v>
      </c>
      <c r="AE1130" s="35"/>
      <c r="AF1130" s="35"/>
      <c r="AG1130" s="35"/>
      <c r="AH1130" s="35">
        <v>112</v>
      </c>
      <c r="AI1130" s="35"/>
      <c r="AJ1130" s="35"/>
      <c r="AK1130" s="35"/>
      <c r="AL1130" s="35">
        <f>1+370</f>
        <v>371</v>
      </c>
      <c r="AM1130" s="35"/>
      <c r="AN1130" s="35"/>
      <c r="AO1130" s="35"/>
      <c r="AP1130" s="35">
        <v>426</v>
      </c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22">
        <f t="shared" si="378"/>
        <v>931</v>
      </c>
      <c r="BC1130" s="23">
        <v>2423</v>
      </c>
      <c r="BD1130" s="130">
        <f t="shared" si="379"/>
        <v>931</v>
      </c>
      <c r="BE1130" s="130">
        <f t="shared" si="380"/>
        <v>2423</v>
      </c>
      <c r="BF1130" s="195">
        <f t="shared" si="381"/>
        <v>38.423442014032197</v>
      </c>
      <c r="BG1130" s="373">
        <f t="shared" si="382"/>
        <v>1492</v>
      </c>
    </row>
    <row r="1131" spans="1:59" s="21" customFormat="1" ht="15.95" customHeight="1">
      <c r="A1131" s="176">
        <v>40</v>
      </c>
      <c r="B1131" s="31" t="s">
        <v>781</v>
      </c>
      <c r="C1131" s="32" t="s">
        <v>782</v>
      </c>
      <c r="D1131" s="231"/>
      <c r="E1131" s="231"/>
      <c r="F1131" s="231"/>
      <c r="G1131" s="231"/>
      <c r="H1131" s="231"/>
      <c r="I1131" s="231"/>
      <c r="J1131" s="231"/>
      <c r="K1131" s="231"/>
      <c r="L1131" s="231"/>
      <c r="M1131" s="231"/>
      <c r="N1131" s="231"/>
      <c r="O1131" s="231"/>
      <c r="P1131" s="231"/>
      <c r="Q1131" s="231"/>
      <c r="R1131" s="231"/>
      <c r="S1131" s="231"/>
      <c r="T1131" s="231"/>
      <c r="U1131" s="231"/>
      <c r="V1131" s="231"/>
      <c r="W1131" s="231"/>
      <c r="X1131" s="231"/>
      <c r="Y1131" s="231"/>
      <c r="Z1131" s="231"/>
      <c r="AA1131" s="231"/>
      <c r="AB1131" s="22">
        <f t="shared" si="377"/>
        <v>0</v>
      </c>
      <c r="AC1131" s="23">
        <v>0</v>
      </c>
      <c r="AD1131" s="35">
        <v>22</v>
      </c>
      <c r="AE1131" s="35"/>
      <c r="AF1131" s="35"/>
      <c r="AG1131" s="35"/>
      <c r="AH1131" s="35">
        <v>112</v>
      </c>
      <c r="AI1131" s="35"/>
      <c r="AJ1131" s="35"/>
      <c r="AK1131" s="35"/>
      <c r="AL1131" s="35">
        <f>1+371</f>
        <v>372</v>
      </c>
      <c r="AM1131" s="35"/>
      <c r="AN1131" s="35"/>
      <c r="AO1131" s="35"/>
      <c r="AP1131" s="35">
        <v>1</v>
      </c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22">
        <f t="shared" si="378"/>
        <v>507</v>
      </c>
      <c r="BC1131" s="23">
        <v>2420</v>
      </c>
      <c r="BD1131" s="130">
        <f t="shared" si="379"/>
        <v>507</v>
      </c>
      <c r="BE1131" s="130">
        <f t="shared" si="380"/>
        <v>2420</v>
      </c>
      <c r="BF1131" s="195">
        <f t="shared" si="381"/>
        <v>20.950413223140497</v>
      </c>
      <c r="BG1131" s="373">
        <f t="shared" si="382"/>
        <v>1913</v>
      </c>
    </row>
    <row r="1132" spans="1:59" s="21" customFormat="1" ht="22.5" customHeight="1">
      <c r="A1132" s="176">
        <v>41</v>
      </c>
      <c r="B1132" s="31" t="s">
        <v>3456</v>
      </c>
      <c r="C1132" s="32" t="s">
        <v>3457</v>
      </c>
      <c r="D1132" s="231"/>
      <c r="E1132" s="231"/>
      <c r="F1132" s="231"/>
      <c r="G1132" s="231"/>
      <c r="H1132" s="231"/>
      <c r="I1132" s="231"/>
      <c r="J1132" s="231"/>
      <c r="K1132" s="231"/>
      <c r="L1132" s="231"/>
      <c r="M1132" s="231"/>
      <c r="N1132" s="231"/>
      <c r="O1132" s="231"/>
      <c r="P1132" s="231"/>
      <c r="Q1132" s="231"/>
      <c r="R1132" s="231"/>
      <c r="S1132" s="231"/>
      <c r="T1132" s="231"/>
      <c r="U1132" s="231"/>
      <c r="V1132" s="231"/>
      <c r="W1132" s="231"/>
      <c r="X1132" s="231"/>
      <c r="Y1132" s="231"/>
      <c r="Z1132" s="231"/>
      <c r="AA1132" s="231"/>
      <c r="AB1132" s="22">
        <f t="shared" si="377"/>
        <v>0</v>
      </c>
      <c r="AC1132" s="23">
        <v>0</v>
      </c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22">
        <f t="shared" si="378"/>
        <v>0</v>
      </c>
      <c r="BC1132" s="23">
        <v>1</v>
      </c>
      <c r="BD1132" s="130">
        <f t="shared" si="379"/>
        <v>0</v>
      </c>
      <c r="BE1132" s="130">
        <f t="shared" si="380"/>
        <v>1</v>
      </c>
      <c r="BF1132" s="195">
        <f t="shared" si="381"/>
        <v>0</v>
      </c>
      <c r="BG1132" s="373">
        <f t="shared" si="382"/>
        <v>1</v>
      </c>
    </row>
    <row r="1133" spans="1:59" s="21" customFormat="1" ht="15.95" customHeight="1">
      <c r="A1133" s="176">
        <v>42</v>
      </c>
      <c r="B1133" s="31" t="s">
        <v>783</v>
      </c>
      <c r="C1133" s="32" t="s">
        <v>784</v>
      </c>
      <c r="D1133" s="231"/>
      <c r="E1133" s="231"/>
      <c r="F1133" s="231"/>
      <c r="G1133" s="231"/>
      <c r="H1133" s="231"/>
      <c r="I1133" s="231"/>
      <c r="J1133" s="231"/>
      <c r="K1133" s="231"/>
      <c r="L1133" s="231"/>
      <c r="M1133" s="231"/>
      <c r="N1133" s="231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1"/>
      <c r="Y1133" s="231"/>
      <c r="Z1133" s="231"/>
      <c r="AA1133" s="231"/>
      <c r="AB1133" s="22">
        <f t="shared" si="377"/>
        <v>0</v>
      </c>
      <c r="AC1133" s="23">
        <v>0</v>
      </c>
      <c r="AD1133" s="35"/>
      <c r="AE1133" s="35"/>
      <c r="AF1133" s="35"/>
      <c r="AG1133" s="35"/>
      <c r="AH1133" s="35">
        <v>31</v>
      </c>
      <c r="AI1133" s="35"/>
      <c r="AJ1133" s="35"/>
      <c r="AK1133" s="35"/>
      <c r="AL1133" s="35">
        <f>148+28</f>
        <v>176</v>
      </c>
      <c r="AM1133" s="35"/>
      <c r="AN1133" s="35"/>
      <c r="AO1133" s="35"/>
      <c r="AP1133" s="35">
        <f>214+1</f>
        <v>215</v>
      </c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22">
        <f t="shared" si="378"/>
        <v>422</v>
      </c>
      <c r="BC1133" s="23">
        <v>662</v>
      </c>
      <c r="BD1133" s="130">
        <f t="shared" si="379"/>
        <v>422</v>
      </c>
      <c r="BE1133" s="130">
        <f t="shared" si="380"/>
        <v>662</v>
      </c>
      <c r="BF1133" s="195">
        <f t="shared" si="381"/>
        <v>63.746223564954683</v>
      </c>
      <c r="BG1133" s="373">
        <f t="shared" si="382"/>
        <v>240</v>
      </c>
    </row>
    <row r="1134" spans="1:59" s="21" customFormat="1" ht="15.95" customHeight="1">
      <c r="A1134" s="176">
        <v>43</v>
      </c>
      <c r="B1134" s="31" t="s">
        <v>993</v>
      </c>
      <c r="C1134" s="32" t="s">
        <v>3458</v>
      </c>
      <c r="D1134" s="288"/>
      <c r="E1134" s="288"/>
      <c r="F1134" s="288"/>
      <c r="G1134" s="288"/>
      <c r="H1134" s="288"/>
      <c r="I1134" s="288"/>
      <c r="J1134" s="288"/>
      <c r="K1134" s="288"/>
      <c r="L1134" s="288"/>
      <c r="M1134" s="288"/>
      <c r="N1134" s="288"/>
      <c r="O1134" s="288"/>
      <c r="P1134" s="288"/>
      <c r="Q1134" s="288"/>
      <c r="R1134" s="288"/>
      <c r="S1134" s="288"/>
      <c r="T1134" s="288"/>
      <c r="U1134" s="288"/>
      <c r="V1134" s="288"/>
      <c r="W1134" s="288"/>
      <c r="X1134" s="288"/>
      <c r="Y1134" s="288"/>
      <c r="Z1134" s="288"/>
      <c r="AA1134" s="288"/>
      <c r="AB1134" s="22">
        <f t="shared" si="377"/>
        <v>0</v>
      </c>
      <c r="AC1134" s="23">
        <v>0</v>
      </c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22">
        <f t="shared" si="378"/>
        <v>0</v>
      </c>
      <c r="BC1134" s="23">
        <v>1</v>
      </c>
      <c r="BD1134" s="130">
        <f t="shared" si="379"/>
        <v>0</v>
      </c>
      <c r="BE1134" s="130">
        <f t="shared" si="380"/>
        <v>1</v>
      </c>
      <c r="BF1134" s="195">
        <f t="shared" si="381"/>
        <v>0</v>
      </c>
      <c r="BG1134" s="373">
        <f t="shared" si="382"/>
        <v>1</v>
      </c>
    </row>
    <row r="1135" spans="1:59" s="21" customFormat="1" ht="15.95" customHeight="1">
      <c r="A1135" s="176">
        <v>44</v>
      </c>
      <c r="B1135" s="37" t="s">
        <v>1158</v>
      </c>
      <c r="C1135" s="38" t="s">
        <v>1159</v>
      </c>
      <c r="D1135" s="339"/>
      <c r="E1135" s="339"/>
      <c r="F1135" s="339"/>
      <c r="G1135" s="339"/>
      <c r="H1135" s="339"/>
      <c r="I1135" s="339"/>
      <c r="J1135" s="339"/>
      <c r="K1135" s="339"/>
      <c r="L1135" s="339"/>
      <c r="M1135" s="339"/>
      <c r="N1135" s="339"/>
      <c r="O1135" s="339"/>
      <c r="P1135" s="339"/>
      <c r="Q1135" s="339"/>
      <c r="R1135" s="339"/>
      <c r="S1135" s="339"/>
      <c r="T1135" s="339"/>
      <c r="U1135" s="339"/>
      <c r="V1135" s="339"/>
      <c r="W1135" s="339"/>
      <c r="X1135" s="339"/>
      <c r="Y1135" s="339"/>
      <c r="Z1135" s="339"/>
      <c r="AA1135" s="339"/>
      <c r="AB1135" s="22">
        <f t="shared" si="377"/>
        <v>0</v>
      </c>
      <c r="AC1135" s="23">
        <v>0</v>
      </c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22">
        <f t="shared" si="378"/>
        <v>0</v>
      </c>
      <c r="BC1135" s="23">
        <v>3</v>
      </c>
      <c r="BD1135" s="130">
        <f t="shared" si="379"/>
        <v>0</v>
      </c>
      <c r="BE1135" s="130">
        <f t="shared" si="380"/>
        <v>3</v>
      </c>
      <c r="BF1135" s="195">
        <f t="shared" si="381"/>
        <v>0</v>
      </c>
      <c r="BG1135" s="373">
        <f t="shared" si="382"/>
        <v>3</v>
      </c>
    </row>
    <row r="1136" spans="1:59" s="21" customFormat="1" ht="15.95" customHeight="1">
      <c r="A1136" s="176">
        <v>45</v>
      </c>
      <c r="B1136" s="31" t="s">
        <v>785</v>
      </c>
      <c r="C1136" s="32" t="s">
        <v>786</v>
      </c>
      <c r="D1136" s="336"/>
      <c r="E1136" s="336"/>
      <c r="F1136" s="336"/>
      <c r="G1136" s="336"/>
      <c r="H1136" s="336"/>
      <c r="I1136" s="336"/>
      <c r="J1136" s="336"/>
      <c r="K1136" s="336"/>
      <c r="L1136" s="336"/>
      <c r="M1136" s="336"/>
      <c r="N1136" s="336"/>
      <c r="O1136" s="336"/>
      <c r="P1136" s="336"/>
      <c r="Q1136" s="336"/>
      <c r="R1136" s="336"/>
      <c r="S1136" s="336"/>
      <c r="T1136" s="336"/>
      <c r="U1136" s="336"/>
      <c r="V1136" s="336"/>
      <c r="W1136" s="336"/>
      <c r="X1136" s="336"/>
      <c r="Y1136" s="336"/>
      <c r="Z1136" s="336"/>
      <c r="AA1136" s="336"/>
      <c r="AB1136" s="22">
        <f t="shared" si="377"/>
        <v>0</v>
      </c>
      <c r="AC1136" s="23">
        <v>0</v>
      </c>
      <c r="AD1136" s="33"/>
      <c r="AE1136" s="33"/>
      <c r="AF1136" s="33"/>
      <c r="AG1136" s="33"/>
      <c r="AH1136" s="33">
        <v>1</v>
      </c>
      <c r="AI1136" s="33"/>
      <c r="AJ1136" s="33"/>
      <c r="AK1136" s="33"/>
      <c r="AL1136" s="33">
        <v>1</v>
      </c>
      <c r="AM1136" s="33"/>
      <c r="AN1136" s="33"/>
      <c r="AO1136" s="33"/>
      <c r="AP1136" s="33">
        <v>1</v>
      </c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22">
        <f t="shared" si="378"/>
        <v>3</v>
      </c>
      <c r="BC1136" s="23">
        <v>5</v>
      </c>
      <c r="BD1136" s="130">
        <f t="shared" si="379"/>
        <v>3</v>
      </c>
      <c r="BE1136" s="130">
        <f t="shared" si="380"/>
        <v>5</v>
      </c>
      <c r="BF1136" s="195">
        <f t="shared" si="381"/>
        <v>60</v>
      </c>
      <c r="BG1136" s="373">
        <f t="shared" si="382"/>
        <v>2</v>
      </c>
    </row>
    <row r="1137" spans="1:60" s="21" customFormat="1" ht="15.95" customHeight="1">
      <c r="A1137" s="176">
        <v>46</v>
      </c>
      <c r="B1137" s="37" t="s">
        <v>787</v>
      </c>
      <c r="C1137" s="38" t="s">
        <v>788</v>
      </c>
      <c r="D1137" s="231"/>
      <c r="E1137" s="231"/>
      <c r="F1137" s="231"/>
      <c r="G1137" s="231"/>
      <c r="H1137" s="231"/>
      <c r="I1137" s="231"/>
      <c r="J1137" s="231"/>
      <c r="K1137" s="231"/>
      <c r="L1137" s="231"/>
      <c r="M1137" s="231"/>
      <c r="N1137" s="231"/>
      <c r="O1137" s="231"/>
      <c r="P1137" s="231"/>
      <c r="Q1137" s="231"/>
      <c r="R1137" s="231"/>
      <c r="S1137" s="231"/>
      <c r="T1137" s="231"/>
      <c r="U1137" s="231"/>
      <c r="V1137" s="231"/>
      <c r="W1137" s="231"/>
      <c r="X1137" s="231"/>
      <c r="Y1137" s="231"/>
      <c r="Z1137" s="231"/>
      <c r="AA1137" s="231"/>
      <c r="AB1137" s="22">
        <f t="shared" si="377"/>
        <v>0</v>
      </c>
      <c r="AC1137" s="23">
        <v>0</v>
      </c>
      <c r="AD1137" s="33">
        <v>16</v>
      </c>
      <c r="AE1137" s="33"/>
      <c r="AF1137" s="33"/>
      <c r="AG1137" s="33"/>
      <c r="AH1137" s="33">
        <v>92</v>
      </c>
      <c r="AI1137" s="33"/>
      <c r="AJ1137" s="33"/>
      <c r="AK1137" s="33">
        <v>3</v>
      </c>
      <c r="AL1137" s="33">
        <f>293+14</f>
        <v>307</v>
      </c>
      <c r="AM1137" s="33"/>
      <c r="AN1137" s="33"/>
      <c r="AO1137" s="33"/>
      <c r="AP1137" s="33">
        <f>310+6</f>
        <v>316</v>
      </c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22">
        <f t="shared" si="378"/>
        <v>734</v>
      </c>
      <c r="BC1137" s="23">
        <v>2200</v>
      </c>
      <c r="BD1137" s="130">
        <f t="shared" si="379"/>
        <v>734</v>
      </c>
      <c r="BE1137" s="130">
        <f t="shared" si="380"/>
        <v>2200</v>
      </c>
      <c r="BF1137" s="195">
        <f t="shared" si="381"/>
        <v>33.36363636363636</v>
      </c>
      <c r="BG1137" s="373">
        <f t="shared" si="382"/>
        <v>1466</v>
      </c>
    </row>
    <row r="1138" spans="1:60" s="21" customFormat="1" ht="15.95" customHeight="1">
      <c r="A1138" s="176">
        <v>47</v>
      </c>
      <c r="B1138" s="31" t="s">
        <v>789</v>
      </c>
      <c r="C1138" s="32" t="s">
        <v>790</v>
      </c>
      <c r="D1138" s="231"/>
      <c r="E1138" s="231"/>
      <c r="F1138" s="231"/>
      <c r="G1138" s="231"/>
      <c r="H1138" s="231"/>
      <c r="I1138" s="231"/>
      <c r="J1138" s="231"/>
      <c r="K1138" s="231"/>
      <c r="L1138" s="231"/>
      <c r="M1138" s="231"/>
      <c r="N1138" s="231"/>
      <c r="O1138" s="231"/>
      <c r="P1138" s="231"/>
      <c r="Q1138" s="231"/>
      <c r="R1138" s="231"/>
      <c r="S1138" s="231"/>
      <c r="T1138" s="231"/>
      <c r="U1138" s="231"/>
      <c r="V1138" s="231"/>
      <c r="W1138" s="231"/>
      <c r="X1138" s="231"/>
      <c r="Y1138" s="231"/>
      <c r="Z1138" s="231"/>
      <c r="AA1138" s="231"/>
      <c r="AB1138" s="22">
        <f t="shared" si="377"/>
        <v>0</v>
      </c>
      <c r="AC1138" s="23">
        <v>0</v>
      </c>
      <c r="AD1138" s="35"/>
      <c r="AE1138" s="35"/>
      <c r="AF1138" s="35"/>
      <c r="AG1138" s="35"/>
      <c r="AH1138" s="35"/>
      <c r="AI1138" s="35"/>
      <c r="AJ1138" s="35"/>
      <c r="AK1138" s="35"/>
      <c r="AL1138" s="35">
        <v>5</v>
      </c>
      <c r="AM1138" s="35"/>
      <c r="AN1138" s="35"/>
      <c r="AO1138" s="35"/>
      <c r="AP1138" s="35">
        <v>2</v>
      </c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22">
        <f t="shared" si="378"/>
        <v>7</v>
      </c>
      <c r="BC1138" s="23">
        <v>21</v>
      </c>
      <c r="BD1138" s="130">
        <f t="shared" si="379"/>
        <v>7</v>
      </c>
      <c r="BE1138" s="130">
        <f t="shared" si="380"/>
        <v>21</v>
      </c>
      <c r="BF1138" s="195">
        <f t="shared" si="381"/>
        <v>33.333333333333329</v>
      </c>
      <c r="BG1138" s="373">
        <f t="shared" si="382"/>
        <v>14</v>
      </c>
    </row>
    <row r="1139" spans="1:60" s="21" customFormat="1" ht="15.95" customHeight="1">
      <c r="A1139" s="176">
        <v>48</v>
      </c>
      <c r="B1139" s="37" t="s">
        <v>791</v>
      </c>
      <c r="C1139" s="38" t="s">
        <v>792</v>
      </c>
      <c r="D1139" s="231"/>
      <c r="E1139" s="231"/>
      <c r="F1139" s="231"/>
      <c r="G1139" s="231"/>
      <c r="H1139" s="231"/>
      <c r="I1139" s="231"/>
      <c r="J1139" s="231"/>
      <c r="K1139" s="231"/>
      <c r="L1139" s="231"/>
      <c r="M1139" s="231"/>
      <c r="N1139" s="231"/>
      <c r="O1139" s="231"/>
      <c r="P1139" s="231"/>
      <c r="Q1139" s="231"/>
      <c r="R1139" s="231"/>
      <c r="S1139" s="231"/>
      <c r="T1139" s="231"/>
      <c r="U1139" s="231"/>
      <c r="V1139" s="231"/>
      <c r="W1139" s="231"/>
      <c r="X1139" s="231"/>
      <c r="Y1139" s="231"/>
      <c r="Z1139" s="231"/>
      <c r="AA1139" s="231"/>
      <c r="AB1139" s="22">
        <f t="shared" si="377"/>
        <v>0</v>
      </c>
      <c r="AC1139" s="23">
        <v>0</v>
      </c>
      <c r="AD1139" s="35"/>
      <c r="AE1139" s="35"/>
      <c r="AF1139" s="35"/>
      <c r="AG1139" s="35"/>
      <c r="AH1139" s="35">
        <v>2</v>
      </c>
      <c r="AI1139" s="35"/>
      <c r="AJ1139" s="35"/>
      <c r="AK1139" s="35"/>
      <c r="AL1139" s="35">
        <f>9+5</f>
        <v>14</v>
      </c>
      <c r="AM1139" s="35"/>
      <c r="AN1139" s="35"/>
      <c r="AO1139" s="35"/>
      <c r="AP1139" s="35">
        <f>3+20</f>
        <v>23</v>
      </c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22">
        <f t="shared" si="378"/>
        <v>39</v>
      </c>
      <c r="BC1139" s="23">
        <v>59</v>
      </c>
      <c r="BD1139" s="130">
        <f t="shared" si="379"/>
        <v>39</v>
      </c>
      <c r="BE1139" s="130">
        <f t="shared" si="380"/>
        <v>59</v>
      </c>
      <c r="BF1139" s="195">
        <f t="shared" si="381"/>
        <v>66.101694915254242</v>
      </c>
      <c r="BG1139" s="373">
        <f t="shared" si="382"/>
        <v>20</v>
      </c>
    </row>
    <row r="1140" spans="1:60" s="21" customFormat="1" ht="15.95" customHeight="1">
      <c r="A1140" s="176">
        <v>49</v>
      </c>
      <c r="B1140" s="382" t="s">
        <v>793</v>
      </c>
      <c r="C1140" s="100" t="s">
        <v>794</v>
      </c>
      <c r="D1140" s="98"/>
      <c r="E1140" s="98"/>
      <c r="F1140" s="98"/>
      <c r="G1140" s="98"/>
      <c r="H1140" s="98"/>
      <c r="I1140" s="98"/>
      <c r="J1140" s="98"/>
      <c r="K1140" s="98"/>
      <c r="L1140" s="98"/>
      <c r="M1140" s="98"/>
      <c r="N1140" s="98"/>
      <c r="O1140" s="98"/>
      <c r="P1140" s="98"/>
      <c r="Q1140" s="98"/>
      <c r="R1140" s="98"/>
      <c r="S1140" s="98"/>
      <c r="T1140" s="98"/>
      <c r="U1140" s="98"/>
      <c r="V1140" s="98"/>
      <c r="W1140" s="98"/>
      <c r="X1140" s="98"/>
      <c r="Y1140" s="98"/>
      <c r="Z1140" s="98"/>
      <c r="AA1140" s="98"/>
      <c r="AB1140" s="99">
        <f t="shared" si="377"/>
        <v>0</v>
      </c>
      <c r="AC1140" s="23">
        <v>0</v>
      </c>
      <c r="AD1140" s="99"/>
      <c r="AE1140" s="99"/>
      <c r="AF1140" s="99"/>
      <c r="AG1140" s="99"/>
      <c r="AH1140" s="99">
        <v>5</v>
      </c>
      <c r="AI1140" s="99"/>
      <c r="AJ1140" s="99"/>
      <c r="AK1140" s="99">
        <v>1</v>
      </c>
      <c r="AL1140" s="99">
        <v>13</v>
      </c>
      <c r="AM1140" s="99"/>
      <c r="AN1140" s="99"/>
      <c r="AO1140" s="99"/>
      <c r="AP1140" s="99">
        <v>23</v>
      </c>
      <c r="AQ1140" s="99"/>
      <c r="AR1140" s="99"/>
      <c r="AS1140" s="99"/>
      <c r="AT1140" s="99"/>
      <c r="AU1140" s="99"/>
      <c r="AV1140" s="99"/>
      <c r="AW1140" s="99"/>
      <c r="AX1140" s="99"/>
      <c r="AY1140" s="99"/>
      <c r="AZ1140" s="99"/>
      <c r="BA1140" s="99"/>
      <c r="BB1140" s="99">
        <f t="shared" si="378"/>
        <v>42</v>
      </c>
      <c r="BC1140" s="23">
        <v>86</v>
      </c>
      <c r="BD1140" s="130">
        <f t="shared" si="379"/>
        <v>42</v>
      </c>
      <c r="BE1140" s="130">
        <f t="shared" si="380"/>
        <v>86</v>
      </c>
      <c r="BF1140" s="195">
        <f t="shared" si="381"/>
        <v>48.837209302325576</v>
      </c>
      <c r="BG1140" s="373">
        <f t="shared" si="382"/>
        <v>44</v>
      </c>
      <c r="BH1140" s="393"/>
    </row>
    <row r="1141" spans="1:60" s="21" customFormat="1" ht="15.95" customHeight="1">
      <c r="A1141" s="176">
        <v>50</v>
      </c>
      <c r="B1141" s="382" t="s">
        <v>795</v>
      </c>
      <c r="C1141" s="100" t="s">
        <v>796</v>
      </c>
      <c r="D1141" s="98"/>
      <c r="E1141" s="98"/>
      <c r="F1141" s="98"/>
      <c r="G1141" s="98"/>
      <c r="H1141" s="98"/>
      <c r="I1141" s="98"/>
      <c r="J1141" s="98"/>
      <c r="K1141" s="98"/>
      <c r="L1141" s="98"/>
      <c r="M1141" s="98"/>
      <c r="N1141" s="98"/>
      <c r="O1141" s="98"/>
      <c r="P1141" s="98"/>
      <c r="Q1141" s="98"/>
      <c r="R1141" s="98"/>
      <c r="S1141" s="98"/>
      <c r="T1141" s="98"/>
      <c r="U1141" s="98"/>
      <c r="V1141" s="98"/>
      <c r="W1141" s="98"/>
      <c r="X1141" s="98"/>
      <c r="Y1141" s="98"/>
      <c r="Z1141" s="98"/>
      <c r="AA1141" s="98"/>
      <c r="AB1141" s="99">
        <f t="shared" si="377"/>
        <v>0</v>
      </c>
      <c r="AC1141" s="23">
        <v>0</v>
      </c>
      <c r="AD1141" s="99"/>
      <c r="AE1141" s="99"/>
      <c r="AF1141" s="99"/>
      <c r="AG1141" s="99"/>
      <c r="AH1141" s="99"/>
      <c r="AI1141" s="99"/>
      <c r="AJ1141" s="99"/>
      <c r="AK1141" s="99"/>
      <c r="AL1141" s="99">
        <v>1</v>
      </c>
      <c r="AM1141" s="99"/>
      <c r="AN1141" s="99"/>
      <c r="AO1141" s="99"/>
      <c r="AP1141" s="99">
        <v>1</v>
      </c>
      <c r="AQ1141" s="99"/>
      <c r="AR1141" s="99"/>
      <c r="AS1141" s="99"/>
      <c r="AT1141" s="99"/>
      <c r="AU1141" s="99"/>
      <c r="AV1141" s="99"/>
      <c r="AW1141" s="99"/>
      <c r="AX1141" s="99"/>
      <c r="AY1141" s="99"/>
      <c r="AZ1141" s="99"/>
      <c r="BA1141" s="99"/>
      <c r="BB1141" s="99">
        <f t="shared" si="378"/>
        <v>2</v>
      </c>
      <c r="BC1141" s="23">
        <v>10</v>
      </c>
      <c r="BD1141" s="130">
        <f t="shared" si="379"/>
        <v>2</v>
      </c>
      <c r="BE1141" s="130">
        <f t="shared" si="380"/>
        <v>10</v>
      </c>
      <c r="BF1141" s="195">
        <f t="shared" si="381"/>
        <v>20</v>
      </c>
      <c r="BG1141" s="373">
        <f t="shared" si="382"/>
        <v>8</v>
      </c>
      <c r="BH1141" s="393"/>
    </row>
    <row r="1142" spans="1:60" s="21" customFormat="1" ht="15.95" customHeight="1">
      <c r="A1142" s="176">
        <v>51</v>
      </c>
      <c r="B1142" s="382" t="s">
        <v>797</v>
      </c>
      <c r="C1142" s="100" t="s">
        <v>798</v>
      </c>
      <c r="D1142" s="98"/>
      <c r="E1142" s="98"/>
      <c r="F1142" s="98"/>
      <c r="G1142" s="98"/>
      <c r="H1142" s="98"/>
      <c r="I1142" s="98"/>
      <c r="J1142" s="98"/>
      <c r="K1142" s="98"/>
      <c r="L1142" s="98"/>
      <c r="M1142" s="98"/>
      <c r="N1142" s="98"/>
      <c r="O1142" s="98"/>
      <c r="P1142" s="98"/>
      <c r="Q1142" s="98"/>
      <c r="R1142" s="98"/>
      <c r="S1142" s="98"/>
      <c r="T1142" s="98"/>
      <c r="U1142" s="98"/>
      <c r="V1142" s="98"/>
      <c r="W1142" s="98"/>
      <c r="X1142" s="98"/>
      <c r="Y1142" s="98"/>
      <c r="Z1142" s="98"/>
      <c r="AA1142" s="98"/>
      <c r="AB1142" s="99">
        <f t="shared" si="377"/>
        <v>0</v>
      </c>
      <c r="AC1142" s="23">
        <v>0</v>
      </c>
      <c r="AD1142" s="99">
        <v>6</v>
      </c>
      <c r="AE1142" s="99"/>
      <c r="AF1142" s="99"/>
      <c r="AG1142" s="99"/>
      <c r="AH1142" s="99">
        <v>12</v>
      </c>
      <c r="AI1142" s="99"/>
      <c r="AJ1142" s="99"/>
      <c r="AK1142" s="99">
        <v>2</v>
      </c>
      <c r="AL1142" s="99">
        <f>71+4</f>
        <v>75</v>
      </c>
      <c r="AM1142" s="99"/>
      <c r="AN1142" s="99"/>
      <c r="AO1142" s="99"/>
      <c r="AP1142" s="99">
        <f>74+1</f>
        <v>75</v>
      </c>
      <c r="AQ1142" s="99"/>
      <c r="AR1142" s="99"/>
      <c r="AS1142" s="99"/>
      <c r="AT1142" s="99"/>
      <c r="AU1142" s="99"/>
      <c r="AV1142" s="99"/>
      <c r="AW1142" s="99"/>
      <c r="AX1142" s="99"/>
      <c r="AY1142" s="99"/>
      <c r="AZ1142" s="99"/>
      <c r="BA1142" s="99"/>
      <c r="BB1142" s="99">
        <f t="shared" si="378"/>
        <v>170</v>
      </c>
      <c r="BC1142" s="23">
        <v>550</v>
      </c>
      <c r="BD1142" s="130">
        <f t="shared" si="379"/>
        <v>170</v>
      </c>
      <c r="BE1142" s="130">
        <f t="shared" si="380"/>
        <v>550</v>
      </c>
      <c r="BF1142" s="195">
        <f t="shared" si="381"/>
        <v>30.909090909090907</v>
      </c>
      <c r="BG1142" s="373">
        <f t="shared" si="382"/>
        <v>380</v>
      </c>
      <c r="BH1142" s="394">
        <f>SUM(BE1140:BE1144)</f>
        <v>1196</v>
      </c>
    </row>
    <row r="1143" spans="1:60" s="21" customFormat="1" ht="19.5" customHeight="1">
      <c r="A1143" s="176">
        <v>52</v>
      </c>
      <c r="B1143" s="382" t="s">
        <v>799</v>
      </c>
      <c r="C1143" s="100" t="s">
        <v>800</v>
      </c>
      <c r="D1143" s="98"/>
      <c r="E1143" s="98"/>
      <c r="F1143" s="98"/>
      <c r="G1143" s="98"/>
      <c r="H1143" s="98"/>
      <c r="I1143" s="98"/>
      <c r="J1143" s="98"/>
      <c r="K1143" s="98"/>
      <c r="L1143" s="98"/>
      <c r="M1143" s="98"/>
      <c r="N1143" s="98"/>
      <c r="O1143" s="98"/>
      <c r="P1143" s="98"/>
      <c r="Q1143" s="98"/>
      <c r="R1143" s="98"/>
      <c r="S1143" s="98"/>
      <c r="T1143" s="98"/>
      <c r="U1143" s="98"/>
      <c r="V1143" s="98"/>
      <c r="W1143" s="98"/>
      <c r="X1143" s="98"/>
      <c r="Y1143" s="98"/>
      <c r="Z1143" s="98"/>
      <c r="AA1143" s="98"/>
      <c r="AB1143" s="99">
        <f t="shared" si="377"/>
        <v>0</v>
      </c>
      <c r="AC1143" s="23">
        <v>0</v>
      </c>
      <c r="AD1143" s="99">
        <v>6</v>
      </c>
      <c r="AE1143" s="99"/>
      <c r="AF1143" s="99"/>
      <c r="AG1143" s="99"/>
      <c r="AH1143" s="99">
        <v>17</v>
      </c>
      <c r="AI1143" s="99"/>
      <c r="AJ1143" s="99"/>
      <c r="AK1143" s="99"/>
      <c r="AL1143" s="99">
        <v>39</v>
      </c>
      <c r="AM1143" s="99"/>
      <c r="AN1143" s="99"/>
      <c r="AO1143" s="99"/>
      <c r="AP1143" s="99">
        <f>49+1</f>
        <v>50</v>
      </c>
      <c r="AQ1143" s="99"/>
      <c r="AR1143" s="99"/>
      <c r="AS1143" s="99"/>
      <c r="AT1143" s="99"/>
      <c r="AU1143" s="99"/>
      <c r="AV1143" s="99"/>
      <c r="AW1143" s="99"/>
      <c r="AX1143" s="99"/>
      <c r="AY1143" s="99"/>
      <c r="AZ1143" s="99"/>
      <c r="BA1143" s="99"/>
      <c r="BB1143" s="99">
        <f t="shared" si="378"/>
        <v>112</v>
      </c>
      <c r="BC1143" s="23">
        <v>330</v>
      </c>
      <c r="BD1143" s="130">
        <f t="shared" si="379"/>
        <v>112</v>
      </c>
      <c r="BE1143" s="130">
        <f t="shared" si="380"/>
        <v>330</v>
      </c>
      <c r="BF1143" s="195">
        <f t="shared" si="381"/>
        <v>33.939393939393945</v>
      </c>
      <c r="BG1143" s="373">
        <f t="shared" si="382"/>
        <v>218</v>
      </c>
      <c r="BH1143" s="393"/>
    </row>
    <row r="1144" spans="1:60" s="21" customFormat="1" ht="21" customHeight="1">
      <c r="A1144" s="176">
        <v>53</v>
      </c>
      <c r="B1144" s="229" t="s">
        <v>801</v>
      </c>
      <c r="C1144" s="100" t="s">
        <v>802</v>
      </c>
      <c r="D1144" s="98"/>
      <c r="E1144" s="98"/>
      <c r="F1144" s="98"/>
      <c r="G1144" s="98"/>
      <c r="H1144" s="98"/>
      <c r="I1144" s="98"/>
      <c r="J1144" s="98"/>
      <c r="K1144" s="98"/>
      <c r="L1144" s="98"/>
      <c r="M1144" s="98"/>
      <c r="N1144" s="98"/>
      <c r="O1144" s="98"/>
      <c r="P1144" s="98"/>
      <c r="Q1144" s="98"/>
      <c r="R1144" s="98"/>
      <c r="S1144" s="98"/>
      <c r="T1144" s="98"/>
      <c r="U1144" s="98"/>
      <c r="V1144" s="98"/>
      <c r="W1144" s="98"/>
      <c r="X1144" s="98"/>
      <c r="Y1144" s="98"/>
      <c r="Z1144" s="98"/>
      <c r="AA1144" s="98"/>
      <c r="AB1144" s="99">
        <f t="shared" si="377"/>
        <v>0</v>
      </c>
      <c r="AC1144" s="23">
        <v>0</v>
      </c>
      <c r="AD1144" s="99"/>
      <c r="AE1144" s="99"/>
      <c r="AF1144" s="99"/>
      <c r="AG1144" s="99"/>
      <c r="AH1144" s="99">
        <v>6</v>
      </c>
      <c r="AI1144" s="99"/>
      <c r="AJ1144" s="99"/>
      <c r="AK1144" s="99"/>
      <c r="AL1144" s="99">
        <f>16+3</f>
        <v>19</v>
      </c>
      <c r="AM1144" s="99"/>
      <c r="AN1144" s="99"/>
      <c r="AO1144" s="99"/>
      <c r="AP1144" s="99">
        <f>28+1</f>
        <v>29</v>
      </c>
      <c r="AQ1144" s="99"/>
      <c r="AR1144" s="99"/>
      <c r="AS1144" s="99"/>
      <c r="AT1144" s="99"/>
      <c r="AU1144" s="99"/>
      <c r="AV1144" s="99"/>
      <c r="AW1144" s="99"/>
      <c r="AX1144" s="99"/>
      <c r="AY1144" s="99"/>
      <c r="AZ1144" s="99"/>
      <c r="BA1144" s="99"/>
      <c r="BB1144" s="99">
        <f t="shared" si="378"/>
        <v>54</v>
      </c>
      <c r="BC1144" s="23">
        <v>220</v>
      </c>
      <c r="BD1144" s="130">
        <f t="shared" si="379"/>
        <v>54</v>
      </c>
      <c r="BE1144" s="130">
        <f t="shared" si="380"/>
        <v>220</v>
      </c>
      <c r="BF1144" s="195">
        <f t="shared" si="381"/>
        <v>24.545454545454547</v>
      </c>
      <c r="BG1144" s="373">
        <f t="shared" si="382"/>
        <v>166</v>
      </c>
      <c r="BH1144" s="393"/>
    </row>
    <row r="1145" spans="1:60" s="21" customFormat="1" ht="21" customHeight="1">
      <c r="A1145" s="176">
        <v>54</v>
      </c>
      <c r="B1145" s="31" t="s">
        <v>4208</v>
      </c>
      <c r="C1145" s="34" t="s">
        <v>4209</v>
      </c>
      <c r="D1145" s="98"/>
      <c r="E1145" s="98"/>
      <c r="F1145" s="98"/>
      <c r="G1145" s="98"/>
      <c r="H1145" s="98"/>
      <c r="I1145" s="98"/>
      <c r="J1145" s="98"/>
      <c r="K1145" s="98"/>
      <c r="L1145" s="98"/>
      <c r="M1145" s="98"/>
      <c r="N1145" s="98"/>
      <c r="O1145" s="98"/>
      <c r="P1145" s="583"/>
      <c r="Q1145" s="583"/>
      <c r="R1145" s="583"/>
      <c r="S1145" s="583"/>
      <c r="T1145" s="590"/>
      <c r="U1145" s="590"/>
      <c r="V1145" s="590"/>
      <c r="W1145" s="590"/>
      <c r="X1145" s="590"/>
      <c r="Y1145" s="590"/>
      <c r="Z1145" s="590"/>
      <c r="AA1145" s="590"/>
      <c r="AB1145" s="22">
        <f t="shared" si="377"/>
        <v>0</v>
      </c>
      <c r="AC1145" s="23">
        <v>0</v>
      </c>
      <c r="AD1145" s="99"/>
      <c r="AE1145" s="99"/>
      <c r="AF1145" s="99"/>
      <c r="AG1145" s="99"/>
      <c r="AH1145" s="99"/>
      <c r="AI1145" s="99"/>
      <c r="AJ1145" s="99"/>
      <c r="AK1145" s="99"/>
      <c r="AL1145" s="99"/>
      <c r="AM1145" s="99"/>
      <c r="AN1145" s="99"/>
      <c r="AO1145" s="99"/>
      <c r="AP1145" s="35">
        <v>2</v>
      </c>
      <c r="AQ1145" s="35"/>
      <c r="AR1145" s="35"/>
      <c r="AS1145" s="35"/>
      <c r="AT1145" s="99"/>
      <c r="AU1145" s="99"/>
      <c r="AV1145" s="99"/>
      <c r="AW1145" s="99"/>
      <c r="AX1145" s="99"/>
      <c r="AY1145" s="99"/>
      <c r="AZ1145" s="99"/>
      <c r="BA1145" s="99"/>
      <c r="BB1145" s="22">
        <f t="shared" si="378"/>
        <v>2</v>
      </c>
      <c r="BC1145" s="23">
        <v>0</v>
      </c>
      <c r="BD1145" s="130">
        <f t="shared" si="379"/>
        <v>2</v>
      </c>
      <c r="BE1145" s="130">
        <f t="shared" si="380"/>
        <v>0</v>
      </c>
      <c r="BF1145" s="195" t="e">
        <f t="shared" si="381"/>
        <v>#DIV/0!</v>
      </c>
      <c r="BG1145" s="373"/>
      <c r="BH1145" s="393"/>
    </row>
    <row r="1146" spans="1:60" s="21" customFormat="1" ht="21" customHeight="1">
      <c r="A1146" s="176">
        <v>55</v>
      </c>
      <c r="B1146" s="31" t="s">
        <v>4210</v>
      </c>
      <c r="C1146" s="34" t="s">
        <v>4211</v>
      </c>
      <c r="D1146" s="98"/>
      <c r="E1146" s="98"/>
      <c r="F1146" s="98"/>
      <c r="G1146" s="98"/>
      <c r="H1146" s="98"/>
      <c r="I1146" s="98"/>
      <c r="J1146" s="98"/>
      <c r="K1146" s="98"/>
      <c r="L1146" s="98"/>
      <c r="M1146" s="98"/>
      <c r="N1146" s="98"/>
      <c r="O1146" s="98"/>
      <c r="P1146" s="583"/>
      <c r="Q1146" s="583"/>
      <c r="R1146" s="583"/>
      <c r="S1146" s="583"/>
      <c r="T1146" s="590"/>
      <c r="U1146" s="590"/>
      <c r="V1146" s="590"/>
      <c r="W1146" s="590"/>
      <c r="X1146" s="590"/>
      <c r="Y1146" s="590"/>
      <c r="Z1146" s="590"/>
      <c r="AA1146" s="590"/>
      <c r="AB1146" s="22">
        <f t="shared" si="377"/>
        <v>0</v>
      </c>
      <c r="AC1146" s="23">
        <v>0</v>
      </c>
      <c r="AD1146" s="99"/>
      <c r="AE1146" s="99"/>
      <c r="AF1146" s="99"/>
      <c r="AG1146" s="99"/>
      <c r="AH1146" s="99"/>
      <c r="AI1146" s="99"/>
      <c r="AJ1146" s="99"/>
      <c r="AK1146" s="99"/>
      <c r="AL1146" s="99"/>
      <c r="AM1146" s="99"/>
      <c r="AN1146" s="99"/>
      <c r="AO1146" s="99"/>
      <c r="AP1146" s="35">
        <v>1</v>
      </c>
      <c r="AQ1146" s="35"/>
      <c r="AR1146" s="35"/>
      <c r="AS1146" s="35"/>
      <c r="AT1146" s="99"/>
      <c r="AU1146" s="99"/>
      <c r="AV1146" s="99"/>
      <c r="AW1146" s="99"/>
      <c r="AX1146" s="99"/>
      <c r="AY1146" s="99"/>
      <c r="AZ1146" s="99"/>
      <c r="BA1146" s="99"/>
      <c r="BB1146" s="22">
        <f t="shared" si="378"/>
        <v>1</v>
      </c>
      <c r="BC1146" s="23">
        <v>0</v>
      </c>
      <c r="BD1146" s="130">
        <f t="shared" si="379"/>
        <v>1</v>
      </c>
      <c r="BE1146" s="130">
        <f t="shared" si="380"/>
        <v>0</v>
      </c>
      <c r="BF1146" s="195" t="e">
        <f t="shared" si="381"/>
        <v>#DIV/0!</v>
      </c>
      <c r="BG1146" s="373"/>
      <c r="BH1146" s="393"/>
    </row>
    <row r="1147" spans="1:60" s="21" customFormat="1" ht="23.25" customHeight="1">
      <c r="A1147" s="176">
        <v>56</v>
      </c>
      <c r="B1147" s="136" t="s">
        <v>803</v>
      </c>
      <c r="C1147" s="138" t="s">
        <v>2346</v>
      </c>
      <c r="D1147" s="197"/>
      <c r="E1147" s="197"/>
      <c r="F1147" s="197"/>
      <c r="G1147" s="197"/>
      <c r="H1147" s="197"/>
      <c r="I1147" s="197"/>
      <c r="J1147" s="197"/>
      <c r="K1147" s="197"/>
      <c r="L1147" s="197"/>
      <c r="M1147" s="197"/>
      <c r="N1147" s="197"/>
      <c r="O1147" s="197"/>
      <c r="P1147" s="197"/>
      <c r="Q1147" s="197"/>
      <c r="R1147" s="197"/>
      <c r="S1147" s="197"/>
      <c r="T1147" s="197"/>
      <c r="U1147" s="197"/>
      <c r="V1147" s="197"/>
      <c r="W1147" s="197"/>
      <c r="X1147" s="197"/>
      <c r="Y1147" s="197"/>
      <c r="Z1147" s="197"/>
      <c r="AA1147" s="197"/>
      <c r="AB1147" s="196">
        <f t="shared" si="377"/>
        <v>0</v>
      </c>
      <c r="AC1147" s="23">
        <v>0</v>
      </c>
      <c r="AD1147" s="196"/>
      <c r="AE1147" s="196"/>
      <c r="AF1147" s="196"/>
      <c r="AG1147" s="196"/>
      <c r="AH1147" s="196"/>
      <c r="AI1147" s="196"/>
      <c r="AJ1147" s="196"/>
      <c r="AK1147" s="196"/>
      <c r="AL1147" s="196"/>
      <c r="AM1147" s="196"/>
      <c r="AN1147" s="196"/>
      <c r="AO1147" s="196"/>
      <c r="AP1147" s="196">
        <f>2+1</f>
        <v>3</v>
      </c>
      <c r="AQ1147" s="196"/>
      <c r="AR1147" s="196"/>
      <c r="AS1147" s="196"/>
      <c r="AT1147" s="196"/>
      <c r="AU1147" s="196"/>
      <c r="AV1147" s="196"/>
      <c r="AW1147" s="196"/>
      <c r="AX1147" s="196"/>
      <c r="AY1147" s="196"/>
      <c r="AZ1147" s="196"/>
      <c r="BA1147" s="196"/>
      <c r="BB1147" s="196">
        <f t="shared" si="378"/>
        <v>3</v>
      </c>
      <c r="BC1147" s="23">
        <v>20</v>
      </c>
      <c r="BD1147" s="130">
        <f t="shared" si="379"/>
        <v>3</v>
      </c>
      <c r="BE1147" s="130">
        <f t="shared" si="380"/>
        <v>20</v>
      </c>
      <c r="BF1147" s="195">
        <f t="shared" si="381"/>
        <v>15</v>
      </c>
      <c r="BG1147" s="373">
        <f t="shared" ref="BG1147:BG1156" si="383">BE1147-BD1147</f>
        <v>17</v>
      </c>
    </row>
    <row r="1148" spans="1:60" s="21" customFormat="1" ht="18.75" customHeight="1">
      <c r="A1148" s="176">
        <v>57</v>
      </c>
      <c r="B1148" s="136" t="s">
        <v>2342</v>
      </c>
      <c r="C1148" s="139" t="s">
        <v>2343</v>
      </c>
      <c r="D1148" s="197"/>
      <c r="E1148" s="197"/>
      <c r="F1148" s="197"/>
      <c r="G1148" s="197"/>
      <c r="H1148" s="197"/>
      <c r="I1148" s="197"/>
      <c r="J1148" s="197"/>
      <c r="K1148" s="197"/>
      <c r="L1148" s="197"/>
      <c r="M1148" s="197"/>
      <c r="N1148" s="197"/>
      <c r="O1148" s="197"/>
      <c r="P1148" s="197"/>
      <c r="Q1148" s="197"/>
      <c r="R1148" s="197"/>
      <c r="S1148" s="197"/>
      <c r="T1148" s="197"/>
      <c r="U1148" s="197"/>
      <c r="V1148" s="197"/>
      <c r="W1148" s="197"/>
      <c r="X1148" s="197"/>
      <c r="Y1148" s="197"/>
      <c r="Z1148" s="197"/>
      <c r="AA1148" s="197"/>
      <c r="AB1148" s="196">
        <f t="shared" si="377"/>
        <v>0</v>
      </c>
      <c r="AC1148" s="23">
        <v>0</v>
      </c>
      <c r="AD1148" s="196"/>
      <c r="AE1148" s="196"/>
      <c r="AF1148" s="196"/>
      <c r="AG1148" s="196"/>
      <c r="AH1148" s="196"/>
      <c r="AI1148" s="196"/>
      <c r="AJ1148" s="196"/>
      <c r="AK1148" s="196"/>
      <c r="AL1148" s="196"/>
      <c r="AM1148" s="196"/>
      <c r="AN1148" s="196"/>
      <c r="AO1148" s="196"/>
      <c r="AP1148" s="196"/>
      <c r="AQ1148" s="196"/>
      <c r="AR1148" s="196"/>
      <c r="AS1148" s="196"/>
      <c r="AT1148" s="196"/>
      <c r="AU1148" s="196"/>
      <c r="AV1148" s="196"/>
      <c r="AW1148" s="196"/>
      <c r="AX1148" s="196"/>
      <c r="AY1148" s="196"/>
      <c r="AZ1148" s="196"/>
      <c r="BA1148" s="196"/>
      <c r="BB1148" s="196">
        <f t="shared" si="378"/>
        <v>0</v>
      </c>
      <c r="BC1148" s="23">
        <v>5</v>
      </c>
      <c r="BD1148" s="130">
        <f t="shared" si="379"/>
        <v>0</v>
      </c>
      <c r="BE1148" s="130">
        <f t="shared" si="380"/>
        <v>5</v>
      </c>
      <c r="BF1148" s="195">
        <f t="shared" si="381"/>
        <v>0</v>
      </c>
      <c r="BG1148" s="373">
        <f t="shared" si="383"/>
        <v>5</v>
      </c>
    </row>
    <row r="1149" spans="1:60" s="21" customFormat="1" ht="21" customHeight="1">
      <c r="A1149" s="176">
        <v>58</v>
      </c>
      <c r="B1149" s="136" t="s">
        <v>2340</v>
      </c>
      <c r="C1149" s="137" t="s">
        <v>2341</v>
      </c>
      <c r="D1149" s="197"/>
      <c r="E1149" s="197"/>
      <c r="F1149" s="197"/>
      <c r="G1149" s="197"/>
      <c r="H1149" s="197"/>
      <c r="I1149" s="197"/>
      <c r="J1149" s="197"/>
      <c r="K1149" s="197"/>
      <c r="L1149" s="197"/>
      <c r="M1149" s="197"/>
      <c r="N1149" s="197"/>
      <c r="O1149" s="197"/>
      <c r="P1149" s="197"/>
      <c r="Q1149" s="197"/>
      <c r="R1149" s="197"/>
      <c r="S1149" s="197"/>
      <c r="T1149" s="197"/>
      <c r="U1149" s="197"/>
      <c r="V1149" s="197"/>
      <c r="W1149" s="197"/>
      <c r="X1149" s="197"/>
      <c r="Y1149" s="197"/>
      <c r="Z1149" s="197"/>
      <c r="AA1149" s="197"/>
      <c r="AB1149" s="196">
        <f t="shared" si="377"/>
        <v>0</v>
      </c>
      <c r="AC1149" s="23">
        <v>0</v>
      </c>
      <c r="AD1149" s="196"/>
      <c r="AE1149" s="196"/>
      <c r="AF1149" s="196"/>
      <c r="AG1149" s="196"/>
      <c r="AH1149" s="196"/>
      <c r="AI1149" s="196"/>
      <c r="AJ1149" s="196"/>
      <c r="AK1149" s="196"/>
      <c r="AL1149" s="196"/>
      <c r="AM1149" s="196"/>
      <c r="AN1149" s="196"/>
      <c r="AO1149" s="196"/>
      <c r="AP1149" s="196">
        <f>1+1</f>
        <v>2</v>
      </c>
      <c r="AQ1149" s="196"/>
      <c r="AR1149" s="196"/>
      <c r="AS1149" s="196"/>
      <c r="AT1149" s="196"/>
      <c r="AU1149" s="196"/>
      <c r="AV1149" s="196"/>
      <c r="AW1149" s="196"/>
      <c r="AX1149" s="196"/>
      <c r="AY1149" s="196"/>
      <c r="AZ1149" s="196"/>
      <c r="BA1149" s="196"/>
      <c r="BB1149" s="196">
        <f t="shared" si="378"/>
        <v>2</v>
      </c>
      <c r="BC1149" s="23">
        <v>15</v>
      </c>
      <c r="BD1149" s="130">
        <f t="shared" si="379"/>
        <v>2</v>
      </c>
      <c r="BE1149" s="130">
        <f t="shared" si="380"/>
        <v>15</v>
      </c>
      <c r="BF1149" s="195">
        <f t="shared" si="381"/>
        <v>13.333333333333334</v>
      </c>
      <c r="BG1149" s="373">
        <f t="shared" si="383"/>
        <v>13</v>
      </c>
    </row>
    <row r="1150" spans="1:60" s="21" customFormat="1" ht="27" customHeight="1">
      <c r="A1150" s="176">
        <v>59</v>
      </c>
      <c r="B1150" s="37" t="s">
        <v>804</v>
      </c>
      <c r="C1150" s="38" t="s">
        <v>805</v>
      </c>
      <c r="D1150" s="381"/>
      <c r="E1150" s="381"/>
      <c r="F1150" s="381"/>
      <c r="G1150" s="381"/>
      <c r="H1150" s="381"/>
      <c r="I1150" s="381"/>
      <c r="J1150" s="381"/>
      <c r="K1150" s="381"/>
      <c r="L1150" s="381"/>
      <c r="M1150" s="381"/>
      <c r="N1150" s="381"/>
      <c r="O1150" s="381"/>
      <c r="P1150" s="381"/>
      <c r="Q1150" s="381"/>
      <c r="R1150" s="381"/>
      <c r="S1150" s="381"/>
      <c r="T1150" s="381"/>
      <c r="U1150" s="381"/>
      <c r="V1150" s="381"/>
      <c r="W1150" s="381"/>
      <c r="X1150" s="381"/>
      <c r="Y1150" s="381"/>
      <c r="Z1150" s="381"/>
      <c r="AA1150" s="381"/>
      <c r="AB1150" s="22">
        <f t="shared" si="377"/>
        <v>0</v>
      </c>
      <c r="AC1150" s="23">
        <v>0</v>
      </c>
      <c r="AD1150" s="35">
        <v>1</v>
      </c>
      <c r="AE1150" s="35"/>
      <c r="AF1150" s="35"/>
      <c r="AG1150" s="35"/>
      <c r="AH1150" s="35"/>
      <c r="AI1150" s="35"/>
      <c r="AJ1150" s="35"/>
      <c r="AK1150" s="35"/>
      <c r="AL1150" s="35">
        <v>4</v>
      </c>
      <c r="AM1150" s="35"/>
      <c r="AN1150" s="35"/>
      <c r="AO1150" s="35"/>
      <c r="AP1150" s="35">
        <f>2+1</f>
        <v>3</v>
      </c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22">
        <f t="shared" si="378"/>
        <v>8</v>
      </c>
      <c r="BC1150" s="23">
        <v>16</v>
      </c>
      <c r="BD1150" s="130">
        <f t="shared" si="379"/>
        <v>8</v>
      </c>
      <c r="BE1150" s="130">
        <f t="shared" si="380"/>
        <v>16</v>
      </c>
      <c r="BF1150" s="195">
        <f t="shared" si="381"/>
        <v>50</v>
      </c>
      <c r="BG1150" s="373">
        <f t="shared" si="383"/>
        <v>8</v>
      </c>
    </row>
    <row r="1151" spans="1:60" s="21" customFormat="1" ht="21" customHeight="1">
      <c r="A1151" s="176">
        <v>60</v>
      </c>
      <c r="B1151" s="31" t="s">
        <v>806</v>
      </c>
      <c r="C1151" s="32" t="s">
        <v>807</v>
      </c>
      <c r="D1151" s="381"/>
      <c r="E1151" s="381"/>
      <c r="F1151" s="381"/>
      <c r="G1151" s="381"/>
      <c r="H1151" s="381"/>
      <c r="I1151" s="381"/>
      <c r="J1151" s="381"/>
      <c r="K1151" s="381"/>
      <c r="L1151" s="381"/>
      <c r="M1151" s="381"/>
      <c r="N1151" s="381"/>
      <c r="O1151" s="381"/>
      <c r="P1151" s="381"/>
      <c r="Q1151" s="381"/>
      <c r="R1151" s="381"/>
      <c r="S1151" s="381"/>
      <c r="T1151" s="381"/>
      <c r="U1151" s="381"/>
      <c r="V1151" s="381"/>
      <c r="W1151" s="381"/>
      <c r="X1151" s="381"/>
      <c r="Y1151" s="381"/>
      <c r="Z1151" s="381"/>
      <c r="AA1151" s="381"/>
      <c r="AB1151" s="22">
        <f t="shared" si="377"/>
        <v>0</v>
      </c>
      <c r="AC1151" s="23">
        <v>0</v>
      </c>
      <c r="AD1151" s="35"/>
      <c r="AE1151" s="35"/>
      <c r="AF1151" s="35"/>
      <c r="AG1151" s="35"/>
      <c r="AH1151" s="35"/>
      <c r="AI1151" s="35"/>
      <c r="AJ1151" s="35"/>
      <c r="AK1151" s="35"/>
      <c r="AL1151" s="35">
        <v>3</v>
      </c>
      <c r="AM1151" s="35"/>
      <c r="AN1151" s="35"/>
      <c r="AO1151" s="35"/>
      <c r="AP1151" s="35">
        <v>3</v>
      </c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22">
        <f t="shared" si="378"/>
        <v>6</v>
      </c>
      <c r="BC1151" s="23">
        <v>15</v>
      </c>
      <c r="BD1151" s="130">
        <f t="shared" si="379"/>
        <v>6</v>
      </c>
      <c r="BE1151" s="130">
        <f t="shared" si="380"/>
        <v>15</v>
      </c>
      <c r="BF1151" s="195">
        <f t="shared" si="381"/>
        <v>40</v>
      </c>
      <c r="BG1151" s="373">
        <f t="shared" si="383"/>
        <v>9</v>
      </c>
    </row>
    <row r="1152" spans="1:60" s="21" customFormat="1" ht="21" customHeight="1">
      <c r="A1152" s="176">
        <v>61</v>
      </c>
      <c r="B1152" s="31" t="s">
        <v>2095</v>
      </c>
      <c r="C1152" s="32" t="s">
        <v>2096</v>
      </c>
      <c r="D1152" s="381"/>
      <c r="E1152" s="381"/>
      <c r="F1152" s="381"/>
      <c r="G1152" s="381"/>
      <c r="H1152" s="381"/>
      <c r="I1152" s="381"/>
      <c r="J1152" s="381"/>
      <c r="K1152" s="381"/>
      <c r="L1152" s="381"/>
      <c r="M1152" s="381"/>
      <c r="N1152" s="381"/>
      <c r="O1152" s="381"/>
      <c r="P1152" s="381"/>
      <c r="Q1152" s="381"/>
      <c r="R1152" s="381"/>
      <c r="S1152" s="381"/>
      <c r="T1152" s="381"/>
      <c r="U1152" s="381"/>
      <c r="V1152" s="381"/>
      <c r="W1152" s="381"/>
      <c r="X1152" s="381"/>
      <c r="Y1152" s="381"/>
      <c r="Z1152" s="381"/>
      <c r="AA1152" s="381"/>
      <c r="AB1152" s="22">
        <f t="shared" si="377"/>
        <v>0</v>
      </c>
      <c r="AC1152" s="23">
        <v>0</v>
      </c>
      <c r="AD1152" s="35"/>
      <c r="AE1152" s="35"/>
      <c r="AF1152" s="35"/>
      <c r="AG1152" s="35"/>
      <c r="AH1152" s="35"/>
      <c r="AI1152" s="35"/>
      <c r="AJ1152" s="35"/>
      <c r="AK1152" s="35"/>
      <c r="AL1152" s="35">
        <v>1</v>
      </c>
      <c r="AM1152" s="35"/>
      <c r="AN1152" s="35"/>
      <c r="AO1152" s="35"/>
      <c r="AP1152" s="35">
        <v>2</v>
      </c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22">
        <f t="shared" si="378"/>
        <v>3</v>
      </c>
      <c r="BC1152" s="23">
        <v>5</v>
      </c>
      <c r="BD1152" s="130">
        <f t="shared" si="379"/>
        <v>3</v>
      </c>
      <c r="BE1152" s="130">
        <f t="shared" si="380"/>
        <v>5</v>
      </c>
      <c r="BF1152" s="195">
        <f t="shared" si="381"/>
        <v>60</v>
      </c>
      <c r="BG1152" s="373">
        <f t="shared" si="383"/>
        <v>2</v>
      </c>
    </row>
    <row r="1153" spans="1:59" s="21" customFormat="1" ht="21" customHeight="1">
      <c r="A1153" s="176">
        <v>62</v>
      </c>
      <c r="B1153" s="37" t="s">
        <v>808</v>
      </c>
      <c r="C1153" s="39" t="s">
        <v>809</v>
      </c>
      <c r="D1153" s="381"/>
      <c r="E1153" s="381"/>
      <c r="F1153" s="381"/>
      <c r="G1153" s="381"/>
      <c r="H1153" s="381"/>
      <c r="I1153" s="381"/>
      <c r="J1153" s="381"/>
      <c r="K1153" s="381"/>
      <c r="L1153" s="381"/>
      <c r="M1153" s="381"/>
      <c r="N1153" s="381"/>
      <c r="O1153" s="381"/>
      <c r="P1153" s="381"/>
      <c r="Q1153" s="381"/>
      <c r="R1153" s="381"/>
      <c r="S1153" s="381"/>
      <c r="T1153" s="381"/>
      <c r="U1153" s="381"/>
      <c r="V1153" s="381"/>
      <c r="W1153" s="381"/>
      <c r="X1153" s="381"/>
      <c r="Y1153" s="381"/>
      <c r="Z1153" s="381"/>
      <c r="AA1153" s="381"/>
      <c r="AB1153" s="22">
        <f t="shared" si="377"/>
        <v>0</v>
      </c>
      <c r="AC1153" s="23">
        <v>0</v>
      </c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33"/>
      <c r="AX1153" s="33"/>
      <c r="AY1153" s="33"/>
      <c r="AZ1153" s="33"/>
      <c r="BA1153" s="33"/>
      <c r="BB1153" s="22">
        <f t="shared" si="378"/>
        <v>0</v>
      </c>
      <c r="BC1153" s="23">
        <v>5</v>
      </c>
      <c r="BD1153" s="130">
        <f t="shared" si="379"/>
        <v>0</v>
      </c>
      <c r="BE1153" s="130">
        <f t="shared" si="380"/>
        <v>5</v>
      </c>
      <c r="BF1153" s="195">
        <f t="shared" si="381"/>
        <v>0</v>
      </c>
      <c r="BG1153" s="373">
        <f t="shared" si="383"/>
        <v>5</v>
      </c>
    </row>
    <row r="1154" spans="1:59" s="21" customFormat="1" ht="15.95" customHeight="1">
      <c r="A1154" s="176">
        <v>63</v>
      </c>
      <c r="B1154" s="31" t="s">
        <v>810</v>
      </c>
      <c r="C1154" s="32" t="s">
        <v>811</v>
      </c>
      <c r="D1154" s="231"/>
      <c r="E1154" s="231"/>
      <c r="F1154" s="231"/>
      <c r="G1154" s="231"/>
      <c r="H1154" s="231"/>
      <c r="I1154" s="231"/>
      <c r="J1154" s="231"/>
      <c r="K1154" s="231"/>
      <c r="L1154" s="231"/>
      <c r="M1154" s="231"/>
      <c r="N1154" s="231"/>
      <c r="O1154" s="231"/>
      <c r="P1154" s="231"/>
      <c r="Q1154" s="231"/>
      <c r="R1154" s="231"/>
      <c r="S1154" s="231"/>
      <c r="T1154" s="231"/>
      <c r="U1154" s="231"/>
      <c r="V1154" s="231"/>
      <c r="W1154" s="231"/>
      <c r="X1154" s="231"/>
      <c r="Y1154" s="231"/>
      <c r="Z1154" s="231"/>
      <c r="AA1154" s="231"/>
      <c r="AB1154" s="22">
        <f t="shared" si="377"/>
        <v>0</v>
      </c>
      <c r="AC1154" s="23">
        <v>0</v>
      </c>
      <c r="AD1154" s="33"/>
      <c r="AE1154" s="33"/>
      <c r="AF1154" s="33"/>
      <c r="AG1154" s="33"/>
      <c r="AH1154" s="33"/>
      <c r="AI1154" s="33"/>
      <c r="AJ1154" s="33"/>
      <c r="AK1154" s="33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22">
        <f t="shared" si="378"/>
        <v>0</v>
      </c>
      <c r="BC1154" s="23">
        <v>1</v>
      </c>
      <c r="BD1154" s="130">
        <f t="shared" si="379"/>
        <v>0</v>
      </c>
      <c r="BE1154" s="130">
        <f t="shared" si="380"/>
        <v>1</v>
      </c>
      <c r="BF1154" s="195">
        <f t="shared" si="381"/>
        <v>0</v>
      </c>
      <c r="BG1154" s="373">
        <f t="shared" si="383"/>
        <v>1</v>
      </c>
    </row>
    <row r="1155" spans="1:59" s="21" customFormat="1" ht="15.95" customHeight="1">
      <c r="A1155" s="176">
        <v>64</v>
      </c>
      <c r="B1155" s="31" t="s">
        <v>812</v>
      </c>
      <c r="C1155" s="32" t="s">
        <v>3459</v>
      </c>
      <c r="D1155" s="231"/>
      <c r="E1155" s="231"/>
      <c r="F1155" s="231"/>
      <c r="G1155" s="231"/>
      <c r="H1155" s="231"/>
      <c r="I1155" s="231"/>
      <c r="J1155" s="231"/>
      <c r="K1155" s="231"/>
      <c r="L1155" s="231"/>
      <c r="M1155" s="231"/>
      <c r="N1155" s="231"/>
      <c r="O1155" s="231"/>
      <c r="P1155" s="231"/>
      <c r="Q1155" s="231"/>
      <c r="R1155" s="231"/>
      <c r="S1155" s="231"/>
      <c r="T1155" s="231"/>
      <c r="U1155" s="231"/>
      <c r="V1155" s="231"/>
      <c r="W1155" s="231"/>
      <c r="X1155" s="231"/>
      <c r="Y1155" s="231"/>
      <c r="Z1155" s="231"/>
      <c r="AA1155" s="231"/>
      <c r="AB1155" s="22">
        <f t="shared" si="377"/>
        <v>0</v>
      </c>
      <c r="AC1155" s="23">
        <v>0</v>
      </c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  <c r="AU1155" s="33"/>
      <c r="AV1155" s="33"/>
      <c r="AW1155" s="33"/>
      <c r="AX1155" s="33"/>
      <c r="AY1155" s="33"/>
      <c r="AZ1155" s="33"/>
      <c r="BA1155" s="33"/>
      <c r="BB1155" s="22">
        <f t="shared" si="378"/>
        <v>0</v>
      </c>
      <c r="BC1155" s="23">
        <v>1</v>
      </c>
      <c r="BD1155" s="130">
        <f t="shared" si="379"/>
        <v>0</v>
      </c>
      <c r="BE1155" s="130">
        <f t="shared" si="380"/>
        <v>1</v>
      </c>
      <c r="BF1155" s="195">
        <f t="shared" si="381"/>
        <v>0</v>
      </c>
      <c r="BG1155" s="373">
        <f t="shared" si="383"/>
        <v>1</v>
      </c>
    </row>
    <row r="1156" spans="1:59" s="21" customFormat="1" ht="22.5" customHeight="1">
      <c r="A1156" s="176">
        <v>65</v>
      </c>
      <c r="B1156" s="31" t="s">
        <v>1541</v>
      </c>
      <c r="C1156" s="32" t="s">
        <v>2057</v>
      </c>
      <c r="D1156" s="231"/>
      <c r="E1156" s="231"/>
      <c r="F1156" s="231"/>
      <c r="G1156" s="231"/>
      <c r="H1156" s="231"/>
      <c r="I1156" s="231"/>
      <c r="J1156" s="231"/>
      <c r="K1156" s="231"/>
      <c r="L1156" s="231"/>
      <c r="M1156" s="231"/>
      <c r="N1156" s="231"/>
      <c r="O1156" s="231"/>
      <c r="P1156" s="231"/>
      <c r="Q1156" s="231"/>
      <c r="R1156" s="231"/>
      <c r="S1156" s="231"/>
      <c r="T1156" s="231"/>
      <c r="U1156" s="231"/>
      <c r="V1156" s="231"/>
      <c r="W1156" s="231"/>
      <c r="X1156" s="231"/>
      <c r="Y1156" s="231"/>
      <c r="Z1156" s="231"/>
      <c r="AA1156" s="231"/>
      <c r="AB1156" s="22">
        <f t="shared" ref="AB1156:AB1188" si="384">SUM(D1156:AA1156)</f>
        <v>0</v>
      </c>
      <c r="AC1156" s="23">
        <v>0</v>
      </c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22">
        <f t="shared" ref="BB1156:BB1188" si="385">SUM(AD1156:BA1156)</f>
        <v>0</v>
      </c>
      <c r="BC1156" s="23">
        <v>1</v>
      </c>
      <c r="BD1156" s="130">
        <f t="shared" ref="BD1156:BD1188" si="386">AB1156+BB1156</f>
        <v>0</v>
      </c>
      <c r="BE1156" s="130">
        <f t="shared" ref="BE1156:BE1188" si="387">AC1156+BC1156</f>
        <v>1</v>
      </c>
      <c r="BF1156" s="195">
        <f t="shared" ref="BF1156:BF1188" si="388">BD1156/BE1156*100</f>
        <v>0</v>
      </c>
      <c r="BG1156" s="373">
        <f t="shared" si="383"/>
        <v>1</v>
      </c>
    </row>
    <row r="1157" spans="1:59" s="21" customFormat="1" ht="22.5" customHeight="1">
      <c r="A1157" s="176">
        <v>66</v>
      </c>
      <c r="B1157" s="31" t="s">
        <v>3975</v>
      </c>
      <c r="C1157" s="32" t="s">
        <v>3976</v>
      </c>
      <c r="D1157" s="574"/>
      <c r="E1157" s="574"/>
      <c r="F1157" s="574"/>
      <c r="G1157" s="574"/>
      <c r="H1157" s="574"/>
      <c r="I1157" s="574"/>
      <c r="J1157" s="574"/>
      <c r="K1157" s="574"/>
      <c r="L1157" s="574"/>
      <c r="M1157" s="574"/>
      <c r="N1157" s="574"/>
      <c r="O1157" s="574"/>
      <c r="P1157" s="574"/>
      <c r="Q1157" s="574"/>
      <c r="R1157" s="574"/>
      <c r="S1157" s="574"/>
      <c r="T1157" s="574"/>
      <c r="U1157" s="574"/>
      <c r="V1157" s="574"/>
      <c r="W1157" s="574"/>
      <c r="X1157" s="574"/>
      <c r="Y1157" s="574"/>
      <c r="Z1157" s="574"/>
      <c r="AA1157" s="574"/>
      <c r="AB1157" s="22">
        <f t="shared" si="384"/>
        <v>0</v>
      </c>
      <c r="AC1157" s="23">
        <v>0</v>
      </c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>
        <v>1</v>
      </c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22">
        <f t="shared" si="385"/>
        <v>1</v>
      </c>
      <c r="BC1157" s="23">
        <v>0</v>
      </c>
      <c r="BD1157" s="130">
        <f t="shared" si="386"/>
        <v>1</v>
      </c>
      <c r="BE1157" s="130">
        <f t="shared" si="387"/>
        <v>0</v>
      </c>
      <c r="BF1157" s="195" t="e">
        <f t="shared" si="388"/>
        <v>#DIV/0!</v>
      </c>
      <c r="BG1157" s="373"/>
    </row>
    <row r="1158" spans="1:59" s="21" customFormat="1" ht="22.5" customHeight="1">
      <c r="A1158" s="176">
        <v>67</v>
      </c>
      <c r="B1158" s="31" t="s">
        <v>2110</v>
      </c>
      <c r="C1158" s="32" t="s">
        <v>3601</v>
      </c>
      <c r="D1158" s="551"/>
      <c r="E1158" s="551"/>
      <c r="F1158" s="551"/>
      <c r="G1158" s="551"/>
      <c r="H1158" s="551"/>
      <c r="I1158" s="551"/>
      <c r="J1158" s="551"/>
      <c r="K1158" s="551"/>
      <c r="L1158" s="551"/>
      <c r="M1158" s="551"/>
      <c r="N1158" s="551"/>
      <c r="O1158" s="551"/>
      <c r="P1158" s="551"/>
      <c r="Q1158" s="551"/>
      <c r="R1158" s="551"/>
      <c r="S1158" s="551"/>
      <c r="T1158" s="551"/>
      <c r="U1158" s="551"/>
      <c r="V1158" s="551"/>
      <c r="W1158" s="551"/>
      <c r="X1158" s="551"/>
      <c r="Y1158" s="551"/>
      <c r="Z1158" s="551"/>
      <c r="AA1158" s="551"/>
      <c r="AB1158" s="22">
        <f t="shared" si="384"/>
        <v>0</v>
      </c>
      <c r="AC1158" s="23">
        <v>0</v>
      </c>
      <c r="AD1158" s="35"/>
      <c r="AE1158" s="35"/>
      <c r="AF1158" s="35"/>
      <c r="AG1158" s="35"/>
      <c r="AH1158" s="35"/>
      <c r="AI1158" s="35"/>
      <c r="AJ1158" s="35"/>
      <c r="AK1158" s="35"/>
      <c r="AL1158" s="35">
        <v>1</v>
      </c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22">
        <f t="shared" si="385"/>
        <v>1</v>
      </c>
      <c r="BC1158" s="23">
        <v>0</v>
      </c>
      <c r="BD1158" s="130">
        <f t="shared" si="386"/>
        <v>1</v>
      </c>
      <c r="BE1158" s="130">
        <f t="shared" si="387"/>
        <v>0</v>
      </c>
      <c r="BF1158" s="195" t="e">
        <f t="shared" si="388"/>
        <v>#DIV/0!</v>
      </c>
      <c r="BG1158" s="373"/>
    </row>
    <row r="1159" spans="1:59" s="21" customFormat="1" ht="18" customHeight="1">
      <c r="A1159" s="176">
        <v>68</v>
      </c>
      <c r="B1159" s="31" t="s">
        <v>814</v>
      </c>
      <c r="C1159" s="34" t="s">
        <v>815</v>
      </c>
      <c r="D1159" s="231"/>
      <c r="E1159" s="231"/>
      <c r="F1159" s="231"/>
      <c r="G1159" s="231"/>
      <c r="H1159" s="231"/>
      <c r="I1159" s="231"/>
      <c r="J1159" s="231"/>
      <c r="K1159" s="231"/>
      <c r="L1159" s="231"/>
      <c r="M1159" s="231"/>
      <c r="N1159" s="231"/>
      <c r="O1159" s="231"/>
      <c r="P1159" s="231"/>
      <c r="Q1159" s="231"/>
      <c r="R1159" s="231"/>
      <c r="S1159" s="231"/>
      <c r="T1159" s="231"/>
      <c r="U1159" s="231"/>
      <c r="V1159" s="231"/>
      <c r="W1159" s="231"/>
      <c r="X1159" s="231"/>
      <c r="Y1159" s="231"/>
      <c r="Z1159" s="231"/>
      <c r="AA1159" s="231"/>
      <c r="AB1159" s="22">
        <f t="shared" si="384"/>
        <v>0</v>
      </c>
      <c r="AC1159" s="23">
        <v>0</v>
      </c>
      <c r="AD1159" s="35"/>
      <c r="AE1159" s="35"/>
      <c r="AF1159" s="35"/>
      <c r="AG1159" s="35"/>
      <c r="AH1159" s="35">
        <v>9</v>
      </c>
      <c r="AI1159" s="35"/>
      <c r="AJ1159" s="35"/>
      <c r="AK1159" s="35"/>
      <c r="AL1159" s="35">
        <f>86+3</f>
        <v>89</v>
      </c>
      <c r="AM1159" s="35"/>
      <c r="AN1159" s="35"/>
      <c r="AO1159" s="35"/>
      <c r="AP1159" s="35">
        <v>35</v>
      </c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22">
        <f t="shared" si="385"/>
        <v>133</v>
      </c>
      <c r="BC1159" s="23">
        <v>202</v>
      </c>
      <c r="BD1159" s="130">
        <f t="shared" si="386"/>
        <v>133</v>
      </c>
      <c r="BE1159" s="130">
        <f t="shared" si="387"/>
        <v>202</v>
      </c>
      <c r="BF1159" s="195">
        <f t="shared" si="388"/>
        <v>65.841584158415841</v>
      </c>
      <c r="BG1159" s="373">
        <f>BE1159-BD1159</f>
        <v>69</v>
      </c>
    </row>
    <row r="1160" spans="1:59" s="21" customFormat="1" ht="18" customHeight="1">
      <c r="A1160" s="176">
        <v>69</v>
      </c>
      <c r="B1160" s="31" t="s">
        <v>3988</v>
      </c>
      <c r="C1160" s="32" t="s">
        <v>3989</v>
      </c>
      <c r="D1160" s="550"/>
      <c r="E1160" s="550"/>
      <c r="F1160" s="550"/>
      <c r="G1160" s="550"/>
      <c r="H1160" s="550"/>
      <c r="I1160" s="550"/>
      <c r="J1160" s="550"/>
      <c r="K1160" s="550"/>
      <c r="L1160" s="550"/>
      <c r="M1160" s="550"/>
      <c r="N1160" s="550"/>
      <c r="O1160" s="550"/>
      <c r="P1160" s="550"/>
      <c r="Q1160" s="550"/>
      <c r="R1160" s="550"/>
      <c r="S1160" s="550"/>
      <c r="T1160" s="550"/>
      <c r="U1160" s="550"/>
      <c r="V1160" s="550"/>
      <c r="W1160" s="550"/>
      <c r="X1160" s="550"/>
      <c r="Y1160" s="550"/>
      <c r="Z1160" s="550"/>
      <c r="AA1160" s="550"/>
      <c r="AB1160" s="22">
        <f t="shared" si="384"/>
        <v>0</v>
      </c>
      <c r="AC1160" s="23">
        <v>0</v>
      </c>
      <c r="AD1160" s="35"/>
      <c r="AE1160" s="35"/>
      <c r="AF1160" s="35"/>
      <c r="AG1160" s="35"/>
      <c r="AH1160" s="35"/>
      <c r="AI1160" s="35"/>
      <c r="AJ1160" s="35"/>
      <c r="AK1160" s="35"/>
      <c r="AL1160" s="35">
        <v>1</v>
      </c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22">
        <f t="shared" si="385"/>
        <v>1</v>
      </c>
      <c r="BC1160" s="23">
        <v>0</v>
      </c>
      <c r="BD1160" s="130">
        <f t="shared" si="386"/>
        <v>1</v>
      </c>
      <c r="BE1160" s="130">
        <f t="shared" si="387"/>
        <v>0</v>
      </c>
      <c r="BF1160" s="195" t="e">
        <f t="shared" si="388"/>
        <v>#DIV/0!</v>
      </c>
      <c r="BG1160" s="373"/>
    </row>
    <row r="1161" spans="1:59" s="21" customFormat="1" ht="18" customHeight="1">
      <c r="A1161" s="176">
        <v>70</v>
      </c>
      <c r="B1161" s="31" t="s">
        <v>3559</v>
      </c>
      <c r="C1161" s="32" t="s">
        <v>3990</v>
      </c>
      <c r="D1161" s="550"/>
      <c r="E1161" s="550"/>
      <c r="F1161" s="550"/>
      <c r="G1161" s="550"/>
      <c r="H1161" s="550"/>
      <c r="I1161" s="550"/>
      <c r="J1161" s="550"/>
      <c r="K1161" s="550"/>
      <c r="L1161" s="550"/>
      <c r="M1161" s="550"/>
      <c r="N1161" s="550"/>
      <c r="O1161" s="550"/>
      <c r="P1161" s="550"/>
      <c r="Q1161" s="550"/>
      <c r="R1161" s="550"/>
      <c r="S1161" s="550"/>
      <c r="T1161" s="550"/>
      <c r="U1161" s="550"/>
      <c r="V1161" s="550"/>
      <c r="W1161" s="550"/>
      <c r="X1161" s="550"/>
      <c r="Y1161" s="550"/>
      <c r="Z1161" s="550"/>
      <c r="AA1161" s="550"/>
      <c r="AB1161" s="22">
        <f t="shared" si="384"/>
        <v>0</v>
      </c>
      <c r="AC1161" s="23">
        <v>0</v>
      </c>
      <c r="AD1161" s="35"/>
      <c r="AE1161" s="35"/>
      <c r="AF1161" s="35"/>
      <c r="AG1161" s="35"/>
      <c r="AH1161" s="35"/>
      <c r="AI1161" s="35"/>
      <c r="AJ1161" s="35"/>
      <c r="AK1161" s="35"/>
      <c r="AL1161" s="35">
        <v>1</v>
      </c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22">
        <f t="shared" si="385"/>
        <v>1</v>
      </c>
      <c r="BC1161" s="23">
        <v>0</v>
      </c>
      <c r="BD1161" s="130">
        <f t="shared" si="386"/>
        <v>1</v>
      </c>
      <c r="BE1161" s="130">
        <f t="shared" si="387"/>
        <v>0</v>
      </c>
      <c r="BF1161" s="195" t="e">
        <f t="shared" si="388"/>
        <v>#DIV/0!</v>
      </c>
      <c r="BG1161" s="373"/>
    </row>
    <row r="1162" spans="1:59" s="21" customFormat="1" ht="21.75" customHeight="1">
      <c r="A1162" s="176">
        <v>71</v>
      </c>
      <c r="B1162" s="31" t="s">
        <v>905</v>
      </c>
      <c r="C1162" s="32" t="s">
        <v>3176</v>
      </c>
      <c r="D1162" s="231"/>
      <c r="E1162" s="231"/>
      <c r="F1162" s="231"/>
      <c r="G1162" s="231"/>
      <c r="H1162" s="231"/>
      <c r="I1162" s="231"/>
      <c r="J1162" s="231"/>
      <c r="K1162" s="231"/>
      <c r="L1162" s="231"/>
      <c r="M1162" s="231"/>
      <c r="N1162" s="231"/>
      <c r="O1162" s="231"/>
      <c r="P1162" s="231"/>
      <c r="Q1162" s="231"/>
      <c r="R1162" s="231"/>
      <c r="S1162" s="231"/>
      <c r="T1162" s="231"/>
      <c r="U1162" s="231"/>
      <c r="V1162" s="231"/>
      <c r="W1162" s="231"/>
      <c r="X1162" s="231"/>
      <c r="Y1162" s="231"/>
      <c r="Z1162" s="231"/>
      <c r="AA1162" s="231"/>
      <c r="AB1162" s="22">
        <f t="shared" si="384"/>
        <v>0</v>
      </c>
      <c r="AC1162" s="23">
        <v>0</v>
      </c>
      <c r="AD1162" s="33"/>
      <c r="AE1162" s="33"/>
      <c r="AF1162" s="33"/>
      <c r="AG1162" s="33"/>
      <c r="AH1162" s="33">
        <v>1</v>
      </c>
      <c r="AI1162" s="33"/>
      <c r="AJ1162" s="33"/>
      <c r="AK1162" s="33"/>
      <c r="AL1162" s="33">
        <v>591</v>
      </c>
      <c r="AM1162" s="33"/>
      <c r="AN1162" s="33"/>
      <c r="AO1162" s="33"/>
      <c r="AP1162" s="33"/>
      <c r="AQ1162" s="33"/>
      <c r="AR1162" s="33"/>
      <c r="AS1162" s="33"/>
      <c r="AT1162" s="33"/>
      <c r="AU1162" s="33"/>
      <c r="AV1162" s="33"/>
      <c r="AW1162" s="33"/>
      <c r="AX1162" s="33"/>
      <c r="AY1162" s="33"/>
      <c r="AZ1162" s="33"/>
      <c r="BA1162" s="33"/>
      <c r="BB1162" s="22">
        <f t="shared" si="385"/>
        <v>592</v>
      </c>
      <c r="BC1162" s="23">
        <v>2</v>
      </c>
      <c r="BD1162" s="130">
        <f t="shared" si="386"/>
        <v>592</v>
      </c>
      <c r="BE1162" s="130">
        <f t="shared" si="387"/>
        <v>2</v>
      </c>
      <c r="BF1162" s="195">
        <f t="shared" si="388"/>
        <v>29600</v>
      </c>
      <c r="BG1162" s="373">
        <f>BE1162-BD1162</f>
        <v>-590</v>
      </c>
    </row>
    <row r="1163" spans="1:59" s="21" customFormat="1" ht="20.25" customHeight="1">
      <c r="A1163" s="176">
        <v>72</v>
      </c>
      <c r="B1163" s="31" t="s">
        <v>2097</v>
      </c>
      <c r="C1163" s="32" t="s">
        <v>2098</v>
      </c>
      <c r="D1163" s="366"/>
      <c r="E1163" s="366"/>
      <c r="F1163" s="366"/>
      <c r="G1163" s="366"/>
      <c r="H1163" s="366"/>
      <c r="I1163" s="366"/>
      <c r="J1163" s="366"/>
      <c r="K1163" s="366"/>
      <c r="L1163" s="366"/>
      <c r="M1163" s="366"/>
      <c r="N1163" s="366"/>
      <c r="O1163" s="366"/>
      <c r="P1163" s="366"/>
      <c r="Q1163" s="366"/>
      <c r="R1163" s="366"/>
      <c r="S1163" s="366"/>
      <c r="T1163" s="366"/>
      <c r="U1163" s="366"/>
      <c r="V1163" s="366"/>
      <c r="W1163" s="366"/>
      <c r="X1163" s="366"/>
      <c r="Y1163" s="366"/>
      <c r="Z1163" s="366"/>
      <c r="AA1163" s="366"/>
      <c r="AB1163" s="22">
        <f t="shared" si="384"/>
        <v>0</v>
      </c>
      <c r="AC1163" s="23">
        <v>0</v>
      </c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  <c r="AU1163" s="33"/>
      <c r="AV1163" s="33"/>
      <c r="AW1163" s="33"/>
      <c r="AX1163" s="33"/>
      <c r="AY1163" s="33"/>
      <c r="AZ1163" s="33"/>
      <c r="BA1163" s="33"/>
      <c r="BB1163" s="22">
        <f t="shared" si="385"/>
        <v>0</v>
      </c>
      <c r="BC1163" s="23">
        <v>21</v>
      </c>
      <c r="BD1163" s="130">
        <f t="shared" si="386"/>
        <v>0</v>
      </c>
      <c r="BE1163" s="130">
        <f t="shared" si="387"/>
        <v>21</v>
      </c>
      <c r="BF1163" s="195">
        <f t="shared" si="388"/>
        <v>0</v>
      </c>
      <c r="BG1163" s="373">
        <f>BE1163-BD1163</f>
        <v>21</v>
      </c>
    </row>
    <row r="1164" spans="1:59" s="21" customFormat="1" ht="20.25" customHeight="1">
      <c r="A1164" s="176">
        <v>73</v>
      </c>
      <c r="B1164" s="31" t="s">
        <v>3808</v>
      </c>
      <c r="C1164" s="32" t="s">
        <v>3809</v>
      </c>
      <c r="D1164" s="523"/>
      <c r="E1164" s="523"/>
      <c r="F1164" s="523"/>
      <c r="G1164" s="523"/>
      <c r="H1164" s="523"/>
      <c r="I1164" s="523"/>
      <c r="J1164" s="523"/>
      <c r="K1164" s="523"/>
      <c r="L1164" s="523"/>
      <c r="M1164" s="523"/>
      <c r="N1164" s="523"/>
      <c r="O1164" s="523"/>
      <c r="P1164" s="523"/>
      <c r="Q1164" s="523"/>
      <c r="R1164" s="523"/>
      <c r="S1164" s="523"/>
      <c r="T1164" s="523"/>
      <c r="U1164" s="523"/>
      <c r="V1164" s="523"/>
      <c r="W1164" s="523"/>
      <c r="X1164" s="523"/>
      <c r="Y1164" s="523"/>
      <c r="Z1164" s="523"/>
      <c r="AA1164" s="523"/>
      <c r="AB1164" s="22">
        <f t="shared" si="384"/>
        <v>0</v>
      </c>
      <c r="AC1164" s="23">
        <v>0</v>
      </c>
      <c r="AD1164" s="33"/>
      <c r="AE1164" s="33"/>
      <c r="AF1164" s="33"/>
      <c r="AG1164" s="33"/>
      <c r="AH1164" s="33">
        <v>1</v>
      </c>
      <c r="AI1164" s="33"/>
      <c r="AJ1164" s="33"/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  <c r="AU1164" s="33"/>
      <c r="AV1164" s="33"/>
      <c r="AW1164" s="33"/>
      <c r="AX1164" s="33"/>
      <c r="AY1164" s="33"/>
      <c r="AZ1164" s="33"/>
      <c r="BA1164" s="33"/>
      <c r="BB1164" s="22">
        <f t="shared" si="385"/>
        <v>1</v>
      </c>
      <c r="BC1164" s="23">
        <v>0</v>
      </c>
      <c r="BD1164" s="130">
        <f t="shared" si="386"/>
        <v>1</v>
      </c>
      <c r="BE1164" s="130">
        <f t="shared" si="387"/>
        <v>0</v>
      </c>
      <c r="BF1164" s="195" t="e">
        <f t="shared" si="388"/>
        <v>#DIV/0!</v>
      </c>
      <c r="BG1164" s="373"/>
    </row>
    <row r="1165" spans="1:59" s="21" customFormat="1" ht="15.95" customHeight="1">
      <c r="A1165" s="176">
        <v>74</v>
      </c>
      <c r="B1165" s="136" t="s">
        <v>2344</v>
      </c>
      <c r="C1165" s="139" t="s">
        <v>2345</v>
      </c>
      <c r="D1165" s="197"/>
      <c r="E1165" s="197"/>
      <c r="F1165" s="197"/>
      <c r="G1165" s="197"/>
      <c r="H1165" s="197"/>
      <c r="I1165" s="197"/>
      <c r="J1165" s="197"/>
      <c r="K1165" s="197"/>
      <c r="L1165" s="197"/>
      <c r="M1165" s="197"/>
      <c r="N1165" s="197"/>
      <c r="O1165" s="197"/>
      <c r="P1165" s="197"/>
      <c r="Q1165" s="197"/>
      <c r="R1165" s="197"/>
      <c r="S1165" s="197"/>
      <c r="T1165" s="197"/>
      <c r="U1165" s="197"/>
      <c r="V1165" s="197"/>
      <c r="W1165" s="197"/>
      <c r="X1165" s="197"/>
      <c r="Y1165" s="197"/>
      <c r="Z1165" s="197"/>
      <c r="AA1165" s="197"/>
      <c r="AB1165" s="196">
        <f t="shared" si="384"/>
        <v>0</v>
      </c>
      <c r="AC1165" s="23">
        <v>0</v>
      </c>
      <c r="AD1165" s="196"/>
      <c r="AE1165" s="196"/>
      <c r="AF1165" s="196"/>
      <c r="AG1165" s="196"/>
      <c r="AH1165" s="196"/>
      <c r="AI1165" s="196"/>
      <c r="AJ1165" s="196"/>
      <c r="AK1165" s="196"/>
      <c r="AL1165" s="196"/>
      <c r="AM1165" s="196"/>
      <c r="AN1165" s="196"/>
      <c r="AO1165" s="196"/>
      <c r="AP1165" s="196"/>
      <c r="AQ1165" s="196"/>
      <c r="AR1165" s="196"/>
      <c r="AS1165" s="196"/>
      <c r="AT1165" s="196"/>
      <c r="AU1165" s="196"/>
      <c r="AV1165" s="196"/>
      <c r="AW1165" s="196"/>
      <c r="AX1165" s="196"/>
      <c r="AY1165" s="196"/>
      <c r="AZ1165" s="196"/>
      <c r="BA1165" s="196"/>
      <c r="BB1165" s="196">
        <f t="shared" si="385"/>
        <v>0</v>
      </c>
      <c r="BC1165" s="23">
        <v>10</v>
      </c>
      <c r="BD1165" s="130">
        <f t="shared" si="386"/>
        <v>0</v>
      </c>
      <c r="BE1165" s="130">
        <f t="shared" si="387"/>
        <v>10</v>
      </c>
      <c r="BF1165" s="195">
        <f t="shared" si="388"/>
        <v>0</v>
      </c>
      <c r="BG1165" s="373">
        <f>BE1165-BD1165</f>
        <v>10</v>
      </c>
    </row>
    <row r="1166" spans="1:59" s="21" customFormat="1" ht="15.95" customHeight="1">
      <c r="A1166" s="176">
        <v>75</v>
      </c>
      <c r="B1166" s="37" t="s">
        <v>4166</v>
      </c>
      <c r="C1166" s="32" t="s">
        <v>4167</v>
      </c>
      <c r="D1166" s="366"/>
      <c r="E1166" s="366"/>
      <c r="F1166" s="366"/>
      <c r="G1166" s="366"/>
      <c r="H1166" s="366"/>
      <c r="I1166" s="366"/>
      <c r="J1166" s="366"/>
      <c r="K1166" s="366"/>
      <c r="L1166" s="366"/>
      <c r="M1166" s="366"/>
      <c r="N1166" s="366"/>
      <c r="O1166" s="366"/>
      <c r="P1166" s="366"/>
      <c r="Q1166" s="366"/>
      <c r="R1166" s="366"/>
      <c r="S1166" s="366"/>
      <c r="T1166" s="366"/>
      <c r="U1166" s="366"/>
      <c r="V1166" s="366"/>
      <c r="W1166" s="366"/>
      <c r="X1166" s="366"/>
      <c r="Y1166" s="366"/>
      <c r="Z1166" s="366"/>
      <c r="AA1166" s="366"/>
      <c r="AB1166" s="22">
        <f t="shared" si="384"/>
        <v>0</v>
      </c>
      <c r="AC1166" s="23">
        <v>0</v>
      </c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>
        <f>2+1</f>
        <v>3</v>
      </c>
      <c r="AQ1166" s="33"/>
      <c r="AR1166" s="33"/>
      <c r="AS1166" s="33"/>
      <c r="AT1166" s="33"/>
      <c r="AU1166" s="33"/>
      <c r="AV1166" s="33"/>
      <c r="AW1166" s="33"/>
      <c r="AX1166" s="33"/>
      <c r="AY1166" s="33"/>
      <c r="AZ1166" s="33"/>
      <c r="BA1166" s="33"/>
      <c r="BB1166" s="22">
        <f t="shared" si="385"/>
        <v>3</v>
      </c>
      <c r="BC1166" s="23">
        <v>0</v>
      </c>
      <c r="BD1166" s="130">
        <f t="shared" si="386"/>
        <v>3</v>
      </c>
      <c r="BE1166" s="130">
        <f t="shared" si="387"/>
        <v>0</v>
      </c>
      <c r="BF1166" s="195" t="e">
        <f t="shared" si="388"/>
        <v>#DIV/0!</v>
      </c>
      <c r="BG1166" s="373"/>
    </row>
    <row r="1167" spans="1:59" s="21" customFormat="1" ht="15.95" customHeight="1">
      <c r="A1167" s="176">
        <v>76</v>
      </c>
      <c r="B1167" s="37" t="s">
        <v>4223</v>
      </c>
      <c r="C1167" s="32" t="s">
        <v>4224</v>
      </c>
      <c r="D1167" s="589"/>
      <c r="E1167" s="589"/>
      <c r="F1167" s="589"/>
      <c r="G1167" s="589"/>
      <c r="H1167" s="589"/>
      <c r="I1167" s="589"/>
      <c r="J1167" s="589"/>
      <c r="K1167" s="589"/>
      <c r="L1167" s="589"/>
      <c r="M1167" s="589"/>
      <c r="N1167" s="589"/>
      <c r="O1167" s="589"/>
      <c r="P1167" s="589"/>
      <c r="Q1167" s="589"/>
      <c r="R1167" s="589"/>
      <c r="S1167" s="589"/>
      <c r="T1167" s="589"/>
      <c r="U1167" s="589"/>
      <c r="V1167" s="589"/>
      <c r="W1167" s="589"/>
      <c r="X1167" s="589"/>
      <c r="Y1167" s="589"/>
      <c r="Z1167" s="589"/>
      <c r="AA1167" s="589"/>
      <c r="AB1167" s="22">
        <f t="shared" si="384"/>
        <v>0</v>
      </c>
      <c r="AC1167" s="23">
        <v>0</v>
      </c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>
        <v>1</v>
      </c>
      <c r="AQ1167" s="33"/>
      <c r="AR1167" s="33"/>
      <c r="AS1167" s="33"/>
      <c r="AT1167" s="33"/>
      <c r="AU1167" s="33"/>
      <c r="AV1167" s="33"/>
      <c r="AW1167" s="33"/>
      <c r="AX1167" s="33"/>
      <c r="AY1167" s="33"/>
      <c r="AZ1167" s="33"/>
      <c r="BA1167" s="33"/>
      <c r="BB1167" s="22">
        <f t="shared" si="385"/>
        <v>1</v>
      </c>
      <c r="BC1167" s="23">
        <v>0</v>
      </c>
      <c r="BD1167" s="130">
        <f t="shared" ref="BD1167" si="389">AB1167+BB1167</f>
        <v>1</v>
      </c>
      <c r="BE1167" s="130">
        <f t="shared" ref="BE1167" si="390">AC1167+BC1167</f>
        <v>0</v>
      </c>
      <c r="BF1167" s="195" t="e">
        <f t="shared" ref="BF1167" si="391">BD1167/BE1167*100</f>
        <v>#DIV/0!</v>
      </c>
      <c r="BG1167" s="373"/>
    </row>
    <row r="1168" spans="1:59" s="21" customFormat="1" ht="15.95" customHeight="1">
      <c r="A1168" s="176">
        <v>77</v>
      </c>
      <c r="B1168" s="31" t="s">
        <v>819</v>
      </c>
      <c r="C1168" s="32" t="s">
        <v>820</v>
      </c>
      <c r="D1168" s="574"/>
      <c r="E1168" s="574"/>
      <c r="F1168" s="574"/>
      <c r="G1168" s="574"/>
      <c r="H1168" s="574"/>
      <c r="I1168" s="574"/>
      <c r="J1168" s="574"/>
      <c r="K1168" s="574"/>
      <c r="L1168" s="574"/>
      <c r="M1168" s="574"/>
      <c r="N1168" s="574"/>
      <c r="O1168" s="574"/>
      <c r="P1168" s="574"/>
      <c r="Q1168" s="574"/>
      <c r="R1168" s="574"/>
      <c r="S1168" s="574"/>
      <c r="T1168" s="574"/>
      <c r="U1168" s="574"/>
      <c r="V1168" s="574"/>
      <c r="W1168" s="574"/>
      <c r="X1168" s="574"/>
      <c r="Y1168" s="574"/>
      <c r="Z1168" s="574"/>
      <c r="AA1168" s="574"/>
      <c r="AB1168" s="22">
        <f t="shared" si="384"/>
        <v>0</v>
      </c>
      <c r="AC1168" s="23">
        <v>0</v>
      </c>
      <c r="AD1168" s="33"/>
      <c r="AE1168" s="33"/>
      <c r="AF1168" s="33"/>
      <c r="AG1168" s="33"/>
      <c r="AH1168" s="33">
        <f>149+6</f>
        <v>155</v>
      </c>
      <c r="AI1168" s="33"/>
      <c r="AJ1168" s="33"/>
      <c r="AK1168" s="33"/>
      <c r="AL1168" s="33">
        <f>1+22+169</f>
        <v>192</v>
      </c>
      <c r="AM1168" s="33"/>
      <c r="AN1168" s="33"/>
      <c r="AO1168" s="33"/>
      <c r="AP1168" s="33">
        <f>544+27</f>
        <v>571</v>
      </c>
      <c r="AQ1168" s="33"/>
      <c r="AR1168" s="33"/>
      <c r="AS1168" s="33"/>
      <c r="AT1168" s="33"/>
      <c r="AU1168" s="33"/>
      <c r="AV1168" s="33"/>
      <c r="AW1168" s="33"/>
      <c r="AX1168" s="33"/>
      <c r="AY1168" s="33"/>
      <c r="AZ1168" s="33"/>
      <c r="BA1168" s="33"/>
      <c r="BB1168" s="22">
        <f t="shared" si="385"/>
        <v>918</v>
      </c>
      <c r="BC1168" s="23">
        <v>3305</v>
      </c>
      <c r="BD1168" s="130">
        <f t="shared" si="386"/>
        <v>918</v>
      </c>
      <c r="BE1168" s="130">
        <f t="shared" si="387"/>
        <v>3305</v>
      </c>
      <c r="BF1168" s="195">
        <f t="shared" si="388"/>
        <v>27.776096822995459</v>
      </c>
      <c r="BG1168" s="373">
        <f t="shared" ref="BG1168:BG1194" si="392">BE1168-BD1168</f>
        <v>2387</v>
      </c>
    </row>
    <row r="1169" spans="1:59" s="21" customFormat="1" ht="15.95" customHeight="1">
      <c r="A1169" s="176">
        <v>78</v>
      </c>
      <c r="B1169" s="31" t="s">
        <v>1004</v>
      </c>
      <c r="C1169" s="32" t="s">
        <v>1005</v>
      </c>
      <c r="D1169" s="366"/>
      <c r="E1169" s="366"/>
      <c r="F1169" s="366"/>
      <c r="G1169" s="366"/>
      <c r="H1169" s="366"/>
      <c r="I1169" s="366"/>
      <c r="J1169" s="366"/>
      <c r="K1169" s="366"/>
      <c r="L1169" s="366"/>
      <c r="M1169" s="366"/>
      <c r="N1169" s="366"/>
      <c r="O1169" s="366"/>
      <c r="P1169" s="366"/>
      <c r="Q1169" s="366"/>
      <c r="R1169" s="366"/>
      <c r="S1169" s="366"/>
      <c r="T1169" s="366"/>
      <c r="U1169" s="366"/>
      <c r="V1169" s="366"/>
      <c r="W1169" s="366"/>
      <c r="X1169" s="366"/>
      <c r="Y1169" s="366"/>
      <c r="Z1169" s="366"/>
      <c r="AA1169" s="366"/>
      <c r="AB1169" s="22">
        <f t="shared" si="384"/>
        <v>0</v>
      </c>
      <c r="AC1169" s="23">
        <v>1</v>
      </c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22">
        <f t="shared" si="385"/>
        <v>0</v>
      </c>
      <c r="BC1169" s="23">
        <v>0</v>
      </c>
      <c r="BD1169" s="130">
        <f t="shared" si="386"/>
        <v>0</v>
      </c>
      <c r="BE1169" s="130">
        <f t="shared" si="387"/>
        <v>1</v>
      </c>
      <c r="BF1169" s="195">
        <f t="shared" si="388"/>
        <v>0</v>
      </c>
      <c r="BG1169" s="373">
        <f t="shared" si="392"/>
        <v>1</v>
      </c>
    </row>
    <row r="1170" spans="1:59" s="21" customFormat="1" ht="15.95" customHeight="1">
      <c r="A1170" s="176">
        <v>79</v>
      </c>
      <c r="B1170" s="31" t="s">
        <v>1099</v>
      </c>
      <c r="C1170" s="32" t="s">
        <v>1100</v>
      </c>
      <c r="D1170" s="366"/>
      <c r="E1170" s="366"/>
      <c r="F1170" s="366"/>
      <c r="G1170" s="366"/>
      <c r="H1170" s="366"/>
      <c r="I1170" s="366"/>
      <c r="J1170" s="366"/>
      <c r="K1170" s="366"/>
      <c r="L1170" s="366"/>
      <c r="M1170" s="366"/>
      <c r="N1170" s="366"/>
      <c r="O1170" s="366"/>
      <c r="P1170" s="366"/>
      <c r="Q1170" s="366"/>
      <c r="R1170" s="366"/>
      <c r="S1170" s="366"/>
      <c r="T1170" s="366"/>
      <c r="U1170" s="366"/>
      <c r="V1170" s="366"/>
      <c r="W1170" s="366"/>
      <c r="X1170" s="366"/>
      <c r="Y1170" s="366"/>
      <c r="Z1170" s="366"/>
      <c r="AA1170" s="366"/>
      <c r="AB1170" s="22">
        <f t="shared" si="384"/>
        <v>0</v>
      </c>
      <c r="AC1170" s="23">
        <v>0</v>
      </c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/>
      <c r="AV1170" s="33"/>
      <c r="AW1170" s="33"/>
      <c r="AX1170" s="33"/>
      <c r="AY1170" s="33"/>
      <c r="AZ1170" s="33"/>
      <c r="BA1170" s="33"/>
      <c r="BB1170" s="22">
        <f t="shared" si="385"/>
        <v>0</v>
      </c>
      <c r="BC1170" s="23">
        <v>1</v>
      </c>
      <c r="BD1170" s="130">
        <f t="shared" si="386"/>
        <v>0</v>
      </c>
      <c r="BE1170" s="130">
        <f t="shared" si="387"/>
        <v>1</v>
      </c>
      <c r="BF1170" s="195">
        <f t="shared" si="388"/>
        <v>0</v>
      </c>
      <c r="BG1170" s="373">
        <f t="shared" si="392"/>
        <v>1</v>
      </c>
    </row>
    <row r="1171" spans="1:59" s="21" customFormat="1" ht="15.95" customHeight="1">
      <c r="A1171" s="176">
        <v>80</v>
      </c>
      <c r="B1171" s="31" t="s">
        <v>821</v>
      </c>
      <c r="C1171" s="32" t="s">
        <v>822</v>
      </c>
      <c r="D1171" s="381"/>
      <c r="E1171" s="381"/>
      <c r="F1171" s="381"/>
      <c r="G1171" s="381"/>
      <c r="H1171" s="381"/>
      <c r="I1171" s="381"/>
      <c r="J1171" s="381"/>
      <c r="K1171" s="381"/>
      <c r="L1171" s="381"/>
      <c r="M1171" s="381"/>
      <c r="N1171" s="381"/>
      <c r="O1171" s="381"/>
      <c r="P1171" s="381"/>
      <c r="Q1171" s="381"/>
      <c r="R1171" s="381"/>
      <c r="S1171" s="381"/>
      <c r="T1171" s="381"/>
      <c r="U1171" s="381"/>
      <c r="V1171" s="381"/>
      <c r="W1171" s="381"/>
      <c r="X1171" s="381"/>
      <c r="Y1171" s="381"/>
      <c r="Z1171" s="381"/>
      <c r="AA1171" s="381"/>
      <c r="AB1171" s="22">
        <f t="shared" si="384"/>
        <v>0</v>
      </c>
      <c r="AC1171" s="23">
        <v>0</v>
      </c>
      <c r="AD1171" s="35">
        <v>2</v>
      </c>
      <c r="AE1171" s="35"/>
      <c r="AF1171" s="35"/>
      <c r="AG1171" s="35"/>
      <c r="AH1171" s="35">
        <v>2</v>
      </c>
      <c r="AI1171" s="35"/>
      <c r="AJ1171" s="35"/>
      <c r="AK1171" s="35"/>
      <c r="AL1171" s="35">
        <f>15+1</f>
        <v>16</v>
      </c>
      <c r="AM1171" s="35"/>
      <c r="AN1171" s="35"/>
      <c r="AO1171" s="35"/>
      <c r="AP1171" s="35">
        <v>14</v>
      </c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22">
        <f t="shared" si="385"/>
        <v>34</v>
      </c>
      <c r="BC1171" s="23">
        <v>86</v>
      </c>
      <c r="BD1171" s="130">
        <f t="shared" si="386"/>
        <v>34</v>
      </c>
      <c r="BE1171" s="130">
        <f t="shared" si="387"/>
        <v>86</v>
      </c>
      <c r="BF1171" s="195">
        <f t="shared" si="388"/>
        <v>39.534883720930232</v>
      </c>
      <c r="BG1171" s="373">
        <f t="shared" si="392"/>
        <v>52</v>
      </c>
    </row>
    <row r="1172" spans="1:59" s="21" customFormat="1" ht="15.95" customHeight="1">
      <c r="A1172" s="176">
        <v>81</v>
      </c>
      <c r="B1172" s="31" t="s">
        <v>1010</v>
      </c>
      <c r="C1172" s="32" t="s">
        <v>1011</v>
      </c>
      <c r="D1172" s="366"/>
      <c r="E1172" s="366"/>
      <c r="F1172" s="366"/>
      <c r="G1172" s="366"/>
      <c r="H1172" s="366"/>
      <c r="I1172" s="366"/>
      <c r="J1172" s="366"/>
      <c r="K1172" s="366"/>
      <c r="L1172" s="366"/>
      <c r="M1172" s="366"/>
      <c r="N1172" s="366"/>
      <c r="O1172" s="366"/>
      <c r="P1172" s="366"/>
      <c r="Q1172" s="366"/>
      <c r="R1172" s="366"/>
      <c r="S1172" s="366"/>
      <c r="T1172" s="366"/>
      <c r="U1172" s="366"/>
      <c r="V1172" s="366"/>
      <c r="W1172" s="366"/>
      <c r="X1172" s="366"/>
      <c r="Y1172" s="366"/>
      <c r="Z1172" s="366"/>
      <c r="AA1172" s="366"/>
      <c r="AB1172" s="22">
        <f t="shared" si="384"/>
        <v>0</v>
      </c>
      <c r="AC1172" s="23">
        <v>0</v>
      </c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22">
        <f t="shared" si="385"/>
        <v>0</v>
      </c>
      <c r="BC1172" s="23">
        <v>2</v>
      </c>
      <c r="BD1172" s="130">
        <f t="shared" si="386"/>
        <v>0</v>
      </c>
      <c r="BE1172" s="130">
        <f t="shared" si="387"/>
        <v>2</v>
      </c>
      <c r="BF1172" s="195">
        <f t="shared" si="388"/>
        <v>0</v>
      </c>
      <c r="BG1172" s="373">
        <f t="shared" si="392"/>
        <v>2</v>
      </c>
    </row>
    <row r="1173" spans="1:59" s="21" customFormat="1" ht="15.95" customHeight="1">
      <c r="A1173" s="176">
        <v>82</v>
      </c>
      <c r="B1173" s="31" t="s">
        <v>1669</v>
      </c>
      <c r="C1173" s="32" t="s">
        <v>2101</v>
      </c>
      <c r="D1173" s="336"/>
      <c r="E1173" s="336"/>
      <c r="F1173" s="336"/>
      <c r="G1173" s="336"/>
      <c r="H1173" s="336"/>
      <c r="I1173" s="336"/>
      <c r="J1173" s="336"/>
      <c r="K1173" s="336"/>
      <c r="L1173" s="336"/>
      <c r="M1173" s="336"/>
      <c r="N1173" s="336"/>
      <c r="O1173" s="336"/>
      <c r="P1173" s="336"/>
      <c r="Q1173" s="336"/>
      <c r="R1173" s="336"/>
      <c r="S1173" s="336"/>
      <c r="T1173" s="336"/>
      <c r="U1173" s="336"/>
      <c r="V1173" s="336"/>
      <c r="W1173" s="336"/>
      <c r="X1173" s="336"/>
      <c r="Y1173" s="336"/>
      <c r="Z1173" s="336"/>
      <c r="AA1173" s="336"/>
      <c r="AB1173" s="22">
        <f t="shared" si="384"/>
        <v>0</v>
      </c>
      <c r="AC1173" s="23">
        <v>0</v>
      </c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22">
        <f t="shared" si="385"/>
        <v>0</v>
      </c>
      <c r="BC1173" s="23">
        <v>1</v>
      </c>
      <c r="BD1173" s="130">
        <f t="shared" si="386"/>
        <v>0</v>
      </c>
      <c r="BE1173" s="130">
        <f t="shared" si="387"/>
        <v>1</v>
      </c>
      <c r="BF1173" s="195">
        <f t="shared" si="388"/>
        <v>0</v>
      </c>
      <c r="BG1173" s="373">
        <f t="shared" si="392"/>
        <v>1</v>
      </c>
    </row>
    <row r="1174" spans="1:59" s="21" customFormat="1" ht="15.95" customHeight="1">
      <c r="A1174" s="176">
        <v>83</v>
      </c>
      <c r="B1174" s="31" t="s">
        <v>823</v>
      </c>
      <c r="C1174" s="34" t="s">
        <v>824</v>
      </c>
      <c r="D1174" s="231"/>
      <c r="E1174" s="231"/>
      <c r="F1174" s="231"/>
      <c r="G1174" s="231"/>
      <c r="H1174" s="231"/>
      <c r="I1174" s="231"/>
      <c r="J1174" s="231"/>
      <c r="K1174" s="231"/>
      <c r="L1174" s="231"/>
      <c r="M1174" s="231"/>
      <c r="N1174" s="231"/>
      <c r="O1174" s="231"/>
      <c r="P1174" s="231"/>
      <c r="Q1174" s="231"/>
      <c r="R1174" s="231"/>
      <c r="S1174" s="231"/>
      <c r="T1174" s="231"/>
      <c r="U1174" s="231"/>
      <c r="V1174" s="231"/>
      <c r="W1174" s="231"/>
      <c r="X1174" s="231"/>
      <c r="Y1174" s="231"/>
      <c r="Z1174" s="231"/>
      <c r="AA1174" s="231"/>
      <c r="AB1174" s="22">
        <f t="shared" si="384"/>
        <v>0</v>
      </c>
      <c r="AC1174" s="23">
        <v>0</v>
      </c>
      <c r="AD1174" s="35"/>
      <c r="AE1174" s="35"/>
      <c r="AF1174" s="35"/>
      <c r="AG1174" s="35"/>
      <c r="AH1174" s="35">
        <v>2</v>
      </c>
      <c r="AI1174" s="35"/>
      <c r="AJ1174" s="35"/>
      <c r="AK1174" s="35"/>
      <c r="AL1174" s="35">
        <v>99</v>
      </c>
      <c r="AM1174" s="35"/>
      <c r="AN1174" s="35"/>
      <c r="AO1174" s="35"/>
      <c r="AP1174" s="35">
        <v>219</v>
      </c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22">
        <f t="shared" si="385"/>
        <v>320</v>
      </c>
      <c r="BC1174" s="23">
        <v>1300</v>
      </c>
      <c r="BD1174" s="130">
        <f t="shared" si="386"/>
        <v>320</v>
      </c>
      <c r="BE1174" s="130">
        <f t="shared" si="387"/>
        <v>1300</v>
      </c>
      <c r="BF1174" s="195">
        <f t="shared" si="388"/>
        <v>24.615384615384617</v>
      </c>
      <c r="BG1174" s="373">
        <f t="shared" si="392"/>
        <v>980</v>
      </c>
    </row>
    <row r="1175" spans="1:59" s="21" customFormat="1" ht="15.95" customHeight="1">
      <c r="A1175" s="176">
        <v>84</v>
      </c>
      <c r="B1175" s="31" t="s">
        <v>825</v>
      </c>
      <c r="C1175" s="32" t="s">
        <v>826</v>
      </c>
      <c r="D1175" s="231"/>
      <c r="E1175" s="231"/>
      <c r="F1175" s="231"/>
      <c r="G1175" s="231"/>
      <c r="H1175" s="231"/>
      <c r="I1175" s="231"/>
      <c r="J1175" s="231"/>
      <c r="K1175" s="231"/>
      <c r="L1175" s="231"/>
      <c r="M1175" s="231"/>
      <c r="N1175" s="231"/>
      <c r="O1175" s="231"/>
      <c r="P1175" s="231"/>
      <c r="Q1175" s="231"/>
      <c r="R1175" s="231"/>
      <c r="S1175" s="231"/>
      <c r="T1175" s="231"/>
      <c r="U1175" s="231"/>
      <c r="V1175" s="231"/>
      <c r="W1175" s="231"/>
      <c r="X1175" s="231"/>
      <c r="Y1175" s="231"/>
      <c r="Z1175" s="231"/>
      <c r="AA1175" s="231"/>
      <c r="AB1175" s="22">
        <f t="shared" si="384"/>
        <v>0</v>
      </c>
      <c r="AC1175" s="23">
        <v>0</v>
      </c>
      <c r="AD1175" s="35"/>
      <c r="AE1175" s="35"/>
      <c r="AF1175" s="35"/>
      <c r="AG1175" s="35"/>
      <c r="AH1175" s="35">
        <f>58+6</f>
        <v>64</v>
      </c>
      <c r="AI1175" s="35"/>
      <c r="AJ1175" s="35"/>
      <c r="AK1175" s="35"/>
      <c r="AL1175" s="35">
        <f>1+419+22+319</f>
        <v>761</v>
      </c>
      <c r="AM1175" s="35"/>
      <c r="AN1175" s="35"/>
      <c r="AO1175" s="35"/>
      <c r="AP1175" s="35">
        <f>645+27</f>
        <v>672</v>
      </c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22">
        <f t="shared" si="385"/>
        <v>1497</v>
      </c>
      <c r="BC1175" s="23">
        <v>1820</v>
      </c>
      <c r="BD1175" s="130">
        <f t="shared" si="386"/>
        <v>1497</v>
      </c>
      <c r="BE1175" s="130">
        <f t="shared" si="387"/>
        <v>1820</v>
      </c>
      <c r="BF1175" s="195">
        <f t="shared" si="388"/>
        <v>82.252747252747255</v>
      </c>
      <c r="BG1175" s="373">
        <f t="shared" si="392"/>
        <v>323</v>
      </c>
    </row>
    <row r="1176" spans="1:59" s="21" customFormat="1" ht="23.25" customHeight="1">
      <c r="A1176" s="176">
        <v>85</v>
      </c>
      <c r="B1176" s="31" t="s">
        <v>827</v>
      </c>
      <c r="C1176" s="32" t="s">
        <v>828</v>
      </c>
      <c r="D1176" s="231"/>
      <c r="E1176" s="231"/>
      <c r="F1176" s="231"/>
      <c r="G1176" s="231"/>
      <c r="H1176" s="231"/>
      <c r="I1176" s="231"/>
      <c r="J1176" s="231"/>
      <c r="K1176" s="231"/>
      <c r="L1176" s="231"/>
      <c r="M1176" s="231"/>
      <c r="N1176" s="231"/>
      <c r="O1176" s="231"/>
      <c r="P1176" s="231"/>
      <c r="Q1176" s="231"/>
      <c r="R1176" s="231"/>
      <c r="S1176" s="231"/>
      <c r="T1176" s="231"/>
      <c r="U1176" s="231"/>
      <c r="V1176" s="231"/>
      <c r="W1176" s="231"/>
      <c r="X1176" s="231"/>
      <c r="Y1176" s="231"/>
      <c r="Z1176" s="231"/>
      <c r="AA1176" s="231"/>
      <c r="AB1176" s="22">
        <f t="shared" si="384"/>
        <v>0</v>
      </c>
      <c r="AC1176" s="23">
        <v>0</v>
      </c>
      <c r="AD1176" s="35">
        <v>2</v>
      </c>
      <c r="AE1176" s="35"/>
      <c r="AF1176" s="35"/>
      <c r="AG1176" s="35"/>
      <c r="AH1176" s="35">
        <v>6</v>
      </c>
      <c r="AI1176" s="35"/>
      <c r="AJ1176" s="35"/>
      <c r="AK1176" s="35"/>
      <c r="AL1176" s="35">
        <f>20+6</f>
        <v>26</v>
      </c>
      <c r="AM1176" s="35"/>
      <c r="AN1176" s="35"/>
      <c r="AO1176" s="35"/>
      <c r="AP1176" s="35">
        <f>40+1</f>
        <v>41</v>
      </c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22">
        <f t="shared" si="385"/>
        <v>75</v>
      </c>
      <c r="BC1176" s="23">
        <v>65</v>
      </c>
      <c r="BD1176" s="130">
        <f t="shared" si="386"/>
        <v>75</v>
      </c>
      <c r="BE1176" s="130">
        <f t="shared" si="387"/>
        <v>65</v>
      </c>
      <c r="BF1176" s="195">
        <f t="shared" si="388"/>
        <v>115.38461538461537</v>
      </c>
      <c r="BG1176" s="373">
        <f t="shared" si="392"/>
        <v>-10</v>
      </c>
    </row>
    <row r="1177" spans="1:59" s="21" customFormat="1" ht="15.95" customHeight="1">
      <c r="A1177" s="176">
        <v>86</v>
      </c>
      <c r="B1177" s="31" t="s">
        <v>829</v>
      </c>
      <c r="C1177" s="32" t="s">
        <v>830</v>
      </c>
      <c r="D1177" s="231"/>
      <c r="E1177" s="231"/>
      <c r="F1177" s="231"/>
      <c r="G1177" s="231"/>
      <c r="H1177" s="231"/>
      <c r="I1177" s="231"/>
      <c r="J1177" s="231"/>
      <c r="K1177" s="231"/>
      <c r="L1177" s="231"/>
      <c r="M1177" s="231"/>
      <c r="N1177" s="231"/>
      <c r="O1177" s="231"/>
      <c r="P1177" s="231"/>
      <c r="Q1177" s="231"/>
      <c r="R1177" s="231"/>
      <c r="S1177" s="231"/>
      <c r="T1177" s="231"/>
      <c r="U1177" s="231"/>
      <c r="V1177" s="231"/>
      <c r="W1177" s="231"/>
      <c r="X1177" s="231"/>
      <c r="Y1177" s="231"/>
      <c r="Z1177" s="231"/>
      <c r="AA1177" s="231"/>
      <c r="AB1177" s="22">
        <f t="shared" si="384"/>
        <v>0</v>
      </c>
      <c r="AC1177" s="23">
        <v>0</v>
      </c>
      <c r="AD1177" s="35">
        <v>2</v>
      </c>
      <c r="AE1177" s="35"/>
      <c r="AF1177" s="35"/>
      <c r="AG1177" s="35"/>
      <c r="AH1177" s="35"/>
      <c r="AI1177" s="35"/>
      <c r="AJ1177" s="35"/>
      <c r="AK1177" s="35"/>
      <c r="AL1177" s="35">
        <f>8+6</f>
        <v>14</v>
      </c>
      <c r="AM1177" s="35"/>
      <c r="AN1177" s="35"/>
      <c r="AO1177" s="35"/>
      <c r="AP1177" s="35">
        <v>3</v>
      </c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22">
        <f t="shared" si="385"/>
        <v>19</v>
      </c>
      <c r="BC1177" s="23">
        <v>18</v>
      </c>
      <c r="BD1177" s="130">
        <f t="shared" si="386"/>
        <v>19</v>
      </c>
      <c r="BE1177" s="130">
        <f t="shared" si="387"/>
        <v>18</v>
      </c>
      <c r="BF1177" s="195">
        <f t="shared" si="388"/>
        <v>105.55555555555556</v>
      </c>
      <c r="BG1177" s="373">
        <f t="shared" si="392"/>
        <v>-1</v>
      </c>
    </row>
    <row r="1178" spans="1:59" s="21" customFormat="1" ht="15.95" customHeight="1">
      <c r="A1178" s="176">
        <v>87</v>
      </c>
      <c r="B1178" s="31" t="s">
        <v>831</v>
      </c>
      <c r="C1178" s="32" t="s">
        <v>832</v>
      </c>
      <c r="D1178" s="231"/>
      <c r="E1178" s="231"/>
      <c r="F1178" s="231"/>
      <c r="G1178" s="231"/>
      <c r="H1178" s="231"/>
      <c r="I1178" s="231"/>
      <c r="J1178" s="231"/>
      <c r="K1178" s="231"/>
      <c r="L1178" s="231"/>
      <c r="M1178" s="231"/>
      <c r="N1178" s="231"/>
      <c r="O1178" s="231"/>
      <c r="P1178" s="231"/>
      <c r="Q1178" s="231"/>
      <c r="R1178" s="231"/>
      <c r="S1178" s="231"/>
      <c r="T1178" s="231"/>
      <c r="U1178" s="231"/>
      <c r="V1178" s="231"/>
      <c r="W1178" s="231"/>
      <c r="X1178" s="231"/>
      <c r="Y1178" s="231"/>
      <c r="Z1178" s="231"/>
      <c r="AA1178" s="231"/>
      <c r="AB1178" s="22">
        <f t="shared" si="384"/>
        <v>0</v>
      </c>
      <c r="AC1178" s="23">
        <v>0</v>
      </c>
      <c r="AD1178" s="33"/>
      <c r="AE1178" s="33"/>
      <c r="AF1178" s="33"/>
      <c r="AG1178" s="33"/>
      <c r="AH1178" s="33">
        <v>2</v>
      </c>
      <c r="AI1178" s="33"/>
      <c r="AJ1178" s="33"/>
      <c r="AK1178" s="33"/>
      <c r="AL1178" s="33">
        <f>1+7</f>
        <v>8</v>
      </c>
      <c r="AM1178" s="33"/>
      <c r="AN1178" s="33"/>
      <c r="AO1178" s="33"/>
      <c r="AP1178" s="33">
        <v>11</v>
      </c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22">
        <f t="shared" si="385"/>
        <v>21</v>
      </c>
      <c r="BC1178" s="23">
        <v>6</v>
      </c>
      <c r="BD1178" s="130">
        <f t="shared" si="386"/>
        <v>21</v>
      </c>
      <c r="BE1178" s="130">
        <f t="shared" si="387"/>
        <v>6</v>
      </c>
      <c r="BF1178" s="195">
        <f t="shared" si="388"/>
        <v>350</v>
      </c>
      <c r="BG1178" s="373">
        <f t="shared" si="392"/>
        <v>-15</v>
      </c>
    </row>
    <row r="1179" spans="1:59" s="21" customFormat="1" ht="15.95" customHeight="1">
      <c r="A1179" s="176">
        <v>88</v>
      </c>
      <c r="B1179" s="31" t="s">
        <v>833</v>
      </c>
      <c r="C1179" s="32" t="s">
        <v>834</v>
      </c>
      <c r="D1179" s="231"/>
      <c r="E1179" s="231"/>
      <c r="F1179" s="231"/>
      <c r="G1179" s="231"/>
      <c r="H1179" s="231"/>
      <c r="I1179" s="231"/>
      <c r="J1179" s="231"/>
      <c r="K1179" s="231"/>
      <c r="L1179" s="231">
        <v>1</v>
      </c>
      <c r="M1179" s="231"/>
      <c r="N1179" s="231"/>
      <c r="O1179" s="231"/>
      <c r="P1179" s="231"/>
      <c r="Q1179" s="231"/>
      <c r="R1179" s="231"/>
      <c r="S1179" s="231"/>
      <c r="T1179" s="231"/>
      <c r="U1179" s="231"/>
      <c r="V1179" s="231"/>
      <c r="W1179" s="231"/>
      <c r="X1179" s="231"/>
      <c r="Y1179" s="231"/>
      <c r="Z1179" s="231"/>
      <c r="AA1179" s="231"/>
      <c r="AB1179" s="22">
        <f t="shared" si="384"/>
        <v>1</v>
      </c>
      <c r="AC1179" s="23">
        <v>3</v>
      </c>
      <c r="AD1179" s="33"/>
      <c r="AE1179" s="33"/>
      <c r="AF1179" s="33"/>
      <c r="AG1179" s="33"/>
      <c r="AH1179" s="33">
        <v>1</v>
      </c>
      <c r="AI1179" s="33"/>
      <c r="AJ1179" s="33"/>
      <c r="AK1179" s="33"/>
      <c r="AL1179" s="33">
        <f>12+3</f>
        <v>15</v>
      </c>
      <c r="AM1179" s="33"/>
      <c r="AN1179" s="33"/>
      <c r="AO1179" s="33"/>
      <c r="AP1179" s="33">
        <f>21+5</f>
        <v>26</v>
      </c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22">
        <f t="shared" si="385"/>
        <v>42</v>
      </c>
      <c r="BC1179" s="23">
        <v>98</v>
      </c>
      <c r="BD1179" s="130">
        <f t="shared" si="386"/>
        <v>43</v>
      </c>
      <c r="BE1179" s="130">
        <f t="shared" si="387"/>
        <v>101</v>
      </c>
      <c r="BF1179" s="195">
        <f t="shared" si="388"/>
        <v>42.574257425742573</v>
      </c>
      <c r="BG1179" s="373">
        <f t="shared" si="392"/>
        <v>58</v>
      </c>
    </row>
    <row r="1180" spans="1:59" s="21" customFormat="1" ht="15.95" customHeight="1">
      <c r="A1180" s="176">
        <v>89</v>
      </c>
      <c r="B1180" s="31" t="s">
        <v>835</v>
      </c>
      <c r="C1180" s="32" t="s">
        <v>836</v>
      </c>
      <c r="D1180" s="231"/>
      <c r="E1180" s="231"/>
      <c r="F1180" s="231"/>
      <c r="G1180" s="231"/>
      <c r="H1180" s="231"/>
      <c r="I1180" s="231"/>
      <c r="J1180" s="231"/>
      <c r="K1180" s="231"/>
      <c r="L1180" s="231"/>
      <c r="M1180" s="231"/>
      <c r="N1180" s="231"/>
      <c r="O1180" s="231"/>
      <c r="P1180" s="231"/>
      <c r="Q1180" s="231"/>
      <c r="R1180" s="231"/>
      <c r="S1180" s="231"/>
      <c r="T1180" s="231"/>
      <c r="U1180" s="231"/>
      <c r="V1180" s="231"/>
      <c r="W1180" s="231"/>
      <c r="X1180" s="231"/>
      <c r="Y1180" s="231"/>
      <c r="Z1180" s="231"/>
      <c r="AA1180" s="231"/>
      <c r="AB1180" s="22">
        <f t="shared" si="384"/>
        <v>0</v>
      </c>
      <c r="AC1180" s="23">
        <v>0</v>
      </c>
      <c r="AD1180" s="35"/>
      <c r="AE1180" s="35"/>
      <c r="AF1180" s="35"/>
      <c r="AG1180" s="35"/>
      <c r="AH1180" s="35"/>
      <c r="AI1180" s="35"/>
      <c r="AJ1180" s="35"/>
      <c r="AK1180" s="35"/>
      <c r="AL1180" s="35">
        <v>1</v>
      </c>
      <c r="AM1180" s="35"/>
      <c r="AN1180" s="35"/>
      <c r="AO1180" s="35"/>
      <c r="AP1180" s="35">
        <v>5</v>
      </c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22">
        <f t="shared" si="385"/>
        <v>6</v>
      </c>
      <c r="BC1180" s="23">
        <v>13</v>
      </c>
      <c r="BD1180" s="130">
        <f t="shared" si="386"/>
        <v>6</v>
      </c>
      <c r="BE1180" s="130">
        <f t="shared" si="387"/>
        <v>13</v>
      </c>
      <c r="BF1180" s="195">
        <f t="shared" si="388"/>
        <v>46.153846153846153</v>
      </c>
      <c r="BG1180" s="373">
        <f t="shared" si="392"/>
        <v>7</v>
      </c>
    </row>
    <row r="1181" spans="1:59" s="21" customFormat="1" ht="15.95" customHeight="1">
      <c r="A1181" s="176">
        <v>90</v>
      </c>
      <c r="B1181" s="31" t="s">
        <v>1379</v>
      </c>
      <c r="C1181" s="32" t="s">
        <v>1996</v>
      </c>
      <c r="D1181" s="231"/>
      <c r="E1181" s="231"/>
      <c r="F1181" s="231"/>
      <c r="G1181" s="231"/>
      <c r="H1181" s="231"/>
      <c r="I1181" s="231"/>
      <c r="J1181" s="231"/>
      <c r="K1181" s="231"/>
      <c r="L1181" s="231"/>
      <c r="M1181" s="231"/>
      <c r="N1181" s="231"/>
      <c r="O1181" s="231"/>
      <c r="P1181" s="231"/>
      <c r="Q1181" s="231"/>
      <c r="R1181" s="231"/>
      <c r="S1181" s="231"/>
      <c r="T1181" s="231"/>
      <c r="U1181" s="231"/>
      <c r="V1181" s="231"/>
      <c r="W1181" s="231"/>
      <c r="X1181" s="231"/>
      <c r="Y1181" s="231"/>
      <c r="Z1181" s="231"/>
      <c r="AA1181" s="231"/>
      <c r="AB1181" s="22">
        <f t="shared" si="384"/>
        <v>0</v>
      </c>
      <c r="AC1181" s="23">
        <v>0</v>
      </c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22">
        <f t="shared" si="385"/>
        <v>0</v>
      </c>
      <c r="BC1181" s="23">
        <v>7</v>
      </c>
      <c r="BD1181" s="130">
        <f t="shared" si="386"/>
        <v>0</v>
      </c>
      <c r="BE1181" s="130">
        <f t="shared" si="387"/>
        <v>7</v>
      </c>
      <c r="BF1181" s="195">
        <f t="shared" si="388"/>
        <v>0</v>
      </c>
      <c r="BG1181" s="373">
        <f t="shared" si="392"/>
        <v>7</v>
      </c>
    </row>
    <row r="1182" spans="1:59" s="21" customFormat="1" ht="15.95" customHeight="1">
      <c r="A1182" s="176">
        <v>91</v>
      </c>
      <c r="B1182" s="31" t="s">
        <v>1013</v>
      </c>
      <c r="C1182" s="32" t="s">
        <v>1014</v>
      </c>
      <c r="D1182" s="231"/>
      <c r="E1182" s="231"/>
      <c r="F1182" s="231"/>
      <c r="G1182" s="231"/>
      <c r="H1182" s="231"/>
      <c r="I1182" s="231"/>
      <c r="J1182" s="231"/>
      <c r="K1182" s="231"/>
      <c r="L1182" s="231"/>
      <c r="M1182" s="231"/>
      <c r="N1182" s="231"/>
      <c r="O1182" s="231"/>
      <c r="P1182" s="231"/>
      <c r="Q1182" s="231"/>
      <c r="R1182" s="231"/>
      <c r="S1182" s="231"/>
      <c r="T1182" s="231"/>
      <c r="U1182" s="231"/>
      <c r="V1182" s="231"/>
      <c r="W1182" s="231"/>
      <c r="X1182" s="231"/>
      <c r="Y1182" s="231"/>
      <c r="Z1182" s="231"/>
      <c r="AA1182" s="231"/>
      <c r="AB1182" s="22">
        <f t="shared" si="384"/>
        <v>0</v>
      </c>
      <c r="AC1182" s="23">
        <v>0</v>
      </c>
      <c r="AD1182" s="35"/>
      <c r="AE1182" s="35"/>
      <c r="AF1182" s="35"/>
      <c r="AG1182" s="35"/>
      <c r="AH1182" s="35"/>
      <c r="AI1182" s="35"/>
      <c r="AJ1182" s="35"/>
      <c r="AK1182" s="35"/>
      <c r="AL1182" s="35">
        <v>1</v>
      </c>
      <c r="AM1182" s="35"/>
      <c r="AN1182" s="35"/>
      <c r="AO1182" s="35"/>
      <c r="AP1182" s="35">
        <v>10</v>
      </c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22">
        <f t="shared" si="385"/>
        <v>11</v>
      </c>
      <c r="BC1182" s="23">
        <v>3</v>
      </c>
      <c r="BD1182" s="130">
        <f t="shared" si="386"/>
        <v>11</v>
      </c>
      <c r="BE1182" s="130">
        <f t="shared" si="387"/>
        <v>3</v>
      </c>
      <c r="BF1182" s="195">
        <f t="shared" si="388"/>
        <v>366.66666666666663</v>
      </c>
      <c r="BG1182" s="373">
        <f t="shared" si="392"/>
        <v>-8</v>
      </c>
    </row>
    <row r="1183" spans="1:59" s="21" customFormat="1" ht="15.95" customHeight="1">
      <c r="A1183" s="176">
        <v>92</v>
      </c>
      <c r="B1183" s="31" t="s">
        <v>837</v>
      </c>
      <c r="C1183" s="32" t="s">
        <v>838</v>
      </c>
      <c r="D1183" s="323"/>
      <c r="E1183" s="323"/>
      <c r="F1183" s="323"/>
      <c r="G1183" s="323"/>
      <c r="H1183" s="323"/>
      <c r="I1183" s="323"/>
      <c r="J1183" s="323"/>
      <c r="K1183" s="323"/>
      <c r="L1183" s="323"/>
      <c r="M1183" s="323"/>
      <c r="N1183" s="323"/>
      <c r="O1183" s="323"/>
      <c r="P1183" s="323"/>
      <c r="Q1183" s="323"/>
      <c r="R1183" s="323"/>
      <c r="S1183" s="323"/>
      <c r="T1183" s="323"/>
      <c r="U1183" s="323"/>
      <c r="V1183" s="323"/>
      <c r="W1183" s="323"/>
      <c r="X1183" s="323"/>
      <c r="Y1183" s="323"/>
      <c r="Z1183" s="323"/>
      <c r="AA1183" s="323"/>
      <c r="AB1183" s="22">
        <f t="shared" si="384"/>
        <v>0</v>
      </c>
      <c r="AC1183" s="23">
        <v>0</v>
      </c>
      <c r="AD1183" s="35"/>
      <c r="AE1183" s="35"/>
      <c r="AF1183" s="35"/>
      <c r="AG1183" s="35"/>
      <c r="AH1183" s="35">
        <v>2</v>
      </c>
      <c r="AI1183" s="35"/>
      <c r="AJ1183" s="35"/>
      <c r="AK1183" s="35"/>
      <c r="AL1183" s="35">
        <f>9+11</f>
        <v>20</v>
      </c>
      <c r="AM1183" s="35"/>
      <c r="AN1183" s="35"/>
      <c r="AO1183" s="35"/>
      <c r="AP1183" s="35">
        <v>47</v>
      </c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22">
        <f t="shared" si="385"/>
        <v>69</v>
      </c>
      <c r="BC1183" s="23">
        <v>79</v>
      </c>
      <c r="BD1183" s="130">
        <f t="shared" si="386"/>
        <v>69</v>
      </c>
      <c r="BE1183" s="130">
        <f t="shared" si="387"/>
        <v>79</v>
      </c>
      <c r="BF1183" s="195">
        <f t="shared" si="388"/>
        <v>87.341772151898738</v>
      </c>
      <c r="BG1183" s="373">
        <f t="shared" si="392"/>
        <v>10</v>
      </c>
    </row>
    <row r="1184" spans="1:59" s="21" customFormat="1" ht="15.95" customHeight="1">
      <c r="A1184" s="176">
        <v>93</v>
      </c>
      <c r="B1184" s="31" t="s">
        <v>1380</v>
      </c>
      <c r="C1184" s="32" t="s">
        <v>2508</v>
      </c>
      <c r="D1184" s="231"/>
      <c r="E1184" s="231"/>
      <c r="F1184" s="231"/>
      <c r="G1184" s="231"/>
      <c r="H1184" s="231"/>
      <c r="I1184" s="231"/>
      <c r="J1184" s="231"/>
      <c r="K1184" s="231"/>
      <c r="L1184" s="231"/>
      <c r="M1184" s="231"/>
      <c r="N1184" s="231"/>
      <c r="O1184" s="231"/>
      <c r="P1184" s="231"/>
      <c r="Q1184" s="231"/>
      <c r="R1184" s="231"/>
      <c r="S1184" s="231"/>
      <c r="T1184" s="231"/>
      <c r="U1184" s="231"/>
      <c r="V1184" s="231"/>
      <c r="W1184" s="231"/>
      <c r="X1184" s="231"/>
      <c r="Y1184" s="231"/>
      <c r="Z1184" s="231"/>
      <c r="AA1184" s="231"/>
      <c r="AB1184" s="22">
        <f t="shared" si="384"/>
        <v>0</v>
      </c>
      <c r="AC1184" s="23">
        <v>0</v>
      </c>
      <c r="AD1184" s="35"/>
      <c r="AE1184" s="35"/>
      <c r="AF1184" s="35"/>
      <c r="AG1184" s="35"/>
      <c r="AH1184" s="35"/>
      <c r="AI1184" s="35"/>
      <c r="AJ1184" s="35"/>
      <c r="AK1184" s="35"/>
      <c r="AL1184" s="35">
        <v>2</v>
      </c>
      <c r="AM1184" s="35"/>
      <c r="AN1184" s="35"/>
      <c r="AO1184" s="35"/>
      <c r="AP1184" s="35">
        <v>1</v>
      </c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22">
        <f t="shared" si="385"/>
        <v>3</v>
      </c>
      <c r="BC1184" s="23">
        <v>2</v>
      </c>
      <c r="BD1184" s="130">
        <f t="shared" si="386"/>
        <v>3</v>
      </c>
      <c r="BE1184" s="130">
        <f t="shared" si="387"/>
        <v>2</v>
      </c>
      <c r="BF1184" s="195">
        <f t="shared" si="388"/>
        <v>150</v>
      </c>
      <c r="BG1184" s="373">
        <f t="shared" si="392"/>
        <v>-1</v>
      </c>
    </row>
    <row r="1185" spans="1:59" s="21" customFormat="1" ht="15.95" customHeight="1">
      <c r="A1185" s="176">
        <v>94</v>
      </c>
      <c r="B1185" s="31" t="s">
        <v>909</v>
      </c>
      <c r="C1185" s="32" t="s">
        <v>2019</v>
      </c>
      <c r="D1185" s="231"/>
      <c r="E1185" s="231"/>
      <c r="F1185" s="231"/>
      <c r="G1185" s="231"/>
      <c r="H1185" s="231"/>
      <c r="I1185" s="231"/>
      <c r="J1185" s="231"/>
      <c r="K1185" s="231"/>
      <c r="L1185" s="231"/>
      <c r="M1185" s="231"/>
      <c r="N1185" s="231"/>
      <c r="O1185" s="231"/>
      <c r="P1185" s="231"/>
      <c r="Q1185" s="231"/>
      <c r="R1185" s="231"/>
      <c r="S1185" s="231"/>
      <c r="T1185" s="231"/>
      <c r="U1185" s="231"/>
      <c r="V1185" s="231"/>
      <c r="W1185" s="231"/>
      <c r="X1185" s="231"/>
      <c r="Y1185" s="231"/>
      <c r="Z1185" s="231"/>
      <c r="AA1185" s="231"/>
      <c r="AB1185" s="22">
        <f t="shared" si="384"/>
        <v>0</v>
      </c>
      <c r="AC1185" s="23">
        <v>0</v>
      </c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22">
        <f t="shared" si="385"/>
        <v>0</v>
      </c>
      <c r="BC1185" s="23">
        <v>1</v>
      </c>
      <c r="BD1185" s="130">
        <f t="shared" si="386"/>
        <v>0</v>
      </c>
      <c r="BE1185" s="130">
        <f t="shared" si="387"/>
        <v>1</v>
      </c>
      <c r="BF1185" s="195">
        <f t="shared" si="388"/>
        <v>0</v>
      </c>
      <c r="BG1185" s="373">
        <f t="shared" si="392"/>
        <v>1</v>
      </c>
    </row>
    <row r="1186" spans="1:59" s="21" customFormat="1" ht="15.95" customHeight="1">
      <c r="A1186" s="176">
        <v>95</v>
      </c>
      <c r="B1186" s="31" t="s">
        <v>3316</v>
      </c>
      <c r="C1186" s="32" t="s">
        <v>3317</v>
      </c>
      <c r="D1186" s="231"/>
      <c r="E1186" s="231"/>
      <c r="F1186" s="231"/>
      <c r="G1186" s="231"/>
      <c r="H1186" s="231"/>
      <c r="I1186" s="231"/>
      <c r="J1186" s="231"/>
      <c r="K1186" s="231"/>
      <c r="L1186" s="231"/>
      <c r="M1186" s="231"/>
      <c r="N1186" s="231"/>
      <c r="O1186" s="231"/>
      <c r="P1186" s="231"/>
      <c r="Q1186" s="231"/>
      <c r="R1186" s="231"/>
      <c r="S1186" s="231"/>
      <c r="T1186" s="231"/>
      <c r="U1186" s="231"/>
      <c r="V1186" s="231"/>
      <c r="W1186" s="231"/>
      <c r="X1186" s="231"/>
      <c r="Y1186" s="231"/>
      <c r="Z1186" s="231"/>
      <c r="AA1186" s="231"/>
      <c r="AB1186" s="22">
        <f t="shared" si="384"/>
        <v>0</v>
      </c>
      <c r="AC1186" s="23">
        <v>0</v>
      </c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22">
        <f t="shared" si="385"/>
        <v>0</v>
      </c>
      <c r="BC1186" s="23">
        <v>11</v>
      </c>
      <c r="BD1186" s="130">
        <f t="shared" si="386"/>
        <v>0</v>
      </c>
      <c r="BE1186" s="130">
        <f t="shared" si="387"/>
        <v>11</v>
      </c>
      <c r="BF1186" s="195">
        <f t="shared" si="388"/>
        <v>0</v>
      </c>
      <c r="BG1186" s="373">
        <f t="shared" si="392"/>
        <v>11</v>
      </c>
    </row>
    <row r="1187" spans="1:59" s="21" customFormat="1" ht="15.95" customHeight="1">
      <c r="A1187" s="176">
        <v>96</v>
      </c>
      <c r="B1187" s="31" t="s">
        <v>841</v>
      </c>
      <c r="C1187" s="32" t="s">
        <v>842</v>
      </c>
      <c r="D1187" s="231"/>
      <c r="E1187" s="231"/>
      <c r="F1187" s="231"/>
      <c r="G1187" s="231"/>
      <c r="H1187" s="231"/>
      <c r="I1187" s="231"/>
      <c r="J1187" s="231"/>
      <c r="K1187" s="231"/>
      <c r="L1187" s="231"/>
      <c r="M1187" s="231"/>
      <c r="N1187" s="231"/>
      <c r="O1187" s="231"/>
      <c r="P1187" s="231"/>
      <c r="Q1187" s="231"/>
      <c r="R1187" s="231"/>
      <c r="S1187" s="231"/>
      <c r="T1187" s="231"/>
      <c r="U1187" s="231"/>
      <c r="V1187" s="231"/>
      <c r="W1187" s="231"/>
      <c r="X1187" s="231"/>
      <c r="Y1187" s="231"/>
      <c r="Z1187" s="231"/>
      <c r="AA1187" s="231"/>
      <c r="AB1187" s="22">
        <f t="shared" si="384"/>
        <v>0</v>
      </c>
      <c r="AC1187" s="23">
        <v>0</v>
      </c>
      <c r="AD1187" s="35"/>
      <c r="AE1187" s="35"/>
      <c r="AF1187" s="35"/>
      <c r="AG1187" s="35"/>
      <c r="AH1187" s="35">
        <v>7</v>
      </c>
      <c r="AI1187" s="35"/>
      <c r="AJ1187" s="35"/>
      <c r="AK1187" s="35"/>
      <c r="AL1187" s="35">
        <v>39</v>
      </c>
      <c r="AM1187" s="35"/>
      <c r="AN1187" s="35"/>
      <c r="AO1187" s="35"/>
      <c r="AP1187" s="35">
        <v>12</v>
      </c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22">
        <f t="shared" si="385"/>
        <v>58</v>
      </c>
      <c r="BC1187" s="23">
        <v>68</v>
      </c>
      <c r="BD1187" s="130">
        <f t="shared" si="386"/>
        <v>58</v>
      </c>
      <c r="BE1187" s="130">
        <f t="shared" si="387"/>
        <v>68</v>
      </c>
      <c r="BF1187" s="195">
        <f t="shared" si="388"/>
        <v>85.294117647058826</v>
      </c>
      <c r="BG1187" s="373">
        <f t="shared" si="392"/>
        <v>10</v>
      </c>
    </row>
    <row r="1188" spans="1:59" s="21" customFormat="1" ht="15.95" customHeight="1">
      <c r="A1188" s="176">
        <v>97</v>
      </c>
      <c r="B1188" s="31" t="s">
        <v>911</v>
      </c>
      <c r="C1188" s="32" t="s">
        <v>2102</v>
      </c>
      <c r="D1188" s="336"/>
      <c r="E1188" s="336"/>
      <c r="F1188" s="336"/>
      <c r="G1188" s="336"/>
      <c r="H1188" s="336"/>
      <c r="I1188" s="336"/>
      <c r="J1188" s="336"/>
      <c r="K1188" s="336"/>
      <c r="L1188" s="336"/>
      <c r="M1188" s="336"/>
      <c r="N1188" s="336"/>
      <c r="O1188" s="336"/>
      <c r="P1188" s="336"/>
      <c r="Q1188" s="336"/>
      <c r="R1188" s="336"/>
      <c r="S1188" s="336"/>
      <c r="T1188" s="336"/>
      <c r="U1188" s="336"/>
      <c r="V1188" s="336"/>
      <c r="W1188" s="336"/>
      <c r="X1188" s="336"/>
      <c r="Y1188" s="336"/>
      <c r="Z1188" s="336"/>
      <c r="AA1188" s="336"/>
      <c r="AB1188" s="22">
        <f t="shared" si="384"/>
        <v>0</v>
      </c>
      <c r="AC1188" s="23">
        <v>0</v>
      </c>
      <c r="AD1188" s="35"/>
      <c r="AE1188" s="35"/>
      <c r="AF1188" s="35"/>
      <c r="AG1188" s="35"/>
      <c r="AH1188" s="35"/>
      <c r="AI1188" s="35"/>
      <c r="AJ1188" s="35"/>
      <c r="AK1188" s="35"/>
      <c r="AL1188" s="35">
        <v>3</v>
      </c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22">
        <f t="shared" si="385"/>
        <v>3</v>
      </c>
      <c r="BC1188" s="23">
        <v>3</v>
      </c>
      <c r="BD1188" s="130">
        <f t="shared" si="386"/>
        <v>3</v>
      </c>
      <c r="BE1188" s="130">
        <f t="shared" si="387"/>
        <v>3</v>
      </c>
      <c r="BF1188" s="195">
        <f t="shared" si="388"/>
        <v>100</v>
      </c>
      <c r="BG1188" s="373">
        <f t="shared" si="392"/>
        <v>0</v>
      </c>
    </row>
    <row r="1189" spans="1:59" s="21" customFormat="1" ht="15.95" customHeight="1">
      <c r="A1189" s="176">
        <v>98</v>
      </c>
      <c r="B1189" s="31" t="s">
        <v>2918</v>
      </c>
      <c r="C1189" s="32" t="s">
        <v>2919</v>
      </c>
      <c r="D1189" s="365"/>
      <c r="E1189" s="365"/>
      <c r="F1189" s="365"/>
      <c r="G1189" s="365"/>
      <c r="H1189" s="365"/>
      <c r="I1189" s="365"/>
      <c r="J1189" s="365"/>
      <c r="K1189" s="365"/>
      <c r="L1189" s="365"/>
      <c r="M1189" s="365"/>
      <c r="N1189" s="365"/>
      <c r="O1189" s="365"/>
      <c r="P1189" s="365"/>
      <c r="Q1189" s="365"/>
      <c r="R1189" s="365"/>
      <c r="S1189" s="365"/>
      <c r="T1189" s="365"/>
      <c r="U1189" s="365"/>
      <c r="V1189" s="365"/>
      <c r="W1189" s="365"/>
      <c r="X1189" s="365"/>
      <c r="Y1189" s="365"/>
      <c r="Z1189" s="365"/>
      <c r="AA1189" s="365"/>
      <c r="AB1189" s="22">
        <f t="shared" ref="AB1189:AB1220" si="393">SUM(D1189:AA1189)</f>
        <v>0</v>
      </c>
      <c r="AC1189" s="23">
        <v>0</v>
      </c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22">
        <f t="shared" ref="BB1189:BB1220" si="394">SUM(AD1189:BA1189)</f>
        <v>0</v>
      </c>
      <c r="BC1189" s="23">
        <v>15</v>
      </c>
      <c r="BD1189" s="130">
        <f t="shared" ref="BD1189:BD1220" si="395">AB1189+BB1189</f>
        <v>0</v>
      </c>
      <c r="BE1189" s="130">
        <f t="shared" ref="BE1189:BE1220" si="396">AC1189+BC1189</f>
        <v>15</v>
      </c>
      <c r="BF1189" s="195">
        <f t="shared" ref="BF1189:BF1220" si="397">BD1189/BE1189*100</f>
        <v>0</v>
      </c>
      <c r="BG1189" s="373">
        <f t="shared" si="392"/>
        <v>15</v>
      </c>
    </row>
    <row r="1190" spans="1:59" s="21" customFormat="1" ht="15.95" customHeight="1">
      <c r="A1190" s="176">
        <v>99</v>
      </c>
      <c r="B1190" s="31" t="s">
        <v>843</v>
      </c>
      <c r="C1190" s="34" t="s">
        <v>844</v>
      </c>
      <c r="D1190" s="365"/>
      <c r="E1190" s="365"/>
      <c r="F1190" s="365"/>
      <c r="G1190" s="365"/>
      <c r="H1190" s="365"/>
      <c r="I1190" s="365"/>
      <c r="J1190" s="365"/>
      <c r="K1190" s="365"/>
      <c r="L1190" s="365"/>
      <c r="M1190" s="365"/>
      <c r="N1190" s="365"/>
      <c r="O1190" s="365"/>
      <c r="P1190" s="365"/>
      <c r="Q1190" s="365"/>
      <c r="R1190" s="365"/>
      <c r="S1190" s="365"/>
      <c r="T1190" s="365"/>
      <c r="U1190" s="365"/>
      <c r="V1190" s="365"/>
      <c r="W1190" s="365"/>
      <c r="X1190" s="365"/>
      <c r="Y1190" s="365"/>
      <c r="Z1190" s="365"/>
      <c r="AA1190" s="365"/>
      <c r="AB1190" s="22">
        <f t="shared" si="393"/>
        <v>0</v>
      </c>
      <c r="AC1190" s="23">
        <v>0</v>
      </c>
      <c r="AD1190" s="35"/>
      <c r="AE1190" s="35"/>
      <c r="AF1190" s="35"/>
      <c r="AG1190" s="35"/>
      <c r="AH1190" s="35">
        <v>2</v>
      </c>
      <c r="AI1190" s="35"/>
      <c r="AJ1190" s="35"/>
      <c r="AK1190" s="35"/>
      <c r="AL1190" s="35">
        <v>8</v>
      </c>
      <c r="AM1190" s="35"/>
      <c r="AN1190" s="35"/>
      <c r="AO1190" s="35"/>
      <c r="AP1190" s="35">
        <v>16</v>
      </c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22">
        <f t="shared" si="394"/>
        <v>26</v>
      </c>
      <c r="BC1190" s="23">
        <v>38</v>
      </c>
      <c r="BD1190" s="130">
        <f t="shared" si="395"/>
        <v>26</v>
      </c>
      <c r="BE1190" s="130">
        <f t="shared" si="396"/>
        <v>38</v>
      </c>
      <c r="BF1190" s="195">
        <f t="shared" si="397"/>
        <v>68.421052631578945</v>
      </c>
      <c r="BG1190" s="373">
        <f t="shared" si="392"/>
        <v>12</v>
      </c>
    </row>
    <row r="1191" spans="1:59" s="21" customFormat="1" ht="15.95" customHeight="1">
      <c r="A1191" s="176">
        <v>100</v>
      </c>
      <c r="B1191" s="31" t="s">
        <v>912</v>
      </c>
      <c r="C1191" s="34" t="s">
        <v>2820</v>
      </c>
      <c r="D1191" s="365"/>
      <c r="E1191" s="365"/>
      <c r="F1191" s="365"/>
      <c r="G1191" s="365"/>
      <c r="H1191" s="365"/>
      <c r="I1191" s="365"/>
      <c r="J1191" s="365"/>
      <c r="K1191" s="365"/>
      <c r="L1191" s="365"/>
      <c r="M1191" s="365"/>
      <c r="N1191" s="365"/>
      <c r="O1191" s="365"/>
      <c r="P1191" s="365"/>
      <c r="Q1191" s="365"/>
      <c r="R1191" s="365"/>
      <c r="S1191" s="365"/>
      <c r="T1191" s="365"/>
      <c r="U1191" s="365"/>
      <c r="V1191" s="365"/>
      <c r="W1191" s="365"/>
      <c r="X1191" s="365"/>
      <c r="Y1191" s="365"/>
      <c r="Z1191" s="365"/>
      <c r="AA1191" s="365"/>
      <c r="AB1191" s="22">
        <f t="shared" si="393"/>
        <v>0</v>
      </c>
      <c r="AC1191" s="23">
        <v>0</v>
      </c>
      <c r="AD1191" s="35"/>
      <c r="AE1191" s="35"/>
      <c r="AF1191" s="35"/>
      <c r="AG1191" s="35"/>
      <c r="AH1191" s="35"/>
      <c r="AI1191" s="35"/>
      <c r="AJ1191" s="35"/>
      <c r="AK1191" s="35"/>
      <c r="AL1191" s="35">
        <v>3</v>
      </c>
      <c r="AM1191" s="35"/>
      <c r="AN1191" s="35"/>
      <c r="AO1191" s="35"/>
      <c r="AP1191" s="35">
        <v>6</v>
      </c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22">
        <f t="shared" si="394"/>
        <v>9</v>
      </c>
      <c r="BC1191" s="23">
        <v>9</v>
      </c>
      <c r="BD1191" s="130">
        <f t="shared" si="395"/>
        <v>9</v>
      </c>
      <c r="BE1191" s="130">
        <f t="shared" si="396"/>
        <v>9</v>
      </c>
      <c r="BF1191" s="195">
        <f t="shared" si="397"/>
        <v>100</v>
      </c>
      <c r="BG1191" s="373">
        <f t="shared" si="392"/>
        <v>0</v>
      </c>
    </row>
    <row r="1192" spans="1:59" s="21" customFormat="1" ht="15.95" customHeight="1">
      <c r="A1192" s="176">
        <v>101</v>
      </c>
      <c r="B1192" s="31" t="s">
        <v>913</v>
      </c>
      <c r="C1192" s="34" t="s">
        <v>2821</v>
      </c>
      <c r="D1192" s="365"/>
      <c r="E1192" s="365"/>
      <c r="F1192" s="365"/>
      <c r="G1192" s="365"/>
      <c r="H1192" s="365"/>
      <c r="I1192" s="365"/>
      <c r="J1192" s="365"/>
      <c r="K1192" s="365"/>
      <c r="L1192" s="365"/>
      <c r="M1192" s="365"/>
      <c r="N1192" s="365"/>
      <c r="O1192" s="365"/>
      <c r="P1192" s="365"/>
      <c r="Q1192" s="365"/>
      <c r="R1192" s="365"/>
      <c r="S1192" s="365"/>
      <c r="T1192" s="365"/>
      <c r="U1192" s="365"/>
      <c r="V1192" s="365"/>
      <c r="W1192" s="365"/>
      <c r="X1192" s="365"/>
      <c r="Y1192" s="365"/>
      <c r="Z1192" s="365"/>
      <c r="AA1192" s="365"/>
      <c r="AB1192" s="22">
        <f t="shared" si="393"/>
        <v>0</v>
      </c>
      <c r="AC1192" s="23">
        <v>0</v>
      </c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>
        <v>1</v>
      </c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22">
        <f t="shared" si="394"/>
        <v>1</v>
      </c>
      <c r="BC1192" s="23">
        <v>9</v>
      </c>
      <c r="BD1192" s="130">
        <f t="shared" si="395"/>
        <v>1</v>
      </c>
      <c r="BE1192" s="130">
        <f t="shared" si="396"/>
        <v>9</v>
      </c>
      <c r="BF1192" s="195">
        <f t="shared" si="397"/>
        <v>11.111111111111111</v>
      </c>
      <c r="BG1192" s="373">
        <f t="shared" si="392"/>
        <v>8</v>
      </c>
    </row>
    <row r="1193" spans="1:59" s="21" customFormat="1" ht="15.95" customHeight="1">
      <c r="A1193" s="176">
        <v>102</v>
      </c>
      <c r="B1193" s="31" t="s">
        <v>845</v>
      </c>
      <c r="C1193" s="32" t="s">
        <v>846</v>
      </c>
      <c r="D1193" s="365"/>
      <c r="E1193" s="365"/>
      <c r="F1193" s="365"/>
      <c r="G1193" s="365"/>
      <c r="H1193" s="365"/>
      <c r="I1193" s="365"/>
      <c r="J1193" s="365"/>
      <c r="K1193" s="365"/>
      <c r="L1193" s="365"/>
      <c r="M1193" s="365"/>
      <c r="N1193" s="365"/>
      <c r="O1193" s="365"/>
      <c r="P1193" s="365"/>
      <c r="Q1193" s="365"/>
      <c r="R1193" s="365"/>
      <c r="S1193" s="365"/>
      <c r="T1193" s="365"/>
      <c r="U1193" s="365"/>
      <c r="V1193" s="365"/>
      <c r="W1193" s="365"/>
      <c r="X1193" s="365"/>
      <c r="Y1193" s="365"/>
      <c r="Z1193" s="365"/>
      <c r="AA1193" s="365"/>
      <c r="AB1193" s="22">
        <f t="shared" si="393"/>
        <v>0</v>
      </c>
      <c r="AC1193" s="23">
        <v>0</v>
      </c>
      <c r="AD1193" s="35"/>
      <c r="AE1193" s="35"/>
      <c r="AF1193" s="35"/>
      <c r="AG1193" s="35"/>
      <c r="AH1193" s="35">
        <v>1</v>
      </c>
      <c r="AI1193" s="35"/>
      <c r="AJ1193" s="35"/>
      <c r="AK1193" s="35"/>
      <c r="AL1193" s="35">
        <v>1</v>
      </c>
      <c r="AM1193" s="35"/>
      <c r="AN1193" s="35"/>
      <c r="AO1193" s="35"/>
      <c r="AP1193" s="35">
        <v>2</v>
      </c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22">
        <f t="shared" si="394"/>
        <v>4</v>
      </c>
      <c r="BC1193" s="23">
        <v>11</v>
      </c>
      <c r="BD1193" s="130">
        <f t="shared" si="395"/>
        <v>4</v>
      </c>
      <c r="BE1193" s="130">
        <f t="shared" si="396"/>
        <v>11</v>
      </c>
      <c r="BF1193" s="195">
        <f t="shared" si="397"/>
        <v>36.363636363636367</v>
      </c>
      <c r="BG1193" s="373">
        <f t="shared" si="392"/>
        <v>7</v>
      </c>
    </row>
    <row r="1194" spans="1:59" s="21" customFormat="1" ht="15.95" customHeight="1">
      <c r="A1194" s="176">
        <v>103</v>
      </c>
      <c r="B1194" s="31" t="s">
        <v>1075</v>
      </c>
      <c r="C1194" s="32" t="s">
        <v>1076</v>
      </c>
      <c r="D1194" s="365"/>
      <c r="E1194" s="365"/>
      <c r="F1194" s="365"/>
      <c r="G1194" s="365"/>
      <c r="H1194" s="365"/>
      <c r="I1194" s="365"/>
      <c r="J1194" s="365"/>
      <c r="K1194" s="365"/>
      <c r="L1194" s="365"/>
      <c r="M1194" s="365"/>
      <c r="N1194" s="365"/>
      <c r="O1194" s="365"/>
      <c r="P1194" s="365"/>
      <c r="Q1194" s="365"/>
      <c r="R1194" s="365"/>
      <c r="S1194" s="365"/>
      <c r="T1194" s="365"/>
      <c r="U1194" s="365"/>
      <c r="V1194" s="365"/>
      <c r="W1194" s="365"/>
      <c r="X1194" s="365"/>
      <c r="Y1194" s="365"/>
      <c r="Z1194" s="365"/>
      <c r="AA1194" s="365"/>
      <c r="AB1194" s="22">
        <f t="shared" si="393"/>
        <v>0</v>
      </c>
      <c r="AC1194" s="23">
        <v>0</v>
      </c>
      <c r="AD1194" s="35"/>
      <c r="AE1194" s="35"/>
      <c r="AF1194" s="35"/>
      <c r="AG1194" s="35"/>
      <c r="AH1194" s="35"/>
      <c r="AI1194" s="35"/>
      <c r="AJ1194" s="35"/>
      <c r="AK1194" s="35"/>
      <c r="AL1194" s="35">
        <v>12</v>
      </c>
      <c r="AM1194" s="35"/>
      <c r="AN1194" s="35"/>
      <c r="AO1194" s="35"/>
      <c r="AP1194" s="35">
        <v>13</v>
      </c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22">
        <f t="shared" si="394"/>
        <v>25</v>
      </c>
      <c r="BC1194" s="23">
        <v>44</v>
      </c>
      <c r="BD1194" s="130">
        <f t="shared" si="395"/>
        <v>25</v>
      </c>
      <c r="BE1194" s="130">
        <f t="shared" si="396"/>
        <v>44</v>
      </c>
      <c r="BF1194" s="195">
        <f t="shared" si="397"/>
        <v>56.81818181818182</v>
      </c>
      <c r="BG1194" s="373">
        <f t="shared" si="392"/>
        <v>19</v>
      </c>
    </row>
    <row r="1195" spans="1:59" s="21" customFormat="1" ht="15.95" customHeight="1">
      <c r="A1195" s="176">
        <v>104</v>
      </c>
      <c r="B1195" s="31" t="s">
        <v>1246</v>
      </c>
      <c r="C1195" s="32" t="s">
        <v>2937</v>
      </c>
      <c r="D1195" s="550"/>
      <c r="E1195" s="550"/>
      <c r="F1195" s="550"/>
      <c r="G1195" s="550"/>
      <c r="H1195" s="550"/>
      <c r="I1195" s="550"/>
      <c r="J1195" s="550"/>
      <c r="K1195" s="550"/>
      <c r="L1195" s="550"/>
      <c r="M1195" s="550"/>
      <c r="N1195" s="550"/>
      <c r="O1195" s="550"/>
      <c r="P1195" s="550"/>
      <c r="Q1195" s="550"/>
      <c r="R1195" s="550"/>
      <c r="S1195" s="550"/>
      <c r="T1195" s="550"/>
      <c r="U1195" s="550"/>
      <c r="V1195" s="550"/>
      <c r="W1195" s="550"/>
      <c r="X1195" s="550"/>
      <c r="Y1195" s="550"/>
      <c r="Z1195" s="550"/>
      <c r="AA1195" s="550"/>
      <c r="AB1195" s="22">
        <f t="shared" si="393"/>
        <v>0</v>
      </c>
      <c r="AC1195" s="23">
        <v>0</v>
      </c>
      <c r="AD1195" s="35"/>
      <c r="AE1195" s="35"/>
      <c r="AF1195" s="35"/>
      <c r="AG1195" s="35"/>
      <c r="AH1195" s="35"/>
      <c r="AI1195" s="35"/>
      <c r="AJ1195" s="35"/>
      <c r="AK1195" s="35"/>
      <c r="AL1195" s="35">
        <v>1</v>
      </c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22">
        <f t="shared" si="394"/>
        <v>1</v>
      </c>
      <c r="BC1195" s="23">
        <v>0</v>
      </c>
      <c r="BD1195" s="130">
        <f t="shared" si="395"/>
        <v>1</v>
      </c>
      <c r="BE1195" s="130">
        <f t="shared" si="396"/>
        <v>0</v>
      </c>
      <c r="BF1195" s="195" t="e">
        <f t="shared" si="397"/>
        <v>#DIV/0!</v>
      </c>
      <c r="BG1195" s="373"/>
    </row>
    <row r="1196" spans="1:59" s="21" customFormat="1" ht="15.95" customHeight="1">
      <c r="A1196" s="176">
        <v>105</v>
      </c>
      <c r="B1196" s="31" t="s">
        <v>1341</v>
      </c>
      <c r="C1196" s="32" t="s">
        <v>4165</v>
      </c>
      <c r="D1196" s="574"/>
      <c r="E1196" s="574"/>
      <c r="F1196" s="574"/>
      <c r="G1196" s="574"/>
      <c r="H1196" s="574"/>
      <c r="I1196" s="574"/>
      <c r="J1196" s="574"/>
      <c r="K1196" s="574"/>
      <c r="L1196" s="574"/>
      <c r="M1196" s="574"/>
      <c r="N1196" s="574"/>
      <c r="O1196" s="574"/>
      <c r="P1196" s="574"/>
      <c r="Q1196" s="574"/>
      <c r="R1196" s="574"/>
      <c r="S1196" s="574"/>
      <c r="T1196" s="574"/>
      <c r="U1196" s="574"/>
      <c r="V1196" s="574"/>
      <c r="W1196" s="574"/>
      <c r="X1196" s="574"/>
      <c r="Y1196" s="574"/>
      <c r="Z1196" s="574"/>
      <c r="AA1196" s="574"/>
      <c r="AB1196" s="22">
        <f t="shared" si="393"/>
        <v>0</v>
      </c>
      <c r="AC1196" s="23">
        <v>0</v>
      </c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>
        <v>1</v>
      </c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22">
        <f t="shared" si="394"/>
        <v>1</v>
      </c>
      <c r="BC1196" s="23">
        <v>0</v>
      </c>
      <c r="BD1196" s="130">
        <f t="shared" si="395"/>
        <v>1</v>
      </c>
      <c r="BE1196" s="130">
        <f t="shared" si="396"/>
        <v>0</v>
      </c>
      <c r="BF1196" s="195" t="e">
        <f t="shared" si="397"/>
        <v>#DIV/0!</v>
      </c>
      <c r="BG1196" s="373"/>
    </row>
    <row r="1197" spans="1:59" s="21" customFormat="1" ht="15.95" customHeight="1">
      <c r="A1197" s="176">
        <v>106</v>
      </c>
      <c r="B1197" s="31" t="s">
        <v>915</v>
      </c>
      <c r="C1197" s="32" t="s">
        <v>1101</v>
      </c>
      <c r="D1197" s="253"/>
      <c r="E1197" s="253"/>
      <c r="F1197" s="253"/>
      <c r="G1197" s="253"/>
      <c r="H1197" s="253"/>
      <c r="I1197" s="253"/>
      <c r="J1197" s="253"/>
      <c r="K1197" s="253"/>
      <c r="L1197" s="253"/>
      <c r="M1197" s="253"/>
      <c r="N1197" s="253"/>
      <c r="O1197" s="253"/>
      <c r="P1197" s="253"/>
      <c r="Q1197" s="253"/>
      <c r="R1197" s="253"/>
      <c r="S1197" s="253"/>
      <c r="T1197" s="253"/>
      <c r="U1197" s="253"/>
      <c r="V1197" s="253"/>
      <c r="W1197" s="253"/>
      <c r="X1197" s="253"/>
      <c r="Y1197" s="253"/>
      <c r="Z1197" s="253"/>
      <c r="AA1197" s="253"/>
      <c r="AB1197" s="22">
        <f t="shared" si="393"/>
        <v>0</v>
      </c>
      <c r="AC1197" s="23">
        <v>0</v>
      </c>
      <c r="AD1197" s="35"/>
      <c r="AE1197" s="35"/>
      <c r="AF1197" s="35"/>
      <c r="AG1197" s="35"/>
      <c r="AH1197" s="35"/>
      <c r="AI1197" s="35"/>
      <c r="AJ1197" s="35"/>
      <c r="AK1197" s="35"/>
      <c r="AL1197" s="35">
        <v>1</v>
      </c>
      <c r="AM1197" s="35"/>
      <c r="AN1197" s="35"/>
      <c r="AO1197" s="35"/>
      <c r="AP1197" s="35">
        <v>2</v>
      </c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22">
        <f t="shared" si="394"/>
        <v>3</v>
      </c>
      <c r="BC1197" s="23">
        <v>3</v>
      </c>
      <c r="BD1197" s="130">
        <f t="shared" si="395"/>
        <v>3</v>
      </c>
      <c r="BE1197" s="130">
        <f t="shared" si="396"/>
        <v>3</v>
      </c>
      <c r="BF1197" s="195">
        <f t="shared" si="397"/>
        <v>100</v>
      </c>
      <c r="BG1197" s="373">
        <f>BE1197-BD1197</f>
        <v>0</v>
      </c>
    </row>
    <row r="1198" spans="1:59" s="21" customFormat="1" ht="15.95" customHeight="1">
      <c r="A1198" s="176">
        <v>107</v>
      </c>
      <c r="B1198" s="31" t="s">
        <v>1082</v>
      </c>
      <c r="C1198" s="32" t="s">
        <v>1346</v>
      </c>
      <c r="D1198" s="272"/>
      <c r="E1198" s="272"/>
      <c r="F1198" s="272"/>
      <c r="G1198" s="272"/>
      <c r="H1198" s="272"/>
      <c r="I1198" s="272"/>
      <c r="J1198" s="272"/>
      <c r="K1198" s="272"/>
      <c r="L1198" s="272"/>
      <c r="M1198" s="272"/>
      <c r="N1198" s="272"/>
      <c r="O1198" s="272"/>
      <c r="P1198" s="272"/>
      <c r="Q1198" s="272"/>
      <c r="R1198" s="272"/>
      <c r="S1198" s="272"/>
      <c r="T1198" s="272"/>
      <c r="U1198" s="272"/>
      <c r="V1198" s="272"/>
      <c r="W1198" s="272"/>
      <c r="X1198" s="272"/>
      <c r="Y1198" s="272"/>
      <c r="Z1198" s="272"/>
      <c r="AA1198" s="272"/>
      <c r="AB1198" s="22">
        <f t="shared" si="393"/>
        <v>0</v>
      </c>
      <c r="AC1198" s="23">
        <v>0</v>
      </c>
      <c r="AD1198" s="35"/>
      <c r="AE1198" s="35"/>
      <c r="AF1198" s="35"/>
      <c r="AG1198" s="35"/>
      <c r="AH1198" s="35"/>
      <c r="AI1198" s="35"/>
      <c r="AJ1198" s="35"/>
      <c r="AK1198" s="35"/>
      <c r="AL1198" s="35">
        <v>8</v>
      </c>
      <c r="AM1198" s="35"/>
      <c r="AN1198" s="35"/>
      <c r="AO1198" s="35"/>
      <c r="AP1198" s="35">
        <v>5</v>
      </c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22">
        <f t="shared" si="394"/>
        <v>13</v>
      </c>
      <c r="BC1198" s="23">
        <v>26</v>
      </c>
      <c r="BD1198" s="130">
        <f t="shared" si="395"/>
        <v>13</v>
      </c>
      <c r="BE1198" s="130">
        <f t="shared" si="396"/>
        <v>26</v>
      </c>
      <c r="BF1198" s="195">
        <f t="shared" si="397"/>
        <v>50</v>
      </c>
      <c r="BG1198" s="373">
        <f>BE1198-BD1198</f>
        <v>13</v>
      </c>
    </row>
    <row r="1199" spans="1:59" s="21" customFormat="1" ht="15.95" customHeight="1">
      <c r="A1199" s="176">
        <v>108</v>
      </c>
      <c r="B1199" s="31" t="s">
        <v>952</v>
      </c>
      <c r="C1199" s="32" t="s">
        <v>953</v>
      </c>
      <c r="D1199" s="272"/>
      <c r="E1199" s="272"/>
      <c r="F1199" s="272"/>
      <c r="G1199" s="272"/>
      <c r="H1199" s="272"/>
      <c r="I1199" s="272"/>
      <c r="J1199" s="272"/>
      <c r="K1199" s="272"/>
      <c r="L1199" s="272"/>
      <c r="M1199" s="272"/>
      <c r="N1199" s="272"/>
      <c r="O1199" s="272"/>
      <c r="P1199" s="272"/>
      <c r="Q1199" s="272"/>
      <c r="R1199" s="272"/>
      <c r="S1199" s="272"/>
      <c r="T1199" s="272"/>
      <c r="U1199" s="272"/>
      <c r="V1199" s="272"/>
      <c r="W1199" s="272"/>
      <c r="X1199" s="272"/>
      <c r="Y1199" s="272"/>
      <c r="Z1199" s="272"/>
      <c r="AA1199" s="272"/>
      <c r="AB1199" s="22">
        <f t="shared" si="393"/>
        <v>0</v>
      </c>
      <c r="AC1199" s="23">
        <v>0</v>
      </c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22">
        <f t="shared" si="394"/>
        <v>0</v>
      </c>
      <c r="BC1199" s="23">
        <v>4</v>
      </c>
      <c r="BD1199" s="130">
        <f t="shared" si="395"/>
        <v>0</v>
      </c>
      <c r="BE1199" s="130">
        <f t="shared" si="396"/>
        <v>4</v>
      </c>
      <c r="BF1199" s="195">
        <f t="shared" si="397"/>
        <v>0</v>
      </c>
      <c r="BG1199" s="373">
        <f>BE1199-BD1199</f>
        <v>4</v>
      </c>
    </row>
    <row r="1200" spans="1:59" s="21" customFormat="1" ht="15.95" customHeight="1">
      <c r="A1200" s="176">
        <v>109</v>
      </c>
      <c r="B1200" s="31" t="s">
        <v>954</v>
      </c>
      <c r="C1200" s="32" t="s">
        <v>955</v>
      </c>
      <c r="D1200" s="231"/>
      <c r="E1200" s="231"/>
      <c r="F1200" s="231"/>
      <c r="G1200" s="231"/>
      <c r="H1200" s="231"/>
      <c r="I1200" s="231"/>
      <c r="J1200" s="231"/>
      <c r="K1200" s="231"/>
      <c r="L1200" s="231"/>
      <c r="M1200" s="231"/>
      <c r="N1200" s="231"/>
      <c r="O1200" s="231"/>
      <c r="P1200" s="231"/>
      <c r="Q1200" s="231"/>
      <c r="R1200" s="231"/>
      <c r="S1200" s="231"/>
      <c r="T1200" s="231"/>
      <c r="U1200" s="231"/>
      <c r="V1200" s="231"/>
      <c r="W1200" s="231"/>
      <c r="X1200" s="231"/>
      <c r="Y1200" s="231"/>
      <c r="Z1200" s="231"/>
      <c r="AA1200" s="231"/>
      <c r="AB1200" s="22">
        <f t="shared" si="393"/>
        <v>0</v>
      </c>
      <c r="AC1200" s="23">
        <v>0</v>
      </c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22">
        <f t="shared" si="394"/>
        <v>0</v>
      </c>
      <c r="BC1200" s="23">
        <v>1</v>
      </c>
      <c r="BD1200" s="130">
        <f t="shared" si="395"/>
        <v>0</v>
      </c>
      <c r="BE1200" s="130">
        <f t="shared" si="396"/>
        <v>1</v>
      </c>
      <c r="BF1200" s="195">
        <f t="shared" si="397"/>
        <v>0</v>
      </c>
      <c r="BG1200" s="373">
        <f>BE1200-BD1200</f>
        <v>1</v>
      </c>
    </row>
    <row r="1201" spans="1:59" s="21" customFormat="1" ht="21" customHeight="1">
      <c r="A1201" s="176">
        <v>110</v>
      </c>
      <c r="B1201" s="31" t="s">
        <v>1349</v>
      </c>
      <c r="C1201" s="32" t="s">
        <v>1397</v>
      </c>
      <c r="D1201" s="231"/>
      <c r="E1201" s="231"/>
      <c r="F1201" s="231"/>
      <c r="G1201" s="231"/>
      <c r="H1201" s="231"/>
      <c r="I1201" s="231"/>
      <c r="J1201" s="231"/>
      <c r="K1201" s="231"/>
      <c r="L1201" s="231"/>
      <c r="M1201" s="231"/>
      <c r="N1201" s="231"/>
      <c r="O1201" s="231"/>
      <c r="P1201" s="231"/>
      <c r="Q1201" s="231"/>
      <c r="R1201" s="231"/>
      <c r="S1201" s="231"/>
      <c r="T1201" s="231"/>
      <c r="U1201" s="231"/>
      <c r="V1201" s="231"/>
      <c r="W1201" s="231"/>
      <c r="X1201" s="231"/>
      <c r="Y1201" s="231"/>
      <c r="Z1201" s="231"/>
      <c r="AA1201" s="231"/>
      <c r="AB1201" s="22">
        <f t="shared" si="393"/>
        <v>0</v>
      </c>
      <c r="AC1201" s="23">
        <v>0</v>
      </c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22">
        <f t="shared" si="394"/>
        <v>0</v>
      </c>
      <c r="BC1201" s="23">
        <v>1</v>
      </c>
      <c r="BD1201" s="130">
        <f t="shared" si="395"/>
        <v>0</v>
      </c>
      <c r="BE1201" s="130">
        <f t="shared" si="396"/>
        <v>1</v>
      </c>
      <c r="BF1201" s="195">
        <f t="shared" si="397"/>
        <v>0</v>
      </c>
      <c r="BG1201" s="373">
        <f>BE1201-BD1201</f>
        <v>1</v>
      </c>
    </row>
    <row r="1202" spans="1:59" s="21" customFormat="1" ht="21" customHeight="1">
      <c r="A1202" s="176">
        <v>111</v>
      </c>
      <c r="B1202" s="31" t="s">
        <v>957</v>
      </c>
      <c r="C1202" s="32" t="s">
        <v>958</v>
      </c>
      <c r="D1202" s="574"/>
      <c r="E1202" s="574"/>
      <c r="F1202" s="574"/>
      <c r="G1202" s="574"/>
      <c r="H1202" s="574"/>
      <c r="I1202" s="574"/>
      <c r="J1202" s="574"/>
      <c r="K1202" s="574"/>
      <c r="L1202" s="574"/>
      <c r="M1202" s="574"/>
      <c r="N1202" s="574"/>
      <c r="O1202" s="574"/>
      <c r="P1202" s="574"/>
      <c r="Q1202" s="574"/>
      <c r="R1202" s="574"/>
      <c r="S1202" s="574"/>
      <c r="T1202" s="574"/>
      <c r="U1202" s="574"/>
      <c r="V1202" s="574"/>
      <c r="W1202" s="574"/>
      <c r="X1202" s="574"/>
      <c r="Y1202" s="574"/>
      <c r="Z1202" s="574"/>
      <c r="AA1202" s="574"/>
      <c r="AB1202" s="22">
        <f t="shared" si="393"/>
        <v>0</v>
      </c>
      <c r="AC1202" s="23">
        <v>0</v>
      </c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>
        <v>1</v>
      </c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22">
        <f t="shared" si="394"/>
        <v>1</v>
      </c>
      <c r="BC1202" s="23">
        <v>0</v>
      </c>
      <c r="BD1202" s="130">
        <f t="shared" si="395"/>
        <v>1</v>
      </c>
      <c r="BE1202" s="130">
        <f t="shared" si="396"/>
        <v>0</v>
      </c>
      <c r="BF1202" s="195" t="e">
        <f t="shared" si="397"/>
        <v>#DIV/0!</v>
      </c>
      <c r="BG1202" s="373"/>
    </row>
    <row r="1203" spans="1:59" s="21" customFormat="1" ht="13.5" customHeight="1">
      <c r="A1203" s="176">
        <v>112</v>
      </c>
      <c r="B1203" s="31" t="s">
        <v>959</v>
      </c>
      <c r="C1203" s="32" t="s">
        <v>960</v>
      </c>
      <c r="D1203" s="231"/>
      <c r="E1203" s="231"/>
      <c r="F1203" s="231"/>
      <c r="G1203" s="231"/>
      <c r="H1203" s="231"/>
      <c r="I1203" s="231"/>
      <c r="J1203" s="231"/>
      <c r="K1203" s="231"/>
      <c r="L1203" s="231"/>
      <c r="M1203" s="231"/>
      <c r="N1203" s="231"/>
      <c r="O1203" s="231"/>
      <c r="P1203" s="231"/>
      <c r="Q1203" s="231"/>
      <c r="R1203" s="231"/>
      <c r="S1203" s="231"/>
      <c r="T1203" s="231"/>
      <c r="U1203" s="231"/>
      <c r="V1203" s="231"/>
      <c r="W1203" s="231"/>
      <c r="X1203" s="231"/>
      <c r="Y1203" s="231"/>
      <c r="Z1203" s="231"/>
      <c r="AA1203" s="231"/>
      <c r="AB1203" s="22">
        <f t="shared" si="393"/>
        <v>0</v>
      </c>
      <c r="AC1203" s="23">
        <v>0</v>
      </c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22">
        <f t="shared" si="394"/>
        <v>0</v>
      </c>
      <c r="BC1203" s="23">
        <v>1</v>
      </c>
      <c r="BD1203" s="130">
        <f t="shared" si="395"/>
        <v>0</v>
      </c>
      <c r="BE1203" s="130">
        <f t="shared" si="396"/>
        <v>1</v>
      </c>
      <c r="BF1203" s="195">
        <f t="shared" si="397"/>
        <v>0</v>
      </c>
      <c r="BG1203" s="373">
        <f t="shared" ref="BG1203:BG1210" si="398">BE1203-BD1203</f>
        <v>1</v>
      </c>
    </row>
    <row r="1204" spans="1:59" s="21" customFormat="1" ht="13.5" customHeight="1">
      <c r="A1204" s="176">
        <v>113</v>
      </c>
      <c r="B1204" s="31" t="s">
        <v>961</v>
      </c>
      <c r="C1204" s="32" t="s">
        <v>1599</v>
      </c>
      <c r="D1204" s="323"/>
      <c r="E1204" s="323"/>
      <c r="F1204" s="323"/>
      <c r="G1204" s="323"/>
      <c r="H1204" s="323"/>
      <c r="I1204" s="323"/>
      <c r="J1204" s="323"/>
      <c r="K1204" s="323"/>
      <c r="L1204" s="323"/>
      <c r="M1204" s="323"/>
      <c r="N1204" s="323"/>
      <c r="O1204" s="323"/>
      <c r="P1204" s="323"/>
      <c r="Q1204" s="323"/>
      <c r="R1204" s="323"/>
      <c r="S1204" s="323"/>
      <c r="T1204" s="323"/>
      <c r="U1204" s="323"/>
      <c r="V1204" s="323"/>
      <c r="W1204" s="323"/>
      <c r="X1204" s="323"/>
      <c r="Y1204" s="323"/>
      <c r="Z1204" s="323"/>
      <c r="AA1204" s="323"/>
      <c r="AB1204" s="22">
        <f t="shared" si="393"/>
        <v>0</v>
      </c>
      <c r="AC1204" s="23">
        <v>0</v>
      </c>
      <c r="AD1204" s="35"/>
      <c r="AE1204" s="35"/>
      <c r="AF1204" s="35"/>
      <c r="AG1204" s="35"/>
      <c r="AH1204" s="35"/>
      <c r="AI1204" s="35"/>
      <c r="AJ1204" s="35"/>
      <c r="AK1204" s="35"/>
      <c r="AL1204" s="35">
        <v>1</v>
      </c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22">
        <f t="shared" si="394"/>
        <v>1</v>
      </c>
      <c r="BC1204" s="23">
        <v>2</v>
      </c>
      <c r="BD1204" s="130">
        <f t="shared" si="395"/>
        <v>1</v>
      </c>
      <c r="BE1204" s="130">
        <f t="shared" si="396"/>
        <v>2</v>
      </c>
      <c r="BF1204" s="195">
        <f t="shared" si="397"/>
        <v>50</v>
      </c>
      <c r="BG1204" s="373">
        <f t="shared" si="398"/>
        <v>1</v>
      </c>
    </row>
    <row r="1205" spans="1:59" s="21" customFormat="1" ht="13.5" customHeight="1">
      <c r="A1205" s="176">
        <v>114</v>
      </c>
      <c r="B1205" s="31" t="s">
        <v>1355</v>
      </c>
      <c r="C1205" s="32" t="s">
        <v>1505</v>
      </c>
      <c r="D1205" s="32"/>
      <c r="E1205" s="32"/>
      <c r="F1205" s="32"/>
      <c r="G1205" s="32"/>
      <c r="H1205" s="32"/>
      <c r="I1205" s="32"/>
      <c r="J1205" s="32"/>
      <c r="K1205" s="32"/>
      <c r="L1205" s="336"/>
      <c r="M1205" s="336"/>
      <c r="N1205" s="336"/>
      <c r="O1205" s="336"/>
      <c r="P1205" s="336"/>
      <c r="Q1205" s="336"/>
      <c r="R1205" s="336"/>
      <c r="S1205" s="336"/>
      <c r="T1205" s="336"/>
      <c r="U1205" s="336"/>
      <c r="V1205" s="336"/>
      <c r="W1205" s="336"/>
      <c r="X1205" s="336"/>
      <c r="Y1205" s="336"/>
      <c r="Z1205" s="336"/>
      <c r="AA1205" s="336"/>
      <c r="AB1205" s="22">
        <f t="shared" si="393"/>
        <v>0</v>
      </c>
      <c r="AC1205" s="23">
        <v>0</v>
      </c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>
        <v>1</v>
      </c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22">
        <f t="shared" si="394"/>
        <v>1</v>
      </c>
      <c r="BC1205" s="23">
        <v>3</v>
      </c>
      <c r="BD1205" s="130">
        <f t="shared" si="395"/>
        <v>1</v>
      </c>
      <c r="BE1205" s="130">
        <f t="shared" si="396"/>
        <v>3</v>
      </c>
      <c r="BF1205" s="195">
        <f t="shared" si="397"/>
        <v>33.333333333333329</v>
      </c>
      <c r="BG1205" s="373">
        <f t="shared" si="398"/>
        <v>2</v>
      </c>
    </row>
    <row r="1206" spans="1:59" s="21" customFormat="1" ht="13.5" customHeight="1">
      <c r="A1206" s="176">
        <v>115</v>
      </c>
      <c r="B1206" s="31" t="s">
        <v>963</v>
      </c>
      <c r="C1206" s="32" t="s">
        <v>2020</v>
      </c>
      <c r="D1206" s="231"/>
      <c r="E1206" s="231"/>
      <c r="F1206" s="231"/>
      <c r="G1206" s="231"/>
      <c r="H1206" s="231"/>
      <c r="I1206" s="231"/>
      <c r="J1206" s="231"/>
      <c r="K1206" s="231"/>
      <c r="L1206" s="231"/>
      <c r="M1206" s="231"/>
      <c r="N1206" s="231"/>
      <c r="O1206" s="231"/>
      <c r="P1206" s="231"/>
      <c r="Q1206" s="231"/>
      <c r="R1206" s="231"/>
      <c r="S1206" s="231"/>
      <c r="T1206" s="231"/>
      <c r="U1206" s="231"/>
      <c r="V1206" s="231"/>
      <c r="W1206" s="231"/>
      <c r="X1206" s="231"/>
      <c r="Y1206" s="231"/>
      <c r="Z1206" s="231"/>
      <c r="AA1206" s="231"/>
      <c r="AB1206" s="22">
        <f t="shared" si="393"/>
        <v>0</v>
      </c>
      <c r="AC1206" s="23">
        <v>0</v>
      </c>
      <c r="AD1206" s="35"/>
      <c r="AE1206" s="35"/>
      <c r="AF1206" s="35"/>
      <c r="AG1206" s="35"/>
      <c r="AH1206" s="35">
        <v>1</v>
      </c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22">
        <f t="shared" si="394"/>
        <v>1</v>
      </c>
      <c r="BC1206" s="23">
        <v>2</v>
      </c>
      <c r="BD1206" s="130">
        <f t="shared" si="395"/>
        <v>1</v>
      </c>
      <c r="BE1206" s="130">
        <f t="shared" si="396"/>
        <v>2</v>
      </c>
      <c r="BF1206" s="195">
        <f t="shared" si="397"/>
        <v>50</v>
      </c>
      <c r="BG1206" s="373">
        <f t="shared" si="398"/>
        <v>1</v>
      </c>
    </row>
    <row r="1207" spans="1:59" s="21" customFormat="1" ht="13.5" customHeight="1">
      <c r="A1207" s="176">
        <v>116</v>
      </c>
      <c r="B1207" s="31" t="s">
        <v>965</v>
      </c>
      <c r="C1207" s="32" t="s">
        <v>1401</v>
      </c>
      <c r="D1207" s="288"/>
      <c r="E1207" s="288"/>
      <c r="F1207" s="288"/>
      <c r="G1207" s="288"/>
      <c r="H1207" s="288"/>
      <c r="I1207" s="288"/>
      <c r="J1207" s="288"/>
      <c r="K1207" s="288"/>
      <c r="L1207" s="288"/>
      <c r="M1207" s="288"/>
      <c r="N1207" s="288"/>
      <c r="O1207" s="288"/>
      <c r="P1207" s="288"/>
      <c r="Q1207" s="288"/>
      <c r="R1207" s="288"/>
      <c r="S1207" s="288"/>
      <c r="T1207" s="288"/>
      <c r="U1207" s="288"/>
      <c r="V1207" s="288"/>
      <c r="W1207" s="288"/>
      <c r="X1207" s="288"/>
      <c r="Y1207" s="288"/>
      <c r="Z1207" s="288"/>
      <c r="AA1207" s="288"/>
      <c r="AB1207" s="22">
        <f t="shared" si="393"/>
        <v>0</v>
      </c>
      <c r="AC1207" s="23">
        <v>0</v>
      </c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22">
        <f t="shared" si="394"/>
        <v>0</v>
      </c>
      <c r="BC1207" s="23">
        <v>6</v>
      </c>
      <c r="BD1207" s="130">
        <f t="shared" si="395"/>
        <v>0</v>
      </c>
      <c r="BE1207" s="130">
        <f t="shared" si="396"/>
        <v>6</v>
      </c>
      <c r="BF1207" s="195">
        <f t="shared" si="397"/>
        <v>0</v>
      </c>
      <c r="BG1207" s="373">
        <f t="shared" si="398"/>
        <v>6</v>
      </c>
    </row>
    <row r="1208" spans="1:59" s="21" customFormat="1" ht="15" customHeight="1">
      <c r="A1208" s="176">
        <v>117</v>
      </c>
      <c r="B1208" s="31" t="s">
        <v>1049</v>
      </c>
      <c r="C1208" s="32" t="s">
        <v>1050</v>
      </c>
      <c r="D1208" s="381"/>
      <c r="E1208" s="381"/>
      <c r="F1208" s="381"/>
      <c r="G1208" s="381"/>
      <c r="H1208" s="381"/>
      <c r="I1208" s="381"/>
      <c r="J1208" s="381"/>
      <c r="K1208" s="381"/>
      <c r="L1208" s="231"/>
      <c r="M1208" s="231"/>
      <c r="N1208" s="231"/>
      <c r="O1208" s="231"/>
      <c r="P1208" s="231"/>
      <c r="Q1208" s="231"/>
      <c r="R1208" s="231"/>
      <c r="S1208" s="231"/>
      <c r="T1208" s="231"/>
      <c r="U1208" s="231"/>
      <c r="V1208" s="231"/>
      <c r="W1208" s="231"/>
      <c r="X1208" s="231"/>
      <c r="Y1208" s="231"/>
      <c r="Z1208" s="231"/>
      <c r="AA1208" s="231"/>
      <c r="AB1208" s="22">
        <f t="shared" si="393"/>
        <v>0</v>
      </c>
      <c r="AC1208" s="23">
        <v>0</v>
      </c>
      <c r="AD1208" s="35"/>
      <c r="AE1208" s="35"/>
      <c r="AF1208" s="35"/>
      <c r="AG1208" s="35"/>
      <c r="AH1208" s="35">
        <v>4</v>
      </c>
      <c r="AI1208" s="35"/>
      <c r="AJ1208" s="35"/>
      <c r="AK1208" s="35"/>
      <c r="AL1208" s="35">
        <v>1</v>
      </c>
      <c r="AM1208" s="35"/>
      <c r="AN1208" s="35"/>
      <c r="AO1208" s="35"/>
      <c r="AP1208" s="35">
        <v>5</v>
      </c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22">
        <f t="shared" si="394"/>
        <v>10</v>
      </c>
      <c r="BC1208" s="23">
        <v>19</v>
      </c>
      <c r="BD1208" s="130">
        <f t="shared" si="395"/>
        <v>10</v>
      </c>
      <c r="BE1208" s="130">
        <f t="shared" si="396"/>
        <v>19</v>
      </c>
      <c r="BF1208" s="195">
        <f t="shared" si="397"/>
        <v>52.631578947368418</v>
      </c>
      <c r="BG1208" s="373">
        <f t="shared" si="398"/>
        <v>9</v>
      </c>
    </row>
    <row r="1209" spans="1:59" s="21" customFormat="1" ht="15" customHeight="1">
      <c r="A1209" s="176">
        <v>118</v>
      </c>
      <c r="B1209" s="31" t="s">
        <v>849</v>
      </c>
      <c r="C1209" s="32" t="s">
        <v>850</v>
      </c>
      <c r="D1209" s="231"/>
      <c r="E1209" s="231"/>
      <c r="F1209" s="231"/>
      <c r="G1209" s="231"/>
      <c r="H1209" s="231"/>
      <c r="I1209" s="231"/>
      <c r="J1209" s="231"/>
      <c r="K1209" s="231"/>
      <c r="L1209" s="231"/>
      <c r="M1209" s="231"/>
      <c r="N1209" s="231"/>
      <c r="O1209" s="231"/>
      <c r="P1209" s="231"/>
      <c r="Q1209" s="231"/>
      <c r="R1209" s="231"/>
      <c r="S1209" s="231"/>
      <c r="T1209" s="231"/>
      <c r="U1209" s="231"/>
      <c r="V1209" s="231"/>
      <c r="W1209" s="231"/>
      <c r="X1209" s="231"/>
      <c r="Y1209" s="231"/>
      <c r="Z1209" s="231"/>
      <c r="AA1209" s="231"/>
      <c r="AB1209" s="22">
        <f t="shared" si="393"/>
        <v>0</v>
      </c>
      <c r="AC1209" s="23">
        <v>0</v>
      </c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22">
        <f t="shared" si="394"/>
        <v>0</v>
      </c>
      <c r="BC1209" s="23">
        <v>8</v>
      </c>
      <c r="BD1209" s="130">
        <f t="shared" si="395"/>
        <v>0</v>
      </c>
      <c r="BE1209" s="130">
        <f t="shared" si="396"/>
        <v>8</v>
      </c>
      <c r="BF1209" s="195">
        <f t="shared" si="397"/>
        <v>0</v>
      </c>
      <c r="BG1209" s="373">
        <f t="shared" si="398"/>
        <v>8</v>
      </c>
    </row>
    <row r="1210" spans="1:59" s="21" customFormat="1" ht="15" customHeight="1">
      <c r="A1210" s="176">
        <v>119</v>
      </c>
      <c r="B1210" s="31" t="s">
        <v>851</v>
      </c>
      <c r="C1210" s="32" t="s">
        <v>852</v>
      </c>
      <c r="D1210" s="231"/>
      <c r="E1210" s="231"/>
      <c r="F1210" s="231"/>
      <c r="G1210" s="231"/>
      <c r="H1210" s="231"/>
      <c r="I1210" s="231"/>
      <c r="J1210" s="231"/>
      <c r="K1210" s="231"/>
      <c r="L1210" s="231"/>
      <c r="M1210" s="231"/>
      <c r="N1210" s="231"/>
      <c r="O1210" s="231"/>
      <c r="P1210" s="231"/>
      <c r="Q1210" s="231"/>
      <c r="R1210" s="231"/>
      <c r="S1210" s="231"/>
      <c r="T1210" s="231"/>
      <c r="U1210" s="231"/>
      <c r="V1210" s="231"/>
      <c r="W1210" s="231"/>
      <c r="X1210" s="231"/>
      <c r="Y1210" s="231"/>
      <c r="Z1210" s="231"/>
      <c r="AA1210" s="231"/>
      <c r="AB1210" s="22">
        <f t="shared" si="393"/>
        <v>0</v>
      </c>
      <c r="AC1210" s="23">
        <v>0</v>
      </c>
      <c r="AD1210" s="35"/>
      <c r="AE1210" s="35"/>
      <c r="AF1210" s="35"/>
      <c r="AG1210" s="35"/>
      <c r="AH1210" s="35">
        <v>12</v>
      </c>
      <c r="AI1210" s="35"/>
      <c r="AJ1210" s="35"/>
      <c r="AK1210" s="35"/>
      <c r="AL1210" s="35">
        <f>61+10</f>
        <v>71</v>
      </c>
      <c r="AM1210" s="35"/>
      <c r="AN1210" s="35"/>
      <c r="AO1210" s="35"/>
      <c r="AP1210" s="35">
        <v>31</v>
      </c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22">
        <f t="shared" si="394"/>
        <v>114</v>
      </c>
      <c r="BC1210" s="23">
        <v>705</v>
      </c>
      <c r="BD1210" s="130">
        <f t="shared" si="395"/>
        <v>114</v>
      </c>
      <c r="BE1210" s="130">
        <f t="shared" si="396"/>
        <v>705</v>
      </c>
      <c r="BF1210" s="195">
        <f t="shared" si="397"/>
        <v>16.170212765957448</v>
      </c>
      <c r="BG1210" s="373">
        <f t="shared" si="398"/>
        <v>591</v>
      </c>
    </row>
    <row r="1211" spans="1:59" s="21" customFormat="1" ht="15" customHeight="1">
      <c r="A1211" s="176">
        <v>120</v>
      </c>
      <c r="B1211" s="31" t="s">
        <v>4206</v>
      </c>
      <c r="C1211" s="32" t="s">
        <v>4207</v>
      </c>
      <c r="D1211" s="583"/>
      <c r="E1211" s="583"/>
      <c r="F1211" s="583"/>
      <c r="G1211" s="583"/>
      <c r="H1211" s="583"/>
      <c r="I1211" s="583"/>
      <c r="J1211" s="583"/>
      <c r="K1211" s="583"/>
      <c r="L1211" s="583"/>
      <c r="M1211" s="583"/>
      <c r="N1211" s="583"/>
      <c r="O1211" s="583"/>
      <c r="P1211" s="583"/>
      <c r="Q1211" s="583"/>
      <c r="R1211" s="583"/>
      <c r="S1211" s="583"/>
      <c r="T1211" s="583"/>
      <c r="U1211" s="583"/>
      <c r="V1211" s="583"/>
      <c r="W1211" s="583"/>
      <c r="X1211" s="583"/>
      <c r="Y1211" s="583"/>
      <c r="Z1211" s="583"/>
      <c r="AA1211" s="583"/>
      <c r="AB1211" s="22">
        <f t="shared" si="393"/>
        <v>0</v>
      </c>
      <c r="AC1211" s="23">
        <v>0</v>
      </c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>
        <v>1</v>
      </c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22">
        <f t="shared" si="394"/>
        <v>1</v>
      </c>
      <c r="BC1211" s="23">
        <v>0</v>
      </c>
      <c r="BD1211" s="130">
        <f t="shared" si="395"/>
        <v>1</v>
      </c>
      <c r="BE1211" s="130">
        <f t="shared" si="396"/>
        <v>0</v>
      </c>
      <c r="BF1211" s="195" t="e">
        <f t="shared" si="397"/>
        <v>#DIV/0!</v>
      </c>
      <c r="BG1211" s="373"/>
    </row>
    <row r="1212" spans="1:59" s="21" customFormat="1" ht="15.95" customHeight="1">
      <c r="A1212" s="176">
        <v>121</v>
      </c>
      <c r="B1212" s="31" t="s">
        <v>1511</v>
      </c>
      <c r="C1212" s="32" t="s">
        <v>1512</v>
      </c>
      <c r="D1212" s="231"/>
      <c r="E1212" s="231"/>
      <c r="F1212" s="231"/>
      <c r="G1212" s="231"/>
      <c r="H1212" s="231"/>
      <c r="I1212" s="231"/>
      <c r="J1212" s="231"/>
      <c r="K1212" s="231"/>
      <c r="L1212" s="231"/>
      <c r="M1212" s="231"/>
      <c r="N1212" s="231"/>
      <c r="O1212" s="231"/>
      <c r="P1212" s="231"/>
      <c r="Q1212" s="231"/>
      <c r="R1212" s="231"/>
      <c r="S1212" s="231"/>
      <c r="T1212" s="231"/>
      <c r="U1212" s="231"/>
      <c r="V1212" s="231"/>
      <c r="W1212" s="231"/>
      <c r="X1212" s="231"/>
      <c r="Y1212" s="231"/>
      <c r="Z1212" s="231"/>
      <c r="AA1212" s="231"/>
      <c r="AB1212" s="22">
        <f t="shared" si="393"/>
        <v>0</v>
      </c>
      <c r="AC1212" s="23">
        <v>0</v>
      </c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>
        <v>4</v>
      </c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22">
        <f t="shared" si="394"/>
        <v>4</v>
      </c>
      <c r="BC1212" s="23">
        <v>14</v>
      </c>
      <c r="BD1212" s="130">
        <f t="shared" si="395"/>
        <v>4</v>
      </c>
      <c r="BE1212" s="130">
        <f t="shared" si="396"/>
        <v>14</v>
      </c>
      <c r="BF1212" s="195">
        <f t="shared" si="397"/>
        <v>28.571428571428569</v>
      </c>
      <c r="BG1212" s="373">
        <f t="shared" ref="BG1212:BG1217" si="399">BE1212-BD1212</f>
        <v>10</v>
      </c>
    </row>
    <row r="1213" spans="1:59" s="21" customFormat="1" ht="15.95" customHeight="1">
      <c r="A1213" s="176">
        <v>122</v>
      </c>
      <c r="B1213" s="31" t="s">
        <v>1118</v>
      </c>
      <c r="C1213" s="32" t="s">
        <v>3185</v>
      </c>
      <c r="D1213" s="272"/>
      <c r="E1213" s="272"/>
      <c r="F1213" s="272"/>
      <c r="G1213" s="272"/>
      <c r="H1213" s="272"/>
      <c r="I1213" s="272"/>
      <c r="J1213" s="272"/>
      <c r="K1213" s="272"/>
      <c r="L1213" s="272"/>
      <c r="M1213" s="272"/>
      <c r="N1213" s="272"/>
      <c r="O1213" s="272"/>
      <c r="P1213" s="272"/>
      <c r="Q1213" s="272"/>
      <c r="R1213" s="272"/>
      <c r="S1213" s="272"/>
      <c r="T1213" s="272"/>
      <c r="U1213" s="272"/>
      <c r="V1213" s="272"/>
      <c r="W1213" s="272"/>
      <c r="X1213" s="272"/>
      <c r="Y1213" s="272"/>
      <c r="Z1213" s="272"/>
      <c r="AA1213" s="272"/>
      <c r="AB1213" s="22">
        <f t="shared" si="393"/>
        <v>0</v>
      </c>
      <c r="AC1213" s="23">
        <v>0</v>
      </c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22">
        <f t="shared" si="394"/>
        <v>0</v>
      </c>
      <c r="BC1213" s="23">
        <v>1</v>
      </c>
      <c r="BD1213" s="130">
        <f t="shared" si="395"/>
        <v>0</v>
      </c>
      <c r="BE1213" s="130">
        <f t="shared" si="396"/>
        <v>1</v>
      </c>
      <c r="BF1213" s="195">
        <f t="shared" si="397"/>
        <v>0</v>
      </c>
      <c r="BG1213" s="373">
        <f t="shared" si="399"/>
        <v>1</v>
      </c>
    </row>
    <row r="1214" spans="1:59" s="21" customFormat="1" ht="15.95" customHeight="1">
      <c r="A1214" s="176">
        <v>123</v>
      </c>
      <c r="B1214" s="31" t="s">
        <v>3318</v>
      </c>
      <c r="C1214" s="32" t="s">
        <v>3319</v>
      </c>
      <c r="D1214" s="231"/>
      <c r="E1214" s="231"/>
      <c r="F1214" s="231"/>
      <c r="G1214" s="231"/>
      <c r="H1214" s="231"/>
      <c r="I1214" s="231"/>
      <c r="J1214" s="231"/>
      <c r="K1214" s="231"/>
      <c r="L1214" s="231"/>
      <c r="M1214" s="231"/>
      <c r="N1214" s="231"/>
      <c r="O1214" s="231"/>
      <c r="P1214" s="231"/>
      <c r="Q1214" s="231"/>
      <c r="R1214" s="231"/>
      <c r="S1214" s="231"/>
      <c r="T1214" s="231"/>
      <c r="U1214" s="231"/>
      <c r="V1214" s="231"/>
      <c r="W1214" s="231"/>
      <c r="X1214" s="231"/>
      <c r="Y1214" s="231"/>
      <c r="Z1214" s="231"/>
      <c r="AA1214" s="231"/>
      <c r="AB1214" s="22">
        <f t="shared" si="393"/>
        <v>0</v>
      </c>
      <c r="AC1214" s="23">
        <v>0</v>
      </c>
      <c r="AD1214" s="35">
        <v>25</v>
      </c>
      <c r="AE1214" s="35"/>
      <c r="AF1214" s="35"/>
      <c r="AG1214" s="35"/>
      <c r="AH1214" s="35">
        <v>114</v>
      </c>
      <c r="AI1214" s="35"/>
      <c r="AJ1214" s="35"/>
      <c r="AK1214" s="35"/>
      <c r="AL1214" s="35">
        <v>374</v>
      </c>
      <c r="AM1214" s="35"/>
      <c r="AN1214" s="35"/>
      <c r="AO1214" s="35"/>
      <c r="AP1214" s="35">
        <f>1+436</f>
        <v>437</v>
      </c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22">
        <f t="shared" si="394"/>
        <v>950</v>
      </c>
      <c r="BC1214" s="23">
        <v>487</v>
      </c>
      <c r="BD1214" s="130">
        <f t="shared" si="395"/>
        <v>950</v>
      </c>
      <c r="BE1214" s="130">
        <f t="shared" si="396"/>
        <v>487</v>
      </c>
      <c r="BF1214" s="195">
        <f t="shared" si="397"/>
        <v>195.0718685831622</v>
      </c>
      <c r="BG1214" s="373">
        <f t="shared" si="399"/>
        <v>-463</v>
      </c>
    </row>
    <row r="1215" spans="1:59" s="21" customFormat="1" ht="15.95" customHeight="1">
      <c r="A1215" s="176">
        <v>124</v>
      </c>
      <c r="B1215" s="31" t="s">
        <v>1088</v>
      </c>
      <c r="C1215" s="32" t="s">
        <v>2084</v>
      </c>
      <c r="D1215" s="231"/>
      <c r="E1215" s="231"/>
      <c r="F1215" s="231"/>
      <c r="G1215" s="231"/>
      <c r="H1215" s="231"/>
      <c r="I1215" s="231"/>
      <c r="J1215" s="231"/>
      <c r="K1215" s="231"/>
      <c r="L1215" s="231"/>
      <c r="M1215" s="231"/>
      <c r="N1215" s="231"/>
      <c r="O1215" s="231"/>
      <c r="P1215" s="231"/>
      <c r="Q1215" s="231"/>
      <c r="R1215" s="231"/>
      <c r="S1215" s="231"/>
      <c r="T1215" s="231"/>
      <c r="U1215" s="231"/>
      <c r="V1215" s="231"/>
      <c r="W1215" s="231"/>
      <c r="X1215" s="231"/>
      <c r="Y1215" s="231"/>
      <c r="Z1215" s="231"/>
      <c r="AA1215" s="231"/>
      <c r="AB1215" s="22">
        <f t="shared" si="393"/>
        <v>0</v>
      </c>
      <c r="AC1215" s="23">
        <v>0</v>
      </c>
      <c r="AD1215" s="35"/>
      <c r="AE1215" s="35"/>
      <c r="AF1215" s="35"/>
      <c r="AG1215" s="35"/>
      <c r="AH1215" s="35"/>
      <c r="AI1215" s="35"/>
      <c r="AJ1215" s="35"/>
      <c r="AK1215" s="35"/>
      <c r="AL1215" s="35">
        <v>7</v>
      </c>
      <c r="AM1215" s="35"/>
      <c r="AN1215" s="35"/>
      <c r="AO1215" s="35"/>
      <c r="AP1215" s="35">
        <v>7</v>
      </c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22">
        <f t="shared" si="394"/>
        <v>14</v>
      </c>
      <c r="BC1215" s="23">
        <v>22</v>
      </c>
      <c r="BD1215" s="130">
        <f t="shared" si="395"/>
        <v>14</v>
      </c>
      <c r="BE1215" s="130">
        <f t="shared" si="396"/>
        <v>22</v>
      </c>
      <c r="BF1215" s="195">
        <f t="shared" si="397"/>
        <v>63.636363636363633</v>
      </c>
      <c r="BG1215" s="373">
        <f t="shared" si="399"/>
        <v>8</v>
      </c>
    </row>
    <row r="1216" spans="1:59" s="21" customFormat="1" ht="15.95" customHeight="1">
      <c r="A1216" s="176">
        <v>125</v>
      </c>
      <c r="B1216" s="31" t="s">
        <v>1773</v>
      </c>
      <c r="C1216" s="32" t="s">
        <v>3460</v>
      </c>
      <c r="D1216" s="323"/>
      <c r="E1216" s="323"/>
      <c r="F1216" s="323"/>
      <c r="G1216" s="323"/>
      <c r="H1216" s="323"/>
      <c r="I1216" s="323"/>
      <c r="J1216" s="323"/>
      <c r="K1216" s="323"/>
      <c r="L1216" s="323"/>
      <c r="M1216" s="323"/>
      <c r="N1216" s="323"/>
      <c r="O1216" s="323"/>
      <c r="P1216" s="323"/>
      <c r="Q1216" s="323"/>
      <c r="R1216" s="323"/>
      <c r="S1216" s="323"/>
      <c r="T1216" s="323"/>
      <c r="U1216" s="323"/>
      <c r="V1216" s="323"/>
      <c r="W1216" s="323"/>
      <c r="X1216" s="323"/>
      <c r="Y1216" s="323"/>
      <c r="Z1216" s="323"/>
      <c r="AA1216" s="323"/>
      <c r="AB1216" s="22">
        <f t="shared" si="393"/>
        <v>0</v>
      </c>
      <c r="AC1216" s="23">
        <v>0</v>
      </c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/>
      <c r="AV1216" s="33"/>
      <c r="AW1216" s="33"/>
      <c r="AX1216" s="33"/>
      <c r="AY1216" s="33"/>
      <c r="AZ1216" s="33"/>
      <c r="BA1216" s="33"/>
      <c r="BB1216" s="22">
        <f t="shared" si="394"/>
        <v>0</v>
      </c>
      <c r="BC1216" s="23">
        <v>45</v>
      </c>
      <c r="BD1216" s="130">
        <f t="shared" si="395"/>
        <v>0</v>
      </c>
      <c r="BE1216" s="130">
        <f t="shared" si="396"/>
        <v>45</v>
      </c>
      <c r="BF1216" s="195">
        <f t="shared" si="397"/>
        <v>0</v>
      </c>
      <c r="BG1216" s="373">
        <f t="shared" si="399"/>
        <v>45</v>
      </c>
    </row>
    <row r="1217" spans="1:59" s="21" customFormat="1" ht="15.95" customHeight="1">
      <c r="A1217" s="176">
        <v>126</v>
      </c>
      <c r="B1217" s="31" t="s">
        <v>1018</v>
      </c>
      <c r="C1217" s="32" t="s">
        <v>1019</v>
      </c>
      <c r="D1217" s="336"/>
      <c r="E1217" s="336"/>
      <c r="F1217" s="336"/>
      <c r="G1217" s="336"/>
      <c r="H1217" s="336"/>
      <c r="I1217" s="336"/>
      <c r="J1217" s="336"/>
      <c r="K1217" s="336"/>
      <c r="L1217" s="336"/>
      <c r="M1217" s="336"/>
      <c r="N1217" s="336"/>
      <c r="O1217" s="336"/>
      <c r="P1217" s="336"/>
      <c r="Q1217" s="336"/>
      <c r="R1217" s="336"/>
      <c r="S1217" s="336"/>
      <c r="T1217" s="336"/>
      <c r="U1217" s="336"/>
      <c r="V1217" s="336"/>
      <c r="W1217" s="336"/>
      <c r="X1217" s="336"/>
      <c r="Y1217" s="336"/>
      <c r="Z1217" s="336"/>
      <c r="AA1217" s="336"/>
      <c r="AB1217" s="22">
        <f t="shared" si="393"/>
        <v>0</v>
      </c>
      <c r="AC1217" s="23">
        <v>0</v>
      </c>
      <c r="AD1217" s="35"/>
      <c r="AE1217" s="35"/>
      <c r="AF1217" s="35"/>
      <c r="AG1217" s="35"/>
      <c r="AH1217" s="35"/>
      <c r="AI1217" s="35"/>
      <c r="AJ1217" s="35"/>
      <c r="AK1217" s="35"/>
      <c r="AL1217" s="35">
        <v>3</v>
      </c>
      <c r="AM1217" s="35"/>
      <c r="AN1217" s="35"/>
      <c r="AO1217" s="35"/>
      <c r="AP1217" s="35">
        <v>3</v>
      </c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22">
        <f t="shared" si="394"/>
        <v>6</v>
      </c>
      <c r="BC1217" s="23">
        <v>7</v>
      </c>
      <c r="BD1217" s="130">
        <f t="shared" si="395"/>
        <v>6</v>
      </c>
      <c r="BE1217" s="130">
        <f t="shared" si="396"/>
        <v>7</v>
      </c>
      <c r="BF1217" s="195">
        <f t="shared" si="397"/>
        <v>85.714285714285708</v>
      </c>
      <c r="BG1217" s="373">
        <f t="shared" si="399"/>
        <v>1</v>
      </c>
    </row>
    <row r="1218" spans="1:59" s="21" customFormat="1" ht="15.95" customHeight="1">
      <c r="A1218" s="176">
        <v>127</v>
      </c>
      <c r="B1218" s="31" t="s">
        <v>3991</v>
      </c>
      <c r="C1218" s="32" t="s">
        <v>3992</v>
      </c>
      <c r="D1218" s="550"/>
      <c r="E1218" s="550"/>
      <c r="F1218" s="550"/>
      <c r="G1218" s="550"/>
      <c r="H1218" s="550"/>
      <c r="I1218" s="550"/>
      <c r="J1218" s="550"/>
      <c r="K1218" s="550"/>
      <c r="L1218" s="550"/>
      <c r="M1218" s="550"/>
      <c r="N1218" s="550"/>
      <c r="O1218" s="550"/>
      <c r="P1218" s="550"/>
      <c r="Q1218" s="550"/>
      <c r="R1218" s="550"/>
      <c r="S1218" s="550"/>
      <c r="T1218" s="550"/>
      <c r="U1218" s="550"/>
      <c r="V1218" s="550"/>
      <c r="W1218" s="550"/>
      <c r="X1218" s="550"/>
      <c r="Y1218" s="550"/>
      <c r="Z1218" s="550"/>
      <c r="AA1218" s="550"/>
      <c r="AB1218" s="22">
        <f t="shared" si="393"/>
        <v>0</v>
      </c>
      <c r="AC1218" s="23">
        <v>0</v>
      </c>
      <c r="AD1218" s="35"/>
      <c r="AE1218" s="35"/>
      <c r="AF1218" s="35"/>
      <c r="AG1218" s="35"/>
      <c r="AH1218" s="35"/>
      <c r="AI1218" s="35"/>
      <c r="AJ1218" s="35"/>
      <c r="AK1218" s="35"/>
      <c r="AL1218" s="35">
        <v>3</v>
      </c>
      <c r="AM1218" s="35"/>
      <c r="AN1218" s="35"/>
      <c r="AO1218" s="35"/>
      <c r="AP1218" s="35">
        <v>306</v>
      </c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22">
        <f t="shared" si="394"/>
        <v>309</v>
      </c>
      <c r="BC1218" s="23">
        <v>0</v>
      </c>
      <c r="BD1218" s="130">
        <f t="shared" si="395"/>
        <v>309</v>
      </c>
      <c r="BE1218" s="130">
        <f t="shared" si="396"/>
        <v>0</v>
      </c>
      <c r="BF1218" s="195" t="e">
        <f t="shared" si="397"/>
        <v>#DIV/0!</v>
      </c>
      <c r="BG1218" s="373"/>
    </row>
    <row r="1219" spans="1:59" s="21" customFormat="1" ht="15.95" customHeight="1">
      <c r="A1219" s="176">
        <v>128</v>
      </c>
      <c r="B1219" s="31" t="s">
        <v>1051</v>
      </c>
      <c r="C1219" s="32" t="s">
        <v>1052</v>
      </c>
      <c r="D1219" s="574"/>
      <c r="E1219" s="574"/>
      <c r="F1219" s="574"/>
      <c r="G1219" s="574"/>
      <c r="H1219" s="574"/>
      <c r="I1219" s="574"/>
      <c r="J1219" s="574"/>
      <c r="K1219" s="574"/>
      <c r="L1219" s="574"/>
      <c r="M1219" s="574"/>
      <c r="N1219" s="574"/>
      <c r="O1219" s="574"/>
      <c r="P1219" s="574"/>
      <c r="Q1219" s="574"/>
      <c r="R1219" s="574"/>
      <c r="S1219" s="574"/>
      <c r="T1219" s="574"/>
      <c r="U1219" s="574"/>
      <c r="V1219" s="574"/>
      <c r="W1219" s="574"/>
      <c r="X1219" s="574"/>
      <c r="Y1219" s="574"/>
      <c r="Z1219" s="574"/>
      <c r="AA1219" s="574"/>
      <c r="AB1219" s="22">
        <f t="shared" si="393"/>
        <v>0</v>
      </c>
      <c r="AC1219" s="23">
        <v>0</v>
      </c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>
        <v>1</v>
      </c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22">
        <f t="shared" si="394"/>
        <v>1</v>
      </c>
      <c r="BC1219" s="23">
        <v>0</v>
      </c>
      <c r="BD1219" s="130">
        <f t="shared" si="395"/>
        <v>1</v>
      </c>
      <c r="BE1219" s="130">
        <f t="shared" si="396"/>
        <v>0</v>
      </c>
      <c r="BF1219" s="195" t="e">
        <f t="shared" si="397"/>
        <v>#DIV/0!</v>
      </c>
      <c r="BG1219" s="373"/>
    </row>
    <row r="1220" spans="1:59" s="21" customFormat="1" ht="15.95" customHeight="1">
      <c r="A1220" s="176">
        <v>129</v>
      </c>
      <c r="B1220" s="31" t="s">
        <v>1120</v>
      </c>
      <c r="C1220" s="32" t="s">
        <v>1121</v>
      </c>
      <c r="D1220" s="574"/>
      <c r="E1220" s="574"/>
      <c r="F1220" s="574"/>
      <c r="G1220" s="574"/>
      <c r="H1220" s="574"/>
      <c r="I1220" s="574"/>
      <c r="J1220" s="574"/>
      <c r="K1220" s="574"/>
      <c r="L1220" s="574"/>
      <c r="M1220" s="574"/>
      <c r="N1220" s="574"/>
      <c r="O1220" s="574"/>
      <c r="P1220" s="574"/>
      <c r="Q1220" s="574"/>
      <c r="R1220" s="574"/>
      <c r="S1220" s="574"/>
      <c r="T1220" s="574"/>
      <c r="U1220" s="574"/>
      <c r="V1220" s="574"/>
      <c r="W1220" s="574"/>
      <c r="X1220" s="574"/>
      <c r="Y1220" s="574"/>
      <c r="Z1220" s="574"/>
      <c r="AA1220" s="574"/>
      <c r="AB1220" s="22">
        <f t="shared" si="393"/>
        <v>0</v>
      </c>
      <c r="AC1220" s="23">
        <v>0</v>
      </c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>
        <v>2</v>
      </c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22">
        <f t="shared" si="394"/>
        <v>2</v>
      </c>
      <c r="BC1220" s="23">
        <v>0</v>
      </c>
      <c r="BD1220" s="130">
        <f t="shared" si="395"/>
        <v>2</v>
      </c>
      <c r="BE1220" s="130">
        <f t="shared" si="396"/>
        <v>0</v>
      </c>
      <c r="BF1220" s="195" t="e">
        <f t="shared" si="397"/>
        <v>#DIV/0!</v>
      </c>
      <c r="BG1220" s="373"/>
    </row>
    <row r="1221" spans="1:59" s="21" customFormat="1" ht="15.95" customHeight="1">
      <c r="A1221" s="176">
        <v>130</v>
      </c>
      <c r="B1221" s="31" t="s">
        <v>854</v>
      </c>
      <c r="C1221" s="32" t="s">
        <v>855</v>
      </c>
      <c r="D1221" s="231"/>
      <c r="E1221" s="231"/>
      <c r="F1221" s="231"/>
      <c r="G1221" s="231"/>
      <c r="H1221" s="231"/>
      <c r="I1221" s="231"/>
      <c r="J1221" s="231"/>
      <c r="K1221" s="231"/>
      <c r="L1221" s="231"/>
      <c r="M1221" s="231"/>
      <c r="N1221" s="231"/>
      <c r="O1221" s="231"/>
      <c r="P1221" s="231"/>
      <c r="Q1221" s="231"/>
      <c r="R1221" s="231"/>
      <c r="S1221" s="231"/>
      <c r="T1221" s="231"/>
      <c r="U1221" s="231"/>
      <c r="V1221" s="231"/>
      <c r="W1221" s="231"/>
      <c r="X1221" s="231"/>
      <c r="Y1221" s="231"/>
      <c r="Z1221" s="231"/>
      <c r="AA1221" s="231"/>
      <c r="AB1221" s="22">
        <f t="shared" ref="AB1221:AB1252" si="400">SUM(D1221:AA1221)</f>
        <v>0</v>
      </c>
      <c r="AC1221" s="23">
        <v>0</v>
      </c>
      <c r="AD1221" s="35"/>
      <c r="AE1221" s="35"/>
      <c r="AF1221" s="35"/>
      <c r="AG1221" s="35"/>
      <c r="AH1221" s="35">
        <v>4</v>
      </c>
      <c r="AI1221" s="35"/>
      <c r="AJ1221" s="35"/>
      <c r="AK1221" s="35"/>
      <c r="AL1221" s="35">
        <f>16+40</f>
        <v>56</v>
      </c>
      <c r="AM1221" s="35"/>
      <c r="AN1221" s="35"/>
      <c r="AO1221" s="35"/>
      <c r="AP1221" s="35">
        <f>18+1</f>
        <v>19</v>
      </c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22">
        <f t="shared" ref="BB1221:BB1252" si="401">SUM(AD1221:BA1221)</f>
        <v>79</v>
      </c>
      <c r="BC1221" s="23">
        <v>67</v>
      </c>
      <c r="BD1221" s="130">
        <f t="shared" ref="BD1221:BD1257" si="402">AB1221+BB1221</f>
        <v>79</v>
      </c>
      <c r="BE1221" s="130">
        <f t="shared" ref="BE1221:BE1257" si="403">AC1221+BC1221</f>
        <v>67</v>
      </c>
      <c r="BF1221" s="195">
        <f t="shared" ref="BF1221:BF1252" si="404">BD1221/BE1221*100</f>
        <v>117.91044776119404</v>
      </c>
      <c r="BG1221" s="373">
        <f t="shared" ref="BG1221:BG1257" si="405">BE1221-BD1221</f>
        <v>-12</v>
      </c>
    </row>
    <row r="1222" spans="1:59" s="21" customFormat="1" ht="15.95" customHeight="1">
      <c r="A1222" s="176">
        <v>131</v>
      </c>
      <c r="B1222" s="31" t="s">
        <v>2300</v>
      </c>
      <c r="C1222" s="34" t="s">
        <v>2906</v>
      </c>
      <c r="D1222" s="231"/>
      <c r="E1222" s="231"/>
      <c r="F1222" s="231"/>
      <c r="G1222" s="231"/>
      <c r="H1222" s="231"/>
      <c r="I1222" s="231"/>
      <c r="J1222" s="231"/>
      <c r="K1222" s="231"/>
      <c r="L1222" s="231"/>
      <c r="M1222" s="231"/>
      <c r="N1222" s="231"/>
      <c r="O1222" s="231"/>
      <c r="P1222" s="231"/>
      <c r="Q1222" s="231"/>
      <c r="R1222" s="231"/>
      <c r="S1222" s="231"/>
      <c r="T1222" s="231"/>
      <c r="U1222" s="231"/>
      <c r="V1222" s="231"/>
      <c r="W1222" s="231"/>
      <c r="X1222" s="231"/>
      <c r="Y1222" s="231"/>
      <c r="Z1222" s="231"/>
      <c r="AA1222" s="231"/>
      <c r="AB1222" s="22">
        <f t="shared" si="400"/>
        <v>0</v>
      </c>
      <c r="AC1222" s="23">
        <v>0</v>
      </c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22">
        <f t="shared" si="401"/>
        <v>0</v>
      </c>
      <c r="BC1222" s="23">
        <v>3</v>
      </c>
      <c r="BD1222" s="130">
        <f t="shared" si="402"/>
        <v>0</v>
      </c>
      <c r="BE1222" s="130">
        <f t="shared" si="403"/>
        <v>3</v>
      </c>
      <c r="BF1222" s="195">
        <f t="shared" si="404"/>
        <v>0</v>
      </c>
      <c r="BG1222" s="373">
        <f t="shared" si="405"/>
        <v>3</v>
      </c>
    </row>
    <row r="1223" spans="1:59" s="21" customFormat="1" ht="15.95" customHeight="1">
      <c r="A1223" s="176">
        <v>132</v>
      </c>
      <c r="B1223" s="31" t="s">
        <v>974</v>
      </c>
      <c r="C1223" s="36" t="s">
        <v>1606</v>
      </c>
      <c r="D1223" s="231"/>
      <c r="E1223" s="231"/>
      <c r="F1223" s="231"/>
      <c r="G1223" s="231"/>
      <c r="H1223" s="231"/>
      <c r="I1223" s="231"/>
      <c r="J1223" s="231"/>
      <c r="K1223" s="231"/>
      <c r="L1223" s="231"/>
      <c r="M1223" s="231"/>
      <c r="N1223" s="231"/>
      <c r="O1223" s="231"/>
      <c r="P1223" s="231"/>
      <c r="Q1223" s="231"/>
      <c r="R1223" s="231"/>
      <c r="S1223" s="231"/>
      <c r="T1223" s="231"/>
      <c r="U1223" s="231"/>
      <c r="V1223" s="231"/>
      <c r="W1223" s="231"/>
      <c r="X1223" s="231"/>
      <c r="Y1223" s="231"/>
      <c r="Z1223" s="231"/>
      <c r="AA1223" s="231"/>
      <c r="AB1223" s="22">
        <f t="shared" si="400"/>
        <v>0</v>
      </c>
      <c r="AC1223" s="23">
        <v>0</v>
      </c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22">
        <f t="shared" si="401"/>
        <v>0</v>
      </c>
      <c r="BC1223" s="23">
        <v>74</v>
      </c>
      <c r="BD1223" s="130">
        <f t="shared" si="402"/>
        <v>0</v>
      </c>
      <c r="BE1223" s="130">
        <f t="shared" si="403"/>
        <v>74</v>
      </c>
      <c r="BF1223" s="195">
        <f t="shared" si="404"/>
        <v>0</v>
      </c>
      <c r="BG1223" s="373">
        <f t="shared" si="405"/>
        <v>74</v>
      </c>
    </row>
    <row r="1224" spans="1:59" s="21" customFormat="1" ht="15.95" customHeight="1">
      <c r="A1224" s="176">
        <v>133</v>
      </c>
      <c r="B1224" s="31" t="s">
        <v>1056</v>
      </c>
      <c r="C1224" s="34" t="s">
        <v>1057</v>
      </c>
      <c r="D1224" s="288"/>
      <c r="E1224" s="288"/>
      <c r="F1224" s="288"/>
      <c r="G1224" s="288"/>
      <c r="H1224" s="288"/>
      <c r="I1224" s="288"/>
      <c r="J1224" s="288"/>
      <c r="K1224" s="288"/>
      <c r="L1224" s="288"/>
      <c r="M1224" s="288"/>
      <c r="N1224" s="288"/>
      <c r="O1224" s="288"/>
      <c r="P1224" s="288"/>
      <c r="Q1224" s="288"/>
      <c r="R1224" s="288"/>
      <c r="S1224" s="288"/>
      <c r="T1224" s="288"/>
      <c r="U1224" s="288"/>
      <c r="V1224" s="288"/>
      <c r="W1224" s="288"/>
      <c r="X1224" s="288"/>
      <c r="Y1224" s="288"/>
      <c r="Z1224" s="288"/>
      <c r="AA1224" s="288"/>
      <c r="AB1224" s="22">
        <f t="shared" si="400"/>
        <v>0</v>
      </c>
      <c r="AC1224" s="23">
        <v>0</v>
      </c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22">
        <f t="shared" si="401"/>
        <v>0</v>
      </c>
      <c r="BC1224" s="23">
        <v>2</v>
      </c>
      <c r="BD1224" s="130">
        <f t="shared" si="402"/>
        <v>0</v>
      </c>
      <c r="BE1224" s="130">
        <f t="shared" si="403"/>
        <v>2</v>
      </c>
      <c r="BF1224" s="195">
        <f t="shared" si="404"/>
        <v>0</v>
      </c>
      <c r="BG1224" s="373">
        <f t="shared" si="405"/>
        <v>2</v>
      </c>
    </row>
    <row r="1225" spans="1:59" s="21" customFormat="1" ht="15.95" customHeight="1">
      <c r="A1225" s="176">
        <v>134</v>
      </c>
      <c r="B1225" s="31" t="s">
        <v>856</v>
      </c>
      <c r="C1225" s="34" t="s">
        <v>857</v>
      </c>
      <c r="D1225" s="231"/>
      <c r="E1225" s="231"/>
      <c r="F1225" s="231"/>
      <c r="G1225" s="231"/>
      <c r="H1225" s="231"/>
      <c r="I1225" s="231"/>
      <c r="J1225" s="231"/>
      <c r="K1225" s="231"/>
      <c r="L1225" s="231"/>
      <c r="M1225" s="231"/>
      <c r="N1225" s="231"/>
      <c r="O1225" s="231"/>
      <c r="P1225" s="231"/>
      <c r="Q1225" s="231"/>
      <c r="R1225" s="231"/>
      <c r="S1225" s="231"/>
      <c r="T1225" s="231"/>
      <c r="U1225" s="231"/>
      <c r="V1225" s="231"/>
      <c r="W1225" s="231"/>
      <c r="X1225" s="231"/>
      <c r="Y1225" s="231"/>
      <c r="Z1225" s="231"/>
      <c r="AA1225" s="231"/>
      <c r="AB1225" s="22">
        <f t="shared" si="400"/>
        <v>0</v>
      </c>
      <c r="AC1225" s="23">
        <v>0</v>
      </c>
      <c r="AD1225" s="35"/>
      <c r="AE1225" s="35"/>
      <c r="AF1225" s="35"/>
      <c r="AG1225" s="35"/>
      <c r="AH1225" s="35">
        <v>26</v>
      </c>
      <c r="AI1225" s="35"/>
      <c r="AJ1225" s="35"/>
      <c r="AK1225" s="35"/>
      <c r="AL1225" s="35">
        <f>1+945</f>
        <v>946</v>
      </c>
      <c r="AM1225" s="35"/>
      <c r="AN1225" s="35"/>
      <c r="AO1225" s="35"/>
      <c r="AP1225" s="35">
        <v>866</v>
      </c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22">
        <f t="shared" si="401"/>
        <v>1838</v>
      </c>
      <c r="BC1225" s="23">
        <v>3110</v>
      </c>
      <c r="BD1225" s="130">
        <f t="shared" si="402"/>
        <v>1838</v>
      </c>
      <c r="BE1225" s="130">
        <f t="shared" si="403"/>
        <v>3110</v>
      </c>
      <c r="BF1225" s="195">
        <f t="shared" si="404"/>
        <v>59.09967845659164</v>
      </c>
      <c r="BG1225" s="373">
        <f t="shared" si="405"/>
        <v>1272</v>
      </c>
    </row>
    <row r="1226" spans="1:59" s="21" customFormat="1" ht="18" customHeight="1">
      <c r="A1226" s="176">
        <v>135</v>
      </c>
      <c r="B1226" s="31" t="s">
        <v>1022</v>
      </c>
      <c r="C1226" s="34" t="s">
        <v>2017</v>
      </c>
      <c r="D1226" s="231"/>
      <c r="E1226" s="231"/>
      <c r="F1226" s="231"/>
      <c r="G1226" s="231"/>
      <c r="H1226" s="231"/>
      <c r="I1226" s="231"/>
      <c r="J1226" s="231"/>
      <c r="K1226" s="231"/>
      <c r="L1226" s="231"/>
      <c r="M1226" s="231"/>
      <c r="N1226" s="231"/>
      <c r="O1226" s="231"/>
      <c r="P1226" s="231"/>
      <c r="Q1226" s="231"/>
      <c r="R1226" s="231"/>
      <c r="S1226" s="231"/>
      <c r="T1226" s="231"/>
      <c r="U1226" s="231"/>
      <c r="V1226" s="231"/>
      <c r="W1226" s="231"/>
      <c r="X1226" s="231"/>
      <c r="Y1226" s="231"/>
      <c r="Z1226" s="231"/>
      <c r="AA1226" s="231"/>
      <c r="AB1226" s="22">
        <f t="shared" si="400"/>
        <v>0</v>
      </c>
      <c r="AC1226" s="23">
        <v>0</v>
      </c>
      <c r="AD1226" s="35"/>
      <c r="AE1226" s="35"/>
      <c r="AF1226" s="35"/>
      <c r="AG1226" s="35"/>
      <c r="AH1226" s="35">
        <v>8</v>
      </c>
      <c r="AI1226" s="35"/>
      <c r="AJ1226" s="35"/>
      <c r="AK1226" s="35"/>
      <c r="AL1226" s="35">
        <v>177</v>
      </c>
      <c r="AM1226" s="35"/>
      <c r="AN1226" s="35"/>
      <c r="AO1226" s="35"/>
      <c r="AP1226" s="35">
        <v>297</v>
      </c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22">
        <f t="shared" si="401"/>
        <v>482</v>
      </c>
      <c r="BC1226" s="23">
        <v>290</v>
      </c>
      <c r="BD1226" s="130">
        <f t="shared" si="402"/>
        <v>482</v>
      </c>
      <c r="BE1226" s="130">
        <f t="shared" si="403"/>
        <v>290</v>
      </c>
      <c r="BF1226" s="195">
        <f t="shared" si="404"/>
        <v>166.20689655172413</v>
      </c>
      <c r="BG1226" s="373">
        <f t="shared" si="405"/>
        <v>-192</v>
      </c>
    </row>
    <row r="1227" spans="1:59" s="21" customFormat="1" ht="18" customHeight="1">
      <c r="A1227" s="176">
        <v>136</v>
      </c>
      <c r="B1227" s="31" t="s">
        <v>1024</v>
      </c>
      <c r="C1227" s="34" t="s">
        <v>1025</v>
      </c>
      <c r="D1227" s="231"/>
      <c r="E1227" s="231"/>
      <c r="F1227" s="231"/>
      <c r="G1227" s="231"/>
      <c r="H1227" s="231"/>
      <c r="I1227" s="231"/>
      <c r="J1227" s="231"/>
      <c r="K1227" s="231"/>
      <c r="L1227" s="231"/>
      <c r="M1227" s="231"/>
      <c r="N1227" s="231"/>
      <c r="O1227" s="231"/>
      <c r="P1227" s="231"/>
      <c r="Q1227" s="231"/>
      <c r="R1227" s="231"/>
      <c r="S1227" s="231"/>
      <c r="T1227" s="231"/>
      <c r="U1227" s="231"/>
      <c r="V1227" s="231"/>
      <c r="W1227" s="231"/>
      <c r="X1227" s="231"/>
      <c r="Y1227" s="231"/>
      <c r="Z1227" s="231"/>
      <c r="AA1227" s="231"/>
      <c r="AB1227" s="22">
        <f t="shared" si="400"/>
        <v>0</v>
      </c>
      <c r="AC1227" s="23">
        <v>0</v>
      </c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22">
        <f t="shared" si="401"/>
        <v>0</v>
      </c>
      <c r="BC1227" s="23">
        <v>3</v>
      </c>
      <c r="BD1227" s="130">
        <f t="shared" si="402"/>
        <v>0</v>
      </c>
      <c r="BE1227" s="130">
        <f t="shared" si="403"/>
        <v>3</v>
      </c>
      <c r="BF1227" s="195">
        <f t="shared" si="404"/>
        <v>0</v>
      </c>
      <c r="BG1227" s="373">
        <f t="shared" si="405"/>
        <v>3</v>
      </c>
    </row>
    <row r="1228" spans="1:59" s="21" customFormat="1" ht="21.75" customHeight="1">
      <c r="A1228" s="176">
        <v>137</v>
      </c>
      <c r="B1228" s="31" t="s">
        <v>1059</v>
      </c>
      <c r="C1228" s="34" t="s">
        <v>2021</v>
      </c>
      <c r="D1228" s="231"/>
      <c r="E1228" s="231"/>
      <c r="F1228" s="231"/>
      <c r="G1228" s="231"/>
      <c r="H1228" s="231"/>
      <c r="I1228" s="231"/>
      <c r="J1228" s="231"/>
      <c r="K1228" s="231"/>
      <c r="L1228" s="231"/>
      <c r="M1228" s="231"/>
      <c r="N1228" s="231"/>
      <c r="O1228" s="231"/>
      <c r="P1228" s="231"/>
      <c r="Q1228" s="231"/>
      <c r="R1228" s="231"/>
      <c r="S1228" s="231"/>
      <c r="T1228" s="231"/>
      <c r="U1228" s="231"/>
      <c r="V1228" s="231"/>
      <c r="W1228" s="231"/>
      <c r="X1228" s="231"/>
      <c r="Y1228" s="231"/>
      <c r="Z1228" s="231"/>
      <c r="AA1228" s="231"/>
      <c r="AB1228" s="22">
        <f t="shared" si="400"/>
        <v>0</v>
      </c>
      <c r="AC1228" s="23">
        <v>0</v>
      </c>
      <c r="AD1228" s="35"/>
      <c r="AE1228" s="35"/>
      <c r="AF1228" s="35"/>
      <c r="AG1228" s="35"/>
      <c r="AH1228" s="35">
        <v>14</v>
      </c>
      <c r="AI1228" s="35"/>
      <c r="AJ1228" s="35"/>
      <c r="AK1228" s="35"/>
      <c r="AL1228" s="35">
        <v>30</v>
      </c>
      <c r="AM1228" s="35"/>
      <c r="AN1228" s="35"/>
      <c r="AO1228" s="35"/>
      <c r="AP1228" s="35">
        <v>50</v>
      </c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22">
        <f t="shared" si="401"/>
        <v>94</v>
      </c>
      <c r="BC1228" s="23">
        <v>68</v>
      </c>
      <c r="BD1228" s="130">
        <f t="shared" si="402"/>
        <v>94</v>
      </c>
      <c r="BE1228" s="130">
        <f t="shared" si="403"/>
        <v>68</v>
      </c>
      <c r="BF1228" s="195">
        <f t="shared" si="404"/>
        <v>138.23529411764704</v>
      </c>
      <c r="BG1228" s="373">
        <f t="shared" si="405"/>
        <v>-26</v>
      </c>
    </row>
    <row r="1229" spans="1:59" s="21" customFormat="1" ht="15" customHeight="1">
      <c r="A1229" s="176">
        <v>138</v>
      </c>
      <c r="B1229" s="31" t="s">
        <v>1209</v>
      </c>
      <c r="C1229" s="34" t="s">
        <v>1645</v>
      </c>
      <c r="D1229" s="231"/>
      <c r="E1229" s="231"/>
      <c r="F1229" s="231"/>
      <c r="G1229" s="231"/>
      <c r="H1229" s="231"/>
      <c r="I1229" s="231"/>
      <c r="J1229" s="231"/>
      <c r="K1229" s="231"/>
      <c r="L1229" s="231"/>
      <c r="M1229" s="231"/>
      <c r="N1229" s="231"/>
      <c r="O1229" s="231"/>
      <c r="P1229" s="231"/>
      <c r="Q1229" s="231"/>
      <c r="R1229" s="231"/>
      <c r="S1229" s="231"/>
      <c r="T1229" s="231"/>
      <c r="U1229" s="231"/>
      <c r="V1229" s="231"/>
      <c r="W1229" s="231"/>
      <c r="X1229" s="231"/>
      <c r="Y1229" s="231"/>
      <c r="Z1229" s="231"/>
      <c r="AA1229" s="231"/>
      <c r="AB1229" s="22">
        <f t="shared" si="400"/>
        <v>0</v>
      </c>
      <c r="AC1229" s="23">
        <v>0</v>
      </c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>
        <v>3</v>
      </c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22">
        <f t="shared" si="401"/>
        <v>3</v>
      </c>
      <c r="BC1229" s="23">
        <v>2</v>
      </c>
      <c r="BD1229" s="130">
        <f t="shared" si="402"/>
        <v>3</v>
      </c>
      <c r="BE1229" s="130">
        <f t="shared" si="403"/>
        <v>2</v>
      </c>
      <c r="BF1229" s="195">
        <f t="shared" si="404"/>
        <v>150</v>
      </c>
      <c r="BG1229" s="373">
        <f t="shared" si="405"/>
        <v>-1</v>
      </c>
    </row>
    <row r="1230" spans="1:59" s="21" customFormat="1" ht="21.75" customHeight="1">
      <c r="A1230" s="176">
        <v>139</v>
      </c>
      <c r="B1230" s="31" t="s">
        <v>858</v>
      </c>
      <c r="C1230" s="32" t="s">
        <v>859</v>
      </c>
      <c r="D1230" s="231">
        <v>3</v>
      </c>
      <c r="E1230" s="231"/>
      <c r="F1230" s="231"/>
      <c r="G1230" s="231"/>
      <c r="H1230" s="231"/>
      <c r="I1230" s="231"/>
      <c r="J1230" s="231"/>
      <c r="K1230" s="231"/>
      <c r="L1230" s="231">
        <v>3</v>
      </c>
      <c r="M1230" s="231"/>
      <c r="N1230" s="231"/>
      <c r="O1230" s="231"/>
      <c r="P1230" s="231"/>
      <c r="Q1230" s="231"/>
      <c r="R1230" s="231"/>
      <c r="S1230" s="231"/>
      <c r="T1230" s="231"/>
      <c r="U1230" s="231"/>
      <c r="V1230" s="231"/>
      <c r="W1230" s="231"/>
      <c r="X1230" s="231"/>
      <c r="Y1230" s="231"/>
      <c r="Z1230" s="231"/>
      <c r="AA1230" s="231"/>
      <c r="AB1230" s="22">
        <f t="shared" si="400"/>
        <v>6</v>
      </c>
      <c r="AC1230" s="23">
        <v>0</v>
      </c>
      <c r="AD1230" s="35"/>
      <c r="AE1230" s="35"/>
      <c r="AF1230" s="35"/>
      <c r="AG1230" s="35"/>
      <c r="AH1230" s="35">
        <f>17+6</f>
        <v>23</v>
      </c>
      <c r="AI1230" s="35"/>
      <c r="AJ1230" s="35"/>
      <c r="AK1230" s="35"/>
      <c r="AL1230" s="35">
        <f>203+21+1371</f>
        <v>1595</v>
      </c>
      <c r="AM1230" s="35"/>
      <c r="AN1230" s="35"/>
      <c r="AO1230" s="35"/>
      <c r="AP1230" s="35">
        <f>161+23</f>
        <v>184</v>
      </c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22">
        <f t="shared" si="401"/>
        <v>1802</v>
      </c>
      <c r="BC1230" s="23">
        <v>935</v>
      </c>
      <c r="BD1230" s="130">
        <f t="shared" si="402"/>
        <v>1808</v>
      </c>
      <c r="BE1230" s="130">
        <f t="shared" si="403"/>
        <v>935</v>
      </c>
      <c r="BF1230" s="195">
        <f t="shared" si="404"/>
        <v>193.36898395721926</v>
      </c>
      <c r="BG1230" s="373">
        <f t="shared" si="405"/>
        <v>-873</v>
      </c>
    </row>
    <row r="1231" spans="1:59" s="21" customFormat="1" ht="23.25" customHeight="1">
      <c r="A1231" s="176">
        <v>140</v>
      </c>
      <c r="B1231" s="437" t="s">
        <v>860</v>
      </c>
      <c r="C1231" s="438" t="s">
        <v>3049</v>
      </c>
      <c r="D1231" s="231"/>
      <c r="E1231" s="231"/>
      <c r="F1231" s="231"/>
      <c r="G1231" s="231"/>
      <c r="H1231" s="231"/>
      <c r="I1231" s="231"/>
      <c r="J1231" s="231"/>
      <c r="K1231" s="231"/>
      <c r="L1231" s="231">
        <v>1</v>
      </c>
      <c r="M1231" s="231"/>
      <c r="N1231" s="231"/>
      <c r="O1231" s="231"/>
      <c r="P1231" s="231">
        <f>11+6</f>
        <v>17</v>
      </c>
      <c r="Q1231" s="231"/>
      <c r="R1231" s="231"/>
      <c r="S1231" s="231"/>
      <c r="T1231" s="231"/>
      <c r="U1231" s="231"/>
      <c r="V1231" s="231"/>
      <c r="W1231" s="231"/>
      <c r="X1231" s="231"/>
      <c r="Y1231" s="231"/>
      <c r="Z1231" s="231"/>
      <c r="AA1231" s="231"/>
      <c r="AB1231" s="22">
        <f t="shared" si="400"/>
        <v>18</v>
      </c>
      <c r="AC1231" s="23">
        <f>5+27</f>
        <v>32</v>
      </c>
      <c r="AD1231" s="35">
        <v>32</v>
      </c>
      <c r="AE1231" s="35"/>
      <c r="AF1231" s="35"/>
      <c r="AG1231" s="35"/>
      <c r="AH1231" s="35">
        <f>1+787+129</f>
        <v>917</v>
      </c>
      <c r="AI1231" s="35"/>
      <c r="AJ1231" s="35"/>
      <c r="AK1231" s="35"/>
      <c r="AL1231" s="35">
        <f>2+17+5228+437+1+2543</f>
        <v>8228</v>
      </c>
      <c r="AM1231" s="35"/>
      <c r="AN1231" s="35"/>
      <c r="AO1231" s="35"/>
      <c r="AP1231" s="35">
        <f>22+5674+482+10+26+1</f>
        <v>6215</v>
      </c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22">
        <f t="shared" si="401"/>
        <v>15392</v>
      </c>
      <c r="BC1231" s="23">
        <f>439+53</f>
        <v>492</v>
      </c>
      <c r="BD1231" s="130">
        <f t="shared" si="402"/>
        <v>15410</v>
      </c>
      <c r="BE1231" s="538">
        <f t="shared" si="403"/>
        <v>524</v>
      </c>
      <c r="BF1231" s="195">
        <f t="shared" si="404"/>
        <v>2940.8396946564885</v>
      </c>
      <c r="BG1231" s="373">
        <f t="shared" si="405"/>
        <v>-14886</v>
      </c>
    </row>
    <row r="1232" spans="1:59" s="21" customFormat="1" ht="21.75" customHeight="1">
      <c r="A1232" s="176">
        <v>141</v>
      </c>
      <c r="B1232" s="31" t="s">
        <v>860</v>
      </c>
      <c r="C1232" s="32" t="s">
        <v>861</v>
      </c>
      <c r="D1232" s="231"/>
      <c r="E1232" s="231"/>
      <c r="F1232" s="231"/>
      <c r="G1232" s="231"/>
      <c r="H1232" s="231"/>
      <c r="I1232" s="231"/>
      <c r="J1232" s="231"/>
      <c r="K1232" s="231"/>
      <c r="L1232" s="231">
        <f>1+1</f>
        <v>2</v>
      </c>
      <c r="M1232" s="231"/>
      <c r="N1232" s="231"/>
      <c r="O1232" s="231"/>
      <c r="P1232" s="231"/>
      <c r="Q1232" s="231"/>
      <c r="R1232" s="231"/>
      <c r="S1232" s="231"/>
      <c r="T1232" s="231"/>
      <c r="U1232" s="231"/>
      <c r="V1232" s="231"/>
      <c r="W1232" s="231"/>
      <c r="X1232" s="231"/>
      <c r="Y1232" s="231"/>
      <c r="Z1232" s="231"/>
      <c r="AA1232" s="231"/>
      <c r="AB1232" s="22">
        <f t="shared" si="400"/>
        <v>2</v>
      </c>
      <c r="AC1232" s="23">
        <v>8</v>
      </c>
      <c r="AD1232" s="35"/>
      <c r="AE1232" s="35"/>
      <c r="AF1232" s="35"/>
      <c r="AG1232" s="35"/>
      <c r="AH1232" s="35"/>
      <c r="AI1232" s="35"/>
      <c r="AJ1232" s="35"/>
      <c r="AK1232" s="35"/>
      <c r="AL1232" s="35">
        <f>1+7</f>
        <v>8</v>
      </c>
      <c r="AM1232" s="35"/>
      <c r="AN1232" s="35"/>
      <c r="AO1232" s="35"/>
      <c r="AP1232" s="35">
        <v>2</v>
      </c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22">
        <f t="shared" si="401"/>
        <v>10</v>
      </c>
      <c r="BC1232" s="23">
        <v>20930</v>
      </c>
      <c r="BD1232" s="130">
        <f t="shared" si="402"/>
        <v>12</v>
      </c>
      <c r="BE1232" s="130">
        <f t="shared" si="403"/>
        <v>20938</v>
      </c>
      <c r="BF1232" s="195">
        <f t="shared" si="404"/>
        <v>5.7312064189511895E-2</v>
      </c>
      <c r="BG1232" s="373">
        <f t="shared" si="405"/>
        <v>20926</v>
      </c>
    </row>
    <row r="1233" spans="1:59" s="21" customFormat="1" ht="21.75" customHeight="1">
      <c r="A1233" s="176">
        <v>142</v>
      </c>
      <c r="B1233" s="31" t="s">
        <v>862</v>
      </c>
      <c r="C1233" s="34" t="s">
        <v>2022</v>
      </c>
      <c r="D1233" s="231"/>
      <c r="E1233" s="231"/>
      <c r="F1233" s="231"/>
      <c r="G1233" s="231"/>
      <c r="H1233" s="231"/>
      <c r="I1233" s="231"/>
      <c r="J1233" s="231"/>
      <c r="K1233" s="231"/>
      <c r="L1233" s="231"/>
      <c r="M1233" s="231"/>
      <c r="N1233" s="231"/>
      <c r="O1233" s="231"/>
      <c r="P1233" s="231"/>
      <c r="Q1233" s="231"/>
      <c r="R1233" s="231"/>
      <c r="S1233" s="231"/>
      <c r="T1233" s="231"/>
      <c r="U1233" s="231"/>
      <c r="V1233" s="231"/>
      <c r="W1233" s="231"/>
      <c r="X1233" s="231"/>
      <c r="Y1233" s="231"/>
      <c r="Z1233" s="231"/>
      <c r="AA1233" s="231"/>
      <c r="AB1233" s="22">
        <f t="shared" si="400"/>
        <v>0</v>
      </c>
      <c r="AC1233" s="23">
        <v>0</v>
      </c>
      <c r="AD1233" s="35"/>
      <c r="AE1233" s="35"/>
      <c r="AF1233" s="35"/>
      <c r="AG1233" s="35"/>
      <c r="AH1233" s="35"/>
      <c r="AI1233" s="35"/>
      <c r="AJ1233" s="35"/>
      <c r="AK1233" s="35"/>
      <c r="AL1233" s="35">
        <v>1232</v>
      </c>
      <c r="AM1233" s="35"/>
      <c r="AN1233" s="35"/>
      <c r="AO1233" s="35"/>
      <c r="AP1233" s="35">
        <v>1</v>
      </c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22">
        <f t="shared" si="401"/>
        <v>1233</v>
      </c>
      <c r="BC1233" s="23">
        <v>2</v>
      </c>
      <c r="BD1233" s="130">
        <f t="shared" si="402"/>
        <v>1233</v>
      </c>
      <c r="BE1233" s="130">
        <f t="shared" si="403"/>
        <v>2</v>
      </c>
      <c r="BF1233" s="195">
        <f t="shared" si="404"/>
        <v>61650</v>
      </c>
      <c r="BG1233" s="373">
        <f t="shared" si="405"/>
        <v>-1231</v>
      </c>
    </row>
    <row r="1234" spans="1:59" s="21" customFormat="1" ht="18" customHeight="1">
      <c r="A1234" s="176">
        <v>143</v>
      </c>
      <c r="B1234" s="31" t="s">
        <v>1989</v>
      </c>
      <c r="C1234" s="32" t="s">
        <v>2030</v>
      </c>
      <c r="D1234" s="231"/>
      <c r="E1234" s="231"/>
      <c r="F1234" s="231"/>
      <c r="G1234" s="231"/>
      <c r="H1234" s="231"/>
      <c r="I1234" s="231"/>
      <c r="J1234" s="231"/>
      <c r="K1234" s="231"/>
      <c r="L1234" s="231"/>
      <c r="M1234" s="231"/>
      <c r="N1234" s="231"/>
      <c r="O1234" s="231"/>
      <c r="P1234" s="231"/>
      <c r="Q1234" s="231"/>
      <c r="R1234" s="231"/>
      <c r="S1234" s="231"/>
      <c r="T1234" s="231"/>
      <c r="U1234" s="231"/>
      <c r="V1234" s="231"/>
      <c r="W1234" s="231"/>
      <c r="X1234" s="231"/>
      <c r="Y1234" s="231"/>
      <c r="Z1234" s="231"/>
      <c r="AA1234" s="231"/>
      <c r="AB1234" s="22">
        <f t="shared" si="400"/>
        <v>0</v>
      </c>
      <c r="AC1234" s="23">
        <v>0</v>
      </c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22">
        <f t="shared" si="401"/>
        <v>0</v>
      </c>
      <c r="BC1234" s="23">
        <v>1</v>
      </c>
      <c r="BD1234" s="130">
        <f t="shared" si="402"/>
        <v>0</v>
      </c>
      <c r="BE1234" s="130">
        <f t="shared" si="403"/>
        <v>1</v>
      </c>
      <c r="BF1234" s="195">
        <f t="shared" si="404"/>
        <v>0</v>
      </c>
      <c r="BG1234" s="373">
        <f t="shared" si="405"/>
        <v>1</v>
      </c>
    </row>
    <row r="1235" spans="1:59" s="21" customFormat="1" ht="18" customHeight="1">
      <c r="A1235" s="176">
        <v>144</v>
      </c>
      <c r="B1235" s="31" t="s">
        <v>864</v>
      </c>
      <c r="C1235" s="32" t="s">
        <v>863</v>
      </c>
      <c r="D1235" s="288"/>
      <c r="E1235" s="288"/>
      <c r="F1235" s="288"/>
      <c r="G1235" s="288"/>
      <c r="H1235" s="288"/>
      <c r="I1235" s="288"/>
      <c r="J1235" s="288"/>
      <c r="K1235" s="288"/>
      <c r="L1235" s="288"/>
      <c r="M1235" s="288"/>
      <c r="N1235" s="288"/>
      <c r="O1235" s="288"/>
      <c r="P1235" s="288"/>
      <c r="Q1235" s="288"/>
      <c r="R1235" s="288"/>
      <c r="S1235" s="288"/>
      <c r="T1235" s="288"/>
      <c r="U1235" s="288"/>
      <c r="V1235" s="288"/>
      <c r="W1235" s="288"/>
      <c r="X1235" s="288"/>
      <c r="Y1235" s="288"/>
      <c r="Z1235" s="288"/>
      <c r="AA1235" s="288"/>
      <c r="AB1235" s="22">
        <f t="shared" si="400"/>
        <v>0</v>
      </c>
      <c r="AC1235" s="23">
        <v>0</v>
      </c>
      <c r="AD1235" s="35"/>
      <c r="AE1235" s="35"/>
      <c r="AF1235" s="35"/>
      <c r="AG1235" s="35"/>
      <c r="AH1235" s="35">
        <v>177</v>
      </c>
      <c r="AI1235" s="35"/>
      <c r="AJ1235" s="35"/>
      <c r="AK1235" s="35"/>
      <c r="AL1235" s="35">
        <f>898+34</f>
        <v>932</v>
      </c>
      <c r="AM1235" s="35"/>
      <c r="AN1235" s="35"/>
      <c r="AO1235" s="35"/>
      <c r="AP1235" s="35">
        <v>1235</v>
      </c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22">
        <f t="shared" si="401"/>
        <v>2344</v>
      </c>
      <c r="BC1235" s="23">
        <v>3058</v>
      </c>
      <c r="BD1235" s="130">
        <f t="shared" si="402"/>
        <v>2344</v>
      </c>
      <c r="BE1235" s="130">
        <f t="shared" si="403"/>
        <v>3058</v>
      </c>
      <c r="BF1235" s="195">
        <f t="shared" si="404"/>
        <v>76.651406147809027</v>
      </c>
      <c r="BG1235" s="373">
        <f t="shared" si="405"/>
        <v>714</v>
      </c>
    </row>
    <row r="1236" spans="1:59" s="21" customFormat="1" ht="18" customHeight="1">
      <c r="A1236" s="176">
        <v>145</v>
      </c>
      <c r="B1236" s="31" t="s">
        <v>865</v>
      </c>
      <c r="C1236" s="32" t="s">
        <v>863</v>
      </c>
      <c r="D1236" s="231"/>
      <c r="E1236" s="231"/>
      <c r="F1236" s="231"/>
      <c r="G1236" s="231"/>
      <c r="H1236" s="231"/>
      <c r="I1236" s="231"/>
      <c r="J1236" s="231"/>
      <c r="K1236" s="231"/>
      <c r="L1236" s="231"/>
      <c r="M1236" s="231"/>
      <c r="N1236" s="231"/>
      <c r="O1236" s="231"/>
      <c r="P1236" s="231"/>
      <c r="Q1236" s="231"/>
      <c r="R1236" s="231"/>
      <c r="S1236" s="231"/>
      <c r="T1236" s="231"/>
      <c r="U1236" s="231"/>
      <c r="V1236" s="231"/>
      <c r="W1236" s="231"/>
      <c r="X1236" s="231"/>
      <c r="Y1236" s="231"/>
      <c r="Z1236" s="231"/>
      <c r="AA1236" s="231"/>
      <c r="AB1236" s="22">
        <f t="shared" si="400"/>
        <v>0</v>
      </c>
      <c r="AC1236" s="23">
        <v>0</v>
      </c>
      <c r="AD1236" s="35"/>
      <c r="AE1236" s="35"/>
      <c r="AF1236" s="35"/>
      <c r="AG1236" s="35"/>
      <c r="AH1236" s="35">
        <v>501</v>
      </c>
      <c r="AI1236" s="35"/>
      <c r="AJ1236" s="35"/>
      <c r="AK1236" s="35"/>
      <c r="AL1236" s="35">
        <v>2298</v>
      </c>
      <c r="AM1236" s="35"/>
      <c r="AN1236" s="35"/>
      <c r="AO1236" s="35"/>
      <c r="AP1236" s="35">
        <v>2844</v>
      </c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22">
        <f t="shared" si="401"/>
        <v>5643</v>
      </c>
      <c r="BC1236" s="23">
        <v>7989</v>
      </c>
      <c r="BD1236" s="130">
        <f t="shared" si="402"/>
        <v>5643</v>
      </c>
      <c r="BE1236" s="130">
        <f t="shared" si="403"/>
        <v>7989</v>
      </c>
      <c r="BF1236" s="195">
        <f t="shared" si="404"/>
        <v>70.634622606083369</v>
      </c>
      <c r="BG1236" s="373">
        <f t="shared" si="405"/>
        <v>2346</v>
      </c>
    </row>
    <row r="1237" spans="1:59" s="21" customFormat="1" ht="21.75" customHeight="1">
      <c r="A1237" s="176">
        <v>146</v>
      </c>
      <c r="B1237" s="31" t="s">
        <v>1648</v>
      </c>
      <c r="C1237" s="34" t="s">
        <v>1649</v>
      </c>
      <c r="D1237" s="231"/>
      <c r="E1237" s="231"/>
      <c r="F1237" s="231"/>
      <c r="G1237" s="231"/>
      <c r="H1237" s="231"/>
      <c r="I1237" s="231"/>
      <c r="J1237" s="231"/>
      <c r="K1237" s="231"/>
      <c r="L1237" s="231"/>
      <c r="M1237" s="231"/>
      <c r="N1237" s="231"/>
      <c r="O1237" s="231"/>
      <c r="P1237" s="231"/>
      <c r="Q1237" s="231"/>
      <c r="R1237" s="231"/>
      <c r="S1237" s="231"/>
      <c r="T1237" s="231"/>
      <c r="U1237" s="231"/>
      <c r="V1237" s="231"/>
      <c r="W1237" s="231"/>
      <c r="X1237" s="231"/>
      <c r="Y1237" s="231"/>
      <c r="Z1237" s="231"/>
      <c r="AA1237" s="231"/>
      <c r="AB1237" s="22">
        <f t="shared" si="400"/>
        <v>0</v>
      </c>
      <c r="AC1237" s="23">
        <v>0</v>
      </c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22">
        <f t="shared" si="401"/>
        <v>0</v>
      </c>
      <c r="BC1237" s="23">
        <v>1</v>
      </c>
      <c r="BD1237" s="130">
        <f t="shared" si="402"/>
        <v>0</v>
      </c>
      <c r="BE1237" s="130">
        <f t="shared" si="403"/>
        <v>1</v>
      </c>
      <c r="BF1237" s="195">
        <f t="shared" si="404"/>
        <v>0</v>
      </c>
      <c r="BG1237" s="373">
        <f t="shared" si="405"/>
        <v>1</v>
      </c>
    </row>
    <row r="1238" spans="1:59" s="21" customFormat="1" ht="21.75" customHeight="1">
      <c r="A1238" s="176">
        <v>147</v>
      </c>
      <c r="B1238" s="31" t="s">
        <v>1027</v>
      </c>
      <c r="C1238" s="34" t="s">
        <v>3180</v>
      </c>
      <c r="D1238" s="288"/>
      <c r="E1238" s="288"/>
      <c r="F1238" s="288"/>
      <c r="G1238" s="288"/>
      <c r="H1238" s="288"/>
      <c r="I1238" s="288"/>
      <c r="J1238" s="288"/>
      <c r="K1238" s="288"/>
      <c r="L1238" s="288"/>
      <c r="M1238" s="288"/>
      <c r="N1238" s="288"/>
      <c r="O1238" s="288"/>
      <c r="P1238" s="288"/>
      <c r="Q1238" s="288"/>
      <c r="R1238" s="288"/>
      <c r="S1238" s="288"/>
      <c r="T1238" s="288"/>
      <c r="U1238" s="288"/>
      <c r="V1238" s="288"/>
      <c r="W1238" s="288"/>
      <c r="X1238" s="288"/>
      <c r="Y1238" s="288"/>
      <c r="Z1238" s="288"/>
      <c r="AA1238" s="288"/>
      <c r="AB1238" s="22">
        <f t="shared" si="400"/>
        <v>0</v>
      </c>
      <c r="AC1238" s="23">
        <v>0</v>
      </c>
      <c r="AD1238" s="35"/>
      <c r="AE1238" s="35"/>
      <c r="AF1238" s="35"/>
      <c r="AG1238" s="35"/>
      <c r="AH1238" s="35"/>
      <c r="AI1238" s="35"/>
      <c r="AJ1238" s="35"/>
      <c r="AK1238" s="35"/>
      <c r="AL1238" s="35">
        <v>4</v>
      </c>
      <c r="AM1238" s="35"/>
      <c r="AN1238" s="35"/>
      <c r="AO1238" s="35"/>
      <c r="AP1238" s="35">
        <v>3</v>
      </c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22">
        <f t="shared" si="401"/>
        <v>7</v>
      </c>
      <c r="BC1238" s="23">
        <v>2</v>
      </c>
      <c r="BD1238" s="130">
        <f t="shared" si="402"/>
        <v>7</v>
      </c>
      <c r="BE1238" s="130">
        <f t="shared" si="403"/>
        <v>2</v>
      </c>
      <c r="BF1238" s="195">
        <f t="shared" si="404"/>
        <v>350</v>
      </c>
      <c r="BG1238" s="373">
        <f t="shared" si="405"/>
        <v>-5</v>
      </c>
    </row>
    <row r="1239" spans="1:59" s="21" customFormat="1" ht="21.75" customHeight="1">
      <c r="A1239" s="176">
        <v>148</v>
      </c>
      <c r="B1239" s="31" t="s">
        <v>2430</v>
      </c>
      <c r="C1239" s="32" t="s">
        <v>2431</v>
      </c>
      <c r="D1239" s="339"/>
      <c r="E1239" s="339"/>
      <c r="F1239" s="339"/>
      <c r="G1239" s="339"/>
      <c r="H1239" s="339"/>
      <c r="I1239" s="339"/>
      <c r="J1239" s="339"/>
      <c r="K1239" s="339"/>
      <c r="L1239" s="339"/>
      <c r="M1239" s="339"/>
      <c r="N1239" s="339"/>
      <c r="O1239" s="339"/>
      <c r="P1239" s="339"/>
      <c r="Q1239" s="339"/>
      <c r="R1239" s="339"/>
      <c r="S1239" s="339"/>
      <c r="T1239" s="339"/>
      <c r="U1239" s="339"/>
      <c r="V1239" s="339"/>
      <c r="W1239" s="339"/>
      <c r="X1239" s="339"/>
      <c r="Y1239" s="339"/>
      <c r="Z1239" s="339"/>
      <c r="AA1239" s="339"/>
      <c r="AB1239" s="22">
        <f t="shared" si="400"/>
        <v>0</v>
      </c>
      <c r="AC1239" s="23">
        <v>0</v>
      </c>
      <c r="AD1239" s="35"/>
      <c r="AE1239" s="35"/>
      <c r="AF1239" s="35"/>
      <c r="AG1239" s="35"/>
      <c r="AH1239" s="35"/>
      <c r="AI1239" s="35"/>
      <c r="AJ1239" s="35"/>
      <c r="AK1239" s="35"/>
      <c r="AL1239" s="35">
        <v>7</v>
      </c>
      <c r="AM1239" s="35"/>
      <c r="AN1239" s="35"/>
      <c r="AO1239" s="35"/>
      <c r="AP1239" s="35">
        <v>7</v>
      </c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22">
        <f t="shared" si="401"/>
        <v>14</v>
      </c>
      <c r="BC1239" s="23">
        <v>4</v>
      </c>
      <c r="BD1239" s="130">
        <f t="shared" si="402"/>
        <v>14</v>
      </c>
      <c r="BE1239" s="130">
        <f t="shared" si="403"/>
        <v>4</v>
      </c>
      <c r="BF1239" s="195">
        <f t="shared" si="404"/>
        <v>350</v>
      </c>
      <c r="BG1239" s="373">
        <f t="shared" si="405"/>
        <v>-10</v>
      </c>
    </row>
    <row r="1240" spans="1:59" s="21" customFormat="1" ht="21.75" customHeight="1">
      <c r="A1240" s="176">
        <v>149</v>
      </c>
      <c r="B1240" s="31" t="s">
        <v>1028</v>
      </c>
      <c r="C1240" s="34" t="s">
        <v>2580</v>
      </c>
      <c r="D1240" s="336"/>
      <c r="E1240" s="336"/>
      <c r="F1240" s="336"/>
      <c r="G1240" s="336"/>
      <c r="H1240" s="336"/>
      <c r="I1240" s="336"/>
      <c r="J1240" s="336"/>
      <c r="K1240" s="336"/>
      <c r="L1240" s="336"/>
      <c r="M1240" s="336"/>
      <c r="N1240" s="336"/>
      <c r="O1240" s="336"/>
      <c r="P1240" s="336"/>
      <c r="Q1240" s="336"/>
      <c r="R1240" s="336"/>
      <c r="S1240" s="336"/>
      <c r="T1240" s="336"/>
      <c r="U1240" s="336"/>
      <c r="V1240" s="336"/>
      <c r="W1240" s="336"/>
      <c r="X1240" s="336"/>
      <c r="Y1240" s="336"/>
      <c r="Z1240" s="336"/>
      <c r="AA1240" s="336"/>
      <c r="AB1240" s="22">
        <f t="shared" si="400"/>
        <v>0</v>
      </c>
      <c r="AC1240" s="23">
        <v>0</v>
      </c>
      <c r="AD1240" s="35"/>
      <c r="AE1240" s="35"/>
      <c r="AF1240" s="35"/>
      <c r="AG1240" s="35"/>
      <c r="AH1240" s="35">
        <v>3</v>
      </c>
      <c r="AI1240" s="35"/>
      <c r="AJ1240" s="35"/>
      <c r="AK1240" s="35"/>
      <c r="AL1240" s="35">
        <v>94</v>
      </c>
      <c r="AM1240" s="35"/>
      <c r="AN1240" s="35"/>
      <c r="AO1240" s="35"/>
      <c r="AP1240" s="35">
        <v>92</v>
      </c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22">
        <f t="shared" si="401"/>
        <v>189</v>
      </c>
      <c r="BC1240" s="23">
        <v>216</v>
      </c>
      <c r="BD1240" s="130">
        <f t="shared" si="402"/>
        <v>189</v>
      </c>
      <c r="BE1240" s="130">
        <f t="shared" si="403"/>
        <v>216</v>
      </c>
      <c r="BF1240" s="195">
        <f t="shared" si="404"/>
        <v>87.5</v>
      </c>
      <c r="BG1240" s="373">
        <f t="shared" si="405"/>
        <v>27</v>
      </c>
    </row>
    <row r="1241" spans="1:59" s="21" customFormat="1" ht="21.75" customHeight="1">
      <c r="A1241" s="176">
        <v>150</v>
      </c>
      <c r="B1241" s="31" t="s">
        <v>922</v>
      </c>
      <c r="C1241" s="34" t="s">
        <v>2013</v>
      </c>
      <c r="D1241" s="231"/>
      <c r="E1241" s="231"/>
      <c r="F1241" s="231"/>
      <c r="G1241" s="231"/>
      <c r="H1241" s="231"/>
      <c r="I1241" s="231"/>
      <c r="J1241" s="231"/>
      <c r="K1241" s="231"/>
      <c r="L1241" s="231"/>
      <c r="M1241" s="231"/>
      <c r="N1241" s="231"/>
      <c r="O1241" s="231"/>
      <c r="P1241" s="231"/>
      <c r="Q1241" s="231"/>
      <c r="R1241" s="231"/>
      <c r="S1241" s="231"/>
      <c r="T1241" s="231"/>
      <c r="U1241" s="231"/>
      <c r="V1241" s="231"/>
      <c r="W1241" s="231"/>
      <c r="X1241" s="231"/>
      <c r="Y1241" s="231"/>
      <c r="Z1241" s="231"/>
      <c r="AA1241" s="231"/>
      <c r="AB1241" s="22">
        <f t="shared" si="400"/>
        <v>0</v>
      </c>
      <c r="AC1241" s="23">
        <v>0</v>
      </c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22">
        <f t="shared" si="401"/>
        <v>0</v>
      </c>
      <c r="BC1241" s="23">
        <v>31</v>
      </c>
      <c r="BD1241" s="130">
        <f t="shared" si="402"/>
        <v>0</v>
      </c>
      <c r="BE1241" s="130">
        <f t="shared" si="403"/>
        <v>31</v>
      </c>
      <c r="BF1241" s="195">
        <f t="shared" si="404"/>
        <v>0</v>
      </c>
      <c r="BG1241" s="373">
        <f t="shared" si="405"/>
        <v>31</v>
      </c>
    </row>
    <row r="1242" spans="1:59" s="21" customFormat="1" ht="21.75" customHeight="1">
      <c r="A1242" s="176">
        <v>151</v>
      </c>
      <c r="B1242" s="31" t="s">
        <v>1029</v>
      </c>
      <c r="C1242" s="32" t="s">
        <v>2176</v>
      </c>
      <c r="D1242" s="231"/>
      <c r="E1242" s="231"/>
      <c r="F1242" s="231"/>
      <c r="G1242" s="231"/>
      <c r="H1242" s="231"/>
      <c r="I1242" s="231"/>
      <c r="J1242" s="231"/>
      <c r="K1242" s="231"/>
      <c r="L1242" s="231"/>
      <c r="M1242" s="231"/>
      <c r="N1242" s="231"/>
      <c r="O1242" s="231"/>
      <c r="P1242" s="231"/>
      <c r="Q1242" s="231"/>
      <c r="R1242" s="231"/>
      <c r="S1242" s="231"/>
      <c r="T1242" s="231"/>
      <c r="U1242" s="231"/>
      <c r="V1242" s="231"/>
      <c r="W1242" s="231"/>
      <c r="X1242" s="231"/>
      <c r="Y1242" s="231"/>
      <c r="Z1242" s="231"/>
      <c r="AA1242" s="231"/>
      <c r="AB1242" s="22">
        <f t="shared" si="400"/>
        <v>0</v>
      </c>
      <c r="AC1242" s="23">
        <v>0</v>
      </c>
      <c r="AD1242" s="35"/>
      <c r="AE1242" s="35"/>
      <c r="AF1242" s="35"/>
      <c r="AG1242" s="35"/>
      <c r="AH1242" s="35"/>
      <c r="AI1242" s="35"/>
      <c r="AJ1242" s="35"/>
      <c r="AK1242" s="35"/>
      <c r="AL1242" s="35">
        <v>37</v>
      </c>
      <c r="AM1242" s="35"/>
      <c r="AN1242" s="35"/>
      <c r="AO1242" s="35"/>
      <c r="AP1242" s="35">
        <v>12</v>
      </c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22">
        <f t="shared" si="401"/>
        <v>49</v>
      </c>
      <c r="BC1242" s="23">
        <v>6</v>
      </c>
      <c r="BD1242" s="130">
        <f t="shared" si="402"/>
        <v>49</v>
      </c>
      <c r="BE1242" s="130">
        <f t="shared" si="403"/>
        <v>6</v>
      </c>
      <c r="BF1242" s="195">
        <f t="shared" si="404"/>
        <v>816.66666666666663</v>
      </c>
      <c r="BG1242" s="373">
        <f t="shared" si="405"/>
        <v>-43</v>
      </c>
    </row>
    <row r="1243" spans="1:59" s="21" customFormat="1" ht="21.75" customHeight="1">
      <c r="A1243" s="176">
        <v>152</v>
      </c>
      <c r="B1243" s="31" t="s">
        <v>1030</v>
      </c>
      <c r="C1243" s="34" t="s">
        <v>1653</v>
      </c>
      <c r="D1243" s="272"/>
      <c r="E1243" s="272"/>
      <c r="F1243" s="272"/>
      <c r="G1243" s="272"/>
      <c r="H1243" s="272"/>
      <c r="I1243" s="272"/>
      <c r="J1243" s="272"/>
      <c r="K1243" s="272"/>
      <c r="L1243" s="272"/>
      <c r="M1243" s="272"/>
      <c r="N1243" s="272"/>
      <c r="O1243" s="272"/>
      <c r="P1243" s="272"/>
      <c r="Q1243" s="272"/>
      <c r="R1243" s="272"/>
      <c r="S1243" s="272"/>
      <c r="T1243" s="272"/>
      <c r="U1243" s="272"/>
      <c r="V1243" s="272"/>
      <c r="W1243" s="272"/>
      <c r="X1243" s="272"/>
      <c r="Y1243" s="272"/>
      <c r="Z1243" s="272"/>
      <c r="AA1243" s="272"/>
      <c r="AB1243" s="22">
        <f t="shared" si="400"/>
        <v>0</v>
      </c>
      <c r="AC1243" s="23">
        <v>0</v>
      </c>
      <c r="AD1243" s="35"/>
      <c r="AE1243" s="35"/>
      <c r="AF1243" s="35"/>
      <c r="AG1243" s="35"/>
      <c r="AH1243" s="35">
        <v>11</v>
      </c>
      <c r="AI1243" s="35"/>
      <c r="AJ1243" s="35"/>
      <c r="AK1243" s="35"/>
      <c r="AL1243" s="35">
        <v>107</v>
      </c>
      <c r="AM1243" s="35"/>
      <c r="AN1243" s="35"/>
      <c r="AO1243" s="35"/>
      <c r="AP1243" s="35">
        <v>147</v>
      </c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22">
        <f t="shared" si="401"/>
        <v>265</v>
      </c>
      <c r="BC1243" s="23">
        <v>728</v>
      </c>
      <c r="BD1243" s="130">
        <f t="shared" si="402"/>
        <v>265</v>
      </c>
      <c r="BE1243" s="130">
        <f t="shared" si="403"/>
        <v>728</v>
      </c>
      <c r="BF1243" s="195">
        <f t="shared" si="404"/>
        <v>36.401098901098898</v>
      </c>
      <c r="BG1243" s="373">
        <f t="shared" si="405"/>
        <v>463</v>
      </c>
    </row>
    <row r="1244" spans="1:59" s="21" customFormat="1" ht="16.5" customHeight="1">
      <c r="A1244" s="176">
        <v>153</v>
      </c>
      <c r="B1244" s="31" t="s">
        <v>1032</v>
      </c>
      <c r="C1244" s="34" t="s">
        <v>1033</v>
      </c>
      <c r="D1244" s="231"/>
      <c r="E1244" s="231"/>
      <c r="F1244" s="231"/>
      <c r="G1244" s="231"/>
      <c r="H1244" s="231"/>
      <c r="I1244" s="231"/>
      <c r="J1244" s="231"/>
      <c r="K1244" s="231"/>
      <c r="L1244" s="231"/>
      <c r="M1244" s="231"/>
      <c r="N1244" s="231"/>
      <c r="O1244" s="231"/>
      <c r="P1244" s="231"/>
      <c r="Q1244" s="231"/>
      <c r="R1244" s="231"/>
      <c r="S1244" s="231"/>
      <c r="T1244" s="231"/>
      <c r="U1244" s="231"/>
      <c r="V1244" s="231"/>
      <c r="W1244" s="231"/>
      <c r="X1244" s="231"/>
      <c r="Y1244" s="231"/>
      <c r="Z1244" s="231"/>
      <c r="AA1244" s="231"/>
      <c r="AB1244" s="22">
        <f t="shared" si="400"/>
        <v>0</v>
      </c>
      <c r="AC1244" s="23">
        <v>0</v>
      </c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22">
        <f t="shared" si="401"/>
        <v>0</v>
      </c>
      <c r="BC1244" s="23">
        <v>69</v>
      </c>
      <c r="BD1244" s="130">
        <f t="shared" si="402"/>
        <v>0</v>
      </c>
      <c r="BE1244" s="130">
        <f t="shared" si="403"/>
        <v>69</v>
      </c>
      <c r="BF1244" s="195">
        <f t="shared" si="404"/>
        <v>0</v>
      </c>
      <c r="BG1244" s="373">
        <f t="shared" si="405"/>
        <v>69</v>
      </c>
    </row>
    <row r="1245" spans="1:59" s="21" customFormat="1" ht="16.5" customHeight="1">
      <c r="A1245" s="176">
        <v>154</v>
      </c>
      <c r="B1245" s="31" t="s">
        <v>1654</v>
      </c>
      <c r="C1245" s="34" t="s">
        <v>1983</v>
      </c>
      <c r="D1245" s="231"/>
      <c r="E1245" s="231"/>
      <c r="F1245" s="231"/>
      <c r="G1245" s="231"/>
      <c r="H1245" s="231"/>
      <c r="I1245" s="231"/>
      <c r="J1245" s="231"/>
      <c r="K1245" s="231"/>
      <c r="L1245" s="231"/>
      <c r="M1245" s="231"/>
      <c r="N1245" s="231"/>
      <c r="O1245" s="231"/>
      <c r="P1245" s="231"/>
      <c r="Q1245" s="231"/>
      <c r="R1245" s="231"/>
      <c r="S1245" s="231"/>
      <c r="T1245" s="231"/>
      <c r="U1245" s="231"/>
      <c r="V1245" s="231"/>
      <c r="W1245" s="231"/>
      <c r="X1245" s="231"/>
      <c r="Y1245" s="231"/>
      <c r="Z1245" s="231"/>
      <c r="AA1245" s="231"/>
      <c r="AB1245" s="22">
        <f t="shared" si="400"/>
        <v>0</v>
      </c>
      <c r="AC1245" s="23">
        <v>0</v>
      </c>
      <c r="AD1245" s="35"/>
      <c r="AE1245" s="35"/>
      <c r="AF1245" s="35"/>
      <c r="AG1245" s="35"/>
      <c r="AH1245" s="35"/>
      <c r="AI1245" s="35"/>
      <c r="AJ1245" s="35"/>
      <c r="AK1245" s="35"/>
      <c r="AL1245" s="35">
        <v>1</v>
      </c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22">
        <f t="shared" si="401"/>
        <v>1</v>
      </c>
      <c r="BC1245" s="23">
        <v>19</v>
      </c>
      <c r="BD1245" s="130">
        <f t="shared" si="402"/>
        <v>1</v>
      </c>
      <c r="BE1245" s="130">
        <f t="shared" si="403"/>
        <v>19</v>
      </c>
      <c r="BF1245" s="195">
        <f t="shared" si="404"/>
        <v>5.2631578947368416</v>
      </c>
      <c r="BG1245" s="373">
        <f t="shared" si="405"/>
        <v>18</v>
      </c>
    </row>
    <row r="1246" spans="1:59" s="21" customFormat="1" ht="16.5" customHeight="1">
      <c r="A1246" s="176">
        <v>155</v>
      </c>
      <c r="B1246" s="31" t="s">
        <v>1656</v>
      </c>
      <c r="C1246" s="34" t="s">
        <v>2319</v>
      </c>
      <c r="D1246" s="231"/>
      <c r="E1246" s="231"/>
      <c r="F1246" s="231"/>
      <c r="G1246" s="231"/>
      <c r="H1246" s="231"/>
      <c r="I1246" s="231"/>
      <c r="J1246" s="231"/>
      <c r="K1246" s="231"/>
      <c r="L1246" s="231"/>
      <c r="M1246" s="231"/>
      <c r="N1246" s="231"/>
      <c r="O1246" s="231"/>
      <c r="P1246" s="231"/>
      <c r="Q1246" s="231"/>
      <c r="R1246" s="231"/>
      <c r="S1246" s="231"/>
      <c r="T1246" s="231"/>
      <c r="U1246" s="231"/>
      <c r="V1246" s="231"/>
      <c r="W1246" s="231"/>
      <c r="X1246" s="231"/>
      <c r="Y1246" s="231"/>
      <c r="Z1246" s="231"/>
      <c r="AA1246" s="231"/>
      <c r="AB1246" s="22">
        <f t="shared" si="400"/>
        <v>0</v>
      </c>
      <c r="AC1246" s="23">
        <v>0</v>
      </c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22">
        <f t="shared" si="401"/>
        <v>0</v>
      </c>
      <c r="BC1246" s="23">
        <v>1</v>
      </c>
      <c r="BD1246" s="130">
        <f t="shared" si="402"/>
        <v>0</v>
      </c>
      <c r="BE1246" s="130">
        <f t="shared" si="403"/>
        <v>1</v>
      </c>
      <c r="BF1246" s="195">
        <f t="shared" si="404"/>
        <v>0</v>
      </c>
      <c r="BG1246" s="373">
        <f t="shared" si="405"/>
        <v>1</v>
      </c>
    </row>
    <row r="1247" spans="1:59" s="21" customFormat="1" ht="16.5" customHeight="1">
      <c r="A1247" s="176">
        <v>156</v>
      </c>
      <c r="B1247" s="31" t="s">
        <v>1658</v>
      </c>
      <c r="C1247" s="32" t="s">
        <v>2027</v>
      </c>
      <c r="D1247" s="231"/>
      <c r="E1247" s="231"/>
      <c r="F1247" s="231"/>
      <c r="G1247" s="231"/>
      <c r="H1247" s="231"/>
      <c r="I1247" s="231"/>
      <c r="J1247" s="231"/>
      <c r="K1247" s="231"/>
      <c r="L1247" s="231">
        <v>38</v>
      </c>
      <c r="M1247" s="231"/>
      <c r="N1247" s="231"/>
      <c r="O1247" s="231"/>
      <c r="P1247" s="231">
        <v>21</v>
      </c>
      <c r="Q1247" s="231"/>
      <c r="R1247" s="231"/>
      <c r="S1247" s="231"/>
      <c r="T1247" s="231"/>
      <c r="U1247" s="231"/>
      <c r="V1247" s="231"/>
      <c r="W1247" s="231"/>
      <c r="X1247" s="231"/>
      <c r="Y1247" s="231"/>
      <c r="Z1247" s="231"/>
      <c r="AA1247" s="231"/>
      <c r="AB1247" s="22">
        <f t="shared" si="400"/>
        <v>59</v>
      </c>
      <c r="AC1247" s="23">
        <v>0</v>
      </c>
      <c r="AD1247" s="35"/>
      <c r="AE1247" s="35"/>
      <c r="AF1247" s="35"/>
      <c r="AG1247" s="35"/>
      <c r="AH1247" s="35">
        <v>73</v>
      </c>
      <c r="AI1247" s="35"/>
      <c r="AJ1247" s="35"/>
      <c r="AK1247" s="35"/>
      <c r="AL1247" s="35">
        <v>201</v>
      </c>
      <c r="AM1247" s="35"/>
      <c r="AN1247" s="35"/>
      <c r="AO1247" s="35"/>
      <c r="AP1247" s="35">
        <v>180</v>
      </c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22">
        <f t="shared" si="401"/>
        <v>454</v>
      </c>
      <c r="BC1247" s="23">
        <v>1052</v>
      </c>
      <c r="BD1247" s="130">
        <f t="shared" si="402"/>
        <v>513</v>
      </c>
      <c r="BE1247" s="130">
        <f t="shared" si="403"/>
        <v>1052</v>
      </c>
      <c r="BF1247" s="195">
        <f t="shared" si="404"/>
        <v>48.764258555133075</v>
      </c>
      <c r="BG1247" s="373">
        <f t="shared" si="405"/>
        <v>539</v>
      </c>
    </row>
    <row r="1248" spans="1:59" s="21" customFormat="1" ht="26.25" customHeight="1">
      <c r="A1248" s="176">
        <v>157</v>
      </c>
      <c r="B1248" s="31" t="s">
        <v>1034</v>
      </c>
      <c r="C1248" s="34" t="s">
        <v>2018</v>
      </c>
      <c r="D1248" s="231">
        <f>1+38</f>
        <v>39</v>
      </c>
      <c r="E1248" s="231"/>
      <c r="F1248" s="231"/>
      <c r="G1248" s="231"/>
      <c r="H1248" s="231">
        <f>9+2</f>
        <v>11</v>
      </c>
      <c r="I1248" s="231"/>
      <c r="J1248" s="231"/>
      <c r="K1248" s="231"/>
      <c r="L1248" s="231">
        <f>40+1+5+16</f>
        <v>62</v>
      </c>
      <c r="M1248" s="231"/>
      <c r="N1248" s="231"/>
      <c r="O1248" s="231"/>
      <c r="P1248" s="231">
        <f>39+14+10+7</f>
        <v>70</v>
      </c>
      <c r="Q1248" s="231"/>
      <c r="R1248" s="231"/>
      <c r="S1248" s="231"/>
      <c r="T1248" s="231"/>
      <c r="U1248" s="231"/>
      <c r="V1248" s="231"/>
      <c r="W1248" s="231"/>
      <c r="X1248" s="231"/>
      <c r="Y1248" s="231"/>
      <c r="Z1248" s="231"/>
      <c r="AA1248" s="231"/>
      <c r="AB1248" s="22">
        <f t="shared" si="400"/>
        <v>182</v>
      </c>
      <c r="AC1248" s="23">
        <v>239</v>
      </c>
      <c r="AD1248" s="35">
        <v>3</v>
      </c>
      <c r="AE1248" s="35"/>
      <c r="AF1248" s="35"/>
      <c r="AG1248" s="35"/>
      <c r="AH1248" s="35">
        <f>1+849+11</f>
        <v>861</v>
      </c>
      <c r="AI1248" s="35"/>
      <c r="AJ1248" s="35"/>
      <c r="AK1248" s="35"/>
      <c r="AL1248" s="35">
        <f>3+4+2809+254+1+3314</f>
        <v>6385</v>
      </c>
      <c r="AM1248" s="35"/>
      <c r="AN1248" s="35"/>
      <c r="AO1248" s="35"/>
      <c r="AP1248" s="35">
        <f>2+3674+170+5+20</f>
        <v>3871</v>
      </c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22">
        <f t="shared" si="401"/>
        <v>11120</v>
      </c>
      <c r="BC1248" s="23">
        <v>27377</v>
      </c>
      <c r="BD1248" s="130">
        <f t="shared" si="402"/>
        <v>11302</v>
      </c>
      <c r="BE1248" s="130">
        <f t="shared" si="403"/>
        <v>27616</v>
      </c>
      <c r="BF1248" s="195">
        <f t="shared" si="404"/>
        <v>40.925550405561992</v>
      </c>
      <c r="BG1248" s="373">
        <f t="shared" si="405"/>
        <v>16314</v>
      </c>
    </row>
    <row r="1249" spans="1:61" s="21" customFormat="1" ht="16.5" customHeight="1">
      <c r="A1249" s="176">
        <v>158</v>
      </c>
      <c r="B1249" s="31" t="s">
        <v>2421</v>
      </c>
      <c r="C1249" s="34" t="s">
        <v>2423</v>
      </c>
      <c r="D1249" s="231"/>
      <c r="E1249" s="231"/>
      <c r="F1249" s="231"/>
      <c r="G1249" s="231"/>
      <c r="H1249" s="231"/>
      <c r="I1249" s="231"/>
      <c r="J1249" s="231"/>
      <c r="K1249" s="231"/>
      <c r="L1249" s="231"/>
      <c r="M1249" s="231"/>
      <c r="N1249" s="231"/>
      <c r="O1249" s="231"/>
      <c r="P1249" s="231"/>
      <c r="Q1249" s="231"/>
      <c r="R1249" s="231"/>
      <c r="S1249" s="231"/>
      <c r="T1249" s="231"/>
      <c r="U1249" s="231"/>
      <c r="V1249" s="231"/>
      <c r="W1249" s="231"/>
      <c r="X1249" s="231"/>
      <c r="Y1249" s="231"/>
      <c r="Z1249" s="231"/>
      <c r="AA1249" s="231"/>
      <c r="AB1249" s="22">
        <f t="shared" si="400"/>
        <v>0</v>
      </c>
      <c r="AC1249" s="23">
        <v>0</v>
      </c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22">
        <f t="shared" si="401"/>
        <v>0</v>
      </c>
      <c r="BC1249" s="23">
        <v>1</v>
      </c>
      <c r="BD1249" s="130">
        <f t="shared" si="402"/>
        <v>0</v>
      </c>
      <c r="BE1249" s="130">
        <f t="shared" si="403"/>
        <v>1</v>
      </c>
      <c r="BF1249" s="195">
        <f t="shared" si="404"/>
        <v>0</v>
      </c>
      <c r="BG1249" s="373">
        <f t="shared" si="405"/>
        <v>1</v>
      </c>
    </row>
    <row r="1250" spans="1:61" s="21" customFormat="1" ht="16.5" customHeight="1">
      <c r="A1250" s="176">
        <v>159</v>
      </c>
      <c r="B1250" s="31" t="s">
        <v>2629</v>
      </c>
      <c r="C1250" s="34" t="s">
        <v>3186</v>
      </c>
      <c r="D1250" s="288"/>
      <c r="E1250" s="288"/>
      <c r="F1250" s="288"/>
      <c r="G1250" s="288"/>
      <c r="H1250" s="288"/>
      <c r="I1250" s="288"/>
      <c r="J1250" s="288"/>
      <c r="K1250" s="288"/>
      <c r="L1250" s="288"/>
      <c r="M1250" s="288"/>
      <c r="N1250" s="288"/>
      <c r="O1250" s="288"/>
      <c r="P1250" s="288"/>
      <c r="Q1250" s="288"/>
      <c r="R1250" s="288"/>
      <c r="S1250" s="288"/>
      <c r="T1250" s="288"/>
      <c r="U1250" s="288"/>
      <c r="V1250" s="288"/>
      <c r="W1250" s="288"/>
      <c r="X1250" s="288"/>
      <c r="Y1250" s="288"/>
      <c r="Z1250" s="288"/>
      <c r="AA1250" s="288"/>
      <c r="AB1250" s="22">
        <f t="shared" si="400"/>
        <v>0</v>
      </c>
      <c r="AC1250" s="23">
        <v>0</v>
      </c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22">
        <f t="shared" si="401"/>
        <v>0</v>
      </c>
      <c r="BC1250" s="23">
        <v>3</v>
      </c>
      <c r="BD1250" s="130">
        <f t="shared" si="402"/>
        <v>0</v>
      </c>
      <c r="BE1250" s="130">
        <f t="shared" si="403"/>
        <v>3</v>
      </c>
      <c r="BF1250" s="195">
        <f t="shared" si="404"/>
        <v>0</v>
      </c>
      <c r="BG1250" s="373">
        <f t="shared" si="405"/>
        <v>3</v>
      </c>
    </row>
    <row r="1251" spans="1:61" s="21" customFormat="1" ht="16.5" customHeight="1">
      <c r="A1251" s="176">
        <v>160</v>
      </c>
      <c r="B1251" s="31" t="s">
        <v>977</v>
      </c>
      <c r="C1251" s="32" t="s">
        <v>978</v>
      </c>
      <c r="D1251" s="323"/>
      <c r="E1251" s="323"/>
      <c r="F1251" s="323"/>
      <c r="G1251" s="323"/>
      <c r="H1251" s="323"/>
      <c r="I1251" s="323"/>
      <c r="J1251" s="323"/>
      <c r="K1251" s="323"/>
      <c r="L1251" s="323"/>
      <c r="M1251" s="323"/>
      <c r="N1251" s="323"/>
      <c r="O1251" s="323"/>
      <c r="P1251" s="323"/>
      <c r="Q1251" s="323"/>
      <c r="R1251" s="323"/>
      <c r="S1251" s="323"/>
      <c r="T1251" s="323"/>
      <c r="U1251" s="323"/>
      <c r="V1251" s="323"/>
      <c r="W1251" s="323"/>
      <c r="X1251" s="323"/>
      <c r="Y1251" s="323"/>
      <c r="Z1251" s="323"/>
      <c r="AA1251" s="323"/>
      <c r="AB1251" s="22">
        <f t="shared" si="400"/>
        <v>0</v>
      </c>
      <c r="AC1251" s="23">
        <v>0</v>
      </c>
      <c r="AD1251" s="35"/>
      <c r="AE1251" s="35"/>
      <c r="AF1251" s="35"/>
      <c r="AG1251" s="35"/>
      <c r="AH1251" s="35"/>
      <c r="AI1251" s="35"/>
      <c r="AJ1251" s="35"/>
      <c r="AK1251" s="35"/>
      <c r="AL1251" s="35">
        <v>4</v>
      </c>
      <c r="AM1251" s="35"/>
      <c r="AN1251" s="35"/>
      <c r="AO1251" s="35"/>
      <c r="AP1251" s="35">
        <v>2</v>
      </c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22">
        <f t="shared" si="401"/>
        <v>6</v>
      </c>
      <c r="BC1251" s="23">
        <v>253</v>
      </c>
      <c r="BD1251" s="130">
        <f t="shared" si="402"/>
        <v>6</v>
      </c>
      <c r="BE1251" s="130">
        <f t="shared" si="403"/>
        <v>253</v>
      </c>
      <c r="BF1251" s="195">
        <f t="shared" si="404"/>
        <v>2.3715415019762842</v>
      </c>
      <c r="BG1251" s="373">
        <f t="shared" si="405"/>
        <v>247</v>
      </c>
    </row>
    <row r="1252" spans="1:61" s="21" customFormat="1" ht="16.5" customHeight="1">
      <c r="A1252" s="176">
        <v>161</v>
      </c>
      <c r="B1252" s="31" t="s">
        <v>977</v>
      </c>
      <c r="C1252" s="34" t="s">
        <v>978</v>
      </c>
      <c r="D1252" s="231"/>
      <c r="E1252" s="231"/>
      <c r="F1252" s="231"/>
      <c r="G1252" s="231"/>
      <c r="H1252" s="231"/>
      <c r="I1252" s="231"/>
      <c r="J1252" s="231"/>
      <c r="K1252" s="231"/>
      <c r="L1252" s="231"/>
      <c r="M1252" s="231"/>
      <c r="N1252" s="231"/>
      <c r="O1252" s="231"/>
      <c r="P1252" s="231"/>
      <c r="Q1252" s="231"/>
      <c r="R1252" s="231"/>
      <c r="S1252" s="231"/>
      <c r="T1252" s="231"/>
      <c r="U1252" s="231"/>
      <c r="V1252" s="231"/>
      <c r="W1252" s="231"/>
      <c r="X1252" s="231"/>
      <c r="Y1252" s="231"/>
      <c r="Z1252" s="231"/>
      <c r="AA1252" s="231"/>
      <c r="AB1252" s="22">
        <f t="shared" si="400"/>
        <v>0</v>
      </c>
      <c r="AC1252" s="23">
        <v>0</v>
      </c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22">
        <f t="shared" si="401"/>
        <v>0</v>
      </c>
      <c r="BC1252" s="23">
        <v>8</v>
      </c>
      <c r="BD1252" s="130">
        <f t="shared" si="402"/>
        <v>0</v>
      </c>
      <c r="BE1252" s="130">
        <f t="shared" si="403"/>
        <v>8</v>
      </c>
      <c r="BF1252" s="195">
        <f t="shared" si="404"/>
        <v>0</v>
      </c>
      <c r="BG1252" s="373">
        <f t="shared" si="405"/>
        <v>8</v>
      </c>
    </row>
    <row r="1253" spans="1:61" s="21" customFormat="1" ht="16.5" customHeight="1">
      <c r="A1253" s="176">
        <v>162</v>
      </c>
      <c r="B1253" s="31" t="s">
        <v>1091</v>
      </c>
      <c r="C1253" s="32" t="s">
        <v>2907</v>
      </c>
      <c r="D1253" s="288"/>
      <c r="E1253" s="288"/>
      <c r="F1253" s="288"/>
      <c r="G1253" s="288"/>
      <c r="H1253" s="288">
        <v>35</v>
      </c>
      <c r="I1253" s="288"/>
      <c r="J1253" s="288"/>
      <c r="K1253" s="288"/>
      <c r="L1253" s="288"/>
      <c r="M1253" s="288"/>
      <c r="N1253" s="288"/>
      <c r="O1253" s="288"/>
      <c r="P1253" s="288"/>
      <c r="Q1253" s="288"/>
      <c r="R1253" s="288"/>
      <c r="S1253" s="288"/>
      <c r="T1253" s="288"/>
      <c r="U1253" s="288"/>
      <c r="V1253" s="288"/>
      <c r="W1253" s="288"/>
      <c r="X1253" s="288"/>
      <c r="Y1253" s="288"/>
      <c r="Z1253" s="288"/>
      <c r="AA1253" s="288"/>
      <c r="AB1253" s="22">
        <f t="shared" ref="AB1253:AB1257" si="406">SUM(D1253:AA1253)</f>
        <v>35</v>
      </c>
      <c r="AC1253" s="23">
        <v>0</v>
      </c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22">
        <f t="shared" ref="BB1253:BB1257" si="407">SUM(AD1253:BA1253)</f>
        <v>0</v>
      </c>
      <c r="BC1253" s="23">
        <v>7</v>
      </c>
      <c r="BD1253" s="130">
        <f t="shared" si="402"/>
        <v>35</v>
      </c>
      <c r="BE1253" s="130">
        <f t="shared" si="403"/>
        <v>7</v>
      </c>
      <c r="BF1253" s="195">
        <f t="shared" ref="BF1253:BF1257" si="408">BD1253/BE1253*100</f>
        <v>500</v>
      </c>
      <c r="BG1253" s="373">
        <f t="shared" si="405"/>
        <v>-28</v>
      </c>
    </row>
    <row r="1254" spans="1:61" s="21" customFormat="1" ht="16.5" customHeight="1">
      <c r="A1254" s="176">
        <v>163</v>
      </c>
      <c r="B1254" s="31" t="s">
        <v>866</v>
      </c>
      <c r="C1254" s="32" t="s">
        <v>2908</v>
      </c>
      <c r="D1254" s="288"/>
      <c r="E1254" s="288"/>
      <c r="F1254" s="288"/>
      <c r="G1254" s="288"/>
      <c r="H1254" s="288"/>
      <c r="I1254" s="288"/>
      <c r="J1254" s="288"/>
      <c r="K1254" s="288"/>
      <c r="L1254" s="288"/>
      <c r="M1254" s="288"/>
      <c r="N1254" s="288"/>
      <c r="O1254" s="288"/>
      <c r="P1254" s="288"/>
      <c r="Q1254" s="288"/>
      <c r="R1254" s="288"/>
      <c r="S1254" s="288"/>
      <c r="T1254" s="288"/>
      <c r="U1254" s="288"/>
      <c r="V1254" s="288"/>
      <c r="W1254" s="288"/>
      <c r="X1254" s="288"/>
      <c r="Y1254" s="288"/>
      <c r="Z1254" s="288"/>
      <c r="AA1254" s="288"/>
      <c r="AB1254" s="22">
        <f t="shared" si="406"/>
        <v>0</v>
      </c>
      <c r="AC1254" s="23">
        <v>0</v>
      </c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22">
        <f t="shared" si="407"/>
        <v>0</v>
      </c>
      <c r="BC1254" s="23">
        <v>53</v>
      </c>
      <c r="BD1254" s="130">
        <f t="shared" si="402"/>
        <v>0</v>
      </c>
      <c r="BE1254" s="130">
        <f t="shared" si="403"/>
        <v>53</v>
      </c>
      <c r="BF1254" s="195">
        <f t="shared" si="408"/>
        <v>0</v>
      </c>
      <c r="BG1254" s="373">
        <f t="shared" si="405"/>
        <v>53</v>
      </c>
    </row>
    <row r="1255" spans="1:61" s="21" customFormat="1" ht="16.5" customHeight="1">
      <c r="A1255" s="176">
        <v>164</v>
      </c>
      <c r="B1255" s="437" t="s">
        <v>3047</v>
      </c>
      <c r="C1255" s="439" t="s">
        <v>3048</v>
      </c>
      <c r="D1255" s="231"/>
      <c r="E1255" s="231"/>
      <c r="F1255" s="231"/>
      <c r="G1255" s="231"/>
      <c r="H1255" s="231"/>
      <c r="I1255" s="231"/>
      <c r="J1255" s="231"/>
      <c r="K1255" s="231"/>
      <c r="L1255" s="231"/>
      <c r="M1255" s="231"/>
      <c r="N1255" s="231"/>
      <c r="O1255" s="231"/>
      <c r="P1255" s="231"/>
      <c r="Q1255" s="231"/>
      <c r="R1255" s="231"/>
      <c r="S1255" s="231"/>
      <c r="T1255" s="231"/>
      <c r="U1255" s="231"/>
      <c r="V1255" s="231"/>
      <c r="W1255" s="231"/>
      <c r="X1255" s="231"/>
      <c r="Y1255" s="231"/>
      <c r="Z1255" s="231"/>
      <c r="AA1255" s="231"/>
      <c r="AB1255" s="22">
        <f t="shared" si="406"/>
        <v>0</v>
      </c>
      <c r="AC1255" s="23">
        <v>40</v>
      </c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  <c r="AU1255" s="33"/>
      <c r="AV1255" s="33"/>
      <c r="AW1255" s="33"/>
      <c r="AX1255" s="33"/>
      <c r="AY1255" s="33"/>
      <c r="AZ1255" s="33"/>
      <c r="BA1255" s="33"/>
      <c r="BB1255" s="22">
        <f t="shared" si="407"/>
        <v>0</v>
      </c>
      <c r="BC1255" s="23">
        <v>0</v>
      </c>
      <c r="BD1255" s="130">
        <f t="shared" si="402"/>
        <v>0</v>
      </c>
      <c r="BE1255" s="130">
        <f t="shared" si="403"/>
        <v>40</v>
      </c>
      <c r="BF1255" s="195">
        <f t="shared" si="408"/>
        <v>0</v>
      </c>
      <c r="BG1255" s="373">
        <f t="shared" si="405"/>
        <v>40</v>
      </c>
    </row>
    <row r="1256" spans="1:61" s="21" customFormat="1" ht="18.75" customHeight="1">
      <c r="A1256" s="176">
        <v>165</v>
      </c>
      <c r="B1256" s="37" t="s">
        <v>869</v>
      </c>
      <c r="C1256" s="38" t="s">
        <v>870</v>
      </c>
      <c r="D1256" s="231"/>
      <c r="E1256" s="231"/>
      <c r="F1256" s="231"/>
      <c r="G1256" s="231"/>
      <c r="H1256" s="231"/>
      <c r="I1256" s="231"/>
      <c r="J1256" s="231"/>
      <c r="K1256" s="231"/>
      <c r="L1256" s="231"/>
      <c r="M1256" s="231"/>
      <c r="N1256" s="231"/>
      <c r="O1256" s="231"/>
      <c r="P1256" s="231"/>
      <c r="Q1256" s="231"/>
      <c r="R1256" s="231"/>
      <c r="S1256" s="231"/>
      <c r="T1256" s="231"/>
      <c r="U1256" s="231"/>
      <c r="V1256" s="231"/>
      <c r="W1256" s="231"/>
      <c r="X1256" s="231"/>
      <c r="Y1256" s="231"/>
      <c r="Z1256" s="231"/>
      <c r="AA1256" s="231"/>
      <c r="AB1256" s="22">
        <f t="shared" si="406"/>
        <v>0</v>
      </c>
      <c r="AC1256" s="23">
        <v>0</v>
      </c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22">
        <f t="shared" si="407"/>
        <v>0</v>
      </c>
      <c r="BC1256" s="23">
        <v>0</v>
      </c>
      <c r="BD1256" s="130">
        <f t="shared" si="402"/>
        <v>0</v>
      </c>
      <c r="BE1256" s="130">
        <f t="shared" si="403"/>
        <v>0</v>
      </c>
      <c r="BF1256" s="195" t="e">
        <f t="shared" si="408"/>
        <v>#DIV/0!</v>
      </c>
      <c r="BG1256" s="373">
        <f t="shared" si="405"/>
        <v>0</v>
      </c>
    </row>
    <row r="1257" spans="1:61" s="21" customFormat="1" ht="15.95" customHeight="1">
      <c r="A1257" s="176">
        <v>166</v>
      </c>
      <c r="B1257" s="37" t="s">
        <v>871</v>
      </c>
      <c r="C1257" s="38" t="s">
        <v>872</v>
      </c>
      <c r="D1257" s="231"/>
      <c r="E1257" s="231"/>
      <c r="F1257" s="231"/>
      <c r="G1257" s="231"/>
      <c r="H1257" s="231"/>
      <c r="I1257" s="231"/>
      <c r="J1257" s="231"/>
      <c r="K1257" s="231"/>
      <c r="L1257" s="231"/>
      <c r="M1257" s="231"/>
      <c r="N1257" s="231"/>
      <c r="O1257" s="231"/>
      <c r="P1257" s="231"/>
      <c r="Q1257" s="231"/>
      <c r="R1257" s="231"/>
      <c r="S1257" s="231"/>
      <c r="T1257" s="231"/>
      <c r="U1257" s="231"/>
      <c r="V1257" s="231"/>
      <c r="W1257" s="231"/>
      <c r="X1257" s="231"/>
      <c r="Y1257" s="231"/>
      <c r="Z1257" s="231"/>
      <c r="AA1257" s="231"/>
      <c r="AB1257" s="22">
        <f t="shared" si="406"/>
        <v>0</v>
      </c>
      <c r="AC1257" s="23">
        <v>0</v>
      </c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22">
        <f t="shared" si="407"/>
        <v>0</v>
      </c>
      <c r="BC1257" s="23">
        <v>0</v>
      </c>
      <c r="BD1257" s="130">
        <f t="shared" si="402"/>
        <v>0</v>
      </c>
      <c r="BE1257" s="130">
        <f t="shared" si="403"/>
        <v>0</v>
      </c>
      <c r="BF1257" s="195" t="e">
        <f t="shared" si="408"/>
        <v>#DIV/0!</v>
      </c>
      <c r="BG1257" s="373">
        <f t="shared" si="405"/>
        <v>0</v>
      </c>
    </row>
    <row r="1258" spans="1:61" s="21" customFormat="1" ht="15.95" customHeight="1">
      <c r="A1258" s="636" t="s">
        <v>873</v>
      </c>
      <c r="B1258" s="637"/>
      <c r="C1258" s="637"/>
      <c r="D1258" s="98">
        <f t="shared" ref="D1258:AI1258" si="409">SUM(D1259:D1408)</f>
        <v>53727</v>
      </c>
      <c r="E1258" s="98">
        <f t="shared" si="409"/>
        <v>0</v>
      </c>
      <c r="F1258" s="98">
        <f t="shared" si="409"/>
        <v>0</v>
      </c>
      <c r="G1258" s="98">
        <f t="shared" si="409"/>
        <v>20041</v>
      </c>
      <c r="H1258" s="98">
        <f t="shared" si="409"/>
        <v>105</v>
      </c>
      <c r="I1258" s="98">
        <f t="shared" si="409"/>
        <v>0</v>
      </c>
      <c r="J1258" s="98">
        <f t="shared" si="409"/>
        <v>0</v>
      </c>
      <c r="K1258" s="98">
        <f t="shared" si="409"/>
        <v>13349</v>
      </c>
      <c r="L1258" s="98">
        <f t="shared" si="409"/>
        <v>14756</v>
      </c>
      <c r="M1258" s="98">
        <f t="shared" si="409"/>
        <v>0</v>
      </c>
      <c r="N1258" s="98">
        <f t="shared" si="409"/>
        <v>0</v>
      </c>
      <c r="O1258" s="98">
        <f t="shared" si="409"/>
        <v>12960</v>
      </c>
      <c r="P1258" s="98">
        <f t="shared" si="409"/>
        <v>184</v>
      </c>
      <c r="Q1258" s="98">
        <f t="shared" si="409"/>
        <v>0</v>
      </c>
      <c r="R1258" s="98">
        <f t="shared" si="409"/>
        <v>0</v>
      </c>
      <c r="S1258" s="98">
        <f t="shared" si="409"/>
        <v>4627</v>
      </c>
      <c r="T1258" s="98">
        <f t="shared" si="409"/>
        <v>0</v>
      </c>
      <c r="U1258" s="98">
        <f t="shared" si="409"/>
        <v>0</v>
      </c>
      <c r="V1258" s="98">
        <f t="shared" si="409"/>
        <v>0</v>
      </c>
      <c r="W1258" s="98">
        <f t="shared" si="409"/>
        <v>0</v>
      </c>
      <c r="X1258" s="98">
        <f t="shared" si="409"/>
        <v>0</v>
      </c>
      <c r="Y1258" s="98">
        <f t="shared" si="409"/>
        <v>0</v>
      </c>
      <c r="Z1258" s="98">
        <f t="shared" si="409"/>
        <v>0</v>
      </c>
      <c r="AA1258" s="98">
        <f t="shared" si="409"/>
        <v>0</v>
      </c>
      <c r="AB1258" s="98">
        <f t="shared" si="409"/>
        <v>119749</v>
      </c>
      <c r="AC1258" s="161">
        <f t="shared" si="409"/>
        <v>22418</v>
      </c>
      <c r="AD1258" s="130">
        <f t="shared" si="409"/>
        <v>224466</v>
      </c>
      <c r="AE1258" s="130">
        <f t="shared" si="409"/>
        <v>0</v>
      </c>
      <c r="AF1258" s="130">
        <f t="shared" si="409"/>
        <v>0</v>
      </c>
      <c r="AG1258" s="130">
        <f t="shared" si="409"/>
        <v>0</v>
      </c>
      <c r="AH1258" s="130">
        <f t="shared" si="409"/>
        <v>152486</v>
      </c>
      <c r="AI1258" s="130">
        <f t="shared" si="409"/>
        <v>0</v>
      </c>
      <c r="AJ1258" s="130">
        <f t="shared" ref="AJ1258:BC1258" si="410">SUM(AJ1259:AJ1408)</f>
        <v>0</v>
      </c>
      <c r="AK1258" s="130">
        <f t="shared" si="410"/>
        <v>32</v>
      </c>
      <c r="AL1258" s="130">
        <f t="shared" si="410"/>
        <v>128891</v>
      </c>
      <c r="AM1258" s="130">
        <f t="shared" si="410"/>
        <v>0</v>
      </c>
      <c r="AN1258" s="130">
        <f t="shared" si="410"/>
        <v>0</v>
      </c>
      <c r="AO1258" s="130">
        <f t="shared" si="410"/>
        <v>0</v>
      </c>
      <c r="AP1258" s="130">
        <f t="shared" si="410"/>
        <v>36711</v>
      </c>
      <c r="AQ1258" s="130">
        <f t="shared" si="410"/>
        <v>0</v>
      </c>
      <c r="AR1258" s="130">
        <f t="shared" si="410"/>
        <v>0</v>
      </c>
      <c r="AS1258" s="130">
        <f t="shared" si="410"/>
        <v>0</v>
      </c>
      <c r="AT1258" s="130">
        <f t="shared" si="410"/>
        <v>0</v>
      </c>
      <c r="AU1258" s="130">
        <f t="shared" si="410"/>
        <v>0</v>
      </c>
      <c r="AV1258" s="130">
        <f t="shared" si="410"/>
        <v>0</v>
      </c>
      <c r="AW1258" s="130">
        <f t="shared" si="410"/>
        <v>0</v>
      </c>
      <c r="AX1258" s="130">
        <f t="shared" si="410"/>
        <v>0</v>
      </c>
      <c r="AY1258" s="130">
        <f t="shared" si="410"/>
        <v>0</v>
      </c>
      <c r="AZ1258" s="130">
        <f t="shared" si="410"/>
        <v>0</v>
      </c>
      <c r="BA1258" s="130">
        <f t="shared" si="410"/>
        <v>0</v>
      </c>
      <c r="BB1258" s="130">
        <f t="shared" si="410"/>
        <v>542586</v>
      </c>
      <c r="BC1258" s="103">
        <f t="shared" si="410"/>
        <v>81619</v>
      </c>
      <c r="BD1258" s="130">
        <f t="shared" ref="BD1258" si="411">AB1258+BB1258</f>
        <v>662335</v>
      </c>
      <c r="BE1258" s="130">
        <f t="shared" ref="BE1258" si="412">AC1258+BC1258</f>
        <v>104037</v>
      </c>
      <c r="BF1258" s="195">
        <f t="shared" ref="BF1258" si="413">BD1258/BE1258*100</f>
        <v>636.63408210540479</v>
      </c>
      <c r="BG1258" s="374">
        <f t="shared" ref="BG1258" si="414">BE1258-BD1258</f>
        <v>-558298</v>
      </c>
    </row>
    <row r="1259" spans="1:61" s="21" customFormat="1" ht="21" customHeight="1">
      <c r="A1259" s="417">
        <v>1</v>
      </c>
      <c r="B1259" s="418" t="s">
        <v>731</v>
      </c>
      <c r="C1259" s="419" t="s">
        <v>3613</v>
      </c>
      <c r="D1259" s="231"/>
      <c r="E1259" s="231"/>
      <c r="F1259" s="231"/>
      <c r="G1259" s="231"/>
      <c r="H1259" s="231"/>
      <c r="I1259" s="231"/>
      <c r="J1259" s="231"/>
      <c r="K1259" s="231"/>
      <c r="L1259" s="231">
        <v>18</v>
      </c>
      <c r="M1259" s="231"/>
      <c r="N1259" s="231"/>
      <c r="O1259" s="231"/>
      <c r="P1259" s="231">
        <v>47</v>
      </c>
      <c r="Q1259" s="231"/>
      <c r="R1259" s="231"/>
      <c r="S1259" s="231"/>
      <c r="T1259" s="231"/>
      <c r="U1259" s="231"/>
      <c r="V1259" s="231"/>
      <c r="W1259" s="231"/>
      <c r="X1259" s="231"/>
      <c r="Y1259" s="231"/>
      <c r="Z1259" s="231"/>
      <c r="AA1259" s="231"/>
      <c r="AB1259" s="22">
        <f t="shared" ref="AB1259:AB1290" si="415">SUM(D1259:AA1259)</f>
        <v>65</v>
      </c>
      <c r="AC1259" s="23">
        <f>36+249</f>
        <v>285</v>
      </c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22">
        <f t="shared" ref="BB1259:BB1290" si="416">SUM(AD1259:BA1259)</f>
        <v>0</v>
      </c>
      <c r="BC1259" s="23">
        <v>0</v>
      </c>
      <c r="BD1259" s="130">
        <f t="shared" ref="BD1259:BD1290" si="417">AB1259+BB1259</f>
        <v>65</v>
      </c>
      <c r="BE1259" s="130">
        <f t="shared" ref="BE1259:BE1290" si="418">AC1259+BC1259</f>
        <v>285</v>
      </c>
      <c r="BF1259" s="195">
        <f t="shared" ref="BF1259:BF1290" si="419">BD1259/BE1259*100</f>
        <v>22.807017543859647</v>
      </c>
      <c r="BG1259" s="373">
        <f t="shared" ref="BG1259:BG1264" si="420">BE1259-BD1259</f>
        <v>220</v>
      </c>
      <c r="BH1259" s="426" t="s">
        <v>3675</v>
      </c>
      <c r="BI1259" s="420"/>
    </row>
    <row r="1260" spans="1:61" s="21" customFormat="1" ht="21" customHeight="1">
      <c r="A1260" s="417">
        <v>2</v>
      </c>
      <c r="B1260" s="418" t="s">
        <v>926</v>
      </c>
      <c r="C1260" s="423" t="s">
        <v>927</v>
      </c>
      <c r="D1260" s="231"/>
      <c r="E1260" s="231"/>
      <c r="F1260" s="231"/>
      <c r="G1260" s="231">
        <f>1790+78</f>
        <v>1868</v>
      </c>
      <c r="H1260" s="231"/>
      <c r="I1260" s="231"/>
      <c r="J1260" s="231"/>
      <c r="K1260" s="231">
        <v>74</v>
      </c>
      <c r="L1260" s="231"/>
      <c r="M1260" s="231"/>
      <c r="N1260" s="231"/>
      <c r="O1260" s="231">
        <f>833+716+18+63</f>
        <v>1630</v>
      </c>
      <c r="P1260" s="231"/>
      <c r="Q1260" s="231"/>
      <c r="R1260" s="231"/>
      <c r="S1260" s="231">
        <v>3</v>
      </c>
      <c r="T1260" s="231"/>
      <c r="U1260" s="231"/>
      <c r="V1260" s="231"/>
      <c r="W1260" s="231"/>
      <c r="X1260" s="231"/>
      <c r="Y1260" s="231"/>
      <c r="Z1260" s="231"/>
      <c r="AA1260" s="231"/>
      <c r="AB1260" s="22">
        <f t="shared" si="415"/>
        <v>3575</v>
      </c>
      <c r="AC1260" s="23">
        <v>579</v>
      </c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22">
        <f t="shared" si="416"/>
        <v>0</v>
      </c>
      <c r="BC1260" s="23">
        <v>0</v>
      </c>
      <c r="BD1260" s="130">
        <f t="shared" si="417"/>
        <v>3575</v>
      </c>
      <c r="BE1260" s="130">
        <f t="shared" si="418"/>
        <v>579</v>
      </c>
      <c r="BF1260" s="195">
        <f t="shared" si="419"/>
        <v>617.44386873920553</v>
      </c>
      <c r="BG1260" s="373">
        <f t="shared" si="420"/>
        <v>-2996</v>
      </c>
      <c r="BH1260" s="426" t="s">
        <v>3675</v>
      </c>
      <c r="BI1260" s="426"/>
    </row>
    <row r="1261" spans="1:61" s="21" customFormat="1" ht="21" customHeight="1">
      <c r="A1261" s="417">
        <v>3</v>
      </c>
      <c r="B1261" s="418" t="s">
        <v>1266</v>
      </c>
      <c r="C1261" s="419" t="s">
        <v>1267</v>
      </c>
      <c r="D1261" s="381"/>
      <c r="E1261" s="381"/>
      <c r="F1261" s="381"/>
      <c r="G1261" s="381">
        <f>1280+211</f>
        <v>1491</v>
      </c>
      <c r="H1261" s="381"/>
      <c r="I1261" s="381"/>
      <c r="J1261" s="381"/>
      <c r="K1261" s="381">
        <v>1172</v>
      </c>
      <c r="L1261" s="381"/>
      <c r="M1261" s="381"/>
      <c r="N1261" s="381"/>
      <c r="O1261" s="381">
        <f>687+110+25</f>
        <v>822</v>
      </c>
      <c r="P1261" s="381"/>
      <c r="Q1261" s="381"/>
      <c r="R1261" s="381"/>
      <c r="S1261" s="381">
        <f>69+102</f>
        <v>171</v>
      </c>
      <c r="T1261" s="381"/>
      <c r="U1261" s="381"/>
      <c r="V1261" s="381"/>
      <c r="W1261" s="381"/>
      <c r="X1261" s="381"/>
      <c r="Y1261" s="381"/>
      <c r="Z1261" s="381"/>
      <c r="AA1261" s="381"/>
      <c r="AB1261" s="22">
        <f t="shared" si="415"/>
        <v>3656</v>
      </c>
      <c r="AC1261" s="23">
        <f>93+244</f>
        <v>337</v>
      </c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22">
        <f t="shared" si="416"/>
        <v>0</v>
      </c>
      <c r="BC1261" s="23">
        <v>0</v>
      </c>
      <c r="BD1261" s="130">
        <f t="shared" si="417"/>
        <v>3656</v>
      </c>
      <c r="BE1261" s="130">
        <f t="shared" si="418"/>
        <v>337</v>
      </c>
      <c r="BF1261" s="195">
        <f t="shared" si="419"/>
        <v>1084.86646884273</v>
      </c>
      <c r="BG1261" s="373">
        <f t="shared" si="420"/>
        <v>-3319</v>
      </c>
      <c r="BH1261" s="426" t="s">
        <v>3675</v>
      </c>
      <c r="BI1261" s="421"/>
    </row>
    <row r="1262" spans="1:61" s="21" customFormat="1" ht="21" customHeight="1">
      <c r="A1262" s="417">
        <v>4</v>
      </c>
      <c r="B1262" s="418" t="s">
        <v>3676</v>
      </c>
      <c r="C1262" s="419" t="s">
        <v>3677</v>
      </c>
      <c r="D1262" s="407"/>
      <c r="E1262" s="407"/>
      <c r="F1262" s="407"/>
      <c r="G1262" s="407">
        <v>6</v>
      </c>
      <c r="H1262" s="407"/>
      <c r="I1262" s="407"/>
      <c r="J1262" s="407"/>
      <c r="K1262" s="407"/>
      <c r="L1262" s="407"/>
      <c r="M1262" s="407"/>
      <c r="N1262" s="407"/>
      <c r="O1262" s="407">
        <v>6</v>
      </c>
      <c r="P1262" s="407"/>
      <c r="Q1262" s="407"/>
      <c r="R1262" s="407"/>
      <c r="S1262" s="407"/>
      <c r="T1262" s="407"/>
      <c r="U1262" s="407"/>
      <c r="V1262" s="407"/>
      <c r="W1262" s="407"/>
      <c r="X1262" s="407"/>
      <c r="Y1262" s="407"/>
      <c r="Z1262" s="407"/>
      <c r="AA1262" s="407"/>
      <c r="AB1262" s="22">
        <f t="shared" si="415"/>
        <v>12</v>
      </c>
      <c r="AC1262" s="23">
        <v>0</v>
      </c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22">
        <f t="shared" si="416"/>
        <v>0</v>
      </c>
      <c r="BC1262" s="23">
        <v>0</v>
      </c>
      <c r="BD1262" s="130">
        <f t="shared" si="417"/>
        <v>12</v>
      </c>
      <c r="BE1262" s="130">
        <f t="shared" si="418"/>
        <v>0</v>
      </c>
      <c r="BF1262" s="195" t="e">
        <f t="shared" si="419"/>
        <v>#DIV/0!</v>
      </c>
      <c r="BG1262" s="373">
        <f t="shared" si="420"/>
        <v>-12</v>
      </c>
      <c r="BH1262" s="426" t="s">
        <v>3675</v>
      </c>
      <c r="BI1262" s="421"/>
    </row>
    <row r="1263" spans="1:61" s="21" customFormat="1" ht="21" customHeight="1">
      <c r="A1263" s="417">
        <v>5</v>
      </c>
      <c r="B1263" s="418" t="s">
        <v>2218</v>
      </c>
      <c r="C1263" s="419" t="s">
        <v>2223</v>
      </c>
      <c r="D1263" s="231"/>
      <c r="E1263" s="231"/>
      <c r="F1263" s="231"/>
      <c r="G1263" s="231">
        <f>7363+2584</f>
        <v>9947</v>
      </c>
      <c r="H1263" s="231"/>
      <c r="I1263" s="231"/>
      <c r="J1263" s="231"/>
      <c r="K1263" s="231">
        <v>7210</v>
      </c>
      <c r="L1263" s="231"/>
      <c r="M1263" s="231"/>
      <c r="N1263" s="231"/>
      <c r="O1263" s="231">
        <f>3209+1452+1690+1</f>
        <v>6352</v>
      </c>
      <c r="P1263" s="231"/>
      <c r="Q1263" s="231"/>
      <c r="R1263" s="231"/>
      <c r="S1263" s="231">
        <f>200+2676</f>
        <v>2876</v>
      </c>
      <c r="T1263" s="231"/>
      <c r="U1263" s="231"/>
      <c r="V1263" s="231"/>
      <c r="W1263" s="231"/>
      <c r="X1263" s="231"/>
      <c r="Y1263" s="231"/>
      <c r="Z1263" s="231"/>
      <c r="AA1263" s="231"/>
      <c r="AB1263" s="22">
        <f t="shared" si="415"/>
        <v>26385</v>
      </c>
      <c r="AC1263" s="23">
        <f>10407+1000</f>
        <v>11407</v>
      </c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22">
        <f t="shared" si="416"/>
        <v>0</v>
      </c>
      <c r="BC1263" s="23">
        <v>0</v>
      </c>
      <c r="BD1263" s="130">
        <f t="shared" si="417"/>
        <v>26385</v>
      </c>
      <c r="BE1263" s="130">
        <f t="shared" si="418"/>
        <v>11407</v>
      </c>
      <c r="BF1263" s="195">
        <f t="shared" si="419"/>
        <v>231.30533882703602</v>
      </c>
      <c r="BG1263" s="373">
        <f t="shared" si="420"/>
        <v>-14978</v>
      </c>
      <c r="BH1263" s="426" t="s">
        <v>3675</v>
      </c>
      <c r="BI1263" s="421"/>
    </row>
    <row r="1264" spans="1:61" s="21" customFormat="1" ht="21" customHeight="1">
      <c r="A1264" s="417">
        <v>6</v>
      </c>
      <c r="B1264" s="418" t="s">
        <v>2246</v>
      </c>
      <c r="C1264" s="419" t="s">
        <v>3461</v>
      </c>
      <c r="D1264" s="381"/>
      <c r="E1264" s="381"/>
      <c r="F1264" s="381"/>
      <c r="G1264" s="381">
        <f>3996+2607+126</f>
        <v>6729</v>
      </c>
      <c r="H1264" s="381"/>
      <c r="I1264" s="381"/>
      <c r="J1264" s="381"/>
      <c r="K1264" s="381">
        <f>389+8+4496</f>
        <v>4893</v>
      </c>
      <c r="L1264" s="381"/>
      <c r="M1264" s="381"/>
      <c r="N1264" s="381"/>
      <c r="O1264" s="381">
        <f>1+1815+1454+880</f>
        <v>4150</v>
      </c>
      <c r="P1264" s="381"/>
      <c r="Q1264" s="381"/>
      <c r="R1264" s="381"/>
      <c r="S1264" s="381">
        <f>132+1+929+514+1</f>
        <v>1577</v>
      </c>
      <c r="T1264" s="381"/>
      <c r="U1264" s="381"/>
      <c r="V1264" s="381"/>
      <c r="W1264" s="381"/>
      <c r="X1264" s="381"/>
      <c r="Y1264" s="381"/>
      <c r="Z1264" s="381"/>
      <c r="AA1264" s="381"/>
      <c r="AB1264" s="22">
        <f t="shared" si="415"/>
        <v>17349</v>
      </c>
      <c r="AC1264" s="23">
        <v>8000</v>
      </c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22">
        <f t="shared" si="416"/>
        <v>0</v>
      </c>
      <c r="BC1264" s="23">
        <v>0</v>
      </c>
      <c r="BD1264" s="130">
        <f t="shared" si="417"/>
        <v>17349</v>
      </c>
      <c r="BE1264" s="130">
        <f t="shared" si="418"/>
        <v>8000</v>
      </c>
      <c r="BF1264" s="195">
        <f t="shared" si="419"/>
        <v>216.86250000000001</v>
      </c>
      <c r="BG1264" s="373">
        <f t="shared" si="420"/>
        <v>-9349</v>
      </c>
      <c r="BH1264" s="426" t="s">
        <v>3675</v>
      </c>
      <c r="BI1264" s="421"/>
    </row>
    <row r="1265" spans="1:59" s="21" customFormat="1" ht="15.95" customHeight="1">
      <c r="A1265" s="176">
        <v>7</v>
      </c>
      <c r="B1265" s="31" t="s">
        <v>734</v>
      </c>
      <c r="C1265" s="32" t="s">
        <v>4004</v>
      </c>
      <c r="D1265" s="274"/>
      <c r="E1265" s="274"/>
      <c r="F1265" s="274"/>
      <c r="G1265" s="274"/>
      <c r="H1265" s="274"/>
      <c r="I1265" s="274"/>
      <c r="J1265" s="274"/>
      <c r="K1265" s="274"/>
      <c r="L1265" s="274"/>
      <c r="M1265" s="274"/>
      <c r="N1265" s="274"/>
      <c r="O1265" s="274"/>
      <c r="P1265" s="274">
        <v>1</v>
      </c>
      <c r="Q1265" s="274"/>
      <c r="R1265" s="274"/>
      <c r="S1265" s="274"/>
      <c r="T1265" s="274"/>
      <c r="U1265" s="274"/>
      <c r="V1265" s="274"/>
      <c r="W1265" s="274"/>
      <c r="X1265" s="274"/>
      <c r="Y1265" s="274"/>
      <c r="Z1265" s="274"/>
      <c r="AA1265" s="274"/>
      <c r="AB1265" s="22">
        <f t="shared" si="415"/>
        <v>1</v>
      </c>
      <c r="AC1265" s="23">
        <v>0</v>
      </c>
      <c r="AD1265" s="35"/>
      <c r="AE1265" s="35"/>
      <c r="AF1265" s="35"/>
      <c r="AG1265" s="35"/>
      <c r="AH1265" s="35"/>
      <c r="AI1265" s="35"/>
      <c r="AJ1265" s="35"/>
      <c r="AK1265" s="35"/>
      <c r="AL1265" s="35">
        <f>4+1</f>
        <v>5</v>
      </c>
      <c r="AM1265" s="35"/>
      <c r="AN1265" s="35"/>
      <c r="AO1265" s="35"/>
      <c r="AP1265" s="35">
        <v>8</v>
      </c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22">
        <f t="shared" si="416"/>
        <v>13</v>
      </c>
      <c r="BC1265" s="23">
        <v>0</v>
      </c>
      <c r="BD1265" s="130">
        <f t="shared" si="417"/>
        <v>14</v>
      </c>
      <c r="BE1265" s="130">
        <f t="shared" si="418"/>
        <v>0</v>
      </c>
      <c r="BF1265" s="195" t="e">
        <f t="shared" si="419"/>
        <v>#DIV/0!</v>
      </c>
      <c r="BG1265" s="373"/>
    </row>
    <row r="1266" spans="1:59" s="21" customFormat="1" ht="15.95" customHeight="1">
      <c r="A1266" s="176">
        <v>8</v>
      </c>
      <c r="B1266" s="31" t="s">
        <v>1270</v>
      </c>
      <c r="C1266" s="32" t="s">
        <v>1271</v>
      </c>
      <c r="D1266" s="552"/>
      <c r="E1266" s="552"/>
      <c r="F1266" s="552"/>
      <c r="G1266" s="552"/>
      <c r="H1266" s="552"/>
      <c r="I1266" s="552"/>
      <c r="J1266" s="552"/>
      <c r="K1266" s="552"/>
      <c r="L1266" s="552"/>
      <c r="M1266" s="552"/>
      <c r="N1266" s="552"/>
      <c r="O1266" s="552"/>
      <c r="P1266" s="552"/>
      <c r="Q1266" s="552"/>
      <c r="R1266" s="552"/>
      <c r="S1266" s="552"/>
      <c r="T1266" s="552"/>
      <c r="U1266" s="552"/>
      <c r="V1266" s="552"/>
      <c r="W1266" s="552"/>
      <c r="X1266" s="552"/>
      <c r="Y1266" s="552"/>
      <c r="Z1266" s="552"/>
      <c r="AA1266" s="552"/>
      <c r="AB1266" s="22">
        <f t="shared" si="415"/>
        <v>0</v>
      </c>
      <c r="AC1266" s="23">
        <v>0</v>
      </c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22">
        <f t="shared" si="416"/>
        <v>0</v>
      </c>
      <c r="BC1266" s="23">
        <v>1</v>
      </c>
      <c r="BD1266" s="130">
        <f t="shared" si="417"/>
        <v>0</v>
      </c>
      <c r="BE1266" s="130">
        <f t="shared" si="418"/>
        <v>1</v>
      </c>
      <c r="BF1266" s="195">
        <f t="shared" si="419"/>
        <v>0</v>
      </c>
      <c r="BG1266" s="373">
        <f>BE1266-BD1266</f>
        <v>1</v>
      </c>
    </row>
    <row r="1267" spans="1:59" s="21" customFormat="1" ht="15.95" customHeight="1">
      <c r="A1267" s="176">
        <v>9</v>
      </c>
      <c r="B1267" s="31" t="s">
        <v>1272</v>
      </c>
      <c r="C1267" s="32" t="s">
        <v>1273</v>
      </c>
      <c r="D1267" s="274"/>
      <c r="E1267" s="274"/>
      <c r="F1267" s="274"/>
      <c r="G1267" s="274"/>
      <c r="H1267" s="274"/>
      <c r="I1267" s="274"/>
      <c r="J1267" s="274"/>
      <c r="K1267" s="274"/>
      <c r="L1267" s="274"/>
      <c r="M1267" s="274"/>
      <c r="N1267" s="274"/>
      <c r="O1267" s="274"/>
      <c r="P1267" s="274"/>
      <c r="Q1267" s="274"/>
      <c r="R1267" s="274"/>
      <c r="S1267" s="274"/>
      <c r="T1267" s="274"/>
      <c r="U1267" s="274"/>
      <c r="V1267" s="274"/>
      <c r="W1267" s="274"/>
      <c r="X1267" s="274"/>
      <c r="Y1267" s="274"/>
      <c r="Z1267" s="274"/>
      <c r="AA1267" s="274"/>
      <c r="AB1267" s="22">
        <f t="shared" si="415"/>
        <v>0</v>
      </c>
      <c r="AC1267" s="23">
        <v>0</v>
      </c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22">
        <f t="shared" si="416"/>
        <v>0</v>
      </c>
      <c r="BC1267" s="23">
        <v>1</v>
      </c>
      <c r="BD1267" s="130">
        <f t="shared" si="417"/>
        <v>0</v>
      </c>
      <c r="BE1267" s="130">
        <f t="shared" si="418"/>
        <v>1</v>
      </c>
      <c r="BF1267" s="195">
        <f t="shared" si="419"/>
        <v>0</v>
      </c>
      <c r="BG1267" s="373">
        <f>BE1267-BD1267</f>
        <v>1</v>
      </c>
    </row>
    <row r="1268" spans="1:59" s="21" customFormat="1" ht="15.95" customHeight="1">
      <c r="A1268" s="176">
        <v>10</v>
      </c>
      <c r="B1268" s="31" t="s">
        <v>878</v>
      </c>
      <c r="C1268" s="32" t="s">
        <v>879</v>
      </c>
      <c r="D1268" s="366"/>
      <c r="E1268" s="366"/>
      <c r="F1268" s="366"/>
      <c r="G1268" s="366"/>
      <c r="H1268" s="366"/>
      <c r="I1268" s="366"/>
      <c r="J1268" s="366"/>
      <c r="K1268" s="366"/>
      <c r="L1268" s="366"/>
      <c r="M1268" s="366"/>
      <c r="N1268" s="366"/>
      <c r="O1268" s="366"/>
      <c r="P1268" s="366"/>
      <c r="Q1268" s="366"/>
      <c r="R1268" s="366"/>
      <c r="S1268" s="366"/>
      <c r="T1268" s="366"/>
      <c r="U1268" s="366"/>
      <c r="V1268" s="366"/>
      <c r="W1268" s="366"/>
      <c r="X1268" s="366"/>
      <c r="Y1268" s="366"/>
      <c r="Z1268" s="366"/>
      <c r="AA1268" s="366"/>
      <c r="AB1268" s="22">
        <f t="shared" si="415"/>
        <v>0</v>
      </c>
      <c r="AC1268" s="23">
        <v>1</v>
      </c>
      <c r="AD1268" s="35"/>
      <c r="AE1268" s="35"/>
      <c r="AF1268" s="35"/>
      <c r="AG1268" s="35"/>
      <c r="AH1268" s="35"/>
      <c r="AI1268" s="35"/>
      <c r="AJ1268" s="35"/>
      <c r="AK1268" s="35"/>
      <c r="AL1268" s="35">
        <f>4+1</f>
        <v>5</v>
      </c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22">
        <f t="shared" si="416"/>
        <v>5</v>
      </c>
      <c r="BC1268" s="23">
        <v>2</v>
      </c>
      <c r="BD1268" s="130">
        <f t="shared" si="417"/>
        <v>5</v>
      </c>
      <c r="BE1268" s="130">
        <f t="shared" si="418"/>
        <v>3</v>
      </c>
      <c r="BF1268" s="195">
        <f t="shared" si="419"/>
        <v>166.66666666666669</v>
      </c>
      <c r="BG1268" s="373">
        <f>BE1268-BD1268</f>
        <v>-2</v>
      </c>
    </row>
    <row r="1269" spans="1:59" s="21" customFormat="1" ht="21" customHeight="1">
      <c r="A1269" s="176">
        <v>11</v>
      </c>
      <c r="B1269" s="31" t="s">
        <v>735</v>
      </c>
      <c r="C1269" s="32" t="s">
        <v>880</v>
      </c>
      <c r="D1269" s="366">
        <v>26</v>
      </c>
      <c r="E1269" s="366"/>
      <c r="F1269" s="366"/>
      <c r="G1269" s="366"/>
      <c r="H1269" s="366">
        <f>12+82</f>
        <v>94</v>
      </c>
      <c r="I1269" s="366"/>
      <c r="J1269" s="366"/>
      <c r="K1269" s="366"/>
      <c r="L1269" s="366">
        <f>53+139</f>
        <v>192</v>
      </c>
      <c r="M1269" s="366"/>
      <c r="N1269" s="366"/>
      <c r="O1269" s="366"/>
      <c r="P1269" s="366">
        <f>39+81</f>
        <v>120</v>
      </c>
      <c r="Q1269" s="366"/>
      <c r="R1269" s="366"/>
      <c r="S1269" s="366"/>
      <c r="T1269" s="366"/>
      <c r="U1269" s="366"/>
      <c r="V1269" s="366"/>
      <c r="W1269" s="366"/>
      <c r="X1269" s="366"/>
      <c r="Y1269" s="366"/>
      <c r="Z1269" s="366"/>
      <c r="AA1269" s="366"/>
      <c r="AB1269" s="22">
        <f t="shared" si="415"/>
        <v>432</v>
      </c>
      <c r="AC1269" s="23">
        <v>1036</v>
      </c>
      <c r="AD1269" s="35"/>
      <c r="AE1269" s="35"/>
      <c r="AF1269" s="35"/>
      <c r="AG1269" s="35"/>
      <c r="AH1269" s="35">
        <v>27</v>
      </c>
      <c r="AI1269" s="35"/>
      <c r="AJ1269" s="35"/>
      <c r="AK1269" s="35"/>
      <c r="AL1269" s="35">
        <f>2+162+1</f>
        <v>165</v>
      </c>
      <c r="AM1269" s="35"/>
      <c r="AN1269" s="35"/>
      <c r="AO1269" s="35"/>
      <c r="AP1269" s="35">
        <f>1+136</f>
        <v>137</v>
      </c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22">
        <f t="shared" si="416"/>
        <v>329</v>
      </c>
      <c r="BC1269" s="23">
        <v>1075</v>
      </c>
      <c r="BD1269" s="130">
        <f t="shared" si="417"/>
        <v>761</v>
      </c>
      <c r="BE1269" s="130">
        <f t="shared" si="418"/>
        <v>2111</v>
      </c>
      <c r="BF1269" s="195">
        <f t="shared" si="419"/>
        <v>36.049265750828994</v>
      </c>
      <c r="BG1269" s="373">
        <f>BE1269-BD1269</f>
        <v>1350</v>
      </c>
    </row>
    <row r="1270" spans="1:59" s="21" customFormat="1" ht="15.95" customHeight="1">
      <c r="A1270" s="176">
        <v>12</v>
      </c>
      <c r="B1270" s="31" t="s">
        <v>736</v>
      </c>
      <c r="C1270" s="32" t="s">
        <v>737</v>
      </c>
      <c r="D1270" s="366"/>
      <c r="E1270" s="366"/>
      <c r="F1270" s="366"/>
      <c r="G1270" s="366"/>
      <c r="H1270" s="366"/>
      <c r="I1270" s="366"/>
      <c r="J1270" s="366"/>
      <c r="K1270" s="366"/>
      <c r="L1270" s="366"/>
      <c r="M1270" s="366"/>
      <c r="N1270" s="366"/>
      <c r="O1270" s="366"/>
      <c r="P1270" s="366"/>
      <c r="Q1270" s="366"/>
      <c r="R1270" s="366"/>
      <c r="S1270" s="366"/>
      <c r="T1270" s="366"/>
      <c r="U1270" s="366"/>
      <c r="V1270" s="366"/>
      <c r="W1270" s="366"/>
      <c r="X1270" s="366"/>
      <c r="Y1270" s="366"/>
      <c r="Z1270" s="366"/>
      <c r="AA1270" s="366"/>
      <c r="AB1270" s="22">
        <f t="shared" si="415"/>
        <v>0</v>
      </c>
      <c r="AC1270" s="23">
        <v>0</v>
      </c>
      <c r="AD1270" s="35">
        <f>14+2796</f>
        <v>2810</v>
      </c>
      <c r="AE1270" s="35"/>
      <c r="AF1270" s="35"/>
      <c r="AG1270" s="35"/>
      <c r="AH1270" s="35">
        <v>1778</v>
      </c>
      <c r="AI1270" s="35"/>
      <c r="AJ1270" s="35"/>
      <c r="AK1270" s="35"/>
      <c r="AL1270" s="35">
        <f>4+1337</f>
        <v>1341</v>
      </c>
      <c r="AM1270" s="35"/>
      <c r="AN1270" s="35"/>
      <c r="AO1270" s="35"/>
      <c r="AP1270" s="35">
        <v>85</v>
      </c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22">
        <f t="shared" si="416"/>
        <v>6014</v>
      </c>
      <c r="BC1270" s="23">
        <v>667</v>
      </c>
      <c r="BD1270" s="130">
        <f t="shared" si="417"/>
        <v>6014</v>
      </c>
      <c r="BE1270" s="130">
        <f t="shared" si="418"/>
        <v>667</v>
      </c>
      <c r="BF1270" s="195">
        <f t="shared" si="419"/>
        <v>901.64917541229386</v>
      </c>
      <c r="BG1270" s="373">
        <f>BE1270-BD1270</f>
        <v>-5347</v>
      </c>
    </row>
    <row r="1271" spans="1:59" s="21" customFormat="1" ht="15.95" customHeight="1">
      <c r="A1271" s="176">
        <v>13</v>
      </c>
      <c r="B1271" s="31" t="s">
        <v>738</v>
      </c>
      <c r="C1271" s="32" t="s">
        <v>739</v>
      </c>
      <c r="D1271" s="407"/>
      <c r="E1271" s="407"/>
      <c r="F1271" s="407"/>
      <c r="G1271" s="407"/>
      <c r="H1271" s="407"/>
      <c r="I1271" s="407"/>
      <c r="J1271" s="407"/>
      <c r="K1271" s="407"/>
      <c r="L1271" s="407"/>
      <c r="M1271" s="407"/>
      <c r="N1271" s="407"/>
      <c r="O1271" s="407"/>
      <c r="P1271" s="407"/>
      <c r="Q1271" s="407"/>
      <c r="R1271" s="407"/>
      <c r="S1271" s="407"/>
      <c r="T1271" s="407"/>
      <c r="U1271" s="407"/>
      <c r="V1271" s="407"/>
      <c r="W1271" s="407"/>
      <c r="X1271" s="407"/>
      <c r="Y1271" s="407"/>
      <c r="Z1271" s="407"/>
      <c r="AA1271" s="407"/>
      <c r="AB1271" s="22">
        <f t="shared" si="415"/>
        <v>0</v>
      </c>
      <c r="AC1271" s="23">
        <v>0</v>
      </c>
      <c r="AD1271" s="35">
        <v>4311</v>
      </c>
      <c r="AE1271" s="35"/>
      <c r="AF1271" s="35"/>
      <c r="AG1271" s="35"/>
      <c r="AH1271" s="35">
        <v>2088</v>
      </c>
      <c r="AI1271" s="35"/>
      <c r="AJ1271" s="35"/>
      <c r="AK1271" s="35"/>
      <c r="AL1271" s="35">
        <v>1862</v>
      </c>
      <c r="AM1271" s="35"/>
      <c r="AN1271" s="35"/>
      <c r="AO1271" s="35"/>
      <c r="AP1271" s="35">
        <f>99+14</f>
        <v>113</v>
      </c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22">
        <f t="shared" si="416"/>
        <v>8374</v>
      </c>
      <c r="BC1271" s="23">
        <v>0</v>
      </c>
      <c r="BD1271" s="130">
        <f t="shared" si="417"/>
        <v>8374</v>
      </c>
      <c r="BE1271" s="130">
        <f t="shared" si="418"/>
        <v>0</v>
      </c>
      <c r="BF1271" s="195" t="e">
        <f t="shared" si="419"/>
        <v>#DIV/0!</v>
      </c>
      <c r="BG1271" s="373"/>
    </row>
    <row r="1272" spans="1:59" s="21" customFormat="1" ht="15.95" customHeight="1">
      <c r="A1272" s="176">
        <v>14</v>
      </c>
      <c r="B1272" s="31" t="s">
        <v>740</v>
      </c>
      <c r="C1272" s="32" t="s">
        <v>741</v>
      </c>
      <c r="D1272" s="381"/>
      <c r="E1272" s="381"/>
      <c r="F1272" s="381"/>
      <c r="G1272" s="381"/>
      <c r="H1272" s="381"/>
      <c r="I1272" s="381"/>
      <c r="J1272" s="381"/>
      <c r="K1272" s="381"/>
      <c r="L1272" s="381"/>
      <c r="M1272" s="381"/>
      <c r="N1272" s="381"/>
      <c r="O1272" s="381"/>
      <c r="P1272" s="381"/>
      <c r="Q1272" s="381"/>
      <c r="R1272" s="381"/>
      <c r="S1272" s="381"/>
      <c r="T1272" s="381"/>
      <c r="U1272" s="381"/>
      <c r="V1272" s="381"/>
      <c r="W1272" s="381"/>
      <c r="X1272" s="381"/>
      <c r="Y1272" s="381"/>
      <c r="Z1272" s="381"/>
      <c r="AA1272" s="381"/>
      <c r="AB1272" s="22">
        <f t="shared" si="415"/>
        <v>0</v>
      </c>
      <c r="AC1272" s="23">
        <v>0</v>
      </c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>
        <v>62</v>
      </c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22">
        <f t="shared" si="416"/>
        <v>62</v>
      </c>
      <c r="BC1272" s="23">
        <v>912</v>
      </c>
      <c r="BD1272" s="130">
        <f t="shared" si="417"/>
        <v>62</v>
      </c>
      <c r="BE1272" s="130">
        <f t="shared" si="418"/>
        <v>912</v>
      </c>
      <c r="BF1272" s="195">
        <f t="shared" si="419"/>
        <v>6.7982456140350882</v>
      </c>
      <c r="BG1272" s="373">
        <f t="shared" ref="BG1272:BG1279" si="421">BE1272-BD1272</f>
        <v>850</v>
      </c>
    </row>
    <row r="1273" spans="1:59" s="21" customFormat="1" ht="15.95" customHeight="1">
      <c r="A1273" s="176">
        <v>15</v>
      </c>
      <c r="B1273" s="31" t="s">
        <v>746</v>
      </c>
      <c r="C1273" s="32" t="s">
        <v>747</v>
      </c>
      <c r="D1273" s="366">
        <f>12044+1</f>
        <v>12045</v>
      </c>
      <c r="E1273" s="366"/>
      <c r="F1273" s="366"/>
      <c r="G1273" s="366"/>
      <c r="H1273" s="366"/>
      <c r="I1273" s="366"/>
      <c r="J1273" s="366"/>
      <c r="K1273" s="366"/>
      <c r="L1273" s="366">
        <v>2302</v>
      </c>
      <c r="M1273" s="366"/>
      <c r="N1273" s="366"/>
      <c r="O1273" s="366"/>
      <c r="P1273" s="366"/>
      <c r="Q1273" s="366"/>
      <c r="R1273" s="366"/>
      <c r="S1273" s="366"/>
      <c r="T1273" s="366"/>
      <c r="U1273" s="366"/>
      <c r="V1273" s="366"/>
      <c r="W1273" s="366"/>
      <c r="X1273" s="366"/>
      <c r="Y1273" s="366"/>
      <c r="Z1273" s="366"/>
      <c r="AA1273" s="366"/>
      <c r="AB1273" s="22">
        <f t="shared" si="415"/>
        <v>14347</v>
      </c>
      <c r="AC1273" s="23">
        <v>0</v>
      </c>
      <c r="AD1273" s="35">
        <f>1732+2690</f>
        <v>4422</v>
      </c>
      <c r="AE1273" s="35"/>
      <c r="AF1273" s="35"/>
      <c r="AG1273" s="35"/>
      <c r="AH1273" s="35">
        <f>1009+1958+4</f>
        <v>2971</v>
      </c>
      <c r="AI1273" s="35"/>
      <c r="AJ1273" s="35"/>
      <c r="AK1273" s="35"/>
      <c r="AL1273" s="35">
        <f>778+1546+38</f>
        <v>2362</v>
      </c>
      <c r="AM1273" s="35"/>
      <c r="AN1273" s="35"/>
      <c r="AO1273" s="35"/>
      <c r="AP1273" s="35">
        <f>69+154+497</f>
        <v>720</v>
      </c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22">
        <f t="shared" si="416"/>
        <v>10475</v>
      </c>
      <c r="BC1273" s="23">
        <v>449</v>
      </c>
      <c r="BD1273" s="130">
        <f t="shared" si="417"/>
        <v>24822</v>
      </c>
      <c r="BE1273" s="130">
        <f t="shared" si="418"/>
        <v>449</v>
      </c>
      <c r="BF1273" s="195">
        <f t="shared" si="419"/>
        <v>5528.2850779510018</v>
      </c>
      <c r="BG1273" s="373">
        <f t="shared" si="421"/>
        <v>-24373</v>
      </c>
    </row>
    <row r="1274" spans="1:59" s="21" customFormat="1" ht="15.95" customHeight="1">
      <c r="A1274" s="176">
        <v>16</v>
      </c>
      <c r="B1274" s="31" t="s">
        <v>881</v>
      </c>
      <c r="C1274" s="32" t="s">
        <v>882</v>
      </c>
      <c r="D1274" s="231"/>
      <c r="E1274" s="231"/>
      <c r="F1274" s="231"/>
      <c r="G1274" s="231"/>
      <c r="H1274" s="231"/>
      <c r="I1274" s="231"/>
      <c r="J1274" s="231"/>
      <c r="K1274" s="231"/>
      <c r="L1274" s="231"/>
      <c r="M1274" s="231"/>
      <c r="N1274" s="231"/>
      <c r="O1274" s="231"/>
      <c r="P1274" s="231"/>
      <c r="Q1274" s="231"/>
      <c r="R1274" s="231"/>
      <c r="S1274" s="231"/>
      <c r="T1274" s="231"/>
      <c r="U1274" s="231"/>
      <c r="V1274" s="231"/>
      <c r="W1274" s="231"/>
      <c r="X1274" s="231"/>
      <c r="Y1274" s="231"/>
      <c r="Z1274" s="231"/>
      <c r="AA1274" s="231"/>
      <c r="AB1274" s="22">
        <f t="shared" si="415"/>
        <v>0</v>
      </c>
      <c r="AC1274" s="23">
        <v>0</v>
      </c>
      <c r="AD1274" s="35">
        <f>4420+2624</f>
        <v>7044</v>
      </c>
      <c r="AE1274" s="35"/>
      <c r="AF1274" s="35"/>
      <c r="AG1274" s="35"/>
      <c r="AH1274" s="35">
        <f>3295+1797+99</f>
        <v>5191</v>
      </c>
      <c r="AI1274" s="35"/>
      <c r="AJ1274" s="35"/>
      <c r="AK1274" s="35"/>
      <c r="AL1274" s="35">
        <f>2128+1468+760</f>
        <v>4356</v>
      </c>
      <c r="AM1274" s="35"/>
      <c r="AN1274" s="35"/>
      <c r="AO1274" s="35"/>
      <c r="AP1274" s="35">
        <f>141+147+1456</f>
        <v>1744</v>
      </c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22">
        <f t="shared" si="416"/>
        <v>18335</v>
      </c>
      <c r="BC1274" s="23">
        <v>2492</v>
      </c>
      <c r="BD1274" s="130">
        <f t="shared" si="417"/>
        <v>18335</v>
      </c>
      <c r="BE1274" s="130">
        <f t="shared" si="418"/>
        <v>2492</v>
      </c>
      <c r="BF1274" s="195">
        <f t="shared" si="419"/>
        <v>735.75441412520058</v>
      </c>
      <c r="BG1274" s="373">
        <f t="shared" si="421"/>
        <v>-15843</v>
      </c>
    </row>
    <row r="1275" spans="1:59" s="21" customFormat="1" ht="15.95" customHeight="1">
      <c r="A1275" s="176">
        <v>17</v>
      </c>
      <c r="B1275" s="31" t="s">
        <v>883</v>
      </c>
      <c r="C1275" s="32" t="s">
        <v>2933</v>
      </c>
      <c r="D1275" s="231">
        <v>3</v>
      </c>
      <c r="E1275" s="231"/>
      <c r="F1275" s="231"/>
      <c r="G1275" s="231"/>
      <c r="H1275" s="231">
        <v>11</v>
      </c>
      <c r="I1275" s="231"/>
      <c r="J1275" s="231"/>
      <c r="K1275" s="231"/>
      <c r="L1275" s="231">
        <f>1+18</f>
        <v>19</v>
      </c>
      <c r="M1275" s="231"/>
      <c r="N1275" s="231"/>
      <c r="O1275" s="231"/>
      <c r="P1275" s="231">
        <f>1+10</f>
        <v>11</v>
      </c>
      <c r="Q1275" s="231"/>
      <c r="R1275" s="231"/>
      <c r="S1275" s="231"/>
      <c r="T1275" s="231"/>
      <c r="U1275" s="231"/>
      <c r="V1275" s="231"/>
      <c r="W1275" s="231"/>
      <c r="X1275" s="231"/>
      <c r="Y1275" s="231"/>
      <c r="Z1275" s="231"/>
      <c r="AA1275" s="231"/>
      <c r="AB1275" s="22">
        <f t="shared" si="415"/>
        <v>44</v>
      </c>
      <c r="AC1275" s="23">
        <v>4</v>
      </c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22">
        <f t="shared" si="416"/>
        <v>0</v>
      </c>
      <c r="BC1275" s="23">
        <v>2</v>
      </c>
      <c r="BD1275" s="130">
        <f t="shared" si="417"/>
        <v>44</v>
      </c>
      <c r="BE1275" s="130">
        <f t="shared" si="418"/>
        <v>6</v>
      </c>
      <c r="BF1275" s="195">
        <f t="shared" si="419"/>
        <v>733.33333333333326</v>
      </c>
      <c r="BG1275" s="373">
        <f t="shared" si="421"/>
        <v>-38</v>
      </c>
    </row>
    <row r="1276" spans="1:59" s="21" customFormat="1" ht="15.95" customHeight="1">
      <c r="A1276" s="176">
        <v>18</v>
      </c>
      <c r="B1276" s="37" t="s">
        <v>884</v>
      </c>
      <c r="C1276" s="38" t="s">
        <v>885</v>
      </c>
      <c r="D1276" s="289"/>
      <c r="E1276" s="289"/>
      <c r="F1276" s="289"/>
      <c r="G1276" s="289"/>
      <c r="H1276" s="289"/>
      <c r="I1276" s="289"/>
      <c r="J1276" s="289"/>
      <c r="K1276" s="289"/>
      <c r="L1276" s="289"/>
      <c r="M1276" s="289"/>
      <c r="N1276" s="289"/>
      <c r="O1276" s="289"/>
      <c r="P1276" s="289"/>
      <c r="Q1276" s="289"/>
      <c r="R1276" s="289"/>
      <c r="S1276" s="289"/>
      <c r="T1276" s="289"/>
      <c r="U1276" s="289"/>
      <c r="V1276" s="289"/>
      <c r="W1276" s="289"/>
      <c r="X1276" s="289"/>
      <c r="Y1276" s="289"/>
      <c r="Z1276" s="289"/>
      <c r="AA1276" s="289"/>
      <c r="AB1276" s="22">
        <f t="shared" si="415"/>
        <v>0</v>
      </c>
      <c r="AC1276" s="23">
        <v>0</v>
      </c>
      <c r="AD1276" s="35"/>
      <c r="AE1276" s="35"/>
      <c r="AF1276" s="35"/>
      <c r="AG1276" s="35"/>
      <c r="AH1276" s="35">
        <v>2</v>
      </c>
      <c r="AI1276" s="35"/>
      <c r="AJ1276" s="35"/>
      <c r="AK1276" s="35"/>
      <c r="AL1276" s="35">
        <f>4+7+2</f>
        <v>13</v>
      </c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22">
        <f t="shared" si="416"/>
        <v>15</v>
      </c>
      <c r="BC1276" s="23">
        <v>224</v>
      </c>
      <c r="BD1276" s="130">
        <f t="shared" si="417"/>
        <v>15</v>
      </c>
      <c r="BE1276" s="130">
        <f t="shared" si="418"/>
        <v>224</v>
      </c>
      <c r="BF1276" s="195">
        <f t="shared" si="419"/>
        <v>6.6964285714285712</v>
      </c>
      <c r="BG1276" s="373">
        <f t="shared" si="421"/>
        <v>209</v>
      </c>
    </row>
    <row r="1277" spans="1:59" s="21" customFormat="1" ht="15.95" customHeight="1">
      <c r="A1277" s="176">
        <v>19</v>
      </c>
      <c r="B1277" s="31" t="s">
        <v>748</v>
      </c>
      <c r="C1277" s="34" t="s">
        <v>749</v>
      </c>
      <c r="D1277" s="231"/>
      <c r="E1277" s="231"/>
      <c r="F1277" s="231"/>
      <c r="G1277" s="231"/>
      <c r="H1277" s="231"/>
      <c r="I1277" s="231"/>
      <c r="J1277" s="231"/>
      <c r="K1277" s="231"/>
      <c r="L1277" s="231"/>
      <c r="M1277" s="231"/>
      <c r="N1277" s="231"/>
      <c r="O1277" s="231"/>
      <c r="P1277" s="231"/>
      <c r="Q1277" s="231"/>
      <c r="R1277" s="231"/>
      <c r="S1277" s="231"/>
      <c r="T1277" s="231"/>
      <c r="U1277" s="231"/>
      <c r="V1277" s="231"/>
      <c r="W1277" s="231"/>
      <c r="X1277" s="231"/>
      <c r="Y1277" s="231"/>
      <c r="Z1277" s="231"/>
      <c r="AA1277" s="231"/>
      <c r="AB1277" s="22">
        <f t="shared" si="415"/>
        <v>0</v>
      </c>
      <c r="AC1277" s="23">
        <v>0</v>
      </c>
      <c r="AD1277" s="35">
        <v>3</v>
      </c>
      <c r="AE1277" s="35"/>
      <c r="AF1277" s="35"/>
      <c r="AG1277" s="35"/>
      <c r="AH1277" s="35">
        <f>5+7</f>
        <v>12</v>
      </c>
      <c r="AI1277" s="35"/>
      <c r="AJ1277" s="35"/>
      <c r="AK1277" s="35"/>
      <c r="AL1277" s="35">
        <f>2+14</f>
        <v>16</v>
      </c>
      <c r="AM1277" s="35"/>
      <c r="AN1277" s="35"/>
      <c r="AO1277" s="35"/>
      <c r="AP1277" s="35">
        <f>1+17</f>
        <v>18</v>
      </c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22">
        <f t="shared" si="416"/>
        <v>49</v>
      </c>
      <c r="BC1277" s="23">
        <v>45</v>
      </c>
      <c r="BD1277" s="130">
        <f t="shared" si="417"/>
        <v>49</v>
      </c>
      <c r="BE1277" s="130">
        <f t="shared" si="418"/>
        <v>45</v>
      </c>
      <c r="BF1277" s="195">
        <f t="shared" si="419"/>
        <v>108.88888888888889</v>
      </c>
      <c r="BG1277" s="373">
        <f t="shared" si="421"/>
        <v>-4</v>
      </c>
    </row>
    <row r="1278" spans="1:59" s="21" customFormat="1" ht="15.95" customHeight="1">
      <c r="A1278" s="176">
        <v>20</v>
      </c>
      <c r="B1278" s="31" t="s">
        <v>750</v>
      </c>
      <c r="C1278" s="34" t="s">
        <v>751</v>
      </c>
      <c r="D1278" s="231">
        <v>2</v>
      </c>
      <c r="E1278" s="231"/>
      <c r="F1278" s="231"/>
      <c r="G1278" s="231"/>
      <c r="H1278" s="231"/>
      <c r="I1278" s="231"/>
      <c r="J1278" s="231"/>
      <c r="K1278" s="231"/>
      <c r="L1278" s="231"/>
      <c r="M1278" s="231"/>
      <c r="N1278" s="231"/>
      <c r="O1278" s="231"/>
      <c r="P1278" s="231"/>
      <c r="Q1278" s="231"/>
      <c r="R1278" s="231"/>
      <c r="S1278" s="231"/>
      <c r="T1278" s="231"/>
      <c r="U1278" s="231"/>
      <c r="V1278" s="231"/>
      <c r="W1278" s="231"/>
      <c r="X1278" s="231"/>
      <c r="Y1278" s="231"/>
      <c r="Z1278" s="231"/>
      <c r="AA1278" s="231"/>
      <c r="AB1278" s="22">
        <f t="shared" si="415"/>
        <v>2</v>
      </c>
      <c r="AC1278" s="23">
        <v>0</v>
      </c>
      <c r="AD1278" s="35">
        <f>121+189</f>
        <v>310</v>
      </c>
      <c r="AE1278" s="35"/>
      <c r="AF1278" s="35"/>
      <c r="AG1278" s="35"/>
      <c r="AH1278" s="35">
        <f>97+95+14</f>
        <v>206</v>
      </c>
      <c r="AI1278" s="35"/>
      <c r="AJ1278" s="35"/>
      <c r="AK1278" s="35"/>
      <c r="AL1278" s="35">
        <f>98+90+36</f>
        <v>224</v>
      </c>
      <c r="AM1278" s="35"/>
      <c r="AN1278" s="35"/>
      <c r="AO1278" s="35"/>
      <c r="AP1278" s="35">
        <f>7+17+56</f>
        <v>80</v>
      </c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22">
        <f t="shared" si="416"/>
        <v>820</v>
      </c>
      <c r="BC1278" s="23">
        <v>97</v>
      </c>
      <c r="BD1278" s="130">
        <f t="shared" si="417"/>
        <v>822</v>
      </c>
      <c r="BE1278" s="130">
        <f t="shared" si="418"/>
        <v>97</v>
      </c>
      <c r="BF1278" s="195">
        <f t="shared" si="419"/>
        <v>847.42268041237116</v>
      </c>
      <c r="BG1278" s="373">
        <f t="shared" si="421"/>
        <v>-725</v>
      </c>
    </row>
    <row r="1279" spans="1:59" s="21" customFormat="1" ht="15.95" customHeight="1">
      <c r="A1279" s="176">
        <v>21</v>
      </c>
      <c r="B1279" s="31" t="s">
        <v>930</v>
      </c>
      <c r="C1279" s="34" t="s">
        <v>931</v>
      </c>
      <c r="D1279" s="231"/>
      <c r="E1279" s="231"/>
      <c r="F1279" s="231"/>
      <c r="G1279" s="231"/>
      <c r="H1279" s="231"/>
      <c r="I1279" s="231"/>
      <c r="J1279" s="231"/>
      <c r="K1279" s="231"/>
      <c r="L1279" s="231"/>
      <c r="M1279" s="231"/>
      <c r="N1279" s="231"/>
      <c r="O1279" s="231"/>
      <c r="P1279" s="231"/>
      <c r="Q1279" s="231"/>
      <c r="R1279" s="231"/>
      <c r="S1279" s="231"/>
      <c r="T1279" s="231"/>
      <c r="U1279" s="231"/>
      <c r="V1279" s="231"/>
      <c r="W1279" s="231"/>
      <c r="X1279" s="231"/>
      <c r="Y1279" s="231"/>
      <c r="Z1279" s="231"/>
      <c r="AA1279" s="231"/>
      <c r="AB1279" s="22">
        <f t="shared" si="415"/>
        <v>0</v>
      </c>
      <c r="AC1279" s="23">
        <v>0</v>
      </c>
      <c r="AD1279" s="35">
        <f>59+123</f>
        <v>182</v>
      </c>
      <c r="AE1279" s="35"/>
      <c r="AF1279" s="35"/>
      <c r="AG1279" s="35"/>
      <c r="AH1279" s="35">
        <f>31+12</f>
        <v>43</v>
      </c>
      <c r="AI1279" s="35"/>
      <c r="AJ1279" s="35"/>
      <c r="AK1279" s="35"/>
      <c r="AL1279" s="35">
        <f>17+18+11</f>
        <v>46</v>
      </c>
      <c r="AM1279" s="35"/>
      <c r="AN1279" s="35"/>
      <c r="AO1279" s="35"/>
      <c r="AP1279" s="35">
        <v>7</v>
      </c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22">
        <f t="shared" si="416"/>
        <v>278</v>
      </c>
      <c r="BC1279" s="23">
        <v>2</v>
      </c>
      <c r="BD1279" s="130">
        <f t="shared" si="417"/>
        <v>278</v>
      </c>
      <c r="BE1279" s="130">
        <f t="shared" si="418"/>
        <v>2</v>
      </c>
      <c r="BF1279" s="195">
        <f t="shared" si="419"/>
        <v>13900</v>
      </c>
      <c r="BG1279" s="373">
        <f t="shared" si="421"/>
        <v>-276</v>
      </c>
    </row>
    <row r="1280" spans="1:59" s="21" customFormat="1" ht="15.95" customHeight="1">
      <c r="A1280" s="176">
        <v>22</v>
      </c>
      <c r="B1280" s="31" t="s">
        <v>982</v>
      </c>
      <c r="C1280" s="34" t="s">
        <v>3810</v>
      </c>
      <c r="D1280" s="523"/>
      <c r="E1280" s="523"/>
      <c r="F1280" s="523"/>
      <c r="G1280" s="523"/>
      <c r="H1280" s="523"/>
      <c r="I1280" s="523"/>
      <c r="J1280" s="523"/>
      <c r="K1280" s="523"/>
      <c r="L1280" s="523"/>
      <c r="M1280" s="523"/>
      <c r="N1280" s="523"/>
      <c r="O1280" s="523"/>
      <c r="P1280" s="523"/>
      <c r="Q1280" s="523"/>
      <c r="R1280" s="523"/>
      <c r="S1280" s="523"/>
      <c r="T1280" s="523"/>
      <c r="U1280" s="523"/>
      <c r="V1280" s="523"/>
      <c r="W1280" s="523"/>
      <c r="X1280" s="523"/>
      <c r="Y1280" s="523"/>
      <c r="Z1280" s="523"/>
      <c r="AA1280" s="523"/>
      <c r="AB1280" s="22">
        <f t="shared" si="415"/>
        <v>0</v>
      </c>
      <c r="AC1280" s="23">
        <v>0</v>
      </c>
      <c r="AD1280" s="35"/>
      <c r="AE1280" s="35"/>
      <c r="AF1280" s="35"/>
      <c r="AG1280" s="35"/>
      <c r="AH1280" s="35">
        <v>19</v>
      </c>
      <c r="AI1280" s="35"/>
      <c r="AJ1280" s="35"/>
      <c r="AK1280" s="35"/>
      <c r="AL1280" s="35">
        <v>2</v>
      </c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22">
        <f t="shared" si="416"/>
        <v>21</v>
      </c>
      <c r="BC1280" s="23">
        <v>0</v>
      </c>
      <c r="BD1280" s="130">
        <f t="shared" si="417"/>
        <v>21</v>
      </c>
      <c r="BE1280" s="130">
        <f t="shared" si="418"/>
        <v>0</v>
      </c>
      <c r="BF1280" s="195" t="e">
        <f t="shared" si="419"/>
        <v>#DIV/0!</v>
      </c>
      <c r="BG1280" s="373"/>
    </row>
    <row r="1281" spans="1:59" s="21" customFormat="1" ht="15.95" customHeight="1">
      <c r="A1281" s="176">
        <v>23</v>
      </c>
      <c r="B1281" s="37" t="s">
        <v>932</v>
      </c>
      <c r="C1281" s="132" t="s">
        <v>933</v>
      </c>
      <c r="D1281" s="231"/>
      <c r="E1281" s="231"/>
      <c r="F1281" s="231"/>
      <c r="G1281" s="231"/>
      <c r="H1281" s="231"/>
      <c r="I1281" s="231"/>
      <c r="J1281" s="231"/>
      <c r="K1281" s="231"/>
      <c r="L1281" s="231"/>
      <c r="M1281" s="231"/>
      <c r="N1281" s="231"/>
      <c r="O1281" s="231"/>
      <c r="P1281" s="231"/>
      <c r="Q1281" s="231"/>
      <c r="R1281" s="231"/>
      <c r="S1281" s="231"/>
      <c r="T1281" s="231"/>
      <c r="U1281" s="231"/>
      <c r="V1281" s="231"/>
      <c r="W1281" s="231"/>
      <c r="X1281" s="231"/>
      <c r="Y1281" s="231"/>
      <c r="Z1281" s="231"/>
      <c r="AA1281" s="231"/>
      <c r="AB1281" s="22">
        <f t="shared" si="415"/>
        <v>0</v>
      </c>
      <c r="AC1281" s="23">
        <v>0</v>
      </c>
      <c r="AD1281" s="35"/>
      <c r="AE1281" s="35"/>
      <c r="AF1281" s="35"/>
      <c r="AG1281" s="35"/>
      <c r="AH1281" s="35">
        <v>1</v>
      </c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22">
        <f t="shared" si="416"/>
        <v>1</v>
      </c>
      <c r="BC1281" s="23">
        <v>3</v>
      </c>
      <c r="BD1281" s="130">
        <f t="shared" si="417"/>
        <v>1</v>
      </c>
      <c r="BE1281" s="130">
        <f t="shared" si="418"/>
        <v>3</v>
      </c>
      <c r="BF1281" s="195">
        <f t="shared" si="419"/>
        <v>33.333333333333329</v>
      </c>
      <c r="BG1281" s="373">
        <f t="shared" ref="BG1281:BG1290" si="422">BE1281-BD1281</f>
        <v>2</v>
      </c>
    </row>
    <row r="1282" spans="1:59" s="21" customFormat="1" ht="15.95" customHeight="1">
      <c r="A1282" s="176">
        <v>24</v>
      </c>
      <c r="B1282" s="31" t="s">
        <v>887</v>
      </c>
      <c r="C1282" s="32" t="s">
        <v>888</v>
      </c>
      <c r="D1282" s="256"/>
      <c r="E1282" s="256"/>
      <c r="F1282" s="256"/>
      <c r="G1282" s="256"/>
      <c r="H1282" s="256"/>
      <c r="I1282" s="256"/>
      <c r="J1282" s="256"/>
      <c r="K1282" s="256"/>
      <c r="L1282" s="256"/>
      <c r="M1282" s="256"/>
      <c r="N1282" s="256"/>
      <c r="O1282" s="256"/>
      <c r="P1282" s="256"/>
      <c r="Q1282" s="256"/>
      <c r="R1282" s="256"/>
      <c r="S1282" s="256"/>
      <c r="T1282" s="256"/>
      <c r="U1282" s="256"/>
      <c r="V1282" s="256"/>
      <c r="W1282" s="256"/>
      <c r="X1282" s="256"/>
      <c r="Y1282" s="256"/>
      <c r="Z1282" s="256"/>
      <c r="AA1282" s="256"/>
      <c r="AB1282" s="22">
        <f t="shared" si="415"/>
        <v>0</v>
      </c>
      <c r="AC1282" s="23">
        <v>0</v>
      </c>
      <c r="AD1282" s="35">
        <v>1</v>
      </c>
      <c r="AE1282" s="35"/>
      <c r="AF1282" s="35"/>
      <c r="AG1282" s="35"/>
      <c r="AH1282" s="35"/>
      <c r="AI1282" s="35"/>
      <c r="AJ1282" s="35"/>
      <c r="AK1282" s="35"/>
      <c r="AL1282" s="35">
        <v>1</v>
      </c>
      <c r="AM1282" s="35"/>
      <c r="AN1282" s="35"/>
      <c r="AO1282" s="35"/>
      <c r="AP1282" s="35">
        <v>1</v>
      </c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22">
        <f t="shared" si="416"/>
        <v>3</v>
      </c>
      <c r="BC1282" s="23">
        <v>13</v>
      </c>
      <c r="BD1282" s="130">
        <f t="shared" si="417"/>
        <v>3</v>
      </c>
      <c r="BE1282" s="130">
        <f t="shared" si="418"/>
        <v>13</v>
      </c>
      <c r="BF1282" s="195">
        <f t="shared" si="419"/>
        <v>23.076923076923077</v>
      </c>
      <c r="BG1282" s="373">
        <f t="shared" si="422"/>
        <v>10</v>
      </c>
    </row>
    <row r="1283" spans="1:59" s="21" customFormat="1" ht="15.95" customHeight="1">
      <c r="A1283" s="176">
        <v>25</v>
      </c>
      <c r="B1283" s="31" t="s">
        <v>752</v>
      </c>
      <c r="C1283" s="32" t="s">
        <v>753</v>
      </c>
      <c r="D1283" s="231"/>
      <c r="E1283" s="231"/>
      <c r="F1283" s="231"/>
      <c r="G1283" s="231"/>
      <c r="H1283" s="231"/>
      <c r="I1283" s="231"/>
      <c r="J1283" s="231"/>
      <c r="K1283" s="231"/>
      <c r="L1283" s="231"/>
      <c r="M1283" s="231"/>
      <c r="N1283" s="231"/>
      <c r="O1283" s="231"/>
      <c r="P1283" s="231"/>
      <c r="Q1283" s="231"/>
      <c r="R1283" s="231"/>
      <c r="S1283" s="231"/>
      <c r="T1283" s="231"/>
      <c r="U1283" s="231"/>
      <c r="V1283" s="231"/>
      <c r="W1283" s="231"/>
      <c r="X1283" s="231"/>
      <c r="Y1283" s="231"/>
      <c r="Z1283" s="231"/>
      <c r="AA1283" s="231"/>
      <c r="AB1283" s="22">
        <f t="shared" si="415"/>
        <v>0</v>
      </c>
      <c r="AC1283" s="23">
        <v>0</v>
      </c>
      <c r="AD1283" s="35">
        <v>1</v>
      </c>
      <c r="AE1283" s="35"/>
      <c r="AF1283" s="35"/>
      <c r="AG1283" s="35"/>
      <c r="AH1283" s="35"/>
      <c r="AI1283" s="35"/>
      <c r="AJ1283" s="35"/>
      <c r="AK1283" s="35"/>
      <c r="AL1283" s="35">
        <v>2</v>
      </c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22">
        <f t="shared" si="416"/>
        <v>3</v>
      </c>
      <c r="BC1283" s="23">
        <v>5</v>
      </c>
      <c r="BD1283" s="130">
        <f t="shared" si="417"/>
        <v>3</v>
      </c>
      <c r="BE1283" s="130">
        <f t="shared" si="418"/>
        <v>5</v>
      </c>
      <c r="BF1283" s="195">
        <f t="shared" si="419"/>
        <v>60</v>
      </c>
      <c r="BG1283" s="373">
        <f t="shared" si="422"/>
        <v>2</v>
      </c>
    </row>
    <row r="1284" spans="1:59" s="21" customFormat="1" ht="15.95" customHeight="1">
      <c r="A1284" s="176">
        <v>26</v>
      </c>
      <c r="B1284" s="505" t="s">
        <v>754</v>
      </c>
      <c r="C1284" s="506" t="s">
        <v>889</v>
      </c>
      <c r="D1284" s="381"/>
      <c r="E1284" s="381"/>
      <c r="F1284" s="381"/>
      <c r="G1284" s="381"/>
      <c r="H1284" s="381"/>
      <c r="I1284" s="381"/>
      <c r="J1284" s="381"/>
      <c r="K1284" s="381"/>
      <c r="L1284" s="381"/>
      <c r="M1284" s="381"/>
      <c r="N1284" s="381"/>
      <c r="O1284" s="381"/>
      <c r="P1284" s="381"/>
      <c r="Q1284" s="381"/>
      <c r="R1284" s="381"/>
      <c r="S1284" s="381"/>
      <c r="T1284" s="381"/>
      <c r="U1284" s="381"/>
      <c r="V1284" s="381"/>
      <c r="W1284" s="381"/>
      <c r="X1284" s="381"/>
      <c r="Y1284" s="381"/>
      <c r="Z1284" s="381"/>
      <c r="AA1284" s="381"/>
      <c r="AB1284" s="22">
        <f t="shared" si="415"/>
        <v>0</v>
      </c>
      <c r="AC1284" s="23">
        <v>0</v>
      </c>
      <c r="AD1284" s="35">
        <f>4+327</f>
        <v>331</v>
      </c>
      <c r="AE1284" s="35"/>
      <c r="AF1284" s="35"/>
      <c r="AG1284" s="35"/>
      <c r="AH1284" s="35">
        <f>249+1</f>
        <v>250</v>
      </c>
      <c r="AI1284" s="35"/>
      <c r="AJ1284" s="35"/>
      <c r="AK1284" s="35">
        <v>32</v>
      </c>
      <c r="AL1284" s="35">
        <f>2+193+13</f>
        <v>208</v>
      </c>
      <c r="AM1284" s="35"/>
      <c r="AN1284" s="35"/>
      <c r="AO1284" s="35"/>
      <c r="AP1284" s="35">
        <f>21+30</f>
        <v>51</v>
      </c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22">
        <f t="shared" si="416"/>
        <v>872</v>
      </c>
      <c r="BC1284" s="23">
        <v>83</v>
      </c>
      <c r="BD1284" s="130">
        <f t="shared" si="417"/>
        <v>872</v>
      </c>
      <c r="BE1284" s="130">
        <f t="shared" si="418"/>
        <v>83</v>
      </c>
      <c r="BF1284" s="195">
        <f t="shared" si="419"/>
        <v>1050.602409638554</v>
      </c>
      <c r="BG1284" s="373">
        <f t="shared" si="422"/>
        <v>-789</v>
      </c>
    </row>
    <row r="1285" spans="1:59" s="21" customFormat="1" ht="15.95" customHeight="1">
      <c r="A1285" s="176">
        <v>27</v>
      </c>
      <c r="B1285" s="31" t="s">
        <v>756</v>
      </c>
      <c r="C1285" s="32" t="s">
        <v>890</v>
      </c>
      <c r="D1285" s="231">
        <v>10580</v>
      </c>
      <c r="E1285" s="231"/>
      <c r="F1285" s="231"/>
      <c r="G1285" s="231"/>
      <c r="H1285" s="231"/>
      <c r="I1285" s="231"/>
      <c r="J1285" s="231"/>
      <c r="K1285" s="231"/>
      <c r="L1285" s="231">
        <v>1423</v>
      </c>
      <c r="M1285" s="231"/>
      <c r="N1285" s="231"/>
      <c r="O1285" s="231"/>
      <c r="P1285" s="231"/>
      <c r="Q1285" s="231"/>
      <c r="R1285" s="231"/>
      <c r="S1285" s="231"/>
      <c r="T1285" s="231"/>
      <c r="U1285" s="231"/>
      <c r="V1285" s="231"/>
      <c r="W1285" s="231"/>
      <c r="X1285" s="231"/>
      <c r="Y1285" s="231"/>
      <c r="Z1285" s="231"/>
      <c r="AA1285" s="231"/>
      <c r="AB1285" s="22">
        <f t="shared" si="415"/>
        <v>12003</v>
      </c>
      <c r="AC1285" s="23">
        <v>0</v>
      </c>
      <c r="AD1285" s="35">
        <f>3950+7319</f>
        <v>11269</v>
      </c>
      <c r="AE1285" s="35"/>
      <c r="AF1285" s="35"/>
      <c r="AG1285" s="35"/>
      <c r="AH1285" s="35">
        <f>3276+5140+225</f>
        <v>8641</v>
      </c>
      <c r="AI1285" s="35"/>
      <c r="AJ1285" s="35"/>
      <c r="AK1285" s="35"/>
      <c r="AL1285" s="35">
        <f>1830+4122+995+7</f>
        <v>6954</v>
      </c>
      <c r="AM1285" s="35"/>
      <c r="AN1285" s="35"/>
      <c r="AO1285" s="35"/>
      <c r="AP1285" s="35">
        <f>160+390+1877</f>
        <v>2427</v>
      </c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22">
        <f t="shared" si="416"/>
        <v>29291</v>
      </c>
      <c r="BC1285" s="23">
        <v>4832</v>
      </c>
      <c r="BD1285" s="130">
        <f t="shared" si="417"/>
        <v>41294</v>
      </c>
      <c r="BE1285" s="130">
        <f t="shared" si="418"/>
        <v>4832</v>
      </c>
      <c r="BF1285" s="195">
        <f t="shared" si="419"/>
        <v>854.59437086092726</v>
      </c>
      <c r="BG1285" s="373">
        <f t="shared" si="422"/>
        <v>-36462</v>
      </c>
    </row>
    <row r="1286" spans="1:59" s="21" customFormat="1" ht="15.95" customHeight="1">
      <c r="A1286" s="176">
        <v>28</v>
      </c>
      <c r="B1286" s="31" t="s">
        <v>758</v>
      </c>
      <c r="C1286" s="32" t="s">
        <v>2209</v>
      </c>
      <c r="D1286" s="231"/>
      <c r="E1286" s="231"/>
      <c r="F1286" s="231"/>
      <c r="G1286" s="231"/>
      <c r="H1286" s="231"/>
      <c r="I1286" s="231"/>
      <c r="J1286" s="231"/>
      <c r="K1286" s="231"/>
      <c r="L1286" s="231"/>
      <c r="M1286" s="231"/>
      <c r="N1286" s="231"/>
      <c r="O1286" s="231"/>
      <c r="P1286" s="231"/>
      <c r="Q1286" s="231"/>
      <c r="R1286" s="231"/>
      <c r="S1286" s="231"/>
      <c r="T1286" s="231"/>
      <c r="U1286" s="231"/>
      <c r="V1286" s="231"/>
      <c r="W1286" s="231"/>
      <c r="X1286" s="231"/>
      <c r="Y1286" s="231"/>
      <c r="Z1286" s="231"/>
      <c r="AA1286" s="231"/>
      <c r="AB1286" s="22">
        <f t="shared" si="415"/>
        <v>0</v>
      </c>
      <c r="AC1286" s="23">
        <v>1</v>
      </c>
      <c r="AD1286" s="35">
        <f>15+2584</f>
        <v>2599</v>
      </c>
      <c r="AE1286" s="35"/>
      <c r="AF1286" s="35"/>
      <c r="AG1286" s="35"/>
      <c r="AH1286" s="35">
        <v>1785</v>
      </c>
      <c r="AI1286" s="35"/>
      <c r="AJ1286" s="35"/>
      <c r="AK1286" s="35"/>
      <c r="AL1286" s="35">
        <f>7+1472</f>
        <v>1479</v>
      </c>
      <c r="AM1286" s="35"/>
      <c r="AN1286" s="35"/>
      <c r="AO1286" s="35"/>
      <c r="AP1286" s="35">
        <v>162</v>
      </c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22">
        <f t="shared" si="416"/>
        <v>6025</v>
      </c>
      <c r="BC1286" s="23">
        <v>80</v>
      </c>
      <c r="BD1286" s="130">
        <f t="shared" si="417"/>
        <v>6025</v>
      </c>
      <c r="BE1286" s="130">
        <f t="shared" si="418"/>
        <v>81</v>
      </c>
      <c r="BF1286" s="195">
        <f t="shared" si="419"/>
        <v>7438.2716049382725</v>
      </c>
      <c r="BG1286" s="373">
        <f t="shared" si="422"/>
        <v>-5944</v>
      </c>
    </row>
    <row r="1287" spans="1:59" s="21" customFormat="1" ht="15.95" customHeight="1">
      <c r="A1287" s="176">
        <v>29</v>
      </c>
      <c r="B1287" s="31" t="s">
        <v>760</v>
      </c>
      <c r="C1287" s="32" t="s">
        <v>2035</v>
      </c>
      <c r="D1287" s="231"/>
      <c r="E1287" s="231"/>
      <c r="F1287" s="231"/>
      <c r="G1287" s="231"/>
      <c r="H1287" s="231"/>
      <c r="I1287" s="231"/>
      <c r="J1287" s="231"/>
      <c r="K1287" s="231"/>
      <c r="L1287" s="231"/>
      <c r="M1287" s="231"/>
      <c r="N1287" s="231"/>
      <c r="O1287" s="231"/>
      <c r="P1287" s="231"/>
      <c r="Q1287" s="231"/>
      <c r="R1287" s="231"/>
      <c r="S1287" s="231"/>
      <c r="T1287" s="231"/>
      <c r="U1287" s="231"/>
      <c r="V1287" s="231"/>
      <c r="W1287" s="231"/>
      <c r="X1287" s="231"/>
      <c r="Y1287" s="231"/>
      <c r="Z1287" s="231"/>
      <c r="AA1287" s="231"/>
      <c r="AB1287" s="22">
        <f t="shared" si="415"/>
        <v>0</v>
      </c>
      <c r="AC1287" s="23">
        <v>0</v>
      </c>
      <c r="AD1287" s="35">
        <f>1+173</f>
        <v>174</v>
      </c>
      <c r="AE1287" s="35"/>
      <c r="AF1287" s="35"/>
      <c r="AG1287" s="35"/>
      <c r="AH1287" s="35">
        <f>1+119+1</f>
        <v>121</v>
      </c>
      <c r="AI1287" s="35"/>
      <c r="AJ1287" s="35"/>
      <c r="AK1287" s="35"/>
      <c r="AL1287" s="35">
        <f>2+133+7</f>
        <v>142</v>
      </c>
      <c r="AM1287" s="35"/>
      <c r="AN1287" s="35"/>
      <c r="AO1287" s="35"/>
      <c r="AP1287" s="35">
        <f>7+9</f>
        <v>16</v>
      </c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22">
        <f t="shared" si="416"/>
        <v>453</v>
      </c>
      <c r="BC1287" s="23">
        <v>38</v>
      </c>
      <c r="BD1287" s="130">
        <f t="shared" si="417"/>
        <v>453</v>
      </c>
      <c r="BE1287" s="130">
        <f t="shared" si="418"/>
        <v>38</v>
      </c>
      <c r="BF1287" s="195">
        <f t="shared" si="419"/>
        <v>1192.1052631578948</v>
      </c>
      <c r="BG1287" s="373">
        <f t="shared" si="422"/>
        <v>-415</v>
      </c>
    </row>
    <row r="1288" spans="1:59" s="21" customFormat="1" ht="15.95" customHeight="1">
      <c r="A1288" s="176">
        <v>30</v>
      </c>
      <c r="B1288" s="31" t="s">
        <v>762</v>
      </c>
      <c r="C1288" s="32" t="s">
        <v>2036</v>
      </c>
      <c r="D1288" s="231"/>
      <c r="E1288" s="231"/>
      <c r="F1288" s="231"/>
      <c r="G1288" s="231"/>
      <c r="H1288" s="231"/>
      <c r="I1288" s="231"/>
      <c r="J1288" s="231"/>
      <c r="K1288" s="231"/>
      <c r="L1288" s="231"/>
      <c r="M1288" s="231"/>
      <c r="N1288" s="231"/>
      <c r="O1288" s="231"/>
      <c r="P1288" s="231"/>
      <c r="Q1288" s="231"/>
      <c r="R1288" s="231"/>
      <c r="S1288" s="231"/>
      <c r="T1288" s="231"/>
      <c r="U1288" s="231"/>
      <c r="V1288" s="231"/>
      <c r="W1288" s="231"/>
      <c r="X1288" s="231"/>
      <c r="Y1288" s="231"/>
      <c r="Z1288" s="231"/>
      <c r="AA1288" s="231"/>
      <c r="AB1288" s="22">
        <f t="shared" si="415"/>
        <v>0</v>
      </c>
      <c r="AC1288" s="23">
        <v>0</v>
      </c>
      <c r="AD1288" s="35">
        <f>2+106</f>
        <v>108</v>
      </c>
      <c r="AE1288" s="35"/>
      <c r="AF1288" s="35"/>
      <c r="AG1288" s="35"/>
      <c r="AH1288" s="35">
        <f>72+1</f>
        <v>73</v>
      </c>
      <c r="AI1288" s="35"/>
      <c r="AJ1288" s="35"/>
      <c r="AK1288" s="35"/>
      <c r="AL1288" s="35">
        <f>1+63+3</f>
        <v>67</v>
      </c>
      <c r="AM1288" s="35"/>
      <c r="AN1288" s="35"/>
      <c r="AO1288" s="35"/>
      <c r="AP1288" s="35">
        <f>4+6</f>
        <v>10</v>
      </c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22">
        <f t="shared" si="416"/>
        <v>258</v>
      </c>
      <c r="BC1288" s="23">
        <v>14</v>
      </c>
      <c r="BD1288" s="130">
        <f t="shared" si="417"/>
        <v>258</v>
      </c>
      <c r="BE1288" s="130">
        <f t="shared" si="418"/>
        <v>14</v>
      </c>
      <c r="BF1288" s="195">
        <f t="shared" si="419"/>
        <v>1842.8571428571427</v>
      </c>
      <c r="BG1288" s="373">
        <f t="shared" si="422"/>
        <v>-244</v>
      </c>
    </row>
    <row r="1289" spans="1:59" s="21" customFormat="1" ht="15.95" customHeight="1">
      <c r="A1289" s="176">
        <v>31</v>
      </c>
      <c r="B1289" s="31" t="s">
        <v>763</v>
      </c>
      <c r="C1289" s="32" t="s">
        <v>891</v>
      </c>
      <c r="D1289" s="231"/>
      <c r="E1289" s="231"/>
      <c r="F1289" s="231"/>
      <c r="G1289" s="231"/>
      <c r="H1289" s="231"/>
      <c r="I1289" s="231"/>
      <c r="J1289" s="231"/>
      <c r="K1289" s="231"/>
      <c r="L1289" s="231"/>
      <c r="M1289" s="231"/>
      <c r="N1289" s="231"/>
      <c r="O1289" s="231"/>
      <c r="P1289" s="231"/>
      <c r="Q1289" s="231"/>
      <c r="R1289" s="231"/>
      <c r="S1289" s="231"/>
      <c r="T1289" s="231"/>
      <c r="U1289" s="231"/>
      <c r="V1289" s="231"/>
      <c r="W1289" s="231"/>
      <c r="X1289" s="231"/>
      <c r="Y1289" s="231"/>
      <c r="Z1289" s="231"/>
      <c r="AA1289" s="231"/>
      <c r="AB1289" s="22">
        <f t="shared" si="415"/>
        <v>0</v>
      </c>
      <c r="AC1289" s="23">
        <v>0</v>
      </c>
      <c r="AD1289" s="35">
        <f>5+80</f>
        <v>85</v>
      </c>
      <c r="AE1289" s="35"/>
      <c r="AF1289" s="35"/>
      <c r="AG1289" s="35"/>
      <c r="AH1289" s="35">
        <f>1+53+2</f>
        <v>56</v>
      </c>
      <c r="AI1289" s="35"/>
      <c r="AJ1289" s="35"/>
      <c r="AK1289" s="35"/>
      <c r="AL1289" s="35">
        <f>3+32+7</f>
        <v>42</v>
      </c>
      <c r="AM1289" s="35"/>
      <c r="AN1289" s="35"/>
      <c r="AO1289" s="35"/>
      <c r="AP1289" s="35">
        <f>8+13</f>
        <v>21</v>
      </c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22">
        <f t="shared" si="416"/>
        <v>204</v>
      </c>
      <c r="BC1289" s="23">
        <v>101</v>
      </c>
      <c r="BD1289" s="130">
        <f t="shared" si="417"/>
        <v>204</v>
      </c>
      <c r="BE1289" s="130">
        <f t="shared" si="418"/>
        <v>101</v>
      </c>
      <c r="BF1289" s="195">
        <f t="shared" si="419"/>
        <v>201.98019801980197</v>
      </c>
      <c r="BG1289" s="373">
        <f t="shared" si="422"/>
        <v>-103</v>
      </c>
    </row>
    <row r="1290" spans="1:59" s="21" customFormat="1" ht="15.95" customHeight="1">
      <c r="A1290" s="176">
        <v>32</v>
      </c>
      <c r="B1290" s="31" t="s">
        <v>764</v>
      </c>
      <c r="C1290" s="32" t="s">
        <v>765</v>
      </c>
      <c r="D1290" s="231"/>
      <c r="E1290" s="231"/>
      <c r="F1290" s="231"/>
      <c r="G1290" s="231"/>
      <c r="H1290" s="231"/>
      <c r="I1290" s="231"/>
      <c r="J1290" s="231"/>
      <c r="K1290" s="231"/>
      <c r="L1290" s="231"/>
      <c r="M1290" s="231"/>
      <c r="N1290" s="231"/>
      <c r="O1290" s="231"/>
      <c r="P1290" s="231"/>
      <c r="Q1290" s="231"/>
      <c r="R1290" s="231"/>
      <c r="S1290" s="231"/>
      <c r="T1290" s="231"/>
      <c r="U1290" s="231"/>
      <c r="V1290" s="231"/>
      <c r="W1290" s="231"/>
      <c r="X1290" s="231"/>
      <c r="Y1290" s="231"/>
      <c r="Z1290" s="231"/>
      <c r="AA1290" s="231"/>
      <c r="AB1290" s="22">
        <f t="shared" si="415"/>
        <v>0</v>
      </c>
      <c r="AC1290" s="23">
        <v>0</v>
      </c>
      <c r="AD1290" s="35">
        <f>4+1466</f>
        <v>1470</v>
      </c>
      <c r="AE1290" s="35"/>
      <c r="AF1290" s="35"/>
      <c r="AG1290" s="35"/>
      <c r="AH1290" s="35">
        <v>1585</v>
      </c>
      <c r="AI1290" s="35"/>
      <c r="AJ1290" s="35"/>
      <c r="AK1290" s="35"/>
      <c r="AL1290" s="35">
        <f>2+1036</f>
        <v>1038</v>
      </c>
      <c r="AM1290" s="35"/>
      <c r="AN1290" s="35"/>
      <c r="AO1290" s="35"/>
      <c r="AP1290" s="35">
        <f>112+2</f>
        <v>114</v>
      </c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22">
        <f t="shared" si="416"/>
        <v>4207</v>
      </c>
      <c r="BC1290" s="23">
        <v>6</v>
      </c>
      <c r="BD1290" s="130">
        <f t="shared" si="417"/>
        <v>4207</v>
      </c>
      <c r="BE1290" s="130">
        <f t="shared" si="418"/>
        <v>6</v>
      </c>
      <c r="BF1290" s="195">
        <f t="shared" si="419"/>
        <v>70116.666666666657</v>
      </c>
      <c r="BG1290" s="373">
        <f t="shared" si="422"/>
        <v>-4201</v>
      </c>
    </row>
    <row r="1291" spans="1:59" s="21" customFormat="1" ht="15.95" customHeight="1">
      <c r="A1291" s="176">
        <v>33</v>
      </c>
      <c r="B1291" s="31" t="s">
        <v>1366</v>
      </c>
      <c r="C1291" s="32" t="s">
        <v>1367</v>
      </c>
      <c r="D1291" s="524"/>
      <c r="E1291" s="524"/>
      <c r="F1291" s="524"/>
      <c r="G1291" s="524"/>
      <c r="H1291" s="524"/>
      <c r="I1291" s="524"/>
      <c r="J1291" s="524"/>
      <c r="K1291" s="524"/>
      <c r="L1291" s="524"/>
      <c r="M1291" s="524"/>
      <c r="N1291" s="524"/>
      <c r="O1291" s="524"/>
      <c r="P1291" s="524"/>
      <c r="Q1291" s="524"/>
      <c r="R1291" s="524"/>
      <c r="S1291" s="524"/>
      <c r="T1291" s="524"/>
      <c r="U1291" s="524"/>
      <c r="V1291" s="524"/>
      <c r="W1291" s="524"/>
      <c r="X1291" s="524"/>
      <c r="Y1291" s="524"/>
      <c r="Z1291" s="524"/>
      <c r="AA1291" s="524"/>
      <c r="AB1291" s="22">
        <f t="shared" ref="AB1291:AB1322" si="423">SUM(D1291:AA1291)</f>
        <v>0</v>
      </c>
      <c r="AC1291" s="23">
        <v>0</v>
      </c>
      <c r="AD1291" s="35"/>
      <c r="AE1291" s="35"/>
      <c r="AF1291" s="35"/>
      <c r="AG1291" s="35"/>
      <c r="AH1291" s="35">
        <v>5</v>
      </c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22">
        <f t="shared" ref="BB1291:BB1322" si="424">SUM(AD1291:BA1291)</f>
        <v>5</v>
      </c>
      <c r="BC1291" s="23">
        <v>0</v>
      </c>
      <c r="BD1291" s="130">
        <f t="shared" ref="BD1291:BD1322" si="425">AB1291+BB1291</f>
        <v>5</v>
      </c>
      <c r="BE1291" s="130">
        <f t="shared" ref="BE1291:BE1322" si="426">AC1291+BC1291</f>
        <v>0</v>
      </c>
      <c r="BF1291" s="195" t="e">
        <f t="shared" ref="BF1291:BF1322" si="427">BD1291/BE1291*100</f>
        <v>#DIV/0!</v>
      </c>
      <c r="BG1291" s="373"/>
    </row>
    <row r="1292" spans="1:59" s="21" customFormat="1" ht="15.95" customHeight="1">
      <c r="A1292" s="176">
        <v>34</v>
      </c>
      <c r="B1292" s="31" t="s">
        <v>768</v>
      </c>
      <c r="C1292" s="32" t="s">
        <v>769</v>
      </c>
      <c r="D1292" s="231"/>
      <c r="E1292" s="231"/>
      <c r="F1292" s="231"/>
      <c r="G1292" s="231"/>
      <c r="H1292" s="231"/>
      <c r="I1292" s="231"/>
      <c r="J1292" s="231"/>
      <c r="K1292" s="231"/>
      <c r="L1292" s="231"/>
      <c r="M1292" s="231"/>
      <c r="N1292" s="231"/>
      <c r="O1292" s="231"/>
      <c r="P1292" s="231"/>
      <c r="Q1292" s="231"/>
      <c r="R1292" s="231"/>
      <c r="S1292" s="231"/>
      <c r="T1292" s="231"/>
      <c r="U1292" s="231"/>
      <c r="V1292" s="231"/>
      <c r="W1292" s="231"/>
      <c r="X1292" s="231"/>
      <c r="Y1292" s="231"/>
      <c r="Z1292" s="231"/>
      <c r="AA1292" s="231"/>
      <c r="AB1292" s="22">
        <f t="shared" si="423"/>
        <v>0</v>
      </c>
      <c r="AC1292" s="23">
        <v>0</v>
      </c>
      <c r="AD1292" s="35">
        <f>6+306</f>
        <v>312</v>
      </c>
      <c r="AE1292" s="35"/>
      <c r="AF1292" s="35"/>
      <c r="AG1292" s="35"/>
      <c r="AH1292" s="35">
        <f>6+199+2</f>
        <v>207</v>
      </c>
      <c r="AI1292" s="35"/>
      <c r="AJ1292" s="35"/>
      <c r="AK1292" s="35"/>
      <c r="AL1292" s="35">
        <f>3+186+22</f>
        <v>211</v>
      </c>
      <c r="AM1292" s="35"/>
      <c r="AN1292" s="35"/>
      <c r="AO1292" s="35"/>
      <c r="AP1292" s="35">
        <f>20+24</f>
        <v>44</v>
      </c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22">
        <f t="shared" si="424"/>
        <v>774</v>
      </c>
      <c r="BC1292" s="23">
        <v>107</v>
      </c>
      <c r="BD1292" s="130">
        <f t="shared" si="425"/>
        <v>774</v>
      </c>
      <c r="BE1292" s="130">
        <f t="shared" si="426"/>
        <v>107</v>
      </c>
      <c r="BF1292" s="195">
        <f t="shared" si="427"/>
        <v>723.36448598130835</v>
      </c>
      <c r="BG1292" s="373">
        <f>BE1292-BD1292</f>
        <v>-667</v>
      </c>
    </row>
    <row r="1293" spans="1:59" s="21" customFormat="1" ht="15.95" customHeight="1">
      <c r="A1293" s="176">
        <v>35</v>
      </c>
      <c r="B1293" s="31" t="s">
        <v>770</v>
      </c>
      <c r="C1293" s="34" t="s">
        <v>771</v>
      </c>
      <c r="D1293" s="231"/>
      <c r="E1293" s="231"/>
      <c r="F1293" s="231"/>
      <c r="G1293" s="231"/>
      <c r="H1293" s="231"/>
      <c r="I1293" s="231"/>
      <c r="J1293" s="231"/>
      <c r="K1293" s="231"/>
      <c r="L1293" s="231"/>
      <c r="M1293" s="231"/>
      <c r="N1293" s="231"/>
      <c r="O1293" s="231"/>
      <c r="P1293" s="231"/>
      <c r="Q1293" s="231"/>
      <c r="R1293" s="231"/>
      <c r="S1293" s="231"/>
      <c r="T1293" s="231"/>
      <c r="U1293" s="231"/>
      <c r="V1293" s="231"/>
      <c r="W1293" s="231"/>
      <c r="X1293" s="231"/>
      <c r="Y1293" s="231"/>
      <c r="Z1293" s="231"/>
      <c r="AA1293" s="231"/>
      <c r="AB1293" s="22">
        <f t="shared" si="423"/>
        <v>0</v>
      </c>
      <c r="AC1293" s="23">
        <v>0</v>
      </c>
      <c r="AD1293" s="35">
        <f>9+1349</f>
        <v>1358</v>
      </c>
      <c r="AE1293" s="35"/>
      <c r="AF1293" s="35"/>
      <c r="AG1293" s="35"/>
      <c r="AH1293" s="35">
        <f>1+947+7</f>
        <v>955</v>
      </c>
      <c r="AI1293" s="35"/>
      <c r="AJ1293" s="35"/>
      <c r="AK1293" s="35"/>
      <c r="AL1293" s="35">
        <f>5+734+90</f>
        <v>829</v>
      </c>
      <c r="AM1293" s="35"/>
      <c r="AN1293" s="35"/>
      <c r="AO1293" s="35"/>
      <c r="AP1293" s="35">
        <f>79+192</f>
        <v>271</v>
      </c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22">
        <f t="shared" si="424"/>
        <v>3413</v>
      </c>
      <c r="BC1293" s="23">
        <v>545</v>
      </c>
      <c r="BD1293" s="130">
        <f t="shared" si="425"/>
        <v>3413</v>
      </c>
      <c r="BE1293" s="130">
        <f t="shared" si="426"/>
        <v>545</v>
      </c>
      <c r="BF1293" s="195">
        <f t="shared" si="427"/>
        <v>626.2385321100918</v>
      </c>
      <c r="BG1293" s="373">
        <f>BE1293-BD1293</f>
        <v>-2868</v>
      </c>
    </row>
    <row r="1294" spans="1:59" s="21" customFormat="1" ht="15.95" customHeight="1">
      <c r="A1294" s="176">
        <v>36</v>
      </c>
      <c r="B1294" s="31" t="s">
        <v>1140</v>
      </c>
      <c r="C1294" s="34" t="s">
        <v>1281</v>
      </c>
      <c r="D1294" s="407">
        <v>1</v>
      </c>
      <c r="E1294" s="407"/>
      <c r="F1294" s="407"/>
      <c r="G1294" s="407"/>
      <c r="H1294" s="407"/>
      <c r="I1294" s="407"/>
      <c r="J1294" s="407"/>
      <c r="K1294" s="407"/>
      <c r="L1294" s="407"/>
      <c r="M1294" s="407"/>
      <c r="N1294" s="407"/>
      <c r="O1294" s="407"/>
      <c r="P1294" s="407"/>
      <c r="Q1294" s="407"/>
      <c r="R1294" s="407"/>
      <c r="S1294" s="407"/>
      <c r="T1294" s="407"/>
      <c r="U1294" s="407"/>
      <c r="V1294" s="407"/>
      <c r="W1294" s="407"/>
      <c r="X1294" s="407"/>
      <c r="Y1294" s="407"/>
      <c r="Z1294" s="407"/>
      <c r="AA1294" s="407"/>
      <c r="AB1294" s="22">
        <f t="shared" si="423"/>
        <v>1</v>
      </c>
      <c r="AC1294" s="23">
        <v>0</v>
      </c>
      <c r="AD1294" s="35">
        <v>2</v>
      </c>
      <c r="AE1294" s="35"/>
      <c r="AF1294" s="35"/>
      <c r="AG1294" s="35"/>
      <c r="AH1294" s="35">
        <v>1</v>
      </c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22">
        <f t="shared" si="424"/>
        <v>3</v>
      </c>
      <c r="BC1294" s="23">
        <v>0</v>
      </c>
      <c r="BD1294" s="130">
        <f t="shared" si="425"/>
        <v>4</v>
      </c>
      <c r="BE1294" s="130">
        <f t="shared" si="426"/>
        <v>0</v>
      </c>
      <c r="BF1294" s="195" t="e">
        <f t="shared" si="427"/>
        <v>#DIV/0!</v>
      </c>
      <c r="BG1294" s="373"/>
    </row>
    <row r="1295" spans="1:59" s="21" customFormat="1" ht="17.25" customHeight="1">
      <c r="A1295" s="176">
        <v>37</v>
      </c>
      <c r="B1295" s="31" t="s">
        <v>772</v>
      </c>
      <c r="C1295" s="32" t="s">
        <v>773</v>
      </c>
      <c r="D1295" s="231">
        <v>8</v>
      </c>
      <c r="E1295" s="231"/>
      <c r="F1295" s="231"/>
      <c r="G1295" s="231"/>
      <c r="H1295" s="231"/>
      <c r="I1295" s="231"/>
      <c r="J1295" s="231"/>
      <c r="K1295" s="231"/>
      <c r="L1295" s="231">
        <v>1</v>
      </c>
      <c r="M1295" s="231"/>
      <c r="N1295" s="231"/>
      <c r="O1295" s="231"/>
      <c r="P1295" s="231"/>
      <c r="Q1295" s="231"/>
      <c r="R1295" s="231"/>
      <c r="S1295" s="231"/>
      <c r="T1295" s="231"/>
      <c r="U1295" s="231"/>
      <c r="V1295" s="231"/>
      <c r="W1295" s="231"/>
      <c r="X1295" s="231"/>
      <c r="Y1295" s="231"/>
      <c r="Z1295" s="231"/>
      <c r="AA1295" s="231"/>
      <c r="AB1295" s="22">
        <f t="shared" si="423"/>
        <v>9</v>
      </c>
      <c r="AC1295" s="23">
        <v>0</v>
      </c>
      <c r="AD1295" s="35">
        <f>450+2014</f>
        <v>2464</v>
      </c>
      <c r="AE1295" s="35"/>
      <c r="AF1295" s="35"/>
      <c r="AG1295" s="35"/>
      <c r="AH1295" s="35">
        <f>266+1549+1</f>
        <v>1816</v>
      </c>
      <c r="AI1295" s="35"/>
      <c r="AJ1295" s="35"/>
      <c r="AK1295" s="35"/>
      <c r="AL1295" s="35">
        <f>204+1124+13</f>
        <v>1341</v>
      </c>
      <c r="AM1295" s="35"/>
      <c r="AN1295" s="35"/>
      <c r="AO1295" s="35"/>
      <c r="AP1295" s="35">
        <f>12+128+44</f>
        <v>184</v>
      </c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22">
        <f t="shared" si="424"/>
        <v>5805</v>
      </c>
      <c r="BC1295" s="23">
        <v>74</v>
      </c>
      <c r="BD1295" s="130">
        <f t="shared" si="425"/>
        <v>5814</v>
      </c>
      <c r="BE1295" s="130">
        <f t="shared" si="426"/>
        <v>74</v>
      </c>
      <c r="BF1295" s="195">
        <f t="shared" si="427"/>
        <v>7856.7567567567567</v>
      </c>
      <c r="BG1295" s="373">
        <f>BE1295-BD1295</f>
        <v>-5740</v>
      </c>
    </row>
    <row r="1296" spans="1:59" s="21" customFormat="1" ht="17.25" customHeight="1">
      <c r="A1296" s="176">
        <v>38</v>
      </c>
      <c r="B1296" s="31" t="s">
        <v>892</v>
      </c>
      <c r="C1296" s="32" t="s">
        <v>893</v>
      </c>
      <c r="D1296" s="231"/>
      <c r="E1296" s="231"/>
      <c r="F1296" s="231"/>
      <c r="G1296" s="231"/>
      <c r="H1296" s="231"/>
      <c r="I1296" s="231"/>
      <c r="J1296" s="231"/>
      <c r="K1296" s="231"/>
      <c r="L1296" s="231"/>
      <c r="M1296" s="231"/>
      <c r="N1296" s="231"/>
      <c r="O1296" s="231"/>
      <c r="P1296" s="231"/>
      <c r="Q1296" s="231"/>
      <c r="R1296" s="231"/>
      <c r="S1296" s="231"/>
      <c r="T1296" s="231"/>
      <c r="U1296" s="231"/>
      <c r="V1296" s="231"/>
      <c r="W1296" s="231"/>
      <c r="X1296" s="231"/>
      <c r="Y1296" s="231"/>
      <c r="Z1296" s="231"/>
      <c r="AA1296" s="231"/>
      <c r="AB1296" s="22">
        <f t="shared" si="423"/>
        <v>0</v>
      </c>
      <c r="AC1296" s="23">
        <v>0</v>
      </c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22">
        <f t="shared" si="424"/>
        <v>0</v>
      </c>
      <c r="BC1296" s="23">
        <v>4</v>
      </c>
      <c r="BD1296" s="130">
        <f t="shared" si="425"/>
        <v>0</v>
      </c>
      <c r="BE1296" s="130">
        <f t="shared" si="426"/>
        <v>4</v>
      </c>
      <c r="BF1296" s="195">
        <f t="shared" si="427"/>
        <v>0</v>
      </c>
      <c r="BG1296" s="373">
        <f>BE1296-BD1296</f>
        <v>4</v>
      </c>
    </row>
    <row r="1297" spans="1:59" s="21" customFormat="1" ht="15.95" customHeight="1">
      <c r="A1297" s="176">
        <v>39</v>
      </c>
      <c r="B1297" s="31" t="s">
        <v>1284</v>
      </c>
      <c r="C1297" s="32" t="s">
        <v>1285</v>
      </c>
      <c r="D1297" s="231"/>
      <c r="E1297" s="231"/>
      <c r="F1297" s="231"/>
      <c r="G1297" s="231"/>
      <c r="H1297" s="231"/>
      <c r="I1297" s="231"/>
      <c r="J1297" s="231"/>
      <c r="K1297" s="231"/>
      <c r="L1297" s="231"/>
      <c r="M1297" s="231"/>
      <c r="N1297" s="231"/>
      <c r="O1297" s="231"/>
      <c r="P1297" s="231"/>
      <c r="Q1297" s="231"/>
      <c r="R1297" s="231"/>
      <c r="S1297" s="231"/>
      <c r="T1297" s="231"/>
      <c r="U1297" s="231"/>
      <c r="V1297" s="231"/>
      <c r="W1297" s="231"/>
      <c r="X1297" s="231"/>
      <c r="Y1297" s="231"/>
      <c r="Z1297" s="231"/>
      <c r="AA1297" s="231"/>
      <c r="AB1297" s="22">
        <f t="shared" si="423"/>
        <v>0</v>
      </c>
      <c r="AC1297" s="23">
        <v>0</v>
      </c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22">
        <f t="shared" si="424"/>
        <v>0</v>
      </c>
      <c r="BC1297" s="23">
        <v>1</v>
      </c>
      <c r="BD1297" s="130">
        <f t="shared" si="425"/>
        <v>0</v>
      </c>
      <c r="BE1297" s="130">
        <f t="shared" si="426"/>
        <v>1</v>
      </c>
      <c r="BF1297" s="195">
        <f t="shared" si="427"/>
        <v>0</v>
      </c>
      <c r="BG1297" s="373">
        <f>BE1297-BD1297</f>
        <v>1</v>
      </c>
    </row>
    <row r="1298" spans="1:59" s="21" customFormat="1" ht="15.95" customHeight="1">
      <c r="A1298" s="176">
        <v>40</v>
      </c>
      <c r="B1298" s="31" t="s">
        <v>774</v>
      </c>
      <c r="C1298" s="32" t="s">
        <v>3709</v>
      </c>
      <c r="D1298" s="407"/>
      <c r="E1298" s="407"/>
      <c r="F1298" s="407"/>
      <c r="G1298" s="407"/>
      <c r="H1298" s="407"/>
      <c r="I1298" s="407"/>
      <c r="J1298" s="407"/>
      <c r="K1298" s="407"/>
      <c r="L1298" s="407"/>
      <c r="M1298" s="407"/>
      <c r="N1298" s="407"/>
      <c r="O1298" s="407"/>
      <c r="P1298" s="407"/>
      <c r="Q1298" s="407"/>
      <c r="R1298" s="407"/>
      <c r="S1298" s="407"/>
      <c r="T1298" s="407"/>
      <c r="U1298" s="407"/>
      <c r="V1298" s="407"/>
      <c r="W1298" s="407"/>
      <c r="X1298" s="407"/>
      <c r="Y1298" s="407"/>
      <c r="Z1298" s="407"/>
      <c r="AA1298" s="407"/>
      <c r="AB1298" s="22">
        <f t="shared" si="423"/>
        <v>0</v>
      </c>
      <c r="AC1298" s="23">
        <v>0</v>
      </c>
      <c r="AD1298" s="35">
        <v>21</v>
      </c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22">
        <f t="shared" si="424"/>
        <v>21</v>
      </c>
      <c r="BC1298" s="23">
        <v>0</v>
      </c>
      <c r="BD1298" s="130">
        <f t="shared" si="425"/>
        <v>21</v>
      </c>
      <c r="BE1298" s="130">
        <f t="shared" si="426"/>
        <v>0</v>
      </c>
      <c r="BF1298" s="195" t="e">
        <f t="shared" si="427"/>
        <v>#DIV/0!</v>
      </c>
      <c r="BG1298" s="373"/>
    </row>
    <row r="1299" spans="1:59" s="21" customFormat="1" ht="15.95" customHeight="1">
      <c r="A1299" s="176">
        <v>41</v>
      </c>
      <c r="B1299" s="31" t="s">
        <v>780</v>
      </c>
      <c r="C1299" s="32" t="s">
        <v>991</v>
      </c>
      <c r="D1299" s="407">
        <v>3</v>
      </c>
      <c r="E1299" s="407"/>
      <c r="F1299" s="407"/>
      <c r="G1299" s="407"/>
      <c r="H1299" s="407"/>
      <c r="I1299" s="407"/>
      <c r="J1299" s="407"/>
      <c r="K1299" s="407"/>
      <c r="L1299" s="407"/>
      <c r="M1299" s="407"/>
      <c r="N1299" s="407"/>
      <c r="O1299" s="407"/>
      <c r="P1299" s="407"/>
      <c r="Q1299" s="407"/>
      <c r="R1299" s="407"/>
      <c r="S1299" s="407"/>
      <c r="T1299" s="407"/>
      <c r="U1299" s="407"/>
      <c r="V1299" s="407"/>
      <c r="W1299" s="407"/>
      <c r="X1299" s="407"/>
      <c r="Y1299" s="407"/>
      <c r="Z1299" s="407"/>
      <c r="AA1299" s="407"/>
      <c r="AB1299" s="22">
        <f t="shared" si="423"/>
        <v>3</v>
      </c>
      <c r="AC1299" s="23">
        <v>0</v>
      </c>
      <c r="AD1299" s="35">
        <v>11</v>
      </c>
      <c r="AE1299" s="35"/>
      <c r="AF1299" s="35"/>
      <c r="AG1299" s="35"/>
      <c r="AH1299" s="35">
        <v>2</v>
      </c>
      <c r="AI1299" s="35"/>
      <c r="AJ1299" s="35"/>
      <c r="AK1299" s="35"/>
      <c r="AL1299" s="35">
        <v>2</v>
      </c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22">
        <f t="shared" si="424"/>
        <v>15</v>
      </c>
      <c r="BC1299" s="23">
        <v>0</v>
      </c>
      <c r="BD1299" s="130">
        <f t="shared" si="425"/>
        <v>18</v>
      </c>
      <c r="BE1299" s="130">
        <f t="shared" si="426"/>
        <v>0</v>
      </c>
      <c r="BF1299" s="195" t="e">
        <f t="shared" si="427"/>
        <v>#DIV/0!</v>
      </c>
      <c r="BG1299" s="373"/>
    </row>
    <row r="1300" spans="1:59" s="21" customFormat="1" ht="15.95" customHeight="1">
      <c r="A1300" s="176">
        <v>42</v>
      </c>
      <c r="B1300" s="31" t="s">
        <v>2563</v>
      </c>
      <c r="C1300" s="32" t="s">
        <v>2613</v>
      </c>
      <c r="D1300" s="381"/>
      <c r="E1300" s="381"/>
      <c r="F1300" s="381"/>
      <c r="G1300" s="381"/>
      <c r="H1300" s="381"/>
      <c r="I1300" s="381"/>
      <c r="J1300" s="381"/>
      <c r="K1300" s="381"/>
      <c r="L1300" s="381"/>
      <c r="M1300" s="381"/>
      <c r="N1300" s="381"/>
      <c r="O1300" s="381"/>
      <c r="P1300" s="381"/>
      <c r="Q1300" s="381"/>
      <c r="R1300" s="381"/>
      <c r="S1300" s="381"/>
      <c r="T1300" s="381"/>
      <c r="U1300" s="381"/>
      <c r="V1300" s="381"/>
      <c r="W1300" s="381"/>
      <c r="X1300" s="381"/>
      <c r="Y1300" s="381"/>
      <c r="Z1300" s="381"/>
      <c r="AA1300" s="381"/>
      <c r="AB1300" s="22">
        <f t="shared" si="423"/>
        <v>0</v>
      </c>
      <c r="AC1300" s="23">
        <v>0</v>
      </c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22">
        <f t="shared" si="424"/>
        <v>0</v>
      </c>
      <c r="BC1300" s="23">
        <v>1</v>
      </c>
      <c r="BD1300" s="130">
        <f t="shared" si="425"/>
        <v>0</v>
      </c>
      <c r="BE1300" s="130">
        <f t="shared" si="426"/>
        <v>1</v>
      </c>
      <c r="BF1300" s="195">
        <f t="shared" si="427"/>
        <v>0</v>
      </c>
      <c r="BG1300" s="373">
        <f>BE1300-BD1300</f>
        <v>1</v>
      </c>
    </row>
    <row r="1301" spans="1:59" s="21" customFormat="1" ht="15.95" customHeight="1">
      <c r="A1301" s="176">
        <v>43</v>
      </c>
      <c r="B1301" s="31" t="s">
        <v>1094</v>
      </c>
      <c r="C1301" s="32" t="s">
        <v>1095</v>
      </c>
      <c r="D1301" s="407"/>
      <c r="E1301" s="407"/>
      <c r="F1301" s="407"/>
      <c r="G1301" s="407"/>
      <c r="H1301" s="407"/>
      <c r="I1301" s="407"/>
      <c r="J1301" s="407"/>
      <c r="K1301" s="407"/>
      <c r="L1301" s="407"/>
      <c r="M1301" s="407"/>
      <c r="N1301" s="407"/>
      <c r="O1301" s="407"/>
      <c r="P1301" s="407"/>
      <c r="Q1301" s="407"/>
      <c r="R1301" s="407"/>
      <c r="S1301" s="407"/>
      <c r="T1301" s="407"/>
      <c r="U1301" s="407"/>
      <c r="V1301" s="407"/>
      <c r="W1301" s="407"/>
      <c r="X1301" s="407"/>
      <c r="Y1301" s="407"/>
      <c r="Z1301" s="407"/>
      <c r="AA1301" s="407"/>
      <c r="AB1301" s="22">
        <f t="shared" si="423"/>
        <v>0</v>
      </c>
      <c r="AC1301" s="23">
        <v>0</v>
      </c>
      <c r="AD1301" s="35">
        <v>216</v>
      </c>
      <c r="AE1301" s="35"/>
      <c r="AF1301" s="35"/>
      <c r="AG1301" s="35"/>
      <c r="AH1301" s="35">
        <v>140</v>
      </c>
      <c r="AI1301" s="35"/>
      <c r="AJ1301" s="35"/>
      <c r="AK1301" s="35"/>
      <c r="AL1301" s="35">
        <v>144</v>
      </c>
      <c r="AM1301" s="35"/>
      <c r="AN1301" s="35"/>
      <c r="AO1301" s="35"/>
      <c r="AP1301" s="35">
        <v>10</v>
      </c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22">
        <f t="shared" si="424"/>
        <v>510</v>
      </c>
      <c r="BC1301" s="23">
        <v>0</v>
      </c>
      <c r="BD1301" s="130">
        <f t="shared" si="425"/>
        <v>510</v>
      </c>
      <c r="BE1301" s="130">
        <f t="shared" si="426"/>
        <v>0</v>
      </c>
      <c r="BF1301" s="195" t="e">
        <f t="shared" si="427"/>
        <v>#DIV/0!</v>
      </c>
      <c r="BG1301" s="373"/>
    </row>
    <row r="1302" spans="1:59" s="21" customFormat="1" ht="15.95" customHeight="1">
      <c r="A1302" s="176">
        <v>44</v>
      </c>
      <c r="B1302" s="31" t="s">
        <v>3462</v>
      </c>
      <c r="C1302" s="32" t="s">
        <v>1095</v>
      </c>
      <c r="D1302" s="381"/>
      <c r="E1302" s="381"/>
      <c r="F1302" s="381"/>
      <c r="G1302" s="381"/>
      <c r="H1302" s="381"/>
      <c r="I1302" s="381"/>
      <c r="J1302" s="381"/>
      <c r="K1302" s="381"/>
      <c r="L1302" s="381"/>
      <c r="M1302" s="381"/>
      <c r="N1302" s="381"/>
      <c r="O1302" s="381"/>
      <c r="P1302" s="381"/>
      <c r="Q1302" s="381"/>
      <c r="R1302" s="381"/>
      <c r="S1302" s="381"/>
      <c r="T1302" s="381"/>
      <c r="U1302" s="381"/>
      <c r="V1302" s="381"/>
      <c r="W1302" s="381"/>
      <c r="X1302" s="381"/>
      <c r="Y1302" s="381"/>
      <c r="Z1302" s="381"/>
      <c r="AA1302" s="381"/>
      <c r="AB1302" s="22">
        <f t="shared" si="423"/>
        <v>0</v>
      </c>
      <c r="AC1302" s="23">
        <v>0</v>
      </c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22">
        <f t="shared" si="424"/>
        <v>0</v>
      </c>
      <c r="BC1302" s="23">
        <v>1</v>
      </c>
      <c r="BD1302" s="130">
        <f t="shared" si="425"/>
        <v>0</v>
      </c>
      <c r="BE1302" s="130">
        <f t="shared" si="426"/>
        <v>1</v>
      </c>
      <c r="BF1302" s="195">
        <f t="shared" si="427"/>
        <v>0</v>
      </c>
      <c r="BG1302" s="373">
        <f>BE1302-BD1302</f>
        <v>1</v>
      </c>
    </row>
    <row r="1303" spans="1:59" s="21" customFormat="1" ht="15.95" customHeight="1">
      <c r="A1303" s="176">
        <v>45</v>
      </c>
      <c r="B1303" s="31" t="s">
        <v>783</v>
      </c>
      <c r="C1303" s="32" t="s">
        <v>784</v>
      </c>
      <c r="D1303" s="381"/>
      <c r="E1303" s="381"/>
      <c r="F1303" s="381"/>
      <c r="G1303" s="381"/>
      <c r="H1303" s="381"/>
      <c r="I1303" s="381"/>
      <c r="J1303" s="381"/>
      <c r="K1303" s="381"/>
      <c r="L1303" s="381"/>
      <c r="M1303" s="381"/>
      <c r="N1303" s="381"/>
      <c r="O1303" s="381"/>
      <c r="P1303" s="381"/>
      <c r="Q1303" s="381"/>
      <c r="R1303" s="381"/>
      <c r="S1303" s="381"/>
      <c r="T1303" s="381"/>
      <c r="U1303" s="381"/>
      <c r="V1303" s="381"/>
      <c r="W1303" s="381"/>
      <c r="X1303" s="381"/>
      <c r="Y1303" s="381"/>
      <c r="Z1303" s="381"/>
      <c r="AA1303" s="381"/>
      <c r="AB1303" s="22">
        <f t="shared" si="423"/>
        <v>0</v>
      </c>
      <c r="AC1303" s="23">
        <v>0</v>
      </c>
      <c r="AD1303" s="35">
        <f>245+224</f>
        <v>469</v>
      </c>
      <c r="AE1303" s="35"/>
      <c r="AF1303" s="35"/>
      <c r="AG1303" s="35"/>
      <c r="AH1303" s="35">
        <f>269+203+16</f>
        <v>488</v>
      </c>
      <c r="AI1303" s="35"/>
      <c r="AJ1303" s="35"/>
      <c r="AK1303" s="35"/>
      <c r="AL1303" s="35">
        <f>149+164+111</f>
        <v>424</v>
      </c>
      <c r="AM1303" s="35"/>
      <c r="AN1303" s="35"/>
      <c r="AO1303" s="35"/>
      <c r="AP1303" s="35">
        <f>15+19+194</f>
        <v>228</v>
      </c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22">
        <f t="shared" si="424"/>
        <v>1609</v>
      </c>
      <c r="BC1303" s="23">
        <v>301</v>
      </c>
      <c r="BD1303" s="130">
        <f t="shared" si="425"/>
        <v>1609</v>
      </c>
      <c r="BE1303" s="130">
        <f t="shared" si="426"/>
        <v>301</v>
      </c>
      <c r="BF1303" s="195">
        <f t="shared" si="427"/>
        <v>534.55149501661128</v>
      </c>
      <c r="BG1303" s="373">
        <f>BE1303-BD1303</f>
        <v>-1308</v>
      </c>
    </row>
    <row r="1304" spans="1:59" s="21" customFormat="1" ht="15.95" customHeight="1">
      <c r="A1304" s="176">
        <v>46</v>
      </c>
      <c r="B1304" s="31" t="s">
        <v>810</v>
      </c>
      <c r="C1304" s="32" t="s">
        <v>811</v>
      </c>
      <c r="D1304" s="231">
        <v>2</v>
      </c>
      <c r="E1304" s="231"/>
      <c r="F1304" s="231"/>
      <c r="G1304" s="231"/>
      <c r="H1304" s="231"/>
      <c r="I1304" s="231"/>
      <c r="J1304" s="231"/>
      <c r="K1304" s="231"/>
      <c r="L1304" s="231"/>
      <c r="M1304" s="231"/>
      <c r="N1304" s="231"/>
      <c r="O1304" s="231"/>
      <c r="P1304" s="231"/>
      <c r="Q1304" s="231"/>
      <c r="R1304" s="231"/>
      <c r="S1304" s="231"/>
      <c r="T1304" s="231"/>
      <c r="U1304" s="231"/>
      <c r="V1304" s="231"/>
      <c r="W1304" s="231"/>
      <c r="X1304" s="231"/>
      <c r="Y1304" s="231"/>
      <c r="Z1304" s="231"/>
      <c r="AA1304" s="231"/>
      <c r="AB1304" s="22">
        <f t="shared" si="423"/>
        <v>2</v>
      </c>
      <c r="AC1304" s="23">
        <v>1</v>
      </c>
      <c r="AD1304" s="35"/>
      <c r="AE1304" s="35"/>
      <c r="AF1304" s="35"/>
      <c r="AG1304" s="35"/>
      <c r="AH1304" s="35">
        <v>4</v>
      </c>
      <c r="AI1304" s="35"/>
      <c r="AJ1304" s="35"/>
      <c r="AK1304" s="35"/>
      <c r="AL1304" s="35">
        <v>20</v>
      </c>
      <c r="AM1304" s="35"/>
      <c r="AN1304" s="35"/>
      <c r="AO1304" s="35"/>
      <c r="AP1304" s="35">
        <f>12+7</f>
        <v>19</v>
      </c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22">
        <f t="shared" si="424"/>
        <v>43</v>
      </c>
      <c r="BC1304" s="23">
        <v>56</v>
      </c>
      <c r="BD1304" s="130">
        <f t="shared" si="425"/>
        <v>45</v>
      </c>
      <c r="BE1304" s="130">
        <f t="shared" si="426"/>
        <v>57</v>
      </c>
      <c r="BF1304" s="195">
        <f t="shared" si="427"/>
        <v>78.94736842105263</v>
      </c>
      <c r="BG1304" s="373">
        <f>BE1304-BD1304</f>
        <v>12</v>
      </c>
    </row>
    <row r="1305" spans="1:59" s="21" customFormat="1" ht="15.95" customHeight="1">
      <c r="A1305" s="176">
        <v>47</v>
      </c>
      <c r="B1305" s="31" t="s">
        <v>812</v>
      </c>
      <c r="C1305" s="34" t="s">
        <v>813</v>
      </c>
      <c r="D1305" s="231"/>
      <c r="E1305" s="231"/>
      <c r="F1305" s="231"/>
      <c r="G1305" s="231"/>
      <c r="H1305" s="231"/>
      <c r="I1305" s="231"/>
      <c r="J1305" s="231"/>
      <c r="K1305" s="231"/>
      <c r="L1305" s="231"/>
      <c r="M1305" s="231"/>
      <c r="N1305" s="231"/>
      <c r="O1305" s="231"/>
      <c r="P1305" s="231"/>
      <c r="Q1305" s="231"/>
      <c r="R1305" s="231"/>
      <c r="S1305" s="231"/>
      <c r="T1305" s="231"/>
      <c r="U1305" s="231"/>
      <c r="V1305" s="231"/>
      <c r="W1305" s="231"/>
      <c r="X1305" s="231"/>
      <c r="Y1305" s="231"/>
      <c r="Z1305" s="231"/>
      <c r="AA1305" s="231"/>
      <c r="AB1305" s="22">
        <f t="shared" si="423"/>
        <v>0</v>
      </c>
      <c r="AC1305" s="23">
        <v>1</v>
      </c>
      <c r="AD1305" s="35"/>
      <c r="AE1305" s="35"/>
      <c r="AF1305" s="35"/>
      <c r="AG1305" s="35"/>
      <c r="AH1305" s="35">
        <f>2+5</f>
        <v>7</v>
      </c>
      <c r="AI1305" s="35"/>
      <c r="AJ1305" s="35"/>
      <c r="AK1305" s="35"/>
      <c r="AL1305" s="35">
        <v>12</v>
      </c>
      <c r="AM1305" s="35"/>
      <c r="AN1305" s="35"/>
      <c r="AO1305" s="35"/>
      <c r="AP1305" s="35">
        <f>10+8</f>
        <v>18</v>
      </c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22">
        <f t="shared" si="424"/>
        <v>37</v>
      </c>
      <c r="BC1305" s="23">
        <v>53</v>
      </c>
      <c r="BD1305" s="130">
        <f t="shared" si="425"/>
        <v>37</v>
      </c>
      <c r="BE1305" s="130">
        <f t="shared" si="426"/>
        <v>54</v>
      </c>
      <c r="BF1305" s="195">
        <f t="shared" si="427"/>
        <v>68.518518518518519</v>
      </c>
      <c r="BG1305" s="373">
        <f>BE1305-BD1305</f>
        <v>17</v>
      </c>
    </row>
    <row r="1306" spans="1:59" s="21" customFormat="1" ht="15.95" customHeight="1">
      <c r="A1306" s="176">
        <v>48</v>
      </c>
      <c r="B1306" s="37" t="s">
        <v>995</v>
      </c>
      <c r="C1306" s="38" t="s">
        <v>3354</v>
      </c>
      <c r="D1306" s="231"/>
      <c r="E1306" s="231"/>
      <c r="F1306" s="231"/>
      <c r="G1306" s="231"/>
      <c r="H1306" s="231"/>
      <c r="I1306" s="231"/>
      <c r="J1306" s="231"/>
      <c r="K1306" s="231"/>
      <c r="L1306" s="231"/>
      <c r="M1306" s="231"/>
      <c r="N1306" s="231"/>
      <c r="O1306" s="231"/>
      <c r="P1306" s="231"/>
      <c r="Q1306" s="231"/>
      <c r="R1306" s="231"/>
      <c r="S1306" s="231"/>
      <c r="T1306" s="231"/>
      <c r="U1306" s="231"/>
      <c r="V1306" s="231"/>
      <c r="W1306" s="231"/>
      <c r="X1306" s="231"/>
      <c r="Y1306" s="231"/>
      <c r="Z1306" s="231"/>
      <c r="AA1306" s="231"/>
      <c r="AB1306" s="22">
        <f t="shared" si="423"/>
        <v>0</v>
      </c>
      <c r="AC1306" s="23">
        <v>0</v>
      </c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22">
        <f t="shared" si="424"/>
        <v>0</v>
      </c>
      <c r="BC1306" s="23">
        <v>1</v>
      </c>
      <c r="BD1306" s="130">
        <f t="shared" si="425"/>
        <v>0</v>
      </c>
      <c r="BE1306" s="130">
        <f t="shared" si="426"/>
        <v>1</v>
      </c>
      <c r="BF1306" s="195">
        <f t="shared" si="427"/>
        <v>0</v>
      </c>
      <c r="BG1306" s="373">
        <f>BE1306-BD1306</f>
        <v>1</v>
      </c>
    </row>
    <row r="1307" spans="1:59" s="21" customFormat="1" ht="15.95" customHeight="1">
      <c r="A1307" s="176">
        <v>49</v>
      </c>
      <c r="B1307" s="31" t="s">
        <v>999</v>
      </c>
      <c r="C1307" s="32" t="s">
        <v>1000</v>
      </c>
      <c r="D1307" s="407">
        <f>12035+1</f>
        <v>12036</v>
      </c>
      <c r="E1307" s="407"/>
      <c r="F1307" s="407"/>
      <c r="G1307" s="407"/>
      <c r="H1307" s="407"/>
      <c r="I1307" s="407"/>
      <c r="J1307" s="407"/>
      <c r="K1307" s="407"/>
      <c r="L1307" s="407">
        <v>2304</v>
      </c>
      <c r="M1307" s="407"/>
      <c r="N1307" s="407"/>
      <c r="O1307" s="407"/>
      <c r="P1307" s="407"/>
      <c r="Q1307" s="407"/>
      <c r="R1307" s="407"/>
      <c r="S1307" s="407"/>
      <c r="T1307" s="407"/>
      <c r="U1307" s="407"/>
      <c r="V1307" s="407"/>
      <c r="W1307" s="407"/>
      <c r="X1307" s="407"/>
      <c r="Y1307" s="407"/>
      <c r="Z1307" s="407"/>
      <c r="AA1307" s="407"/>
      <c r="AB1307" s="22">
        <f t="shared" si="423"/>
        <v>14340</v>
      </c>
      <c r="AC1307" s="23">
        <v>0</v>
      </c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22">
        <f t="shared" si="424"/>
        <v>0</v>
      </c>
      <c r="BC1307" s="23">
        <v>0</v>
      </c>
      <c r="BD1307" s="130">
        <f t="shared" si="425"/>
        <v>14340</v>
      </c>
      <c r="BE1307" s="130">
        <f t="shared" si="426"/>
        <v>0</v>
      </c>
      <c r="BF1307" s="195" t="e">
        <f t="shared" si="427"/>
        <v>#DIV/0!</v>
      </c>
      <c r="BG1307" s="373"/>
    </row>
    <row r="1308" spans="1:59" s="21" customFormat="1" ht="15.95" customHeight="1">
      <c r="A1308" s="176">
        <v>50</v>
      </c>
      <c r="B1308" s="31" t="s">
        <v>3820</v>
      </c>
      <c r="C1308" s="32" t="s">
        <v>3821</v>
      </c>
      <c r="D1308" s="575"/>
      <c r="E1308" s="575"/>
      <c r="F1308" s="575"/>
      <c r="G1308" s="575"/>
      <c r="H1308" s="575"/>
      <c r="I1308" s="575"/>
      <c r="J1308" s="575"/>
      <c r="K1308" s="575"/>
      <c r="L1308" s="575"/>
      <c r="M1308" s="575"/>
      <c r="N1308" s="575"/>
      <c r="O1308" s="575"/>
      <c r="P1308" s="575"/>
      <c r="Q1308" s="575"/>
      <c r="R1308" s="575"/>
      <c r="S1308" s="575"/>
      <c r="T1308" s="575"/>
      <c r="U1308" s="575"/>
      <c r="V1308" s="575"/>
      <c r="W1308" s="575"/>
      <c r="X1308" s="575"/>
      <c r="Y1308" s="575"/>
      <c r="Z1308" s="575"/>
      <c r="AA1308" s="575"/>
      <c r="AB1308" s="22">
        <f t="shared" si="423"/>
        <v>0</v>
      </c>
      <c r="AC1308" s="23">
        <v>0</v>
      </c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>
        <v>1</v>
      </c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22">
        <f t="shared" si="424"/>
        <v>1</v>
      </c>
      <c r="BC1308" s="23">
        <v>0</v>
      </c>
      <c r="BD1308" s="130">
        <f t="shared" si="425"/>
        <v>1</v>
      </c>
      <c r="BE1308" s="130">
        <f t="shared" si="426"/>
        <v>0</v>
      </c>
      <c r="BF1308" s="195" t="e">
        <f t="shared" si="427"/>
        <v>#DIV/0!</v>
      </c>
      <c r="BG1308" s="373"/>
    </row>
    <row r="1309" spans="1:59" s="21" customFormat="1" ht="15.95" customHeight="1">
      <c r="A1309" s="176">
        <v>51</v>
      </c>
      <c r="B1309" s="31" t="s">
        <v>1541</v>
      </c>
      <c r="C1309" s="32" t="s">
        <v>2057</v>
      </c>
      <c r="D1309" s="575"/>
      <c r="E1309" s="575"/>
      <c r="F1309" s="575"/>
      <c r="G1309" s="575"/>
      <c r="H1309" s="575"/>
      <c r="I1309" s="575"/>
      <c r="J1309" s="575"/>
      <c r="K1309" s="575"/>
      <c r="L1309" s="575"/>
      <c r="M1309" s="575"/>
      <c r="N1309" s="575"/>
      <c r="O1309" s="575"/>
      <c r="P1309" s="575"/>
      <c r="Q1309" s="575"/>
      <c r="R1309" s="575"/>
      <c r="S1309" s="575"/>
      <c r="T1309" s="575"/>
      <c r="U1309" s="575"/>
      <c r="V1309" s="575"/>
      <c r="W1309" s="575"/>
      <c r="X1309" s="575"/>
      <c r="Y1309" s="575"/>
      <c r="Z1309" s="575"/>
      <c r="AA1309" s="575"/>
      <c r="AB1309" s="22">
        <f t="shared" si="423"/>
        <v>0</v>
      </c>
      <c r="AC1309" s="23">
        <v>0</v>
      </c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>
        <v>1</v>
      </c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22">
        <f t="shared" si="424"/>
        <v>1</v>
      </c>
      <c r="BC1309" s="23">
        <v>0</v>
      </c>
      <c r="BD1309" s="130">
        <f t="shared" si="425"/>
        <v>1</v>
      </c>
      <c r="BE1309" s="130">
        <f t="shared" si="426"/>
        <v>0</v>
      </c>
      <c r="BF1309" s="195" t="e">
        <f t="shared" si="427"/>
        <v>#DIV/0!</v>
      </c>
      <c r="BG1309" s="373"/>
    </row>
    <row r="1310" spans="1:59" s="21" customFormat="1" ht="15.95" customHeight="1">
      <c r="A1310" s="176">
        <v>52</v>
      </c>
      <c r="B1310" s="31" t="s">
        <v>552</v>
      </c>
      <c r="C1310" s="34" t="s">
        <v>2227</v>
      </c>
      <c r="D1310" s="552"/>
      <c r="E1310" s="552"/>
      <c r="F1310" s="552"/>
      <c r="G1310" s="552"/>
      <c r="H1310" s="552"/>
      <c r="I1310" s="552"/>
      <c r="J1310" s="552"/>
      <c r="K1310" s="552"/>
      <c r="L1310" s="552"/>
      <c r="M1310" s="552"/>
      <c r="N1310" s="552"/>
      <c r="O1310" s="552"/>
      <c r="P1310" s="552"/>
      <c r="Q1310" s="552"/>
      <c r="R1310" s="552"/>
      <c r="S1310" s="552"/>
      <c r="T1310" s="552"/>
      <c r="U1310" s="552"/>
      <c r="V1310" s="552"/>
      <c r="W1310" s="552"/>
      <c r="X1310" s="552"/>
      <c r="Y1310" s="552"/>
      <c r="Z1310" s="552"/>
      <c r="AA1310" s="552"/>
      <c r="AB1310" s="22">
        <f t="shared" si="423"/>
        <v>0</v>
      </c>
      <c r="AC1310" s="23">
        <v>0</v>
      </c>
      <c r="AD1310" s="35"/>
      <c r="AE1310" s="35"/>
      <c r="AF1310" s="35"/>
      <c r="AG1310" s="35"/>
      <c r="AH1310" s="35"/>
      <c r="AI1310" s="35"/>
      <c r="AJ1310" s="35"/>
      <c r="AK1310" s="35"/>
      <c r="AL1310" s="35">
        <v>1</v>
      </c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22">
        <f t="shared" si="424"/>
        <v>1</v>
      </c>
      <c r="BC1310" s="23">
        <v>0</v>
      </c>
      <c r="BD1310" s="130">
        <f t="shared" si="425"/>
        <v>1</v>
      </c>
      <c r="BE1310" s="130">
        <f t="shared" si="426"/>
        <v>0</v>
      </c>
      <c r="BF1310" s="195" t="e">
        <f t="shared" si="427"/>
        <v>#DIV/0!</v>
      </c>
      <c r="BG1310" s="373"/>
    </row>
    <row r="1311" spans="1:59" s="21" customFormat="1" ht="15.95" customHeight="1">
      <c r="A1311" s="176">
        <v>53</v>
      </c>
      <c r="B1311" s="31" t="s">
        <v>3975</v>
      </c>
      <c r="C1311" s="34" t="s">
        <v>3976</v>
      </c>
      <c r="D1311" s="552"/>
      <c r="E1311" s="552"/>
      <c r="F1311" s="552"/>
      <c r="G1311" s="552"/>
      <c r="H1311" s="552"/>
      <c r="I1311" s="552"/>
      <c r="J1311" s="552"/>
      <c r="K1311" s="552"/>
      <c r="L1311" s="552"/>
      <c r="M1311" s="552"/>
      <c r="N1311" s="552"/>
      <c r="O1311" s="552"/>
      <c r="P1311" s="552"/>
      <c r="Q1311" s="552"/>
      <c r="R1311" s="552"/>
      <c r="S1311" s="552"/>
      <c r="T1311" s="552"/>
      <c r="U1311" s="552"/>
      <c r="V1311" s="552"/>
      <c r="W1311" s="552"/>
      <c r="X1311" s="552"/>
      <c r="Y1311" s="552"/>
      <c r="Z1311" s="552"/>
      <c r="AA1311" s="552"/>
      <c r="AB1311" s="22">
        <f t="shared" si="423"/>
        <v>0</v>
      </c>
      <c r="AC1311" s="23">
        <v>0</v>
      </c>
      <c r="AD1311" s="35"/>
      <c r="AE1311" s="35"/>
      <c r="AF1311" s="35"/>
      <c r="AG1311" s="35"/>
      <c r="AH1311" s="35"/>
      <c r="AI1311" s="35"/>
      <c r="AJ1311" s="35"/>
      <c r="AK1311" s="35"/>
      <c r="AL1311" s="35">
        <v>1</v>
      </c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22">
        <f t="shared" si="424"/>
        <v>1</v>
      </c>
      <c r="BC1311" s="23">
        <v>0</v>
      </c>
      <c r="BD1311" s="130">
        <f t="shared" si="425"/>
        <v>1</v>
      </c>
      <c r="BE1311" s="130">
        <f t="shared" si="426"/>
        <v>0</v>
      </c>
      <c r="BF1311" s="195" t="e">
        <f t="shared" si="427"/>
        <v>#DIV/0!</v>
      </c>
      <c r="BG1311" s="373"/>
    </row>
    <row r="1312" spans="1:59" s="21" customFormat="1" ht="15.95" customHeight="1">
      <c r="A1312" s="176">
        <v>54</v>
      </c>
      <c r="B1312" s="31" t="s">
        <v>900</v>
      </c>
      <c r="C1312" s="32" t="s">
        <v>901</v>
      </c>
      <c r="D1312" s="98"/>
      <c r="E1312" s="98"/>
      <c r="F1312" s="98"/>
      <c r="G1312" s="98"/>
      <c r="H1312" s="98"/>
      <c r="I1312" s="98"/>
      <c r="J1312" s="98"/>
      <c r="K1312" s="98"/>
      <c r="L1312" s="98"/>
      <c r="M1312" s="98"/>
      <c r="N1312" s="98"/>
      <c r="O1312" s="98"/>
      <c r="P1312" s="98"/>
      <c r="Q1312" s="98"/>
      <c r="R1312" s="98"/>
      <c r="S1312" s="98"/>
      <c r="T1312" s="98"/>
      <c r="U1312" s="98"/>
      <c r="V1312" s="98"/>
      <c r="W1312" s="98"/>
      <c r="X1312" s="98"/>
      <c r="Y1312" s="98"/>
      <c r="Z1312" s="98"/>
      <c r="AA1312" s="98"/>
      <c r="AB1312" s="22">
        <f t="shared" si="423"/>
        <v>0</v>
      </c>
      <c r="AC1312" s="23">
        <v>1</v>
      </c>
      <c r="AD1312" s="99"/>
      <c r="AE1312" s="99"/>
      <c r="AF1312" s="99"/>
      <c r="AG1312" s="99"/>
      <c r="AH1312" s="99">
        <v>1</v>
      </c>
      <c r="AI1312" s="99"/>
      <c r="AJ1312" s="99"/>
      <c r="AK1312" s="99"/>
      <c r="AL1312" s="99">
        <v>12</v>
      </c>
      <c r="AM1312" s="99"/>
      <c r="AN1312" s="99"/>
      <c r="AO1312" s="99"/>
      <c r="AP1312" s="99">
        <v>8</v>
      </c>
      <c r="AQ1312" s="99"/>
      <c r="AR1312" s="99"/>
      <c r="AS1312" s="99"/>
      <c r="AT1312" s="99"/>
      <c r="AU1312" s="99"/>
      <c r="AV1312" s="99"/>
      <c r="AW1312" s="99"/>
      <c r="AX1312" s="99"/>
      <c r="AY1312" s="99"/>
      <c r="AZ1312" s="99"/>
      <c r="BA1312" s="99"/>
      <c r="BB1312" s="22">
        <f t="shared" si="424"/>
        <v>21</v>
      </c>
      <c r="BC1312" s="23">
        <v>33</v>
      </c>
      <c r="BD1312" s="130">
        <f t="shared" si="425"/>
        <v>21</v>
      </c>
      <c r="BE1312" s="130">
        <f t="shared" si="426"/>
        <v>34</v>
      </c>
      <c r="BF1312" s="195">
        <f t="shared" si="427"/>
        <v>61.764705882352942</v>
      </c>
      <c r="BG1312" s="373">
        <f>BE1312-BD1312</f>
        <v>13</v>
      </c>
    </row>
    <row r="1313" spans="1:59" s="21" customFormat="1" ht="15.95" customHeight="1">
      <c r="A1313" s="176">
        <v>55</v>
      </c>
      <c r="B1313" s="31" t="s">
        <v>902</v>
      </c>
      <c r="C1313" s="32" t="s">
        <v>903</v>
      </c>
      <c r="D1313" s="98"/>
      <c r="E1313" s="98"/>
      <c r="F1313" s="98"/>
      <c r="G1313" s="98"/>
      <c r="H1313" s="98"/>
      <c r="I1313" s="98"/>
      <c r="J1313" s="98"/>
      <c r="K1313" s="98"/>
      <c r="L1313" s="98"/>
      <c r="M1313" s="98"/>
      <c r="N1313" s="98"/>
      <c r="O1313" s="98"/>
      <c r="P1313" s="98"/>
      <c r="Q1313" s="98"/>
      <c r="R1313" s="98"/>
      <c r="S1313" s="98"/>
      <c r="T1313" s="98"/>
      <c r="U1313" s="98"/>
      <c r="V1313" s="98"/>
      <c r="W1313" s="98"/>
      <c r="X1313" s="98"/>
      <c r="Y1313" s="98"/>
      <c r="Z1313" s="98"/>
      <c r="AA1313" s="98"/>
      <c r="AB1313" s="22">
        <f t="shared" si="423"/>
        <v>0</v>
      </c>
      <c r="AC1313" s="23">
        <v>0</v>
      </c>
      <c r="AD1313" s="99"/>
      <c r="AE1313" s="99"/>
      <c r="AF1313" s="99"/>
      <c r="AG1313" s="99"/>
      <c r="AH1313" s="99">
        <v>2</v>
      </c>
      <c r="AI1313" s="99"/>
      <c r="AJ1313" s="99"/>
      <c r="AK1313" s="99"/>
      <c r="AL1313" s="99">
        <v>9</v>
      </c>
      <c r="AM1313" s="99"/>
      <c r="AN1313" s="99"/>
      <c r="AO1313" s="99"/>
      <c r="AP1313" s="99">
        <v>14</v>
      </c>
      <c r="AQ1313" s="99"/>
      <c r="AR1313" s="99"/>
      <c r="AS1313" s="99"/>
      <c r="AT1313" s="99"/>
      <c r="AU1313" s="99"/>
      <c r="AV1313" s="99"/>
      <c r="AW1313" s="99"/>
      <c r="AX1313" s="99"/>
      <c r="AY1313" s="99"/>
      <c r="AZ1313" s="99"/>
      <c r="BA1313" s="99"/>
      <c r="BB1313" s="22">
        <f t="shared" si="424"/>
        <v>25</v>
      </c>
      <c r="BC1313" s="23">
        <v>92</v>
      </c>
      <c r="BD1313" s="130">
        <f t="shared" si="425"/>
        <v>25</v>
      </c>
      <c r="BE1313" s="130">
        <f t="shared" si="426"/>
        <v>92</v>
      </c>
      <c r="BF1313" s="195">
        <f t="shared" si="427"/>
        <v>27.173913043478258</v>
      </c>
      <c r="BG1313" s="373">
        <f>BE1313-BD1313</f>
        <v>67</v>
      </c>
    </row>
    <row r="1314" spans="1:59" s="21" customFormat="1" ht="15.95" customHeight="1">
      <c r="A1314" s="176">
        <v>56</v>
      </c>
      <c r="B1314" s="31" t="s">
        <v>1474</v>
      </c>
      <c r="C1314" s="32" t="s">
        <v>3699</v>
      </c>
      <c r="D1314" s="98">
        <v>1</v>
      </c>
      <c r="E1314" s="98"/>
      <c r="F1314" s="98"/>
      <c r="G1314" s="98"/>
      <c r="H1314" s="98"/>
      <c r="I1314" s="98"/>
      <c r="J1314" s="98"/>
      <c r="K1314" s="98"/>
      <c r="L1314" s="98"/>
      <c r="M1314" s="98"/>
      <c r="N1314" s="98"/>
      <c r="O1314" s="98"/>
      <c r="P1314" s="98"/>
      <c r="Q1314" s="98"/>
      <c r="R1314" s="98"/>
      <c r="S1314" s="98"/>
      <c r="T1314" s="98"/>
      <c r="U1314" s="98"/>
      <c r="V1314" s="98"/>
      <c r="W1314" s="98"/>
      <c r="X1314" s="98"/>
      <c r="Y1314" s="98"/>
      <c r="Z1314" s="98"/>
      <c r="AA1314" s="98"/>
      <c r="AB1314" s="22">
        <f t="shared" si="423"/>
        <v>1</v>
      </c>
      <c r="AC1314" s="23">
        <v>0</v>
      </c>
      <c r="AD1314" s="99"/>
      <c r="AE1314" s="99"/>
      <c r="AF1314" s="99"/>
      <c r="AG1314" s="99"/>
      <c r="AH1314" s="99"/>
      <c r="AI1314" s="99"/>
      <c r="AJ1314" s="99"/>
      <c r="AK1314" s="99"/>
      <c r="AL1314" s="99"/>
      <c r="AM1314" s="99"/>
      <c r="AN1314" s="99"/>
      <c r="AO1314" s="99"/>
      <c r="AP1314" s="99"/>
      <c r="AQ1314" s="99"/>
      <c r="AR1314" s="99"/>
      <c r="AS1314" s="99"/>
      <c r="AT1314" s="99"/>
      <c r="AU1314" s="99"/>
      <c r="AV1314" s="99"/>
      <c r="AW1314" s="99"/>
      <c r="AX1314" s="99"/>
      <c r="AY1314" s="99"/>
      <c r="AZ1314" s="99"/>
      <c r="BA1314" s="99"/>
      <c r="BB1314" s="22">
        <f t="shared" si="424"/>
        <v>0</v>
      </c>
      <c r="BC1314" s="23">
        <v>0</v>
      </c>
      <c r="BD1314" s="130">
        <f t="shared" si="425"/>
        <v>1</v>
      </c>
      <c r="BE1314" s="130">
        <f t="shared" si="426"/>
        <v>0</v>
      </c>
      <c r="BF1314" s="195" t="e">
        <f t="shared" si="427"/>
        <v>#DIV/0!</v>
      </c>
      <c r="BG1314" s="373"/>
    </row>
    <row r="1315" spans="1:59" s="21" customFormat="1" ht="15.95" customHeight="1">
      <c r="A1315" s="176">
        <v>57</v>
      </c>
      <c r="B1315" s="31" t="s">
        <v>814</v>
      </c>
      <c r="C1315" s="34" t="s">
        <v>815</v>
      </c>
      <c r="D1315" s="381"/>
      <c r="E1315" s="381"/>
      <c r="F1315" s="381"/>
      <c r="G1315" s="381"/>
      <c r="H1315" s="381"/>
      <c r="I1315" s="381"/>
      <c r="J1315" s="381"/>
      <c r="K1315" s="381"/>
      <c r="L1315" s="381"/>
      <c r="M1315" s="381"/>
      <c r="N1315" s="381"/>
      <c r="O1315" s="381"/>
      <c r="P1315" s="381"/>
      <c r="Q1315" s="381"/>
      <c r="R1315" s="381"/>
      <c r="S1315" s="381"/>
      <c r="T1315" s="381"/>
      <c r="U1315" s="381"/>
      <c r="V1315" s="381"/>
      <c r="W1315" s="381"/>
      <c r="X1315" s="381"/>
      <c r="Y1315" s="381"/>
      <c r="Z1315" s="381"/>
      <c r="AA1315" s="381"/>
      <c r="AB1315" s="22">
        <f t="shared" si="423"/>
        <v>0</v>
      </c>
      <c r="AC1315" s="23">
        <v>0</v>
      </c>
      <c r="AD1315" s="35">
        <f>123+108</f>
        <v>231</v>
      </c>
      <c r="AE1315" s="35"/>
      <c r="AF1315" s="35"/>
      <c r="AG1315" s="35"/>
      <c r="AH1315" s="35">
        <f>130+75+6</f>
        <v>211</v>
      </c>
      <c r="AI1315" s="35"/>
      <c r="AJ1315" s="35"/>
      <c r="AK1315" s="35"/>
      <c r="AL1315" s="35">
        <f>61+13+29</f>
        <v>103</v>
      </c>
      <c r="AM1315" s="35"/>
      <c r="AN1315" s="35"/>
      <c r="AO1315" s="35"/>
      <c r="AP1315" s="35">
        <f>8+39</f>
        <v>47</v>
      </c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22">
        <f t="shared" si="424"/>
        <v>592</v>
      </c>
      <c r="BC1315" s="23">
        <v>143</v>
      </c>
      <c r="BD1315" s="130">
        <f t="shared" si="425"/>
        <v>592</v>
      </c>
      <c r="BE1315" s="130">
        <f t="shared" si="426"/>
        <v>143</v>
      </c>
      <c r="BF1315" s="195">
        <f t="shared" si="427"/>
        <v>413.98601398601397</v>
      </c>
      <c r="BG1315" s="373">
        <f t="shared" ref="BG1315:BG1322" si="428">BE1315-BD1315</f>
        <v>-449</v>
      </c>
    </row>
    <row r="1316" spans="1:59" s="21" customFormat="1" ht="15.95" customHeight="1">
      <c r="A1316" s="176">
        <v>58</v>
      </c>
      <c r="B1316" s="31" t="s">
        <v>905</v>
      </c>
      <c r="C1316" s="32" t="s">
        <v>906</v>
      </c>
      <c r="D1316" s="366"/>
      <c r="E1316" s="366"/>
      <c r="F1316" s="366"/>
      <c r="G1316" s="366"/>
      <c r="H1316" s="366"/>
      <c r="I1316" s="366"/>
      <c r="J1316" s="366"/>
      <c r="K1316" s="366"/>
      <c r="L1316" s="366"/>
      <c r="M1316" s="366"/>
      <c r="N1316" s="366"/>
      <c r="O1316" s="366"/>
      <c r="P1316" s="366"/>
      <c r="Q1316" s="366"/>
      <c r="R1316" s="366"/>
      <c r="S1316" s="366"/>
      <c r="T1316" s="366"/>
      <c r="U1316" s="366"/>
      <c r="V1316" s="366"/>
      <c r="W1316" s="366"/>
      <c r="X1316" s="366"/>
      <c r="Y1316" s="366"/>
      <c r="Z1316" s="366"/>
      <c r="AA1316" s="366"/>
      <c r="AB1316" s="22">
        <f t="shared" si="423"/>
        <v>0</v>
      </c>
      <c r="AC1316" s="23">
        <v>0</v>
      </c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22">
        <f t="shared" si="424"/>
        <v>0</v>
      </c>
      <c r="BC1316" s="23">
        <v>4</v>
      </c>
      <c r="BD1316" s="130">
        <f t="shared" si="425"/>
        <v>0</v>
      </c>
      <c r="BE1316" s="130">
        <f t="shared" si="426"/>
        <v>4</v>
      </c>
      <c r="BF1316" s="195">
        <f t="shared" si="427"/>
        <v>0</v>
      </c>
      <c r="BG1316" s="373">
        <f t="shared" si="428"/>
        <v>4</v>
      </c>
    </row>
    <row r="1317" spans="1:59" s="21" customFormat="1" ht="15.95" customHeight="1">
      <c r="A1317" s="176">
        <v>59</v>
      </c>
      <c r="B1317" s="31" t="s">
        <v>819</v>
      </c>
      <c r="C1317" s="32" t="s">
        <v>1074</v>
      </c>
      <c r="D1317" s="366">
        <v>1</v>
      </c>
      <c r="E1317" s="366"/>
      <c r="F1317" s="366"/>
      <c r="G1317" s="366"/>
      <c r="H1317" s="366"/>
      <c r="I1317" s="366"/>
      <c r="J1317" s="366"/>
      <c r="K1317" s="366"/>
      <c r="L1317" s="366"/>
      <c r="M1317" s="366"/>
      <c r="N1317" s="366"/>
      <c r="O1317" s="366"/>
      <c r="P1317" s="366"/>
      <c r="Q1317" s="366"/>
      <c r="R1317" s="366"/>
      <c r="S1317" s="366"/>
      <c r="T1317" s="366"/>
      <c r="U1317" s="366"/>
      <c r="V1317" s="366"/>
      <c r="W1317" s="366"/>
      <c r="X1317" s="366"/>
      <c r="Y1317" s="366"/>
      <c r="Z1317" s="366"/>
      <c r="AA1317" s="366"/>
      <c r="AB1317" s="22">
        <f t="shared" si="423"/>
        <v>1</v>
      </c>
      <c r="AC1317" s="23">
        <v>0</v>
      </c>
      <c r="AD1317" s="35">
        <f>5867+459</f>
        <v>6326</v>
      </c>
      <c r="AE1317" s="35"/>
      <c r="AF1317" s="35"/>
      <c r="AG1317" s="35"/>
      <c r="AH1317" s="35">
        <f>4229+334+234</f>
        <v>4797</v>
      </c>
      <c r="AI1317" s="35"/>
      <c r="AJ1317" s="35"/>
      <c r="AK1317" s="35"/>
      <c r="AL1317" s="35">
        <f>2794+288+557</f>
        <v>3639</v>
      </c>
      <c r="AM1317" s="35"/>
      <c r="AN1317" s="35"/>
      <c r="AO1317" s="35"/>
      <c r="AP1317" s="35">
        <f>191+20+1113</f>
        <v>1324</v>
      </c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22">
        <f t="shared" si="424"/>
        <v>16086</v>
      </c>
      <c r="BC1317" s="23">
        <v>3054</v>
      </c>
      <c r="BD1317" s="130">
        <f t="shared" si="425"/>
        <v>16087</v>
      </c>
      <c r="BE1317" s="130">
        <f t="shared" si="426"/>
        <v>3054</v>
      </c>
      <c r="BF1317" s="195">
        <f t="shared" si="427"/>
        <v>526.75180091683046</v>
      </c>
      <c r="BG1317" s="373">
        <f t="shared" si="428"/>
        <v>-13033</v>
      </c>
    </row>
    <row r="1318" spans="1:59" s="21" customFormat="1" ht="15.95" customHeight="1">
      <c r="A1318" s="176">
        <v>60</v>
      </c>
      <c r="B1318" s="31" t="s">
        <v>821</v>
      </c>
      <c r="C1318" s="32" t="s">
        <v>1594</v>
      </c>
      <c r="D1318" s="366"/>
      <c r="E1318" s="366"/>
      <c r="F1318" s="366"/>
      <c r="G1318" s="366"/>
      <c r="H1318" s="366"/>
      <c r="I1318" s="366"/>
      <c r="J1318" s="366"/>
      <c r="K1318" s="366"/>
      <c r="L1318" s="366"/>
      <c r="M1318" s="366"/>
      <c r="N1318" s="366"/>
      <c r="O1318" s="366"/>
      <c r="P1318" s="366"/>
      <c r="Q1318" s="366"/>
      <c r="R1318" s="366"/>
      <c r="S1318" s="366"/>
      <c r="T1318" s="366"/>
      <c r="U1318" s="366"/>
      <c r="V1318" s="366"/>
      <c r="W1318" s="366"/>
      <c r="X1318" s="366"/>
      <c r="Y1318" s="366"/>
      <c r="Z1318" s="366"/>
      <c r="AA1318" s="366"/>
      <c r="AB1318" s="22">
        <f t="shared" si="423"/>
        <v>0</v>
      </c>
      <c r="AC1318" s="23">
        <v>0</v>
      </c>
      <c r="AD1318" s="35">
        <f>11+254</f>
        <v>265</v>
      </c>
      <c r="AE1318" s="35"/>
      <c r="AF1318" s="35"/>
      <c r="AG1318" s="35"/>
      <c r="AH1318" s="35">
        <f>5+204+1</f>
        <v>210</v>
      </c>
      <c r="AI1318" s="35"/>
      <c r="AJ1318" s="35"/>
      <c r="AK1318" s="35"/>
      <c r="AL1318" s="35">
        <f>3+185+22</f>
        <v>210</v>
      </c>
      <c r="AM1318" s="35"/>
      <c r="AN1318" s="35"/>
      <c r="AO1318" s="35"/>
      <c r="AP1318" s="35">
        <f>18+45</f>
        <v>63</v>
      </c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22">
        <f t="shared" si="424"/>
        <v>748</v>
      </c>
      <c r="BC1318" s="23">
        <v>84</v>
      </c>
      <c r="BD1318" s="130">
        <f t="shared" si="425"/>
        <v>748</v>
      </c>
      <c r="BE1318" s="130">
        <f t="shared" si="426"/>
        <v>84</v>
      </c>
      <c r="BF1318" s="195">
        <f t="shared" si="427"/>
        <v>890.47619047619048</v>
      </c>
      <c r="BG1318" s="373">
        <f t="shared" si="428"/>
        <v>-664</v>
      </c>
    </row>
    <row r="1319" spans="1:59" s="21" customFormat="1" ht="15.95" customHeight="1">
      <c r="A1319" s="176">
        <v>61</v>
      </c>
      <c r="B1319" s="31" t="s">
        <v>1010</v>
      </c>
      <c r="C1319" s="32" t="s">
        <v>1011</v>
      </c>
      <c r="D1319" s="366"/>
      <c r="E1319" s="366"/>
      <c r="F1319" s="366"/>
      <c r="G1319" s="366"/>
      <c r="H1319" s="366"/>
      <c r="I1319" s="366"/>
      <c r="J1319" s="366"/>
      <c r="K1319" s="366"/>
      <c r="L1319" s="366"/>
      <c r="M1319" s="366"/>
      <c r="N1319" s="366"/>
      <c r="O1319" s="366"/>
      <c r="P1319" s="366"/>
      <c r="Q1319" s="366"/>
      <c r="R1319" s="366"/>
      <c r="S1319" s="366"/>
      <c r="T1319" s="366"/>
      <c r="U1319" s="366"/>
      <c r="V1319" s="366"/>
      <c r="W1319" s="366"/>
      <c r="X1319" s="366"/>
      <c r="Y1319" s="366"/>
      <c r="Z1319" s="366"/>
      <c r="AA1319" s="366"/>
      <c r="AB1319" s="22">
        <f t="shared" si="423"/>
        <v>0</v>
      </c>
      <c r="AC1319" s="23">
        <v>0</v>
      </c>
      <c r="AD1319" s="35">
        <v>8</v>
      </c>
      <c r="AE1319" s="35"/>
      <c r="AF1319" s="35"/>
      <c r="AG1319" s="35"/>
      <c r="AH1319" s="35"/>
      <c r="AI1319" s="35"/>
      <c r="AJ1319" s="35"/>
      <c r="AK1319" s="35"/>
      <c r="AL1319" s="35">
        <v>4</v>
      </c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22">
        <f t="shared" si="424"/>
        <v>12</v>
      </c>
      <c r="BC1319" s="23">
        <v>4</v>
      </c>
      <c r="BD1319" s="130">
        <f t="shared" si="425"/>
        <v>12</v>
      </c>
      <c r="BE1319" s="130">
        <f t="shared" si="426"/>
        <v>4</v>
      </c>
      <c r="BF1319" s="195">
        <f t="shared" si="427"/>
        <v>300</v>
      </c>
      <c r="BG1319" s="373">
        <f t="shared" si="428"/>
        <v>-8</v>
      </c>
    </row>
    <row r="1320" spans="1:59" s="21" customFormat="1" ht="15.95" customHeight="1">
      <c r="A1320" s="176">
        <v>62</v>
      </c>
      <c r="B1320" s="31" t="s">
        <v>1669</v>
      </c>
      <c r="C1320" s="32" t="s">
        <v>2101</v>
      </c>
      <c r="D1320" s="231"/>
      <c r="E1320" s="231"/>
      <c r="F1320" s="231"/>
      <c r="G1320" s="231"/>
      <c r="H1320" s="231"/>
      <c r="I1320" s="231"/>
      <c r="J1320" s="231"/>
      <c r="K1320" s="231"/>
      <c r="L1320" s="231"/>
      <c r="M1320" s="231"/>
      <c r="N1320" s="231"/>
      <c r="O1320" s="231"/>
      <c r="P1320" s="231"/>
      <c r="Q1320" s="231"/>
      <c r="R1320" s="231"/>
      <c r="S1320" s="231"/>
      <c r="T1320" s="231"/>
      <c r="U1320" s="231"/>
      <c r="V1320" s="231"/>
      <c r="W1320" s="231"/>
      <c r="X1320" s="231"/>
      <c r="Y1320" s="231"/>
      <c r="Z1320" s="231"/>
      <c r="AA1320" s="231"/>
      <c r="AB1320" s="22">
        <f t="shared" si="423"/>
        <v>0</v>
      </c>
      <c r="AC1320" s="23">
        <v>0</v>
      </c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22">
        <f t="shared" si="424"/>
        <v>0</v>
      </c>
      <c r="BC1320" s="23">
        <v>2</v>
      </c>
      <c r="BD1320" s="130">
        <f t="shared" si="425"/>
        <v>0</v>
      </c>
      <c r="BE1320" s="130">
        <f t="shared" si="426"/>
        <v>2</v>
      </c>
      <c r="BF1320" s="195">
        <f t="shared" si="427"/>
        <v>0</v>
      </c>
      <c r="BG1320" s="373">
        <f t="shared" si="428"/>
        <v>2</v>
      </c>
    </row>
    <row r="1321" spans="1:59" s="21" customFormat="1" ht="15.95" customHeight="1">
      <c r="A1321" s="176">
        <v>63</v>
      </c>
      <c r="B1321" s="31" t="s">
        <v>823</v>
      </c>
      <c r="C1321" s="32" t="s">
        <v>824</v>
      </c>
      <c r="D1321" s="231"/>
      <c r="E1321" s="231"/>
      <c r="F1321" s="231"/>
      <c r="G1321" s="231"/>
      <c r="H1321" s="231"/>
      <c r="I1321" s="231"/>
      <c r="J1321" s="231"/>
      <c r="K1321" s="231"/>
      <c r="L1321" s="231"/>
      <c r="M1321" s="231"/>
      <c r="N1321" s="231"/>
      <c r="O1321" s="231"/>
      <c r="P1321" s="231"/>
      <c r="Q1321" s="231"/>
      <c r="R1321" s="231"/>
      <c r="S1321" s="231"/>
      <c r="T1321" s="231"/>
      <c r="U1321" s="231"/>
      <c r="V1321" s="231"/>
      <c r="W1321" s="231"/>
      <c r="X1321" s="231"/>
      <c r="Y1321" s="231"/>
      <c r="Z1321" s="231"/>
      <c r="AA1321" s="231"/>
      <c r="AB1321" s="22">
        <f t="shared" si="423"/>
        <v>0</v>
      </c>
      <c r="AC1321" s="23">
        <v>0</v>
      </c>
      <c r="AD1321" s="35">
        <v>30</v>
      </c>
      <c r="AE1321" s="35"/>
      <c r="AF1321" s="35"/>
      <c r="AG1321" s="35"/>
      <c r="AH1321" s="35">
        <f>27+384</f>
        <v>411</v>
      </c>
      <c r="AI1321" s="35"/>
      <c r="AJ1321" s="35"/>
      <c r="AK1321" s="35"/>
      <c r="AL1321" s="35">
        <f>2+1527</f>
        <v>1529</v>
      </c>
      <c r="AM1321" s="35"/>
      <c r="AN1321" s="35"/>
      <c r="AO1321" s="35"/>
      <c r="AP1321" s="35">
        <v>1213</v>
      </c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22">
        <f t="shared" si="424"/>
        <v>3183</v>
      </c>
      <c r="BC1321" s="23">
        <v>12960</v>
      </c>
      <c r="BD1321" s="130">
        <f t="shared" si="425"/>
        <v>3183</v>
      </c>
      <c r="BE1321" s="130">
        <f t="shared" si="426"/>
        <v>12960</v>
      </c>
      <c r="BF1321" s="195">
        <f t="shared" si="427"/>
        <v>24.560185185185183</v>
      </c>
      <c r="BG1321" s="373">
        <f t="shared" si="428"/>
        <v>9777</v>
      </c>
    </row>
    <row r="1322" spans="1:59" s="21" customFormat="1" ht="15.95" customHeight="1">
      <c r="A1322" s="176">
        <v>64</v>
      </c>
      <c r="B1322" s="31" t="s">
        <v>825</v>
      </c>
      <c r="C1322" s="32" t="s">
        <v>907</v>
      </c>
      <c r="D1322" s="381">
        <f>1+1</f>
        <v>2</v>
      </c>
      <c r="E1322" s="381"/>
      <c r="F1322" s="381"/>
      <c r="G1322" s="381"/>
      <c r="H1322" s="381"/>
      <c r="I1322" s="381"/>
      <c r="J1322" s="381"/>
      <c r="K1322" s="381"/>
      <c r="L1322" s="381">
        <v>176</v>
      </c>
      <c r="M1322" s="381"/>
      <c r="N1322" s="381"/>
      <c r="O1322" s="381"/>
      <c r="P1322" s="381"/>
      <c r="Q1322" s="381"/>
      <c r="R1322" s="381"/>
      <c r="S1322" s="381"/>
      <c r="T1322" s="381"/>
      <c r="U1322" s="381"/>
      <c r="V1322" s="381"/>
      <c r="W1322" s="381"/>
      <c r="X1322" s="381"/>
      <c r="Y1322" s="381"/>
      <c r="Z1322" s="381"/>
      <c r="AA1322" s="381"/>
      <c r="AB1322" s="22">
        <f t="shared" si="423"/>
        <v>178</v>
      </c>
      <c r="AC1322" s="23">
        <v>0</v>
      </c>
      <c r="AD1322" s="35">
        <f>6025+2624</f>
        <v>8649</v>
      </c>
      <c r="AE1322" s="35"/>
      <c r="AF1322" s="35"/>
      <c r="AG1322" s="35"/>
      <c r="AH1322" s="35">
        <f>4347+1796+73</f>
        <v>6216</v>
      </c>
      <c r="AI1322" s="35"/>
      <c r="AJ1322" s="35"/>
      <c r="AK1322" s="35"/>
      <c r="AL1322" s="35">
        <f>2787+1468+454</f>
        <v>4709</v>
      </c>
      <c r="AM1322" s="35"/>
      <c r="AN1322" s="35"/>
      <c r="AO1322" s="35"/>
      <c r="AP1322" s="35">
        <f>203+147+933</f>
        <v>1283</v>
      </c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22">
        <f t="shared" si="424"/>
        <v>20857</v>
      </c>
      <c r="BC1322" s="23">
        <v>1765</v>
      </c>
      <c r="BD1322" s="130">
        <f t="shared" si="425"/>
        <v>21035</v>
      </c>
      <c r="BE1322" s="130">
        <f t="shared" si="426"/>
        <v>1765</v>
      </c>
      <c r="BF1322" s="195">
        <f t="shared" si="427"/>
        <v>1191.7847025495751</v>
      </c>
      <c r="BG1322" s="373">
        <f t="shared" si="428"/>
        <v>-19270</v>
      </c>
    </row>
    <row r="1323" spans="1:59" s="21" customFormat="1" ht="15.95" customHeight="1">
      <c r="A1323" s="176">
        <v>65</v>
      </c>
      <c r="B1323" s="31" t="s">
        <v>1451</v>
      </c>
      <c r="C1323" s="32" t="s">
        <v>1452</v>
      </c>
      <c r="D1323" s="575"/>
      <c r="E1323" s="575"/>
      <c r="F1323" s="575"/>
      <c r="G1323" s="575"/>
      <c r="H1323" s="575"/>
      <c r="I1323" s="575"/>
      <c r="J1323" s="575"/>
      <c r="K1323" s="575"/>
      <c r="L1323" s="575"/>
      <c r="M1323" s="575"/>
      <c r="N1323" s="575"/>
      <c r="O1323" s="575"/>
      <c r="P1323" s="575"/>
      <c r="Q1323" s="575"/>
      <c r="R1323" s="575"/>
      <c r="S1323" s="575"/>
      <c r="T1323" s="575"/>
      <c r="U1323" s="575"/>
      <c r="V1323" s="575"/>
      <c r="W1323" s="575"/>
      <c r="X1323" s="575"/>
      <c r="Y1323" s="575"/>
      <c r="Z1323" s="575"/>
      <c r="AA1323" s="575"/>
      <c r="AB1323" s="22">
        <f t="shared" ref="AB1323:AB1354" si="429">SUM(D1323:AA1323)</f>
        <v>0</v>
      </c>
      <c r="AC1323" s="23">
        <v>0</v>
      </c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>
        <v>8</v>
      </c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22">
        <f t="shared" ref="BB1323:BB1354" si="430">SUM(AD1323:BA1323)</f>
        <v>8</v>
      </c>
      <c r="BC1323" s="23">
        <v>0</v>
      </c>
      <c r="BD1323" s="130">
        <f t="shared" ref="BD1323:BD1354" si="431">AB1323+BB1323</f>
        <v>8</v>
      </c>
      <c r="BE1323" s="130">
        <f t="shared" ref="BE1323:BE1354" si="432">AC1323+BC1323</f>
        <v>0</v>
      </c>
      <c r="BF1323" s="195" t="e">
        <f t="shared" ref="BF1323:BF1354" si="433">BD1323/BE1323*100</f>
        <v>#DIV/0!</v>
      </c>
      <c r="BG1323" s="373"/>
    </row>
    <row r="1324" spans="1:59" s="21" customFormat="1" ht="15.95" customHeight="1">
      <c r="A1324" s="176">
        <v>66</v>
      </c>
      <c r="B1324" s="31" t="s">
        <v>1012</v>
      </c>
      <c r="C1324" s="32" t="s">
        <v>3463</v>
      </c>
      <c r="D1324" s="381"/>
      <c r="E1324" s="381"/>
      <c r="F1324" s="381"/>
      <c r="G1324" s="381"/>
      <c r="H1324" s="381"/>
      <c r="I1324" s="381"/>
      <c r="J1324" s="381"/>
      <c r="K1324" s="381"/>
      <c r="L1324" s="381"/>
      <c r="M1324" s="381"/>
      <c r="N1324" s="381"/>
      <c r="O1324" s="381"/>
      <c r="P1324" s="381"/>
      <c r="Q1324" s="381"/>
      <c r="R1324" s="381"/>
      <c r="S1324" s="381"/>
      <c r="T1324" s="381"/>
      <c r="U1324" s="381"/>
      <c r="V1324" s="381"/>
      <c r="W1324" s="381"/>
      <c r="X1324" s="381"/>
      <c r="Y1324" s="381"/>
      <c r="Z1324" s="381"/>
      <c r="AA1324" s="381"/>
      <c r="AB1324" s="22">
        <f t="shared" si="429"/>
        <v>0</v>
      </c>
      <c r="AC1324" s="23">
        <v>0</v>
      </c>
      <c r="AD1324" s="35">
        <v>3</v>
      </c>
      <c r="AE1324" s="35"/>
      <c r="AF1324" s="35"/>
      <c r="AG1324" s="35"/>
      <c r="AH1324" s="35">
        <v>1</v>
      </c>
      <c r="AI1324" s="35"/>
      <c r="AJ1324" s="35"/>
      <c r="AK1324" s="35"/>
      <c r="AL1324" s="35">
        <v>3</v>
      </c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22">
        <f t="shared" si="430"/>
        <v>7</v>
      </c>
      <c r="BC1324" s="23">
        <v>7</v>
      </c>
      <c r="BD1324" s="130">
        <f t="shared" si="431"/>
        <v>7</v>
      </c>
      <c r="BE1324" s="130">
        <f t="shared" si="432"/>
        <v>7</v>
      </c>
      <c r="BF1324" s="195">
        <f t="shared" si="433"/>
        <v>100</v>
      </c>
      <c r="BG1324" s="373">
        <f>BE1324-BD1324</f>
        <v>0</v>
      </c>
    </row>
    <row r="1325" spans="1:59" s="21" customFormat="1" ht="15.95" customHeight="1">
      <c r="A1325" s="176">
        <v>67</v>
      </c>
      <c r="B1325" s="31" t="s">
        <v>827</v>
      </c>
      <c r="C1325" s="32" t="s">
        <v>828</v>
      </c>
      <c r="D1325" s="381"/>
      <c r="E1325" s="381"/>
      <c r="F1325" s="381"/>
      <c r="G1325" s="381"/>
      <c r="H1325" s="381"/>
      <c r="I1325" s="381"/>
      <c r="J1325" s="381"/>
      <c r="K1325" s="381"/>
      <c r="L1325" s="381"/>
      <c r="M1325" s="381"/>
      <c r="N1325" s="381"/>
      <c r="O1325" s="381"/>
      <c r="P1325" s="381"/>
      <c r="Q1325" s="381"/>
      <c r="R1325" s="381"/>
      <c r="S1325" s="381"/>
      <c r="T1325" s="381"/>
      <c r="U1325" s="381"/>
      <c r="V1325" s="381"/>
      <c r="W1325" s="381"/>
      <c r="X1325" s="381"/>
      <c r="Y1325" s="381"/>
      <c r="Z1325" s="381"/>
      <c r="AA1325" s="381"/>
      <c r="AB1325" s="22">
        <f t="shared" si="429"/>
        <v>0</v>
      </c>
      <c r="AC1325" s="23">
        <v>0</v>
      </c>
      <c r="AD1325" s="35">
        <f>20+291</f>
        <v>311</v>
      </c>
      <c r="AE1325" s="35"/>
      <c r="AF1325" s="35"/>
      <c r="AG1325" s="35"/>
      <c r="AH1325" s="35">
        <f>11+175+4</f>
        <v>190</v>
      </c>
      <c r="AI1325" s="35"/>
      <c r="AJ1325" s="35"/>
      <c r="AK1325" s="35"/>
      <c r="AL1325" s="35">
        <f>15+172+14</f>
        <v>201</v>
      </c>
      <c r="AM1325" s="35"/>
      <c r="AN1325" s="35"/>
      <c r="AO1325" s="35"/>
      <c r="AP1325" s="35">
        <f>2+13+27</f>
        <v>42</v>
      </c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22">
        <f t="shared" si="430"/>
        <v>744</v>
      </c>
      <c r="BC1325" s="23">
        <v>80</v>
      </c>
      <c r="BD1325" s="130">
        <f t="shared" si="431"/>
        <v>744</v>
      </c>
      <c r="BE1325" s="130">
        <f t="shared" si="432"/>
        <v>80</v>
      </c>
      <c r="BF1325" s="195">
        <f t="shared" si="433"/>
        <v>930.00000000000011</v>
      </c>
      <c r="BG1325" s="373">
        <f>BE1325-BD1325</f>
        <v>-664</v>
      </c>
    </row>
    <row r="1326" spans="1:59" s="21" customFormat="1" ht="15.95" customHeight="1">
      <c r="A1326" s="176">
        <v>68</v>
      </c>
      <c r="B1326" s="31" t="s">
        <v>829</v>
      </c>
      <c r="C1326" s="32" t="s">
        <v>830</v>
      </c>
      <c r="D1326" s="381"/>
      <c r="E1326" s="381"/>
      <c r="F1326" s="381"/>
      <c r="G1326" s="381"/>
      <c r="H1326" s="381"/>
      <c r="I1326" s="381"/>
      <c r="J1326" s="381"/>
      <c r="K1326" s="381"/>
      <c r="L1326" s="381"/>
      <c r="M1326" s="381"/>
      <c r="N1326" s="381"/>
      <c r="O1326" s="381"/>
      <c r="P1326" s="381"/>
      <c r="Q1326" s="381"/>
      <c r="R1326" s="381"/>
      <c r="S1326" s="381"/>
      <c r="T1326" s="381"/>
      <c r="U1326" s="381"/>
      <c r="V1326" s="381"/>
      <c r="W1326" s="381"/>
      <c r="X1326" s="381"/>
      <c r="Y1326" s="381"/>
      <c r="Z1326" s="381"/>
      <c r="AA1326" s="381"/>
      <c r="AB1326" s="22">
        <f t="shared" si="429"/>
        <v>0</v>
      </c>
      <c r="AC1326" s="23">
        <v>0</v>
      </c>
      <c r="AD1326" s="35">
        <v>291</v>
      </c>
      <c r="AE1326" s="35"/>
      <c r="AF1326" s="35"/>
      <c r="AG1326" s="35"/>
      <c r="AH1326" s="35">
        <v>175</v>
      </c>
      <c r="AI1326" s="35"/>
      <c r="AJ1326" s="35"/>
      <c r="AK1326" s="35"/>
      <c r="AL1326" s="35">
        <v>172</v>
      </c>
      <c r="AM1326" s="35"/>
      <c r="AN1326" s="35"/>
      <c r="AO1326" s="35"/>
      <c r="AP1326" s="35">
        <f>13+1</f>
        <v>14</v>
      </c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22">
        <f t="shared" si="430"/>
        <v>652</v>
      </c>
      <c r="BC1326" s="23">
        <v>206</v>
      </c>
      <c r="BD1326" s="130">
        <f t="shared" si="431"/>
        <v>652</v>
      </c>
      <c r="BE1326" s="130">
        <f t="shared" si="432"/>
        <v>206</v>
      </c>
      <c r="BF1326" s="195">
        <f t="shared" si="433"/>
        <v>316.50485436893206</v>
      </c>
      <c r="BG1326" s="373">
        <f>BE1326-BD1326</f>
        <v>-446</v>
      </c>
    </row>
    <row r="1327" spans="1:59" s="21" customFormat="1" ht="15.95" customHeight="1">
      <c r="A1327" s="176">
        <v>69</v>
      </c>
      <c r="B1327" s="31" t="s">
        <v>835</v>
      </c>
      <c r="C1327" s="32" t="s">
        <v>947</v>
      </c>
      <c r="D1327" s="407"/>
      <c r="E1327" s="407"/>
      <c r="F1327" s="407"/>
      <c r="G1327" s="407"/>
      <c r="H1327" s="407"/>
      <c r="I1327" s="407"/>
      <c r="J1327" s="407"/>
      <c r="K1327" s="407"/>
      <c r="L1327" s="407"/>
      <c r="M1327" s="407"/>
      <c r="N1327" s="407"/>
      <c r="O1327" s="407"/>
      <c r="P1327" s="407"/>
      <c r="Q1327" s="407"/>
      <c r="R1327" s="407"/>
      <c r="S1327" s="407"/>
      <c r="T1327" s="407"/>
      <c r="U1327" s="407"/>
      <c r="V1327" s="407"/>
      <c r="W1327" s="407"/>
      <c r="X1327" s="407"/>
      <c r="Y1327" s="407"/>
      <c r="Z1327" s="407"/>
      <c r="AA1327" s="407"/>
      <c r="AB1327" s="22">
        <f t="shared" si="429"/>
        <v>0</v>
      </c>
      <c r="AC1327" s="23">
        <v>0</v>
      </c>
      <c r="AD1327" s="35">
        <f>34+2315</f>
        <v>2349</v>
      </c>
      <c r="AE1327" s="35"/>
      <c r="AF1327" s="35"/>
      <c r="AG1327" s="35"/>
      <c r="AH1327" s="35">
        <f>9+1645+3</f>
        <v>1657</v>
      </c>
      <c r="AI1327" s="35"/>
      <c r="AJ1327" s="35"/>
      <c r="AK1327" s="35"/>
      <c r="AL1327" s="35">
        <f>9+1304+37</f>
        <v>1350</v>
      </c>
      <c r="AM1327" s="35"/>
      <c r="AN1327" s="35"/>
      <c r="AO1327" s="35"/>
      <c r="AP1327" s="35">
        <f>141+123</f>
        <v>264</v>
      </c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22">
        <f t="shared" si="430"/>
        <v>5620</v>
      </c>
      <c r="BC1327" s="23">
        <v>0</v>
      </c>
      <c r="BD1327" s="130">
        <f t="shared" si="431"/>
        <v>5620</v>
      </c>
      <c r="BE1327" s="130">
        <f t="shared" si="432"/>
        <v>0</v>
      </c>
      <c r="BF1327" s="195" t="e">
        <f t="shared" si="433"/>
        <v>#DIV/0!</v>
      </c>
      <c r="BG1327" s="373"/>
    </row>
    <row r="1328" spans="1:59" s="21" customFormat="1" ht="15.95" customHeight="1">
      <c r="A1328" s="176">
        <v>70</v>
      </c>
      <c r="B1328" s="31" t="s">
        <v>1379</v>
      </c>
      <c r="C1328" s="32" t="s">
        <v>3705</v>
      </c>
      <c r="D1328" s="407"/>
      <c r="E1328" s="407"/>
      <c r="F1328" s="407"/>
      <c r="G1328" s="407"/>
      <c r="H1328" s="407"/>
      <c r="I1328" s="407"/>
      <c r="J1328" s="407"/>
      <c r="K1328" s="407"/>
      <c r="L1328" s="407"/>
      <c r="M1328" s="407"/>
      <c r="N1328" s="407"/>
      <c r="O1328" s="407"/>
      <c r="P1328" s="407"/>
      <c r="Q1328" s="407"/>
      <c r="R1328" s="407"/>
      <c r="S1328" s="407"/>
      <c r="T1328" s="407"/>
      <c r="U1328" s="407"/>
      <c r="V1328" s="407"/>
      <c r="W1328" s="407"/>
      <c r="X1328" s="407"/>
      <c r="Y1328" s="407"/>
      <c r="Z1328" s="407"/>
      <c r="AA1328" s="407"/>
      <c r="AB1328" s="22">
        <f t="shared" si="429"/>
        <v>0</v>
      </c>
      <c r="AC1328" s="23">
        <v>0</v>
      </c>
      <c r="AD1328" s="35">
        <v>1</v>
      </c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22">
        <f t="shared" si="430"/>
        <v>1</v>
      </c>
      <c r="BC1328" s="23">
        <v>0</v>
      </c>
      <c r="BD1328" s="130">
        <f t="shared" si="431"/>
        <v>1</v>
      </c>
      <c r="BE1328" s="130">
        <f t="shared" si="432"/>
        <v>0</v>
      </c>
      <c r="BF1328" s="195" t="e">
        <f t="shared" si="433"/>
        <v>#DIV/0!</v>
      </c>
      <c r="BG1328" s="373"/>
    </row>
    <row r="1329" spans="1:59" s="21" customFormat="1" ht="15.95" customHeight="1">
      <c r="A1329" s="176">
        <v>71</v>
      </c>
      <c r="B1329" s="31" t="s">
        <v>1013</v>
      </c>
      <c r="C1329" s="32" t="s">
        <v>1632</v>
      </c>
      <c r="D1329" s="381"/>
      <c r="E1329" s="381"/>
      <c r="F1329" s="381"/>
      <c r="G1329" s="381"/>
      <c r="H1329" s="381"/>
      <c r="I1329" s="381"/>
      <c r="J1329" s="381"/>
      <c r="K1329" s="381"/>
      <c r="L1329" s="381"/>
      <c r="M1329" s="381"/>
      <c r="N1329" s="381"/>
      <c r="O1329" s="381"/>
      <c r="P1329" s="381"/>
      <c r="Q1329" s="381"/>
      <c r="R1329" s="381"/>
      <c r="S1329" s="381"/>
      <c r="T1329" s="381"/>
      <c r="U1329" s="381"/>
      <c r="V1329" s="381"/>
      <c r="W1329" s="381"/>
      <c r="X1329" s="381"/>
      <c r="Y1329" s="381"/>
      <c r="Z1329" s="381"/>
      <c r="AA1329" s="381"/>
      <c r="AB1329" s="22">
        <f t="shared" si="429"/>
        <v>0</v>
      </c>
      <c r="AC1329" s="23">
        <v>0</v>
      </c>
      <c r="AD1329" s="35">
        <f>49+347</f>
        <v>396</v>
      </c>
      <c r="AE1329" s="35"/>
      <c r="AF1329" s="35"/>
      <c r="AG1329" s="35"/>
      <c r="AH1329" s="35">
        <f>8+50</f>
        <v>58</v>
      </c>
      <c r="AI1329" s="35"/>
      <c r="AJ1329" s="35"/>
      <c r="AK1329" s="35"/>
      <c r="AL1329" s="35">
        <f>18+116</f>
        <v>134</v>
      </c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22">
        <f t="shared" si="430"/>
        <v>588</v>
      </c>
      <c r="BC1329" s="23">
        <v>4</v>
      </c>
      <c r="BD1329" s="130">
        <f t="shared" si="431"/>
        <v>588</v>
      </c>
      <c r="BE1329" s="130">
        <f t="shared" si="432"/>
        <v>4</v>
      </c>
      <c r="BF1329" s="195">
        <f t="shared" si="433"/>
        <v>14700</v>
      </c>
      <c r="BG1329" s="373">
        <f t="shared" ref="BG1329:BG1336" si="434">BE1329-BD1329</f>
        <v>-584</v>
      </c>
    </row>
    <row r="1330" spans="1:59" s="21" customFormat="1" ht="15.95" customHeight="1">
      <c r="A1330" s="176">
        <v>72</v>
      </c>
      <c r="B1330" s="31" t="s">
        <v>837</v>
      </c>
      <c r="C1330" s="32" t="s">
        <v>908</v>
      </c>
      <c r="D1330" s="381">
        <v>2</v>
      </c>
      <c r="E1330" s="381"/>
      <c r="F1330" s="381"/>
      <c r="G1330" s="381"/>
      <c r="H1330" s="381"/>
      <c r="I1330" s="381"/>
      <c r="J1330" s="381"/>
      <c r="K1330" s="381"/>
      <c r="L1330" s="381"/>
      <c r="M1330" s="381"/>
      <c r="N1330" s="381"/>
      <c r="O1330" s="381"/>
      <c r="P1330" s="381"/>
      <c r="Q1330" s="381"/>
      <c r="R1330" s="381"/>
      <c r="S1330" s="381"/>
      <c r="T1330" s="381"/>
      <c r="U1330" s="381"/>
      <c r="V1330" s="381"/>
      <c r="W1330" s="381"/>
      <c r="X1330" s="381"/>
      <c r="Y1330" s="381"/>
      <c r="Z1330" s="381"/>
      <c r="AA1330" s="381"/>
      <c r="AB1330" s="22">
        <f t="shared" si="429"/>
        <v>2</v>
      </c>
      <c r="AC1330" s="23">
        <v>0</v>
      </c>
      <c r="AD1330" s="35">
        <f>94+327</f>
        <v>421</v>
      </c>
      <c r="AE1330" s="35"/>
      <c r="AF1330" s="35"/>
      <c r="AG1330" s="35"/>
      <c r="AH1330" s="35">
        <f>44+108+15</f>
        <v>167</v>
      </c>
      <c r="AI1330" s="35"/>
      <c r="AJ1330" s="35"/>
      <c r="AK1330" s="35"/>
      <c r="AL1330" s="35">
        <f>49+141+96</f>
        <v>286</v>
      </c>
      <c r="AM1330" s="35"/>
      <c r="AN1330" s="35"/>
      <c r="AO1330" s="35"/>
      <c r="AP1330" s="35">
        <f>9+22+195</f>
        <v>226</v>
      </c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22">
        <f t="shared" si="430"/>
        <v>1100</v>
      </c>
      <c r="BC1330" s="23">
        <v>457</v>
      </c>
      <c r="BD1330" s="130">
        <f t="shared" si="431"/>
        <v>1102</v>
      </c>
      <c r="BE1330" s="130">
        <f t="shared" si="432"/>
        <v>457</v>
      </c>
      <c r="BF1330" s="195">
        <f t="shared" si="433"/>
        <v>241.1378555798687</v>
      </c>
      <c r="BG1330" s="373">
        <f t="shared" si="434"/>
        <v>-645</v>
      </c>
    </row>
    <row r="1331" spans="1:59" s="21" customFormat="1" ht="15.95" customHeight="1">
      <c r="A1331" s="176">
        <v>73</v>
      </c>
      <c r="B1331" s="31" t="s">
        <v>839</v>
      </c>
      <c r="C1331" s="32" t="s">
        <v>840</v>
      </c>
      <c r="D1331" s="381"/>
      <c r="E1331" s="381"/>
      <c r="F1331" s="381"/>
      <c r="G1331" s="381"/>
      <c r="H1331" s="381"/>
      <c r="I1331" s="381"/>
      <c r="J1331" s="381"/>
      <c r="K1331" s="381"/>
      <c r="L1331" s="381"/>
      <c r="M1331" s="381"/>
      <c r="N1331" s="381"/>
      <c r="O1331" s="381"/>
      <c r="P1331" s="381"/>
      <c r="Q1331" s="381"/>
      <c r="R1331" s="381"/>
      <c r="S1331" s="381"/>
      <c r="T1331" s="381"/>
      <c r="U1331" s="381"/>
      <c r="V1331" s="381"/>
      <c r="W1331" s="381"/>
      <c r="X1331" s="381"/>
      <c r="Y1331" s="381"/>
      <c r="Z1331" s="381"/>
      <c r="AA1331" s="381"/>
      <c r="AB1331" s="22">
        <f t="shared" si="429"/>
        <v>0</v>
      </c>
      <c r="AC1331" s="23">
        <v>0</v>
      </c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22">
        <f t="shared" si="430"/>
        <v>0</v>
      </c>
      <c r="BC1331" s="23">
        <v>1</v>
      </c>
      <c r="BD1331" s="130">
        <f t="shared" si="431"/>
        <v>0</v>
      </c>
      <c r="BE1331" s="130">
        <f t="shared" si="432"/>
        <v>1</v>
      </c>
      <c r="BF1331" s="195">
        <f t="shared" si="433"/>
        <v>0</v>
      </c>
      <c r="BG1331" s="373">
        <f t="shared" si="434"/>
        <v>1</v>
      </c>
    </row>
    <row r="1332" spans="1:59" s="21" customFormat="1" ht="15.95" customHeight="1">
      <c r="A1332" s="176">
        <v>74</v>
      </c>
      <c r="B1332" s="31" t="s">
        <v>909</v>
      </c>
      <c r="C1332" s="32" t="s">
        <v>910</v>
      </c>
      <c r="D1332" s="381">
        <v>1</v>
      </c>
      <c r="E1332" s="381"/>
      <c r="F1332" s="381"/>
      <c r="G1332" s="381"/>
      <c r="H1332" s="381"/>
      <c r="I1332" s="381"/>
      <c r="J1332" s="381"/>
      <c r="K1332" s="381"/>
      <c r="L1332" s="381"/>
      <c r="M1332" s="381"/>
      <c r="N1332" s="381"/>
      <c r="O1332" s="381"/>
      <c r="P1332" s="381"/>
      <c r="Q1332" s="381"/>
      <c r="R1332" s="381"/>
      <c r="S1332" s="381"/>
      <c r="T1332" s="381"/>
      <c r="U1332" s="381"/>
      <c r="V1332" s="381"/>
      <c r="W1332" s="381"/>
      <c r="X1332" s="381"/>
      <c r="Y1332" s="381"/>
      <c r="Z1332" s="381"/>
      <c r="AA1332" s="381"/>
      <c r="AB1332" s="22">
        <f t="shared" si="429"/>
        <v>1</v>
      </c>
      <c r="AC1332" s="23">
        <v>0</v>
      </c>
      <c r="AD1332" s="35">
        <v>44</v>
      </c>
      <c r="AE1332" s="35"/>
      <c r="AF1332" s="35"/>
      <c r="AG1332" s="35"/>
      <c r="AH1332" s="35">
        <f>1+8</f>
        <v>9</v>
      </c>
      <c r="AI1332" s="35"/>
      <c r="AJ1332" s="35"/>
      <c r="AK1332" s="35"/>
      <c r="AL1332" s="35">
        <f>2+5</f>
        <v>7</v>
      </c>
      <c r="AM1332" s="35"/>
      <c r="AN1332" s="35"/>
      <c r="AO1332" s="35"/>
      <c r="AP1332" s="35">
        <v>3</v>
      </c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22">
        <f t="shared" si="430"/>
        <v>63</v>
      </c>
      <c r="BC1332" s="23">
        <v>3</v>
      </c>
      <c r="BD1332" s="130">
        <f t="shared" si="431"/>
        <v>64</v>
      </c>
      <c r="BE1332" s="130">
        <f t="shared" si="432"/>
        <v>3</v>
      </c>
      <c r="BF1332" s="195">
        <f t="shared" si="433"/>
        <v>2133.333333333333</v>
      </c>
      <c r="BG1332" s="373">
        <f t="shared" si="434"/>
        <v>-61</v>
      </c>
    </row>
    <row r="1333" spans="1:59" s="21" customFormat="1" ht="15.95" customHeight="1">
      <c r="A1333" s="176">
        <v>75</v>
      </c>
      <c r="B1333" s="31" t="s">
        <v>841</v>
      </c>
      <c r="C1333" s="32" t="s">
        <v>842</v>
      </c>
      <c r="D1333" s="381"/>
      <c r="E1333" s="381"/>
      <c r="F1333" s="381"/>
      <c r="G1333" s="381"/>
      <c r="H1333" s="381"/>
      <c r="I1333" s="381"/>
      <c r="J1333" s="381"/>
      <c r="K1333" s="381"/>
      <c r="L1333" s="381"/>
      <c r="M1333" s="381"/>
      <c r="N1333" s="381"/>
      <c r="O1333" s="381"/>
      <c r="P1333" s="381"/>
      <c r="Q1333" s="381"/>
      <c r="R1333" s="381"/>
      <c r="S1333" s="381"/>
      <c r="T1333" s="381"/>
      <c r="U1333" s="381"/>
      <c r="V1333" s="381"/>
      <c r="W1333" s="381"/>
      <c r="X1333" s="381"/>
      <c r="Y1333" s="381"/>
      <c r="Z1333" s="381"/>
      <c r="AA1333" s="381"/>
      <c r="AB1333" s="22">
        <f t="shared" si="429"/>
        <v>0</v>
      </c>
      <c r="AC1333" s="23">
        <v>0</v>
      </c>
      <c r="AD1333" s="35">
        <v>92</v>
      </c>
      <c r="AE1333" s="35"/>
      <c r="AF1333" s="35"/>
      <c r="AG1333" s="35"/>
      <c r="AH1333" s="35">
        <v>39</v>
      </c>
      <c r="AI1333" s="35"/>
      <c r="AJ1333" s="35"/>
      <c r="AK1333" s="35"/>
      <c r="AL1333" s="35">
        <v>28</v>
      </c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22">
        <f t="shared" si="430"/>
        <v>159</v>
      </c>
      <c r="BC1333" s="23">
        <v>54</v>
      </c>
      <c r="BD1333" s="130">
        <f t="shared" si="431"/>
        <v>159</v>
      </c>
      <c r="BE1333" s="130">
        <f t="shared" si="432"/>
        <v>54</v>
      </c>
      <c r="BF1333" s="195">
        <f t="shared" si="433"/>
        <v>294.44444444444446</v>
      </c>
      <c r="BG1333" s="373">
        <f t="shared" si="434"/>
        <v>-105</v>
      </c>
    </row>
    <row r="1334" spans="1:59" s="21" customFormat="1" ht="15.95" customHeight="1">
      <c r="A1334" s="176">
        <v>76</v>
      </c>
      <c r="B1334" s="31" t="s">
        <v>911</v>
      </c>
      <c r="C1334" s="32" t="s">
        <v>1127</v>
      </c>
      <c r="D1334" s="381"/>
      <c r="E1334" s="381"/>
      <c r="F1334" s="381"/>
      <c r="G1334" s="381"/>
      <c r="H1334" s="381"/>
      <c r="I1334" s="381"/>
      <c r="J1334" s="381"/>
      <c r="K1334" s="381"/>
      <c r="L1334" s="381"/>
      <c r="M1334" s="381"/>
      <c r="N1334" s="381"/>
      <c r="O1334" s="381"/>
      <c r="P1334" s="381"/>
      <c r="Q1334" s="381"/>
      <c r="R1334" s="381"/>
      <c r="S1334" s="381"/>
      <c r="T1334" s="381"/>
      <c r="U1334" s="381"/>
      <c r="V1334" s="381"/>
      <c r="W1334" s="381"/>
      <c r="X1334" s="381"/>
      <c r="Y1334" s="381"/>
      <c r="Z1334" s="381"/>
      <c r="AA1334" s="381"/>
      <c r="AB1334" s="22">
        <f t="shared" si="429"/>
        <v>0</v>
      </c>
      <c r="AC1334" s="23">
        <v>0</v>
      </c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22">
        <f t="shared" si="430"/>
        <v>0</v>
      </c>
      <c r="BC1334" s="23">
        <v>6</v>
      </c>
      <c r="BD1334" s="130">
        <f t="shared" si="431"/>
        <v>0</v>
      </c>
      <c r="BE1334" s="130">
        <f t="shared" si="432"/>
        <v>6</v>
      </c>
      <c r="BF1334" s="195">
        <f t="shared" si="433"/>
        <v>0</v>
      </c>
      <c r="BG1334" s="373">
        <f t="shared" si="434"/>
        <v>6</v>
      </c>
    </row>
    <row r="1335" spans="1:59" s="21" customFormat="1" ht="15.95" customHeight="1">
      <c r="A1335" s="176">
        <v>77</v>
      </c>
      <c r="B1335" s="31" t="s">
        <v>1178</v>
      </c>
      <c r="C1335" s="32" t="s">
        <v>1179</v>
      </c>
      <c r="D1335" s="381"/>
      <c r="E1335" s="381"/>
      <c r="F1335" s="381"/>
      <c r="G1335" s="381"/>
      <c r="H1335" s="381"/>
      <c r="I1335" s="381"/>
      <c r="J1335" s="381"/>
      <c r="K1335" s="381"/>
      <c r="L1335" s="381"/>
      <c r="M1335" s="381"/>
      <c r="N1335" s="381"/>
      <c r="O1335" s="381"/>
      <c r="P1335" s="381"/>
      <c r="Q1335" s="381"/>
      <c r="R1335" s="381"/>
      <c r="S1335" s="381"/>
      <c r="T1335" s="381"/>
      <c r="U1335" s="381"/>
      <c r="V1335" s="381"/>
      <c r="W1335" s="381"/>
      <c r="X1335" s="381"/>
      <c r="Y1335" s="381"/>
      <c r="Z1335" s="381"/>
      <c r="AA1335" s="381"/>
      <c r="AB1335" s="22">
        <f t="shared" si="429"/>
        <v>0</v>
      </c>
      <c r="AC1335" s="23">
        <v>0</v>
      </c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22">
        <f t="shared" si="430"/>
        <v>0</v>
      </c>
      <c r="BC1335" s="23">
        <v>1</v>
      </c>
      <c r="BD1335" s="130">
        <f t="shared" si="431"/>
        <v>0</v>
      </c>
      <c r="BE1335" s="130">
        <f t="shared" si="432"/>
        <v>1</v>
      </c>
      <c r="BF1335" s="195">
        <f t="shared" si="433"/>
        <v>0</v>
      </c>
      <c r="BG1335" s="373">
        <f t="shared" si="434"/>
        <v>1</v>
      </c>
    </row>
    <row r="1336" spans="1:59" s="21" customFormat="1" ht="15.95" customHeight="1">
      <c r="A1336" s="176">
        <v>78</v>
      </c>
      <c r="B1336" s="31" t="s">
        <v>1112</v>
      </c>
      <c r="C1336" s="32" t="s">
        <v>3464</v>
      </c>
      <c r="D1336" s="381"/>
      <c r="E1336" s="381"/>
      <c r="F1336" s="381"/>
      <c r="G1336" s="381"/>
      <c r="H1336" s="381"/>
      <c r="I1336" s="381"/>
      <c r="J1336" s="381"/>
      <c r="K1336" s="381"/>
      <c r="L1336" s="381"/>
      <c r="M1336" s="381"/>
      <c r="N1336" s="381"/>
      <c r="O1336" s="381"/>
      <c r="P1336" s="381"/>
      <c r="Q1336" s="381"/>
      <c r="R1336" s="381"/>
      <c r="S1336" s="381"/>
      <c r="T1336" s="381"/>
      <c r="U1336" s="381"/>
      <c r="V1336" s="381"/>
      <c r="W1336" s="381"/>
      <c r="X1336" s="381"/>
      <c r="Y1336" s="381"/>
      <c r="Z1336" s="381"/>
      <c r="AA1336" s="381"/>
      <c r="AB1336" s="22">
        <f t="shared" si="429"/>
        <v>0</v>
      </c>
      <c r="AC1336" s="23">
        <v>0</v>
      </c>
      <c r="AD1336" s="35">
        <v>194</v>
      </c>
      <c r="AE1336" s="35"/>
      <c r="AF1336" s="35"/>
      <c r="AG1336" s="35"/>
      <c r="AH1336" s="35">
        <v>136</v>
      </c>
      <c r="AI1336" s="35"/>
      <c r="AJ1336" s="35"/>
      <c r="AK1336" s="35"/>
      <c r="AL1336" s="35">
        <v>147</v>
      </c>
      <c r="AM1336" s="35"/>
      <c r="AN1336" s="35"/>
      <c r="AO1336" s="35"/>
      <c r="AP1336" s="35">
        <f>10+1</f>
        <v>11</v>
      </c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22">
        <f t="shared" si="430"/>
        <v>488</v>
      </c>
      <c r="BC1336" s="23">
        <v>107</v>
      </c>
      <c r="BD1336" s="130">
        <f t="shared" si="431"/>
        <v>488</v>
      </c>
      <c r="BE1336" s="130">
        <f t="shared" si="432"/>
        <v>107</v>
      </c>
      <c r="BF1336" s="195">
        <f t="shared" si="433"/>
        <v>456.07476635514013</v>
      </c>
      <c r="BG1336" s="373">
        <f t="shared" si="434"/>
        <v>-381</v>
      </c>
    </row>
    <row r="1337" spans="1:59" s="21" customFormat="1" ht="15.95" customHeight="1">
      <c r="A1337" s="176">
        <v>79</v>
      </c>
      <c r="B1337" s="31" t="s">
        <v>1332</v>
      </c>
      <c r="C1337" s="32" t="s">
        <v>1333</v>
      </c>
      <c r="D1337" s="407">
        <v>4</v>
      </c>
      <c r="E1337" s="407"/>
      <c r="F1337" s="407"/>
      <c r="G1337" s="407"/>
      <c r="H1337" s="407"/>
      <c r="I1337" s="407"/>
      <c r="J1337" s="407"/>
      <c r="K1337" s="407"/>
      <c r="L1337" s="407"/>
      <c r="M1337" s="407"/>
      <c r="N1337" s="407"/>
      <c r="O1337" s="407"/>
      <c r="P1337" s="407"/>
      <c r="Q1337" s="407"/>
      <c r="R1337" s="407"/>
      <c r="S1337" s="407"/>
      <c r="T1337" s="407"/>
      <c r="U1337" s="407"/>
      <c r="V1337" s="407"/>
      <c r="W1337" s="407"/>
      <c r="X1337" s="407"/>
      <c r="Y1337" s="407"/>
      <c r="Z1337" s="407"/>
      <c r="AA1337" s="407"/>
      <c r="AB1337" s="22">
        <f t="shared" si="429"/>
        <v>4</v>
      </c>
      <c r="AC1337" s="23">
        <v>0</v>
      </c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22">
        <f t="shared" si="430"/>
        <v>0</v>
      </c>
      <c r="BC1337" s="23">
        <v>0</v>
      </c>
      <c r="BD1337" s="130">
        <f t="shared" si="431"/>
        <v>4</v>
      </c>
      <c r="BE1337" s="130">
        <f t="shared" si="432"/>
        <v>0</v>
      </c>
      <c r="BF1337" s="195" t="e">
        <f t="shared" si="433"/>
        <v>#DIV/0!</v>
      </c>
      <c r="BG1337" s="373"/>
    </row>
    <row r="1338" spans="1:59" s="21" customFormat="1" ht="15.95" customHeight="1">
      <c r="A1338" s="176">
        <v>80</v>
      </c>
      <c r="B1338" s="31" t="s">
        <v>2065</v>
      </c>
      <c r="C1338" s="32" t="s">
        <v>2083</v>
      </c>
      <c r="D1338" s="524"/>
      <c r="E1338" s="524"/>
      <c r="F1338" s="524"/>
      <c r="G1338" s="524"/>
      <c r="H1338" s="524"/>
      <c r="I1338" s="524"/>
      <c r="J1338" s="524"/>
      <c r="K1338" s="524"/>
      <c r="L1338" s="524"/>
      <c r="M1338" s="524"/>
      <c r="N1338" s="524"/>
      <c r="O1338" s="524"/>
      <c r="P1338" s="524"/>
      <c r="Q1338" s="524"/>
      <c r="R1338" s="524"/>
      <c r="S1338" s="524"/>
      <c r="T1338" s="524"/>
      <c r="U1338" s="524"/>
      <c r="V1338" s="524"/>
      <c r="W1338" s="524"/>
      <c r="X1338" s="524"/>
      <c r="Y1338" s="524"/>
      <c r="Z1338" s="524"/>
      <c r="AA1338" s="524"/>
      <c r="AB1338" s="22">
        <f t="shared" si="429"/>
        <v>0</v>
      </c>
      <c r="AC1338" s="23">
        <v>0</v>
      </c>
      <c r="AD1338" s="35"/>
      <c r="AE1338" s="35"/>
      <c r="AF1338" s="35"/>
      <c r="AG1338" s="35"/>
      <c r="AH1338" s="35">
        <v>5</v>
      </c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22">
        <f t="shared" si="430"/>
        <v>5</v>
      </c>
      <c r="BC1338" s="23">
        <v>0</v>
      </c>
      <c r="BD1338" s="130">
        <f t="shared" si="431"/>
        <v>5</v>
      </c>
      <c r="BE1338" s="130">
        <f t="shared" si="432"/>
        <v>0</v>
      </c>
      <c r="BF1338" s="195" t="e">
        <f t="shared" si="433"/>
        <v>#DIV/0!</v>
      </c>
      <c r="BG1338" s="373"/>
    </row>
    <row r="1339" spans="1:59" s="21" customFormat="1" ht="15" customHeight="1">
      <c r="A1339" s="176">
        <v>81</v>
      </c>
      <c r="B1339" s="31" t="s">
        <v>1431</v>
      </c>
      <c r="C1339" s="34" t="s">
        <v>2320</v>
      </c>
      <c r="D1339" s="381"/>
      <c r="E1339" s="381"/>
      <c r="F1339" s="381"/>
      <c r="G1339" s="381"/>
      <c r="H1339" s="381"/>
      <c r="I1339" s="381"/>
      <c r="J1339" s="381"/>
      <c r="K1339" s="381"/>
      <c r="L1339" s="381"/>
      <c r="M1339" s="381"/>
      <c r="N1339" s="381"/>
      <c r="O1339" s="381"/>
      <c r="P1339" s="381"/>
      <c r="Q1339" s="381"/>
      <c r="R1339" s="381"/>
      <c r="S1339" s="381"/>
      <c r="T1339" s="381"/>
      <c r="U1339" s="381"/>
      <c r="V1339" s="381"/>
      <c r="W1339" s="381"/>
      <c r="X1339" s="381"/>
      <c r="Y1339" s="381"/>
      <c r="Z1339" s="381"/>
      <c r="AA1339" s="381"/>
      <c r="AB1339" s="22">
        <f t="shared" si="429"/>
        <v>0</v>
      </c>
      <c r="AC1339" s="23">
        <v>0</v>
      </c>
      <c r="AD1339" s="35"/>
      <c r="AE1339" s="35"/>
      <c r="AF1339" s="35"/>
      <c r="AG1339" s="35"/>
      <c r="AH1339" s="35"/>
      <c r="AI1339" s="35"/>
      <c r="AJ1339" s="35"/>
      <c r="AK1339" s="35"/>
      <c r="AL1339" s="35">
        <v>5</v>
      </c>
      <c r="AM1339" s="35"/>
      <c r="AN1339" s="35"/>
      <c r="AO1339" s="35"/>
      <c r="AP1339" s="35">
        <v>8</v>
      </c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22">
        <f t="shared" si="430"/>
        <v>13</v>
      </c>
      <c r="BC1339" s="23">
        <v>43</v>
      </c>
      <c r="BD1339" s="130">
        <f t="shared" si="431"/>
        <v>13</v>
      </c>
      <c r="BE1339" s="130">
        <f t="shared" si="432"/>
        <v>43</v>
      </c>
      <c r="BF1339" s="195">
        <f t="shared" si="433"/>
        <v>30.232558139534881</v>
      </c>
      <c r="BG1339" s="373">
        <f>BE1339-BD1339</f>
        <v>30</v>
      </c>
    </row>
    <row r="1340" spans="1:59" s="21" customFormat="1" ht="15" customHeight="1">
      <c r="A1340" s="176">
        <v>82</v>
      </c>
      <c r="B1340" s="31" t="s">
        <v>3700</v>
      </c>
      <c r="C1340" s="34" t="s">
        <v>3701</v>
      </c>
      <c r="D1340" s="407">
        <v>67</v>
      </c>
      <c r="E1340" s="407"/>
      <c r="F1340" s="407"/>
      <c r="G1340" s="407"/>
      <c r="H1340" s="407"/>
      <c r="I1340" s="407"/>
      <c r="J1340" s="407"/>
      <c r="K1340" s="407"/>
      <c r="L1340" s="407"/>
      <c r="M1340" s="407"/>
      <c r="N1340" s="407"/>
      <c r="O1340" s="407"/>
      <c r="P1340" s="407"/>
      <c r="Q1340" s="407"/>
      <c r="R1340" s="407"/>
      <c r="S1340" s="407"/>
      <c r="T1340" s="407"/>
      <c r="U1340" s="407"/>
      <c r="V1340" s="407"/>
      <c r="W1340" s="407"/>
      <c r="X1340" s="407"/>
      <c r="Y1340" s="407"/>
      <c r="Z1340" s="407"/>
      <c r="AA1340" s="407"/>
      <c r="AB1340" s="22">
        <f t="shared" si="429"/>
        <v>67</v>
      </c>
      <c r="AC1340" s="23">
        <v>0</v>
      </c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22">
        <f t="shared" si="430"/>
        <v>0</v>
      </c>
      <c r="BC1340" s="23">
        <v>0</v>
      </c>
      <c r="BD1340" s="130">
        <f t="shared" si="431"/>
        <v>67</v>
      </c>
      <c r="BE1340" s="130">
        <f t="shared" si="432"/>
        <v>0</v>
      </c>
      <c r="BF1340" s="195" t="e">
        <f t="shared" si="433"/>
        <v>#DIV/0!</v>
      </c>
      <c r="BG1340" s="373"/>
    </row>
    <row r="1341" spans="1:59" s="21" customFormat="1" ht="15" customHeight="1">
      <c r="A1341" s="176">
        <v>83</v>
      </c>
      <c r="B1341" s="31" t="s">
        <v>1187</v>
      </c>
      <c r="C1341" s="32" t="s">
        <v>1188</v>
      </c>
      <c r="D1341" s="381"/>
      <c r="E1341" s="381"/>
      <c r="F1341" s="381"/>
      <c r="G1341" s="381"/>
      <c r="H1341" s="381"/>
      <c r="I1341" s="381"/>
      <c r="J1341" s="381"/>
      <c r="K1341" s="381"/>
      <c r="L1341" s="381"/>
      <c r="M1341" s="381"/>
      <c r="N1341" s="381"/>
      <c r="O1341" s="381"/>
      <c r="P1341" s="381"/>
      <c r="Q1341" s="381"/>
      <c r="R1341" s="381"/>
      <c r="S1341" s="381"/>
      <c r="T1341" s="381"/>
      <c r="U1341" s="381"/>
      <c r="V1341" s="381"/>
      <c r="W1341" s="381"/>
      <c r="X1341" s="381"/>
      <c r="Y1341" s="381"/>
      <c r="Z1341" s="381"/>
      <c r="AA1341" s="381"/>
      <c r="AB1341" s="22">
        <f t="shared" si="429"/>
        <v>0</v>
      </c>
      <c r="AC1341" s="23">
        <v>0</v>
      </c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22">
        <f t="shared" si="430"/>
        <v>0</v>
      </c>
      <c r="BC1341" s="23">
        <v>6</v>
      </c>
      <c r="BD1341" s="130">
        <f t="shared" si="431"/>
        <v>0</v>
      </c>
      <c r="BE1341" s="130">
        <f t="shared" si="432"/>
        <v>6</v>
      </c>
      <c r="BF1341" s="195">
        <f t="shared" si="433"/>
        <v>0</v>
      </c>
      <c r="BG1341" s="373">
        <f t="shared" ref="BG1341:BG1349" si="435">BE1341-BD1341</f>
        <v>6</v>
      </c>
    </row>
    <row r="1342" spans="1:59" s="21" customFormat="1" ht="15.95" customHeight="1">
      <c r="A1342" s="176">
        <v>84</v>
      </c>
      <c r="B1342" s="31" t="s">
        <v>843</v>
      </c>
      <c r="C1342" s="34" t="s">
        <v>2037</v>
      </c>
      <c r="D1342" s="381"/>
      <c r="E1342" s="381"/>
      <c r="F1342" s="381"/>
      <c r="G1342" s="381"/>
      <c r="H1342" s="381"/>
      <c r="I1342" s="381"/>
      <c r="J1342" s="381"/>
      <c r="K1342" s="381"/>
      <c r="L1342" s="381"/>
      <c r="M1342" s="381"/>
      <c r="N1342" s="381"/>
      <c r="O1342" s="381"/>
      <c r="P1342" s="381"/>
      <c r="Q1342" s="381"/>
      <c r="R1342" s="381"/>
      <c r="S1342" s="381"/>
      <c r="T1342" s="381"/>
      <c r="U1342" s="381"/>
      <c r="V1342" s="381"/>
      <c r="W1342" s="381"/>
      <c r="X1342" s="381"/>
      <c r="Y1342" s="381"/>
      <c r="Z1342" s="381"/>
      <c r="AA1342" s="381"/>
      <c r="AB1342" s="22">
        <f t="shared" si="429"/>
        <v>0</v>
      </c>
      <c r="AC1342" s="23">
        <v>0</v>
      </c>
      <c r="AD1342" s="35">
        <v>30</v>
      </c>
      <c r="AE1342" s="35"/>
      <c r="AF1342" s="35"/>
      <c r="AG1342" s="35"/>
      <c r="AH1342" s="35">
        <v>47</v>
      </c>
      <c r="AI1342" s="35"/>
      <c r="AJ1342" s="35"/>
      <c r="AK1342" s="35"/>
      <c r="AL1342" s="35">
        <f>22+5</f>
        <v>27</v>
      </c>
      <c r="AM1342" s="35"/>
      <c r="AN1342" s="35"/>
      <c r="AO1342" s="35"/>
      <c r="AP1342" s="35">
        <f>10+10</f>
        <v>20</v>
      </c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22">
        <f t="shared" si="430"/>
        <v>124</v>
      </c>
      <c r="BC1342" s="23">
        <v>11</v>
      </c>
      <c r="BD1342" s="130">
        <f t="shared" si="431"/>
        <v>124</v>
      </c>
      <c r="BE1342" s="130">
        <f t="shared" si="432"/>
        <v>11</v>
      </c>
      <c r="BF1342" s="195">
        <f t="shared" si="433"/>
        <v>1127.2727272727273</v>
      </c>
      <c r="BG1342" s="373">
        <f t="shared" si="435"/>
        <v>-113</v>
      </c>
    </row>
    <row r="1343" spans="1:59" s="21" customFormat="1" ht="15.95" customHeight="1">
      <c r="A1343" s="176">
        <v>85</v>
      </c>
      <c r="B1343" s="31" t="s">
        <v>912</v>
      </c>
      <c r="C1343" s="34" t="s">
        <v>844</v>
      </c>
      <c r="D1343" s="381"/>
      <c r="E1343" s="381"/>
      <c r="F1343" s="381"/>
      <c r="G1343" s="381"/>
      <c r="H1343" s="381"/>
      <c r="I1343" s="381"/>
      <c r="J1343" s="381"/>
      <c r="K1343" s="381"/>
      <c r="L1343" s="381"/>
      <c r="M1343" s="381"/>
      <c r="N1343" s="381"/>
      <c r="O1343" s="381"/>
      <c r="P1343" s="381"/>
      <c r="Q1343" s="381"/>
      <c r="R1343" s="381"/>
      <c r="S1343" s="381"/>
      <c r="T1343" s="381"/>
      <c r="U1343" s="381"/>
      <c r="V1343" s="381"/>
      <c r="W1343" s="381"/>
      <c r="X1343" s="381"/>
      <c r="Y1343" s="381"/>
      <c r="Z1343" s="381"/>
      <c r="AA1343" s="381"/>
      <c r="AB1343" s="22">
        <f t="shared" si="429"/>
        <v>0</v>
      </c>
      <c r="AC1343" s="23">
        <v>0</v>
      </c>
      <c r="AD1343" s="35">
        <v>16</v>
      </c>
      <c r="AE1343" s="35"/>
      <c r="AF1343" s="35"/>
      <c r="AG1343" s="35"/>
      <c r="AH1343" s="35">
        <v>9</v>
      </c>
      <c r="AI1343" s="35"/>
      <c r="AJ1343" s="35"/>
      <c r="AK1343" s="35"/>
      <c r="AL1343" s="35">
        <f>10+5</f>
        <v>15</v>
      </c>
      <c r="AM1343" s="35"/>
      <c r="AN1343" s="35"/>
      <c r="AO1343" s="35"/>
      <c r="AP1343" s="35">
        <v>13</v>
      </c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22">
        <f t="shared" si="430"/>
        <v>53</v>
      </c>
      <c r="BC1343" s="23">
        <v>28</v>
      </c>
      <c r="BD1343" s="130">
        <f t="shared" si="431"/>
        <v>53</v>
      </c>
      <c r="BE1343" s="130">
        <f t="shared" si="432"/>
        <v>28</v>
      </c>
      <c r="BF1343" s="195">
        <f t="shared" si="433"/>
        <v>189.28571428571428</v>
      </c>
      <c r="BG1343" s="373">
        <f t="shared" si="435"/>
        <v>-25</v>
      </c>
    </row>
    <row r="1344" spans="1:59" s="21" customFormat="1" ht="15.95" customHeight="1">
      <c r="A1344" s="176">
        <v>86</v>
      </c>
      <c r="B1344" s="31" t="s">
        <v>913</v>
      </c>
      <c r="C1344" s="34" t="s">
        <v>914</v>
      </c>
      <c r="D1344" s="381"/>
      <c r="E1344" s="381"/>
      <c r="F1344" s="381"/>
      <c r="G1344" s="381"/>
      <c r="H1344" s="381"/>
      <c r="I1344" s="381"/>
      <c r="J1344" s="381"/>
      <c r="K1344" s="381"/>
      <c r="L1344" s="381"/>
      <c r="M1344" s="381"/>
      <c r="N1344" s="381"/>
      <c r="O1344" s="381"/>
      <c r="P1344" s="381"/>
      <c r="Q1344" s="381"/>
      <c r="R1344" s="381"/>
      <c r="S1344" s="381"/>
      <c r="T1344" s="381"/>
      <c r="U1344" s="381"/>
      <c r="V1344" s="381"/>
      <c r="W1344" s="381"/>
      <c r="X1344" s="381"/>
      <c r="Y1344" s="381"/>
      <c r="Z1344" s="381"/>
      <c r="AA1344" s="381"/>
      <c r="AB1344" s="22">
        <f t="shared" si="429"/>
        <v>0</v>
      </c>
      <c r="AC1344" s="23">
        <v>0</v>
      </c>
      <c r="AD1344" s="35">
        <v>9</v>
      </c>
      <c r="AE1344" s="35"/>
      <c r="AF1344" s="35"/>
      <c r="AG1344" s="35"/>
      <c r="AH1344" s="35">
        <v>19</v>
      </c>
      <c r="AI1344" s="35"/>
      <c r="AJ1344" s="35"/>
      <c r="AK1344" s="35"/>
      <c r="AL1344" s="35">
        <f>4+11</f>
        <v>15</v>
      </c>
      <c r="AM1344" s="35"/>
      <c r="AN1344" s="35"/>
      <c r="AO1344" s="35"/>
      <c r="AP1344" s="35">
        <f>1+4</f>
        <v>5</v>
      </c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22">
        <f t="shared" si="430"/>
        <v>48</v>
      </c>
      <c r="BC1344" s="23">
        <v>30</v>
      </c>
      <c r="BD1344" s="130">
        <f t="shared" si="431"/>
        <v>48</v>
      </c>
      <c r="BE1344" s="130">
        <f t="shared" si="432"/>
        <v>30</v>
      </c>
      <c r="BF1344" s="195">
        <f t="shared" si="433"/>
        <v>160</v>
      </c>
      <c r="BG1344" s="373">
        <f t="shared" si="435"/>
        <v>-18</v>
      </c>
    </row>
    <row r="1345" spans="1:59" s="21" customFormat="1" ht="15.95" customHeight="1">
      <c r="A1345" s="176">
        <v>87</v>
      </c>
      <c r="B1345" s="31" t="s">
        <v>845</v>
      </c>
      <c r="C1345" s="34" t="s">
        <v>2183</v>
      </c>
      <c r="D1345" s="381"/>
      <c r="E1345" s="381"/>
      <c r="F1345" s="381"/>
      <c r="G1345" s="381"/>
      <c r="H1345" s="381"/>
      <c r="I1345" s="381"/>
      <c r="J1345" s="381"/>
      <c r="K1345" s="381"/>
      <c r="L1345" s="381"/>
      <c r="M1345" s="381"/>
      <c r="N1345" s="381"/>
      <c r="O1345" s="381"/>
      <c r="P1345" s="381"/>
      <c r="Q1345" s="381"/>
      <c r="R1345" s="381"/>
      <c r="S1345" s="381"/>
      <c r="T1345" s="381"/>
      <c r="U1345" s="381"/>
      <c r="V1345" s="381"/>
      <c r="W1345" s="381"/>
      <c r="X1345" s="381"/>
      <c r="Y1345" s="381"/>
      <c r="Z1345" s="381"/>
      <c r="AA1345" s="381"/>
      <c r="AB1345" s="22">
        <f t="shared" si="429"/>
        <v>0</v>
      </c>
      <c r="AC1345" s="23">
        <v>0</v>
      </c>
      <c r="AD1345" s="35"/>
      <c r="AE1345" s="35"/>
      <c r="AF1345" s="35"/>
      <c r="AG1345" s="35"/>
      <c r="AH1345" s="35"/>
      <c r="AI1345" s="35"/>
      <c r="AJ1345" s="35"/>
      <c r="AK1345" s="35"/>
      <c r="AL1345" s="35">
        <v>2</v>
      </c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22">
        <f t="shared" si="430"/>
        <v>2</v>
      </c>
      <c r="BC1345" s="23">
        <v>1</v>
      </c>
      <c r="BD1345" s="130">
        <f t="shared" si="431"/>
        <v>2</v>
      </c>
      <c r="BE1345" s="130">
        <f t="shared" si="432"/>
        <v>1</v>
      </c>
      <c r="BF1345" s="195">
        <f t="shared" si="433"/>
        <v>200</v>
      </c>
      <c r="BG1345" s="373">
        <f t="shared" si="435"/>
        <v>-1</v>
      </c>
    </row>
    <row r="1346" spans="1:59" s="21" customFormat="1" ht="15.95" customHeight="1">
      <c r="A1346" s="176">
        <v>88</v>
      </c>
      <c r="B1346" s="31" t="s">
        <v>1075</v>
      </c>
      <c r="C1346" s="34" t="s">
        <v>1076</v>
      </c>
      <c r="D1346" s="381"/>
      <c r="E1346" s="381"/>
      <c r="F1346" s="381"/>
      <c r="G1346" s="381"/>
      <c r="H1346" s="381"/>
      <c r="I1346" s="381"/>
      <c r="J1346" s="381"/>
      <c r="K1346" s="381"/>
      <c r="L1346" s="381"/>
      <c r="M1346" s="381"/>
      <c r="N1346" s="381"/>
      <c r="O1346" s="381"/>
      <c r="P1346" s="381"/>
      <c r="Q1346" s="381"/>
      <c r="R1346" s="381"/>
      <c r="S1346" s="381"/>
      <c r="T1346" s="381"/>
      <c r="U1346" s="381"/>
      <c r="V1346" s="381"/>
      <c r="W1346" s="381"/>
      <c r="X1346" s="381"/>
      <c r="Y1346" s="381"/>
      <c r="Z1346" s="381"/>
      <c r="AA1346" s="381"/>
      <c r="AB1346" s="22">
        <f t="shared" si="429"/>
        <v>0</v>
      </c>
      <c r="AC1346" s="23">
        <v>0</v>
      </c>
      <c r="AD1346" s="35">
        <v>1</v>
      </c>
      <c r="AE1346" s="35"/>
      <c r="AF1346" s="35"/>
      <c r="AG1346" s="35"/>
      <c r="AH1346" s="35">
        <v>2</v>
      </c>
      <c r="AI1346" s="35"/>
      <c r="AJ1346" s="35"/>
      <c r="AK1346" s="35"/>
      <c r="AL1346" s="35">
        <f>1+2</f>
        <v>3</v>
      </c>
      <c r="AM1346" s="35"/>
      <c r="AN1346" s="35"/>
      <c r="AO1346" s="35"/>
      <c r="AP1346" s="35">
        <f>2+7</f>
        <v>9</v>
      </c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22">
        <f t="shared" si="430"/>
        <v>15</v>
      </c>
      <c r="BC1346" s="23">
        <v>44</v>
      </c>
      <c r="BD1346" s="130">
        <f t="shared" si="431"/>
        <v>15</v>
      </c>
      <c r="BE1346" s="130">
        <f t="shared" si="432"/>
        <v>44</v>
      </c>
      <c r="BF1346" s="195">
        <f t="shared" si="433"/>
        <v>34.090909090909086</v>
      </c>
      <c r="BG1346" s="373">
        <f t="shared" si="435"/>
        <v>29</v>
      </c>
    </row>
    <row r="1347" spans="1:59" s="21" customFormat="1" ht="15.95" customHeight="1">
      <c r="A1347" s="176">
        <v>89</v>
      </c>
      <c r="B1347" s="31" t="s">
        <v>915</v>
      </c>
      <c r="C1347" s="32" t="s">
        <v>916</v>
      </c>
      <c r="D1347" s="381"/>
      <c r="E1347" s="381"/>
      <c r="F1347" s="381"/>
      <c r="G1347" s="381"/>
      <c r="H1347" s="381"/>
      <c r="I1347" s="381"/>
      <c r="J1347" s="381"/>
      <c r="K1347" s="381"/>
      <c r="L1347" s="381"/>
      <c r="M1347" s="381"/>
      <c r="N1347" s="381"/>
      <c r="O1347" s="381"/>
      <c r="P1347" s="381"/>
      <c r="Q1347" s="381"/>
      <c r="R1347" s="381"/>
      <c r="S1347" s="381"/>
      <c r="T1347" s="381"/>
      <c r="U1347" s="381"/>
      <c r="V1347" s="381"/>
      <c r="W1347" s="381"/>
      <c r="X1347" s="381"/>
      <c r="Y1347" s="381"/>
      <c r="Z1347" s="381"/>
      <c r="AA1347" s="381"/>
      <c r="AB1347" s="22">
        <f t="shared" si="429"/>
        <v>0</v>
      </c>
      <c r="AC1347" s="23">
        <v>0</v>
      </c>
      <c r="AD1347" s="35">
        <v>2</v>
      </c>
      <c r="AE1347" s="35"/>
      <c r="AF1347" s="35"/>
      <c r="AG1347" s="35"/>
      <c r="AH1347" s="35">
        <v>1</v>
      </c>
      <c r="AI1347" s="35"/>
      <c r="AJ1347" s="35"/>
      <c r="AK1347" s="35"/>
      <c r="AL1347" s="35">
        <v>2</v>
      </c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22">
        <f t="shared" si="430"/>
        <v>5</v>
      </c>
      <c r="BC1347" s="23">
        <v>4</v>
      </c>
      <c r="BD1347" s="130">
        <f t="shared" si="431"/>
        <v>5</v>
      </c>
      <c r="BE1347" s="130">
        <f t="shared" si="432"/>
        <v>4</v>
      </c>
      <c r="BF1347" s="195">
        <f t="shared" si="433"/>
        <v>125</v>
      </c>
      <c r="BG1347" s="373">
        <f t="shared" si="435"/>
        <v>-1</v>
      </c>
    </row>
    <row r="1348" spans="1:59" s="21" customFormat="1" ht="21" customHeight="1">
      <c r="A1348" s="176">
        <v>90</v>
      </c>
      <c r="B1348" s="31" t="s">
        <v>1082</v>
      </c>
      <c r="C1348" s="32" t="s">
        <v>2038</v>
      </c>
      <c r="D1348" s="231"/>
      <c r="E1348" s="231"/>
      <c r="F1348" s="231"/>
      <c r="G1348" s="231"/>
      <c r="H1348" s="231"/>
      <c r="I1348" s="231"/>
      <c r="J1348" s="231"/>
      <c r="K1348" s="231"/>
      <c r="L1348" s="231"/>
      <c r="M1348" s="231"/>
      <c r="N1348" s="231"/>
      <c r="O1348" s="231"/>
      <c r="P1348" s="231"/>
      <c r="Q1348" s="231"/>
      <c r="R1348" s="231"/>
      <c r="S1348" s="231"/>
      <c r="T1348" s="231"/>
      <c r="U1348" s="231"/>
      <c r="V1348" s="231"/>
      <c r="W1348" s="231"/>
      <c r="X1348" s="231"/>
      <c r="Y1348" s="231"/>
      <c r="Z1348" s="231"/>
      <c r="AA1348" s="231"/>
      <c r="AB1348" s="22">
        <f t="shared" si="429"/>
        <v>0</v>
      </c>
      <c r="AC1348" s="23">
        <v>0</v>
      </c>
      <c r="AD1348" s="35"/>
      <c r="AE1348" s="35"/>
      <c r="AF1348" s="35"/>
      <c r="AG1348" s="35"/>
      <c r="AH1348" s="35"/>
      <c r="AI1348" s="35"/>
      <c r="AJ1348" s="35"/>
      <c r="AK1348" s="35"/>
      <c r="AL1348" s="35">
        <v>2</v>
      </c>
      <c r="AM1348" s="35"/>
      <c r="AN1348" s="35"/>
      <c r="AO1348" s="35"/>
      <c r="AP1348" s="35">
        <v>3</v>
      </c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22">
        <f t="shared" si="430"/>
        <v>5</v>
      </c>
      <c r="BC1348" s="23">
        <v>28</v>
      </c>
      <c r="BD1348" s="130">
        <f t="shared" si="431"/>
        <v>5</v>
      </c>
      <c r="BE1348" s="130">
        <f t="shared" si="432"/>
        <v>28</v>
      </c>
      <c r="BF1348" s="195">
        <f t="shared" si="433"/>
        <v>17.857142857142858</v>
      </c>
      <c r="BG1348" s="373">
        <f t="shared" si="435"/>
        <v>23</v>
      </c>
    </row>
    <row r="1349" spans="1:59" s="21" customFormat="1" ht="15.95" customHeight="1">
      <c r="A1349" s="176">
        <v>91</v>
      </c>
      <c r="B1349" s="31" t="s">
        <v>2298</v>
      </c>
      <c r="C1349" s="32" t="s">
        <v>2299</v>
      </c>
      <c r="D1349" s="231"/>
      <c r="E1349" s="231"/>
      <c r="F1349" s="231"/>
      <c r="G1349" s="231"/>
      <c r="H1349" s="231"/>
      <c r="I1349" s="231"/>
      <c r="J1349" s="231"/>
      <c r="K1349" s="231"/>
      <c r="L1349" s="231"/>
      <c r="M1349" s="231"/>
      <c r="N1349" s="231"/>
      <c r="O1349" s="231"/>
      <c r="P1349" s="231"/>
      <c r="Q1349" s="231"/>
      <c r="R1349" s="231"/>
      <c r="S1349" s="231"/>
      <c r="T1349" s="231"/>
      <c r="U1349" s="231"/>
      <c r="V1349" s="231"/>
      <c r="W1349" s="231"/>
      <c r="X1349" s="231"/>
      <c r="Y1349" s="231"/>
      <c r="Z1349" s="231"/>
      <c r="AA1349" s="231"/>
      <c r="AB1349" s="22">
        <f t="shared" si="429"/>
        <v>0</v>
      </c>
      <c r="AC1349" s="23">
        <v>0</v>
      </c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22">
        <f t="shared" si="430"/>
        <v>0</v>
      </c>
      <c r="BC1349" s="23">
        <v>1</v>
      </c>
      <c r="BD1349" s="130">
        <f t="shared" si="431"/>
        <v>0</v>
      </c>
      <c r="BE1349" s="130">
        <f t="shared" si="432"/>
        <v>1</v>
      </c>
      <c r="BF1349" s="195">
        <f t="shared" si="433"/>
        <v>0</v>
      </c>
      <c r="BG1349" s="373">
        <f t="shared" si="435"/>
        <v>1</v>
      </c>
    </row>
    <row r="1350" spans="1:59" s="21" customFormat="1" ht="15.95" customHeight="1">
      <c r="A1350" s="176">
        <v>92</v>
      </c>
      <c r="B1350" s="31" t="s">
        <v>1347</v>
      </c>
      <c r="C1350" s="32" t="s">
        <v>3813</v>
      </c>
      <c r="D1350" s="524"/>
      <c r="E1350" s="524"/>
      <c r="F1350" s="524"/>
      <c r="G1350" s="524"/>
      <c r="H1350" s="524"/>
      <c r="I1350" s="524"/>
      <c r="J1350" s="524"/>
      <c r="K1350" s="524"/>
      <c r="L1350" s="524"/>
      <c r="M1350" s="524"/>
      <c r="N1350" s="524"/>
      <c r="O1350" s="524"/>
      <c r="P1350" s="524"/>
      <c r="Q1350" s="524"/>
      <c r="R1350" s="524"/>
      <c r="S1350" s="524"/>
      <c r="T1350" s="524"/>
      <c r="U1350" s="524"/>
      <c r="V1350" s="524"/>
      <c r="W1350" s="524"/>
      <c r="X1350" s="524"/>
      <c r="Y1350" s="524"/>
      <c r="Z1350" s="524"/>
      <c r="AA1350" s="524"/>
      <c r="AB1350" s="22">
        <f t="shared" si="429"/>
        <v>0</v>
      </c>
      <c r="AC1350" s="23">
        <v>0</v>
      </c>
      <c r="AD1350" s="35"/>
      <c r="AE1350" s="35"/>
      <c r="AF1350" s="35"/>
      <c r="AG1350" s="35"/>
      <c r="AH1350" s="35">
        <v>1</v>
      </c>
      <c r="AI1350" s="35"/>
      <c r="AJ1350" s="35"/>
      <c r="AK1350" s="35"/>
      <c r="AL1350" s="35"/>
      <c r="AM1350" s="35"/>
      <c r="AN1350" s="35"/>
      <c r="AO1350" s="35"/>
      <c r="AP1350" s="35">
        <v>1</v>
      </c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22">
        <f t="shared" si="430"/>
        <v>2</v>
      </c>
      <c r="BC1350" s="23">
        <v>0</v>
      </c>
      <c r="BD1350" s="130">
        <f t="shared" si="431"/>
        <v>2</v>
      </c>
      <c r="BE1350" s="130">
        <f t="shared" si="432"/>
        <v>0</v>
      </c>
      <c r="BF1350" s="195" t="e">
        <f t="shared" si="433"/>
        <v>#DIV/0!</v>
      </c>
      <c r="BG1350" s="373"/>
    </row>
    <row r="1351" spans="1:59" s="21" customFormat="1" ht="15.95" customHeight="1">
      <c r="A1351" s="176">
        <v>93</v>
      </c>
      <c r="B1351" s="31" t="s">
        <v>950</v>
      </c>
      <c r="C1351" s="32" t="s">
        <v>1510</v>
      </c>
      <c r="D1351" s="552"/>
      <c r="E1351" s="552"/>
      <c r="F1351" s="552"/>
      <c r="G1351" s="552"/>
      <c r="H1351" s="552"/>
      <c r="I1351" s="552"/>
      <c r="J1351" s="552"/>
      <c r="K1351" s="552"/>
      <c r="L1351" s="552"/>
      <c r="M1351" s="552"/>
      <c r="N1351" s="552"/>
      <c r="O1351" s="552"/>
      <c r="P1351" s="552"/>
      <c r="Q1351" s="552"/>
      <c r="R1351" s="552"/>
      <c r="S1351" s="552"/>
      <c r="T1351" s="552"/>
      <c r="U1351" s="552"/>
      <c r="V1351" s="552"/>
      <c r="W1351" s="552"/>
      <c r="X1351" s="552"/>
      <c r="Y1351" s="552"/>
      <c r="Z1351" s="552"/>
      <c r="AA1351" s="552"/>
      <c r="AB1351" s="22">
        <f t="shared" si="429"/>
        <v>0</v>
      </c>
      <c r="AC1351" s="23">
        <v>0</v>
      </c>
      <c r="AD1351" s="35"/>
      <c r="AE1351" s="35"/>
      <c r="AF1351" s="35"/>
      <c r="AG1351" s="35"/>
      <c r="AH1351" s="35"/>
      <c r="AI1351" s="35"/>
      <c r="AJ1351" s="35"/>
      <c r="AK1351" s="35"/>
      <c r="AL1351" s="35">
        <v>1</v>
      </c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22">
        <f t="shared" si="430"/>
        <v>1</v>
      </c>
      <c r="BC1351" s="23">
        <v>0</v>
      </c>
      <c r="BD1351" s="130">
        <f t="shared" si="431"/>
        <v>1</v>
      </c>
      <c r="BE1351" s="130">
        <f t="shared" si="432"/>
        <v>0</v>
      </c>
      <c r="BF1351" s="195" t="e">
        <f t="shared" si="433"/>
        <v>#DIV/0!</v>
      </c>
      <c r="BG1351" s="373"/>
    </row>
    <row r="1352" spans="1:59" s="21" customFormat="1" ht="15.95" customHeight="1">
      <c r="A1352" s="176">
        <v>94</v>
      </c>
      <c r="B1352" s="31" t="s">
        <v>952</v>
      </c>
      <c r="C1352" s="32" t="s">
        <v>2282</v>
      </c>
      <c r="D1352" s="231"/>
      <c r="E1352" s="231"/>
      <c r="F1352" s="231"/>
      <c r="G1352" s="231"/>
      <c r="H1352" s="231"/>
      <c r="I1352" s="231"/>
      <c r="J1352" s="231"/>
      <c r="K1352" s="231"/>
      <c r="L1352" s="231"/>
      <c r="M1352" s="231"/>
      <c r="N1352" s="231"/>
      <c r="O1352" s="231"/>
      <c r="P1352" s="231"/>
      <c r="Q1352" s="231"/>
      <c r="R1352" s="231"/>
      <c r="S1352" s="231"/>
      <c r="T1352" s="231"/>
      <c r="U1352" s="231"/>
      <c r="V1352" s="231"/>
      <c r="W1352" s="231"/>
      <c r="X1352" s="231"/>
      <c r="Y1352" s="231"/>
      <c r="Z1352" s="231"/>
      <c r="AA1352" s="231"/>
      <c r="AB1352" s="22">
        <f t="shared" si="429"/>
        <v>0</v>
      </c>
      <c r="AC1352" s="23">
        <v>0</v>
      </c>
      <c r="AD1352" s="35">
        <v>1</v>
      </c>
      <c r="AE1352" s="35"/>
      <c r="AF1352" s="35"/>
      <c r="AG1352" s="35"/>
      <c r="AH1352" s="35">
        <v>1</v>
      </c>
      <c r="AI1352" s="35"/>
      <c r="AJ1352" s="35"/>
      <c r="AK1352" s="35"/>
      <c r="AL1352" s="35">
        <v>1</v>
      </c>
      <c r="AM1352" s="35"/>
      <c r="AN1352" s="35"/>
      <c r="AO1352" s="35"/>
      <c r="AP1352" s="35">
        <f>1+1</f>
        <v>2</v>
      </c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22">
        <f t="shared" si="430"/>
        <v>5</v>
      </c>
      <c r="BC1352" s="23">
        <v>1</v>
      </c>
      <c r="BD1352" s="130">
        <f t="shared" si="431"/>
        <v>5</v>
      </c>
      <c r="BE1352" s="130">
        <f t="shared" si="432"/>
        <v>1</v>
      </c>
      <c r="BF1352" s="195">
        <f t="shared" si="433"/>
        <v>500</v>
      </c>
      <c r="BG1352" s="373">
        <f>BE1352-BD1352</f>
        <v>-4</v>
      </c>
    </row>
    <row r="1353" spans="1:59" s="21" customFormat="1" ht="15.95" customHeight="1">
      <c r="A1353" s="176">
        <v>95</v>
      </c>
      <c r="B1353" s="31" t="s">
        <v>954</v>
      </c>
      <c r="C1353" s="32" t="s">
        <v>2023</v>
      </c>
      <c r="D1353" s="231"/>
      <c r="E1353" s="231"/>
      <c r="F1353" s="231"/>
      <c r="G1353" s="231"/>
      <c r="H1353" s="231"/>
      <c r="I1353" s="231"/>
      <c r="J1353" s="231"/>
      <c r="K1353" s="231"/>
      <c r="L1353" s="231"/>
      <c r="M1353" s="231"/>
      <c r="N1353" s="231"/>
      <c r="O1353" s="231"/>
      <c r="P1353" s="231"/>
      <c r="Q1353" s="231"/>
      <c r="R1353" s="231"/>
      <c r="S1353" s="231"/>
      <c r="T1353" s="231"/>
      <c r="U1353" s="231"/>
      <c r="V1353" s="231"/>
      <c r="W1353" s="231"/>
      <c r="X1353" s="231"/>
      <c r="Y1353" s="231"/>
      <c r="Z1353" s="231"/>
      <c r="AA1353" s="231"/>
      <c r="AB1353" s="22">
        <f t="shared" si="429"/>
        <v>0</v>
      </c>
      <c r="AC1353" s="23">
        <v>0</v>
      </c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22">
        <f t="shared" si="430"/>
        <v>0</v>
      </c>
      <c r="BC1353" s="23">
        <v>1</v>
      </c>
      <c r="BD1353" s="130">
        <f t="shared" si="431"/>
        <v>0</v>
      </c>
      <c r="BE1353" s="130">
        <f t="shared" si="432"/>
        <v>1</v>
      </c>
      <c r="BF1353" s="195">
        <f t="shared" si="433"/>
        <v>0</v>
      </c>
      <c r="BG1353" s="373">
        <f>BE1353-BD1353</f>
        <v>1</v>
      </c>
    </row>
    <row r="1354" spans="1:59" s="21" customFormat="1" ht="15.95" customHeight="1">
      <c r="A1354" s="176">
        <v>96</v>
      </c>
      <c r="B1354" s="31" t="s">
        <v>1349</v>
      </c>
      <c r="C1354" s="32" t="s">
        <v>4168</v>
      </c>
      <c r="D1354" s="574"/>
      <c r="E1354" s="574"/>
      <c r="F1354" s="574"/>
      <c r="G1354" s="574"/>
      <c r="H1354" s="574"/>
      <c r="I1354" s="574"/>
      <c r="J1354" s="574"/>
      <c r="K1354" s="574"/>
      <c r="L1354" s="574"/>
      <c r="M1354" s="574"/>
      <c r="N1354" s="574"/>
      <c r="O1354" s="574"/>
      <c r="P1354" s="574"/>
      <c r="Q1354" s="574"/>
      <c r="R1354" s="574"/>
      <c r="S1354" s="574"/>
      <c r="T1354" s="574"/>
      <c r="U1354" s="574"/>
      <c r="V1354" s="574"/>
      <c r="W1354" s="574"/>
      <c r="X1354" s="574"/>
      <c r="Y1354" s="574"/>
      <c r="Z1354" s="574"/>
      <c r="AA1354" s="574"/>
      <c r="AB1354" s="22">
        <f t="shared" si="429"/>
        <v>0</v>
      </c>
      <c r="AC1354" s="23">
        <v>0</v>
      </c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>
        <v>1</v>
      </c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22">
        <f t="shared" si="430"/>
        <v>1</v>
      </c>
      <c r="BC1354" s="23">
        <v>0</v>
      </c>
      <c r="BD1354" s="130">
        <f t="shared" si="431"/>
        <v>1</v>
      </c>
      <c r="BE1354" s="130">
        <f t="shared" si="432"/>
        <v>0</v>
      </c>
      <c r="BF1354" s="195" t="e">
        <f t="shared" si="433"/>
        <v>#DIV/0!</v>
      </c>
      <c r="BG1354" s="373"/>
    </row>
    <row r="1355" spans="1:59" s="21" customFormat="1" ht="15.95" customHeight="1">
      <c r="A1355" s="176">
        <v>97</v>
      </c>
      <c r="B1355" s="31" t="s">
        <v>1398</v>
      </c>
      <c r="C1355" s="32" t="s">
        <v>4003</v>
      </c>
      <c r="D1355" s="552"/>
      <c r="E1355" s="552"/>
      <c r="F1355" s="552"/>
      <c r="G1355" s="552"/>
      <c r="H1355" s="552"/>
      <c r="I1355" s="552"/>
      <c r="J1355" s="552"/>
      <c r="K1355" s="552"/>
      <c r="L1355" s="552"/>
      <c r="M1355" s="552"/>
      <c r="N1355" s="552"/>
      <c r="O1355" s="552"/>
      <c r="P1355" s="552"/>
      <c r="Q1355" s="552"/>
      <c r="R1355" s="552"/>
      <c r="S1355" s="552"/>
      <c r="T1355" s="552"/>
      <c r="U1355" s="552"/>
      <c r="V1355" s="552"/>
      <c r="W1355" s="552"/>
      <c r="X1355" s="552"/>
      <c r="Y1355" s="552"/>
      <c r="Z1355" s="552"/>
      <c r="AA1355" s="552"/>
      <c r="AB1355" s="22">
        <f t="shared" ref="AB1355:AB1386" si="436">SUM(D1355:AA1355)</f>
        <v>0</v>
      </c>
      <c r="AC1355" s="23">
        <v>0</v>
      </c>
      <c r="AD1355" s="35"/>
      <c r="AE1355" s="35"/>
      <c r="AF1355" s="35"/>
      <c r="AG1355" s="35"/>
      <c r="AH1355" s="35"/>
      <c r="AI1355" s="35"/>
      <c r="AJ1355" s="35"/>
      <c r="AK1355" s="35"/>
      <c r="AL1355" s="35">
        <v>1</v>
      </c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22">
        <f t="shared" ref="BB1355:BB1386" si="437">SUM(AD1355:BA1355)</f>
        <v>1</v>
      </c>
      <c r="BC1355" s="23">
        <v>0</v>
      </c>
      <c r="BD1355" s="130">
        <f t="shared" ref="BD1355:BD1386" si="438">AB1355+BB1355</f>
        <v>1</v>
      </c>
      <c r="BE1355" s="130">
        <f t="shared" ref="BE1355:BE1386" si="439">AC1355+BC1355</f>
        <v>0</v>
      </c>
      <c r="BF1355" s="195" t="e">
        <f t="shared" ref="BF1355:BF1386" si="440">BD1355/BE1355*100</f>
        <v>#DIV/0!</v>
      </c>
      <c r="BG1355" s="373"/>
    </row>
    <row r="1356" spans="1:59" s="21" customFormat="1" ht="15.95" customHeight="1">
      <c r="A1356" s="176">
        <v>98</v>
      </c>
      <c r="B1356" s="31" t="s">
        <v>959</v>
      </c>
      <c r="C1356" s="32" t="s">
        <v>2151</v>
      </c>
      <c r="D1356" s="231"/>
      <c r="E1356" s="231"/>
      <c r="F1356" s="231"/>
      <c r="G1356" s="231"/>
      <c r="H1356" s="231"/>
      <c r="I1356" s="231"/>
      <c r="J1356" s="231"/>
      <c r="K1356" s="231"/>
      <c r="L1356" s="231"/>
      <c r="M1356" s="231"/>
      <c r="N1356" s="231"/>
      <c r="O1356" s="231"/>
      <c r="P1356" s="231"/>
      <c r="Q1356" s="231"/>
      <c r="R1356" s="231"/>
      <c r="S1356" s="231"/>
      <c r="T1356" s="231"/>
      <c r="U1356" s="231"/>
      <c r="V1356" s="231"/>
      <c r="W1356" s="231"/>
      <c r="X1356" s="231"/>
      <c r="Y1356" s="231"/>
      <c r="Z1356" s="231"/>
      <c r="AA1356" s="231"/>
      <c r="AB1356" s="22">
        <f t="shared" si="436"/>
        <v>0</v>
      </c>
      <c r="AC1356" s="23">
        <v>0</v>
      </c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22">
        <f t="shared" si="437"/>
        <v>0</v>
      </c>
      <c r="BC1356" s="23">
        <v>1</v>
      </c>
      <c r="BD1356" s="130">
        <f t="shared" si="438"/>
        <v>0</v>
      </c>
      <c r="BE1356" s="130">
        <f t="shared" si="439"/>
        <v>1</v>
      </c>
      <c r="BF1356" s="195">
        <f t="shared" si="440"/>
        <v>0</v>
      </c>
      <c r="BG1356" s="373">
        <f>BE1356-BD1356</f>
        <v>1</v>
      </c>
    </row>
    <row r="1357" spans="1:59" s="21" customFormat="1" ht="15.95" customHeight="1">
      <c r="A1357" s="176">
        <v>99</v>
      </c>
      <c r="B1357" s="31" t="s">
        <v>1355</v>
      </c>
      <c r="C1357" s="32" t="s">
        <v>1505</v>
      </c>
      <c r="D1357" s="231"/>
      <c r="E1357" s="231"/>
      <c r="F1357" s="231"/>
      <c r="G1357" s="231"/>
      <c r="H1357" s="231"/>
      <c r="I1357" s="231"/>
      <c r="J1357" s="231"/>
      <c r="K1357" s="231"/>
      <c r="L1357" s="231"/>
      <c r="M1357" s="231"/>
      <c r="N1357" s="231"/>
      <c r="O1357" s="231"/>
      <c r="P1357" s="231"/>
      <c r="Q1357" s="231"/>
      <c r="R1357" s="231"/>
      <c r="S1357" s="231"/>
      <c r="T1357" s="231"/>
      <c r="U1357" s="231"/>
      <c r="V1357" s="231"/>
      <c r="W1357" s="231"/>
      <c r="X1357" s="231"/>
      <c r="Y1357" s="231"/>
      <c r="Z1357" s="231"/>
      <c r="AA1357" s="231"/>
      <c r="AB1357" s="22">
        <f t="shared" si="436"/>
        <v>0</v>
      </c>
      <c r="AC1357" s="23">
        <v>0</v>
      </c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22">
        <f t="shared" si="437"/>
        <v>0</v>
      </c>
      <c r="BC1357" s="23">
        <v>1</v>
      </c>
      <c r="BD1357" s="130">
        <f t="shared" si="438"/>
        <v>0</v>
      </c>
      <c r="BE1357" s="130">
        <f t="shared" si="439"/>
        <v>1</v>
      </c>
      <c r="BF1357" s="195">
        <f t="shared" si="440"/>
        <v>0</v>
      </c>
      <c r="BG1357" s="373">
        <f>BE1357-BD1357</f>
        <v>1</v>
      </c>
    </row>
    <row r="1358" spans="1:59" s="21" customFormat="1" ht="15.95" customHeight="1">
      <c r="A1358" s="176">
        <v>100</v>
      </c>
      <c r="B1358" s="31" t="s">
        <v>965</v>
      </c>
      <c r="C1358" s="34" t="s">
        <v>966</v>
      </c>
      <c r="D1358" s="231"/>
      <c r="E1358" s="231"/>
      <c r="F1358" s="231"/>
      <c r="G1358" s="231"/>
      <c r="H1358" s="231"/>
      <c r="I1358" s="231"/>
      <c r="J1358" s="231"/>
      <c r="K1358" s="231"/>
      <c r="L1358" s="231"/>
      <c r="M1358" s="231"/>
      <c r="N1358" s="231"/>
      <c r="O1358" s="231"/>
      <c r="P1358" s="231"/>
      <c r="Q1358" s="231"/>
      <c r="R1358" s="231"/>
      <c r="S1358" s="231"/>
      <c r="T1358" s="231"/>
      <c r="U1358" s="231"/>
      <c r="V1358" s="231"/>
      <c r="W1358" s="231"/>
      <c r="X1358" s="231"/>
      <c r="Y1358" s="231"/>
      <c r="Z1358" s="231"/>
      <c r="AA1358" s="231"/>
      <c r="AB1358" s="22">
        <f t="shared" si="436"/>
        <v>0</v>
      </c>
      <c r="AC1358" s="23">
        <v>0</v>
      </c>
      <c r="AD1358" s="35"/>
      <c r="AE1358" s="35"/>
      <c r="AF1358" s="35"/>
      <c r="AG1358" s="35"/>
      <c r="AH1358" s="35">
        <v>2</v>
      </c>
      <c r="AI1358" s="35"/>
      <c r="AJ1358" s="35"/>
      <c r="AK1358" s="35"/>
      <c r="AL1358" s="35">
        <v>38</v>
      </c>
      <c r="AM1358" s="35"/>
      <c r="AN1358" s="35"/>
      <c r="AO1358" s="35"/>
      <c r="AP1358" s="35">
        <v>93</v>
      </c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22">
        <f t="shared" si="437"/>
        <v>133</v>
      </c>
      <c r="BC1358" s="23">
        <v>130</v>
      </c>
      <c r="BD1358" s="130">
        <f t="shared" si="438"/>
        <v>133</v>
      </c>
      <c r="BE1358" s="130">
        <f t="shared" si="439"/>
        <v>130</v>
      </c>
      <c r="BF1358" s="195">
        <f t="shared" si="440"/>
        <v>102.30769230769229</v>
      </c>
      <c r="BG1358" s="373">
        <f>BE1358-BD1358</f>
        <v>-3</v>
      </c>
    </row>
    <row r="1359" spans="1:59" s="21" customFormat="1" ht="15.95" customHeight="1">
      <c r="A1359" s="176">
        <v>101</v>
      </c>
      <c r="B1359" s="31" t="s">
        <v>1049</v>
      </c>
      <c r="C1359" s="34" t="s">
        <v>1050</v>
      </c>
      <c r="D1359" s="407"/>
      <c r="E1359" s="407"/>
      <c r="F1359" s="407"/>
      <c r="G1359" s="407"/>
      <c r="H1359" s="407"/>
      <c r="I1359" s="407"/>
      <c r="J1359" s="407"/>
      <c r="K1359" s="407"/>
      <c r="L1359" s="407"/>
      <c r="M1359" s="407"/>
      <c r="N1359" s="407"/>
      <c r="O1359" s="407"/>
      <c r="P1359" s="407"/>
      <c r="Q1359" s="407"/>
      <c r="R1359" s="407"/>
      <c r="S1359" s="407"/>
      <c r="T1359" s="407"/>
      <c r="U1359" s="407"/>
      <c r="V1359" s="407"/>
      <c r="W1359" s="407"/>
      <c r="X1359" s="407"/>
      <c r="Y1359" s="407"/>
      <c r="Z1359" s="407"/>
      <c r="AA1359" s="407"/>
      <c r="AB1359" s="22">
        <f t="shared" si="436"/>
        <v>0</v>
      </c>
      <c r="AC1359" s="23">
        <v>0</v>
      </c>
      <c r="AD1359" s="35">
        <f>7537+1562</f>
        <v>9099</v>
      </c>
      <c r="AE1359" s="35"/>
      <c r="AF1359" s="35"/>
      <c r="AG1359" s="35"/>
      <c r="AH1359" s="35">
        <f>5303+1580</f>
        <v>6883</v>
      </c>
      <c r="AI1359" s="35"/>
      <c r="AJ1359" s="35"/>
      <c r="AK1359" s="35"/>
      <c r="AL1359" s="35">
        <f>3340+1333</f>
        <v>4673</v>
      </c>
      <c r="AM1359" s="35"/>
      <c r="AN1359" s="35"/>
      <c r="AO1359" s="35"/>
      <c r="AP1359" s="35">
        <f>227+145+463</f>
        <v>835</v>
      </c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22">
        <f t="shared" si="437"/>
        <v>21490</v>
      </c>
      <c r="BC1359" s="23">
        <v>0</v>
      </c>
      <c r="BD1359" s="130">
        <f t="shared" si="438"/>
        <v>21490</v>
      </c>
      <c r="BE1359" s="130">
        <f t="shared" si="439"/>
        <v>0</v>
      </c>
      <c r="BF1359" s="195" t="e">
        <f t="shared" si="440"/>
        <v>#DIV/0!</v>
      </c>
      <c r="BG1359" s="373"/>
    </row>
    <row r="1360" spans="1:59" s="21" customFormat="1" ht="15.95" customHeight="1">
      <c r="A1360" s="176">
        <v>102</v>
      </c>
      <c r="B1360" s="31" t="s">
        <v>851</v>
      </c>
      <c r="C1360" s="34" t="s">
        <v>917</v>
      </c>
      <c r="D1360" s="289"/>
      <c r="E1360" s="289"/>
      <c r="F1360" s="289"/>
      <c r="G1360" s="289"/>
      <c r="H1360" s="289"/>
      <c r="I1360" s="289"/>
      <c r="J1360" s="289"/>
      <c r="K1360" s="289"/>
      <c r="L1360" s="289"/>
      <c r="M1360" s="289"/>
      <c r="N1360" s="289"/>
      <c r="O1360" s="289"/>
      <c r="P1360" s="289"/>
      <c r="Q1360" s="289"/>
      <c r="R1360" s="289"/>
      <c r="S1360" s="289"/>
      <c r="T1360" s="289"/>
      <c r="U1360" s="289"/>
      <c r="V1360" s="289"/>
      <c r="W1360" s="289"/>
      <c r="X1360" s="289"/>
      <c r="Y1360" s="289"/>
      <c r="Z1360" s="289"/>
      <c r="AA1360" s="289"/>
      <c r="AB1360" s="22">
        <f t="shared" si="436"/>
        <v>0</v>
      </c>
      <c r="AC1360" s="23">
        <v>0</v>
      </c>
      <c r="AD1360" s="35">
        <f>113+39</f>
        <v>152</v>
      </c>
      <c r="AE1360" s="35"/>
      <c r="AF1360" s="35"/>
      <c r="AG1360" s="35"/>
      <c r="AH1360" s="35">
        <f>30+41</f>
        <v>71</v>
      </c>
      <c r="AI1360" s="35"/>
      <c r="AJ1360" s="35"/>
      <c r="AK1360" s="35"/>
      <c r="AL1360" s="35">
        <f>35+22+17</f>
        <v>74</v>
      </c>
      <c r="AM1360" s="35"/>
      <c r="AN1360" s="35"/>
      <c r="AO1360" s="35"/>
      <c r="AP1360" s="35">
        <f>7+3</f>
        <v>10</v>
      </c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22">
        <f t="shared" si="437"/>
        <v>307</v>
      </c>
      <c r="BC1360" s="23">
        <v>160</v>
      </c>
      <c r="BD1360" s="130">
        <f t="shared" si="438"/>
        <v>307</v>
      </c>
      <c r="BE1360" s="130">
        <f t="shared" si="439"/>
        <v>160</v>
      </c>
      <c r="BF1360" s="195">
        <f t="shared" si="440"/>
        <v>191.875</v>
      </c>
      <c r="BG1360" s="373">
        <f t="shared" ref="BG1360:BG1369" si="441">BE1360-BD1360</f>
        <v>-147</v>
      </c>
    </row>
    <row r="1361" spans="1:59" s="21" customFormat="1" ht="15.95" customHeight="1">
      <c r="A1361" s="176">
        <v>103</v>
      </c>
      <c r="B1361" s="31" t="s">
        <v>2931</v>
      </c>
      <c r="C1361" s="34" t="s">
        <v>2932</v>
      </c>
      <c r="D1361" s="231"/>
      <c r="E1361" s="231"/>
      <c r="F1361" s="231"/>
      <c r="G1361" s="231"/>
      <c r="H1361" s="231"/>
      <c r="I1361" s="231"/>
      <c r="J1361" s="231"/>
      <c r="K1361" s="231"/>
      <c r="L1361" s="231"/>
      <c r="M1361" s="231"/>
      <c r="N1361" s="231"/>
      <c r="O1361" s="231"/>
      <c r="P1361" s="231"/>
      <c r="Q1361" s="231"/>
      <c r="R1361" s="231"/>
      <c r="S1361" s="231"/>
      <c r="T1361" s="231"/>
      <c r="U1361" s="231"/>
      <c r="V1361" s="231"/>
      <c r="W1361" s="231"/>
      <c r="X1361" s="231"/>
      <c r="Y1361" s="231"/>
      <c r="Z1361" s="231"/>
      <c r="AA1361" s="231"/>
      <c r="AB1361" s="22">
        <f t="shared" si="436"/>
        <v>0</v>
      </c>
      <c r="AC1361" s="23">
        <v>0</v>
      </c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22">
        <f t="shared" si="437"/>
        <v>0</v>
      </c>
      <c r="BC1361" s="23">
        <v>6</v>
      </c>
      <c r="BD1361" s="130">
        <f t="shared" si="438"/>
        <v>0</v>
      </c>
      <c r="BE1361" s="130">
        <f t="shared" si="439"/>
        <v>6</v>
      </c>
      <c r="BF1361" s="195">
        <f t="shared" si="440"/>
        <v>0</v>
      </c>
      <c r="BG1361" s="373">
        <f t="shared" si="441"/>
        <v>6</v>
      </c>
    </row>
    <row r="1362" spans="1:59" s="21" customFormat="1" ht="15.95" customHeight="1">
      <c r="A1362" s="176">
        <v>104</v>
      </c>
      <c r="B1362" s="31" t="s">
        <v>1118</v>
      </c>
      <c r="C1362" s="34" t="s">
        <v>3185</v>
      </c>
      <c r="D1362" s="231"/>
      <c r="E1362" s="231"/>
      <c r="F1362" s="231"/>
      <c r="G1362" s="231"/>
      <c r="H1362" s="231"/>
      <c r="I1362" s="231"/>
      <c r="J1362" s="231"/>
      <c r="K1362" s="231"/>
      <c r="L1362" s="231"/>
      <c r="M1362" s="231"/>
      <c r="N1362" s="231"/>
      <c r="O1362" s="231"/>
      <c r="P1362" s="231"/>
      <c r="Q1362" s="231"/>
      <c r="R1362" s="231"/>
      <c r="S1362" s="231"/>
      <c r="T1362" s="231"/>
      <c r="U1362" s="231"/>
      <c r="V1362" s="231"/>
      <c r="W1362" s="231"/>
      <c r="X1362" s="231"/>
      <c r="Y1362" s="231"/>
      <c r="Z1362" s="231"/>
      <c r="AA1362" s="231"/>
      <c r="AB1362" s="22">
        <f t="shared" si="436"/>
        <v>0</v>
      </c>
      <c r="AC1362" s="23">
        <v>0</v>
      </c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22">
        <f t="shared" si="437"/>
        <v>0</v>
      </c>
      <c r="BC1362" s="23">
        <v>17</v>
      </c>
      <c r="BD1362" s="130">
        <f t="shared" si="438"/>
        <v>0</v>
      </c>
      <c r="BE1362" s="130">
        <f t="shared" si="439"/>
        <v>17</v>
      </c>
      <c r="BF1362" s="195">
        <f t="shared" si="440"/>
        <v>0</v>
      </c>
      <c r="BG1362" s="373">
        <f t="shared" si="441"/>
        <v>17</v>
      </c>
    </row>
    <row r="1363" spans="1:59" s="21" customFormat="1" ht="15.95" customHeight="1">
      <c r="A1363" s="176">
        <v>105</v>
      </c>
      <c r="B1363" s="31" t="s">
        <v>2427</v>
      </c>
      <c r="C1363" s="34" t="s">
        <v>2428</v>
      </c>
      <c r="D1363" s="231"/>
      <c r="E1363" s="231"/>
      <c r="F1363" s="231"/>
      <c r="G1363" s="231"/>
      <c r="H1363" s="231"/>
      <c r="I1363" s="231"/>
      <c r="J1363" s="231"/>
      <c r="K1363" s="231"/>
      <c r="L1363" s="231"/>
      <c r="M1363" s="231"/>
      <c r="N1363" s="231"/>
      <c r="O1363" s="231"/>
      <c r="P1363" s="231"/>
      <c r="Q1363" s="231"/>
      <c r="R1363" s="231"/>
      <c r="S1363" s="231"/>
      <c r="T1363" s="231"/>
      <c r="U1363" s="231"/>
      <c r="V1363" s="231"/>
      <c r="W1363" s="231"/>
      <c r="X1363" s="231"/>
      <c r="Y1363" s="231"/>
      <c r="Z1363" s="231"/>
      <c r="AA1363" s="231"/>
      <c r="AB1363" s="22">
        <f t="shared" si="436"/>
        <v>0</v>
      </c>
      <c r="AC1363" s="23">
        <v>0</v>
      </c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22">
        <f t="shared" si="437"/>
        <v>0</v>
      </c>
      <c r="BC1363" s="23">
        <v>3</v>
      </c>
      <c r="BD1363" s="130">
        <f t="shared" si="438"/>
        <v>0</v>
      </c>
      <c r="BE1363" s="130">
        <f t="shared" si="439"/>
        <v>3</v>
      </c>
      <c r="BF1363" s="195">
        <f t="shared" si="440"/>
        <v>0</v>
      </c>
      <c r="BG1363" s="373">
        <f t="shared" si="441"/>
        <v>3</v>
      </c>
    </row>
    <row r="1364" spans="1:59" s="21" customFormat="1" ht="15.95" customHeight="1">
      <c r="A1364" s="176">
        <v>106</v>
      </c>
      <c r="B1364" s="31" t="s">
        <v>2181</v>
      </c>
      <c r="C1364" s="34" t="s">
        <v>3197</v>
      </c>
      <c r="D1364" s="231"/>
      <c r="E1364" s="231"/>
      <c r="F1364" s="231"/>
      <c r="G1364" s="231"/>
      <c r="H1364" s="231"/>
      <c r="I1364" s="231"/>
      <c r="J1364" s="231"/>
      <c r="K1364" s="231"/>
      <c r="L1364" s="231"/>
      <c r="M1364" s="231"/>
      <c r="N1364" s="231"/>
      <c r="O1364" s="231"/>
      <c r="P1364" s="231"/>
      <c r="Q1364" s="231"/>
      <c r="R1364" s="231"/>
      <c r="S1364" s="231"/>
      <c r="T1364" s="231"/>
      <c r="U1364" s="231"/>
      <c r="V1364" s="231"/>
      <c r="W1364" s="231"/>
      <c r="X1364" s="231"/>
      <c r="Y1364" s="231"/>
      <c r="Z1364" s="231"/>
      <c r="AA1364" s="231"/>
      <c r="AB1364" s="22">
        <f t="shared" si="436"/>
        <v>0</v>
      </c>
      <c r="AC1364" s="23">
        <v>0</v>
      </c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22">
        <f t="shared" si="437"/>
        <v>0</v>
      </c>
      <c r="BC1364" s="23">
        <v>1</v>
      </c>
      <c r="BD1364" s="130">
        <f t="shared" si="438"/>
        <v>0</v>
      </c>
      <c r="BE1364" s="130">
        <f t="shared" si="439"/>
        <v>1</v>
      </c>
      <c r="BF1364" s="195">
        <f t="shared" si="440"/>
        <v>0</v>
      </c>
      <c r="BG1364" s="373">
        <f t="shared" si="441"/>
        <v>1</v>
      </c>
    </row>
    <row r="1365" spans="1:59" s="21" customFormat="1" ht="15.95" customHeight="1">
      <c r="A1365" s="176">
        <v>107</v>
      </c>
      <c r="B1365" s="31" t="s">
        <v>853</v>
      </c>
      <c r="C1365" s="34" t="s">
        <v>2572</v>
      </c>
      <c r="D1365" s="231"/>
      <c r="E1365" s="231"/>
      <c r="F1365" s="231"/>
      <c r="G1365" s="231"/>
      <c r="H1365" s="231"/>
      <c r="I1365" s="231"/>
      <c r="J1365" s="231"/>
      <c r="K1365" s="231"/>
      <c r="L1365" s="231"/>
      <c r="M1365" s="231"/>
      <c r="N1365" s="231"/>
      <c r="O1365" s="231"/>
      <c r="P1365" s="231"/>
      <c r="Q1365" s="231"/>
      <c r="R1365" s="231"/>
      <c r="S1365" s="231"/>
      <c r="T1365" s="231"/>
      <c r="U1365" s="231"/>
      <c r="V1365" s="231"/>
      <c r="W1365" s="231"/>
      <c r="X1365" s="231"/>
      <c r="Y1365" s="231"/>
      <c r="Z1365" s="231"/>
      <c r="AA1365" s="231"/>
      <c r="AB1365" s="22">
        <f t="shared" si="436"/>
        <v>0</v>
      </c>
      <c r="AC1365" s="23">
        <v>0</v>
      </c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22">
        <f t="shared" si="437"/>
        <v>0</v>
      </c>
      <c r="BC1365" s="23">
        <v>2</v>
      </c>
      <c r="BD1365" s="130">
        <f t="shared" si="438"/>
        <v>0</v>
      </c>
      <c r="BE1365" s="130">
        <f t="shared" si="439"/>
        <v>2</v>
      </c>
      <c r="BF1365" s="195">
        <f t="shared" si="440"/>
        <v>0</v>
      </c>
      <c r="BG1365" s="373">
        <f t="shared" si="441"/>
        <v>2</v>
      </c>
    </row>
    <row r="1366" spans="1:59" s="21" customFormat="1" ht="15.95" customHeight="1">
      <c r="A1366" s="176">
        <v>108</v>
      </c>
      <c r="B1366" s="31" t="s">
        <v>1088</v>
      </c>
      <c r="C1366" s="34" t="s">
        <v>2084</v>
      </c>
      <c r="D1366" s="231"/>
      <c r="E1366" s="231"/>
      <c r="F1366" s="231"/>
      <c r="G1366" s="231"/>
      <c r="H1366" s="231"/>
      <c r="I1366" s="231"/>
      <c r="J1366" s="231"/>
      <c r="K1366" s="231"/>
      <c r="L1366" s="231"/>
      <c r="M1366" s="231"/>
      <c r="N1366" s="231"/>
      <c r="O1366" s="231"/>
      <c r="P1366" s="231"/>
      <c r="Q1366" s="231"/>
      <c r="R1366" s="231"/>
      <c r="S1366" s="231"/>
      <c r="T1366" s="231"/>
      <c r="U1366" s="231"/>
      <c r="V1366" s="231"/>
      <c r="W1366" s="231"/>
      <c r="X1366" s="231"/>
      <c r="Y1366" s="231"/>
      <c r="Z1366" s="231"/>
      <c r="AA1366" s="231"/>
      <c r="AB1366" s="22">
        <f t="shared" si="436"/>
        <v>0</v>
      </c>
      <c r="AC1366" s="23">
        <v>0</v>
      </c>
      <c r="AD1366" s="35">
        <f>40+7586</f>
        <v>7626</v>
      </c>
      <c r="AE1366" s="35"/>
      <c r="AF1366" s="35"/>
      <c r="AG1366" s="35"/>
      <c r="AH1366" s="35">
        <f>5+5718+3</f>
        <v>5726</v>
      </c>
      <c r="AI1366" s="35"/>
      <c r="AJ1366" s="35"/>
      <c r="AK1366" s="35"/>
      <c r="AL1366" s="35">
        <f>10+4195+9</f>
        <v>4214</v>
      </c>
      <c r="AM1366" s="35"/>
      <c r="AN1366" s="35"/>
      <c r="AO1366" s="35"/>
      <c r="AP1366" s="35">
        <f>489+87</f>
        <v>576</v>
      </c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22">
        <f t="shared" si="437"/>
        <v>18142</v>
      </c>
      <c r="BC1366" s="23">
        <v>98</v>
      </c>
      <c r="BD1366" s="130">
        <f t="shared" si="438"/>
        <v>18142</v>
      </c>
      <c r="BE1366" s="130">
        <f t="shared" si="439"/>
        <v>98</v>
      </c>
      <c r="BF1366" s="195">
        <f t="shared" si="440"/>
        <v>18512.244897959183</v>
      </c>
      <c r="BG1366" s="373">
        <f t="shared" si="441"/>
        <v>-18044</v>
      </c>
    </row>
    <row r="1367" spans="1:59" s="21" customFormat="1" ht="15.95" customHeight="1">
      <c r="A1367" s="176">
        <v>109</v>
      </c>
      <c r="B1367" s="31" t="s">
        <v>1773</v>
      </c>
      <c r="C1367" s="32" t="s">
        <v>3465</v>
      </c>
      <c r="D1367" s="231"/>
      <c r="E1367" s="231"/>
      <c r="F1367" s="231"/>
      <c r="G1367" s="231"/>
      <c r="H1367" s="231"/>
      <c r="I1367" s="231"/>
      <c r="J1367" s="231"/>
      <c r="K1367" s="231"/>
      <c r="L1367" s="231"/>
      <c r="M1367" s="231"/>
      <c r="N1367" s="231"/>
      <c r="O1367" s="231"/>
      <c r="P1367" s="231"/>
      <c r="Q1367" s="231"/>
      <c r="R1367" s="231"/>
      <c r="S1367" s="231"/>
      <c r="T1367" s="231"/>
      <c r="U1367" s="231"/>
      <c r="V1367" s="231"/>
      <c r="W1367" s="231"/>
      <c r="X1367" s="231"/>
      <c r="Y1367" s="231"/>
      <c r="Z1367" s="231"/>
      <c r="AA1367" s="231"/>
      <c r="AB1367" s="22">
        <f t="shared" si="436"/>
        <v>0</v>
      </c>
      <c r="AC1367" s="23">
        <v>0</v>
      </c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22">
        <f t="shared" si="437"/>
        <v>0</v>
      </c>
      <c r="BC1367" s="23">
        <v>584</v>
      </c>
      <c r="BD1367" s="130">
        <f t="shared" si="438"/>
        <v>0</v>
      </c>
      <c r="BE1367" s="130">
        <f t="shared" si="439"/>
        <v>584</v>
      </c>
      <c r="BF1367" s="195">
        <f t="shared" si="440"/>
        <v>0</v>
      </c>
      <c r="BG1367" s="373">
        <f t="shared" si="441"/>
        <v>584</v>
      </c>
    </row>
    <row r="1368" spans="1:59" s="21" customFormat="1" ht="15.95" customHeight="1">
      <c r="A1368" s="176">
        <v>110</v>
      </c>
      <c r="B1368" s="31" t="s">
        <v>1018</v>
      </c>
      <c r="C1368" s="32" t="s">
        <v>1019</v>
      </c>
      <c r="D1368" s="231"/>
      <c r="E1368" s="231"/>
      <c r="F1368" s="231"/>
      <c r="G1368" s="231"/>
      <c r="H1368" s="231"/>
      <c r="I1368" s="231"/>
      <c r="J1368" s="231"/>
      <c r="K1368" s="231"/>
      <c r="L1368" s="231"/>
      <c r="M1368" s="231"/>
      <c r="N1368" s="231"/>
      <c r="O1368" s="231"/>
      <c r="P1368" s="231"/>
      <c r="Q1368" s="231"/>
      <c r="R1368" s="231"/>
      <c r="S1368" s="231"/>
      <c r="T1368" s="231"/>
      <c r="U1368" s="231"/>
      <c r="V1368" s="231"/>
      <c r="W1368" s="231"/>
      <c r="X1368" s="231"/>
      <c r="Y1368" s="231"/>
      <c r="Z1368" s="231"/>
      <c r="AA1368" s="231"/>
      <c r="AB1368" s="22">
        <f t="shared" si="436"/>
        <v>0</v>
      </c>
      <c r="AC1368" s="23">
        <v>0</v>
      </c>
      <c r="AD1368" s="35">
        <v>1</v>
      </c>
      <c r="AE1368" s="35"/>
      <c r="AF1368" s="35"/>
      <c r="AG1368" s="35"/>
      <c r="AH1368" s="35">
        <v>1</v>
      </c>
      <c r="AI1368" s="35"/>
      <c r="AJ1368" s="35"/>
      <c r="AK1368" s="35"/>
      <c r="AL1368" s="35">
        <v>1</v>
      </c>
      <c r="AM1368" s="35"/>
      <c r="AN1368" s="35"/>
      <c r="AO1368" s="35"/>
      <c r="AP1368" s="35">
        <f>2+1</f>
        <v>3</v>
      </c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22">
        <f t="shared" si="437"/>
        <v>6</v>
      </c>
      <c r="BC1368" s="23">
        <v>5</v>
      </c>
      <c r="BD1368" s="130">
        <f t="shared" si="438"/>
        <v>6</v>
      </c>
      <c r="BE1368" s="130">
        <f t="shared" si="439"/>
        <v>5</v>
      </c>
      <c r="BF1368" s="195">
        <f t="shared" si="440"/>
        <v>120</v>
      </c>
      <c r="BG1368" s="373">
        <f t="shared" si="441"/>
        <v>-1</v>
      </c>
    </row>
    <row r="1369" spans="1:59" s="21" customFormat="1" ht="15.95" customHeight="1">
      <c r="A1369" s="176">
        <v>111</v>
      </c>
      <c r="B1369" s="31" t="s">
        <v>971</v>
      </c>
      <c r="C1369" s="32" t="s">
        <v>1278</v>
      </c>
      <c r="D1369" s="256"/>
      <c r="E1369" s="256"/>
      <c r="F1369" s="256"/>
      <c r="G1369" s="256"/>
      <c r="H1369" s="256"/>
      <c r="I1369" s="256"/>
      <c r="J1369" s="256"/>
      <c r="K1369" s="256"/>
      <c r="L1369" s="256"/>
      <c r="M1369" s="256"/>
      <c r="N1369" s="256"/>
      <c r="O1369" s="256"/>
      <c r="P1369" s="256"/>
      <c r="Q1369" s="256"/>
      <c r="R1369" s="256"/>
      <c r="S1369" s="256"/>
      <c r="T1369" s="256"/>
      <c r="U1369" s="256"/>
      <c r="V1369" s="256"/>
      <c r="W1369" s="256"/>
      <c r="X1369" s="256"/>
      <c r="Y1369" s="256"/>
      <c r="Z1369" s="256"/>
      <c r="AA1369" s="256"/>
      <c r="AB1369" s="22">
        <f t="shared" si="436"/>
        <v>0</v>
      </c>
      <c r="AC1369" s="23">
        <v>0</v>
      </c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>
        <v>2</v>
      </c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22">
        <f t="shared" si="437"/>
        <v>2</v>
      </c>
      <c r="BC1369" s="23">
        <v>3</v>
      </c>
      <c r="BD1369" s="130">
        <f t="shared" si="438"/>
        <v>2</v>
      </c>
      <c r="BE1369" s="130">
        <f t="shared" si="439"/>
        <v>3</v>
      </c>
      <c r="BF1369" s="195">
        <f t="shared" si="440"/>
        <v>66.666666666666657</v>
      </c>
      <c r="BG1369" s="373">
        <f t="shared" si="441"/>
        <v>1</v>
      </c>
    </row>
    <row r="1370" spans="1:59" s="21" customFormat="1" ht="15.95" customHeight="1">
      <c r="A1370" s="176">
        <v>112</v>
      </c>
      <c r="B1370" s="31" t="s">
        <v>1051</v>
      </c>
      <c r="C1370" s="32" t="s">
        <v>1052</v>
      </c>
      <c r="D1370" s="407"/>
      <c r="E1370" s="407"/>
      <c r="F1370" s="407"/>
      <c r="G1370" s="407"/>
      <c r="H1370" s="407"/>
      <c r="I1370" s="407"/>
      <c r="J1370" s="407"/>
      <c r="K1370" s="407"/>
      <c r="L1370" s="407"/>
      <c r="M1370" s="407"/>
      <c r="N1370" s="407"/>
      <c r="O1370" s="407"/>
      <c r="P1370" s="407"/>
      <c r="Q1370" s="407"/>
      <c r="R1370" s="407"/>
      <c r="S1370" s="407"/>
      <c r="T1370" s="407"/>
      <c r="U1370" s="407"/>
      <c r="V1370" s="407"/>
      <c r="W1370" s="407"/>
      <c r="X1370" s="407"/>
      <c r="Y1370" s="407"/>
      <c r="Z1370" s="407"/>
      <c r="AA1370" s="407"/>
      <c r="AB1370" s="22">
        <f t="shared" si="436"/>
        <v>0</v>
      </c>
      <c r="AC1370" s="23">
        <v>0</v>
      </c>
      <c r="AD1370" s="35">
        <v>2</v>
      </c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22">
        <f t="shared" si="437"/>
        <v>2</v>
      </c>
      <c r="BC1370" s="23">
        <v>0</v>
      </c>
      <c r="BD1370" s="130">
        <f t="shared" si="438"/>
        <v>2</v>
      </c>
      <c r="BE1370" s="130">
        <f t="shared" si="439"/>
        <v>0</v>
      </c>
      <c r="BF1370" s="195" t="e">
        <f t="shared" si="440"/>
        <v>#DIV/0!</v>
      </c>
      <c r="BG1370" s="373"/>
    </row>
    <row r="1371" spans="1:59" s="21" customFormat="1" ht="15.95" customHeight="1">
      <c r="A1371" s="176">
        <v>113</v>
      </c>
      <c r="B1371" s="31" t="s">
        <v>1120</v>
      </c>
      <c r="C1371" s="32" t="s">
        <v>1121</v>
      </c>
      <c r="D1371" s="545"/>
      <c r="E1371" s="545"/>
      <c r="F1371" s="545"/>
      <c r="G1371" s="545"/>
      <c r="H1371" s="545"/>
      <c r="I1371" s="545"/>
      <c r="J1371" s="545"/>
      <c r="K1371" s="545"/>
      <c r="L1371" s="545">
        <v>2</v>
      </c>
      <c r="M1371" s="545"/>
      <c r="N1371" s="545"/>
      <c r="O1371" s="545"/>
      <c r="P1371" s="545"/>
      <c r="Q1371" s="545"/>
      <c r="R1371" s="545"/>
      <c r="S1371" s="545"/>
      <c r="T1371" s="545"/>
      <c r="U1371" s="545"/>
      <c r="V1371" s="545"/>
      <c r="W1371" s="545"/>
      <c r="X1371" s="545"/>
      <c r="Y1371" s="545"/>
      <c r="Z1371" s="545"/>
      <c r="AA1371" s="545"/>
      <c r="AB1371" s="22">
        <f t="shared" si="436"/>
        <v>2</v>
      </c>
      <c r="AC1371" s="23">
        <v>0</v>
      </c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22">
        <f t="shared" si="437"/>
        <v>0</v>
      </c>
      <c r="BC1371" s="23">
        <v>0</v>
      </c>
      <c r="BD1371" s="130">
        <f t="shared" si="438"/>
        <v>2</v>
      </c>
      <c r="BE1371" s="130">
        <f t="shared" si="439"/>
        <v>0</v>
      </c>
      <c r="BF1371" s="195" t="e">
        <f t="shared" si="440"/>
        <v>#DIV/0!</v>
      </c>
      <c r="BG1371" s="373"/>
    </row>
    <row r="1372" spans="1:59" s="21" customFormat="1" ht="15.95" customHeight="1">
      <c r="A1372" s="176">
        <v>114</v>
      </c>
      <c r="B1372" s="31" t="s">
        <v>854</v>
      </c>
      <c r="C1372" s="32" t="s">
        <v>920</v>
      </c>
      <c r="D1372" s="231">
        <f>1+6355</f>
        <v>6356</v>
      </c>
      <c r="E1372" s="231"/>
      <c r="F1372" s="231"/>
      <c r="G1372" s="231"/>
      <c r="H1372" s="231"/>
      <c r="I1372" s="231"/>
      <c r="J1372" s="231"/>
      <c r="K1372" s="231"/>
      <c r="L1372" s="231">
        <f>19+1+2</f>
        <v>22</v>
      </c>
      <c r="M1372" s="231"/>
      <c r="N1372" s="231"/>
      <c r="O1372" s="231"/>
      <c r="P1372" s="231"/>
      <c r="Q1372" s="231"/>
      <c r="R1372" s="231"/>
      <c r="S1372" s="231"/>
      <c r="T1372" s="231"/>
      <c r="U1372" s="231"/>
      <c r="V1372" s="231"/>
      <c r="W1372" s="231"/>
      <c r="X1372" s="231"/>
      <c r="Y1372" s="231"/>
      <c r="Z1372" s="231"/>
      <c r="AA1372" s="231"/>
      <c r="AB1372" s="22">
        <f t="shared" si="436"/>
        <v>6378</v>
      </c>
      <c r="AC1372" s="23">
        <v>0</v>
      </c>
      <c r="AD1372" s="35">
        <f>220+34</f>
        <v>254</v>
      </c>
      <c r="AE1372" s="35"/>
      <c r="AF1372" s="35"/>
      <c r="AG1372" s="35"/>
      <c r="AH1372" s="35">
        <f>208+63+12</f>
        <v>283</v>
      </c>
      <c r="AI1372" s="35"/>
      <c r="AJ1372" s="35"/>
      <c r="AK1372" s="35"/>
      <c r="AL1372" s="35">
        <f>73+16+49</f>
        <v>138</v>
      </c>
      <c r="AM1372" s="35"/>
      <c r="AN1372" s="35"/>
      <c r="AO1372" s="35"/>
      <c r="AP1372" s="35">
        <v>40</v>
      </c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22">
        <f t="shared" si="437"/>
        <v>715</v>
      </c>
      <c r="BC1372" s="23">
        <v>306</v>
      </c>
      <c r="BD1372" s="130">
        <f t="shared" si="438"/>
        <v>7093</v>
      </c>
      <c r="BE1372" s="130">
        <f t="shared" si="439"/>
        <v>306</v>
      </c>
      <c r="BF1372" s="195">
        <f t="shared" si="440"/>
        <v>2317.9738562091507</v>
      </c>
      <c r="BG1372" s="373">
        <f t="shared" ref="BG1372:BG1386" si="442">BE1372-BD1372</f>
        <v>-6787</v>
      </c>
    </row>
    <row r="1373" spans="1:59" s="21" customFormat="1" ht="15.95" customHeight="1">
      <c r="A1373" s="176">
        <v>115</v>
      </c>
      <c r="B1373" s="31" t="s">
        <v>1056</v>
      </c>
      <c r="C1373" s="34" t="s">
        <v>3323</v>
      </c>
      <c r="D1373" s="231"/>
      <c r="E1373" s="231"/>
      <c r="F1373" s="231"/>
      <c r="G1373" s="231"/>
      <c r="H1373" s="231"/>
      <c r="I1373" s="231"/>
      <c r="J1373" s="231"/>
      <c r="K1373" s="231"/>
      <c r="L1373" s="231"/>
      <c r="M1373" s="231"/>
      <c r="N1373" s="231"/>
      <c r="O1373" s="231"/>
      <c r="P1373" s="231"/>
      <c r="Q1373" s="231"/>
      <c r="R1373" s="231"/>
      <c r="S1373" s="231"/>
      <c r="T1373" s="231"/>
      <c r="U1373" s="231"/>
      <c r="V1373" s="231"/>
      <c r="W1373" s="231"/>
      <c r="X1373" s="231"/>
      <c r="Y1373" s="231"/>
      <c r="Z1373" s="231"/>
      <c r="AA1373" s="231"/>
      <c r="AB1373" s="22">
        <f t="shared" si="436"/>
        <v>0</v>
      </c>
      <c r="AC1373" s="23">
        <v>0</v>
      </c>
      <c r="AD1373" s="35"/>
      <c r="AE1373" s="35"/>
      <c r="AF1373" s="35"/>
      <c r="AG1373" s="35"/>
      <c r="AH1373" s="35">
        <v>2</v>
      </c>
      <c r="AI1373" s="35"/>
      <c r="AJ1373" s="35"/>
      <c r="AK1373" s="35"/>
      <c r="AL1373" s="35">
        <f>1+2</f>
        <v>3</v>
      </c>
      <c r="AM1373" s="35"/>
      <c r="AN1373" s="35"/>
      <c r="AO1373" s="35"/>
      <c r="AP1373" s="35">
        <v>3</v>
      </c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22">
        <f t="shared" si="437"/>
        <v>8</v>
      </c>
      <c r="BC1373" s="23">
        <v>2</v>
      </c>
      <c r="BD1373" s="130">
        <f t="shared" si="438"/>
        <v>8</v>
      </c>
      <c r="BE1373" s="130">
        <f t="shared" si="439"/>
        <v>2</v>
      </c>
      <c r="BF1373" s="195">
        <f t="shared" si="440"/>
        <v>400</v>
      </c>
      <c r="BG1373" s="373">
        <f t="shared" si="442"/>
        <v>-6</v>
      </c>
    </row>
    <row r="1374" spans="1:59" s="21" customFormat="1" ht="15.95" customHeight="1">
      <c r="A1374" s="176">
        <v>116</v>
      </c>
      <c r="B1374" s="31" t="s">
        <v>856</v>
      </c>
      <c r="C1374" s="34" t="s">
        <v>2105</v>
      </c>
      <c r="D1374" s="231"/>
      <c r="E1374" s="231"/>
      <c r="F1374" s="231"/>
      <c r="G1374" s="231"/>
      <c r="H1374" s="231"/>
      <c r="I1374" s="231"/>
      <c r="J1374" s="231"/>
      <c r="K1374" s="231"/>
      <c r="L1374" s="231"/>
      <c r="M1374" s="231"/>
      <c r="N1374" s="231"/>
      <c r="O1374" s="231"/>
      <c r="P1374" s="231"/>
      <c r="Q1374" s="231"/>
      <c r="R1374" s="231"/>
      <c r="S1374" s="231"/>
      <c r="T1374" s="231"/>
      <c r="U1374" s="231"/>
      <c r="V1374" s="231"/>
      <c r="W1374" s="231"/>
      <c r="X1374" s="231"/>
      <c r="Y1374" s="231"/>
      <c r="Z1374" s="231"/>
      <c r="AA1374" s="231"/>
      <c r="AB1374" s="22">
        <f t="shared" si="436"/>
        <v>0</v>
      </c>
      <c r="AC1374" s="23">
        <v>0</v>
      </c>
      <c r="AD1374" s="35">
        <v>8277</v>
      </c>
      <c r="AE1374" s="35"/>
      <c r="AF1374" s="35"/>
      <c r="AG1374" s="35"/>
      <c r="AH1374" s="35">
        <f>5093+2+236</f>
        <v>5331</v>
      </c>
      <c r="AI1374" s="35"/>
      <c r="AJ1374" s="35"/>
      <c r="AK1374" s="35"/>
      <c r="AL1374" s="35">
        <f>3382+1382</f>
        <v>4764</v>
      </c>
      <c r="AM1374" s="35"/>
      <c r="AN1374" s="35"/>
      <c r="AO1374" s="35"/>
      <c r="AP1374" s="35">
        <f>227+2939</f>
        <v>3166</v>
      </c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22">
        <f t="shared" si="437"/>
        <v>21538</v>
      </c>
      <c r="BC1374" s="23">
        <v>10702</v>
      </c>
      <c r="BD1374" s="130">
        <f t="shared" si="438"/>
        <v>21538</v>
      </c>
      <c r="BE1374" s="130">
        <f t="shared" si="439"/>
        <v>10702</v>
      </c>
      <c r="BF1374" s="195">
        <f t="shared" si="440"/>
        <v>201.25210241076434</v>
      </c>
      <c r="BG1374" s="373">
        <f t="shared" si="442"/>
        <v>-10836</v>
      </c>
    </row>
    <row r="1375" spans="1:59" s="21" customFormat="1" ht="15.95" customHeight="1">
      <c r="A1375" s="176">
        <v>117</v>
      </c>
      <c r="B1375" s="31" t="s">
        <v>1022</v>
      </c>
      <c r="C1375" s="34" t="s">
        <v>1023</v>
      </c>
      <c r="D1375" s="231"/>
      <c r="E1375" s="231"/>
      <c r="F1375" s="231"/>
      <c r="G1375" s="231"/>
      <c r="H1375" s="231"/>
      <c r="I1375" s="231"/>
      <c r="J1375" s="231"/>
      <c r="K1375" s="231"/>
      <c r="L1375" s="231">
        <v>33</v>
      </c>
      <c r="M1375" s="231"/>
      <c r="N1375" s="231"/>
      <c r="O1375" s="231"/>
      <c r="P1375" s="231"/>
      <c r="Q1375" s="231"/>
      <c r="R1375" s="231"/>
      <c r="S1375" s="231"/>
      <c r="T1375" s="231"/>
      <c r="U1375" s="231"/>
      <c r="V1375" s="231"/>
      <c r="W1375" s="231"/>
      <c r="X1375" s="231"/>
      <c r="Y1375" s="231"/>
      <c r="Z1375" s="231"/>
      <c r="AA1375" s="231"/>
      <c r="AB1375" s="22">
        <f t="shared" si="436"/>
        <v>33</v>
      </c>
      <c r="AC1375" s="23">
        <v>0</v>
      </c>
      <c r="AD1375" s="35">
        <v>3919</v>
      </c>
      <c r="AE1375" s="35"/>
      <c r="AF1375" s="35"/>
      <c r="AG1375" s="35"/>
      <c r="AH1375" s="35">
        <f>2754+90</f>
        <v>2844</v>
      </c>
      <c r="AI1375" s="35"/>
      <c r="AJ1375" s="35"/>
      <c r="AK1375" s="35"/>
      <c r="AL1375" s="35">
        <f>1818+444</f>
        <v>2262</v>
      </c>
      <c r="AM1375" s="35"/>
      <c r="AN1375" s="35"/>
      <c r="AO1375" s="35"/>
      <c r="AP1375" s="35">
        <f>142+680</f>
        <v>822</v>
      </c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22">
        <f t="shared" si="437"/>
        <v>9847</v>
      </c>
      <c r="BC1375" s="23">
        <v>280</v>
      </c>
      <c r="BD1375" s="130">
        <f t="shared" si="438"/>
        <v>9880</v>
      </c>
      <c r="BE1375" s="130">
        <f t="shared" si="439"/>
        <v>280</v>
      </c>
      <c r="BF1375" s="195">
        <f t="shared" si="440"/>
        <v>3528.5714285714284</v>
      </c>
      <c r="BG1375" s="373">
        <f t="shared" si="442"/>
        <v>-9600</v>
      </c>
    </row>
    <row r="1376" spans="1:59" s="21" customFormat="1" ht="15.95" customHeight="1">
      <c r="A1376" s="176">
        <v>118</v>
      </c>
      <c r="B1376" s="31" t="s">
        <v>1024</v>
      </c>
      <c r="C1376" s="34" t="s">
        <v>2304</v>
      </c>
      <c r="D1376" s="289"/>
      <c r="E1376" s="289"/>
      <c r="F1376" s="289"/>
      <c r="G1376" s="289"/>
      <c r="H1376" s="289"/>
      <c r="I1376" s="289"/>
      <c r="J1376" s="289"/>
      <c r="K1376" s="289"/>
      <c r="L1376" s="289"/>
      <c r="M1376" s="289"/>
      <c r="N1376" s="289"/>
      <c r="O1376" s="289"/>
      <c r="P1376" s="289"/>
      <c r="Q1376" s="289"/>
      <c r="R1376" s="289"/>
      <c r="S1376" s="289"/>
      <c r="T1376" s="289"/>
      <c r="U1376" s="289"/>
      <c r="V1376" s="289"/>
      <c r="W1376" s="289"/>
      <c r="X1376" s="289"/>
      <c r="Y1376" s="289"/>
      <c r="Z1376" s="289"/>
      <c r="AA1376" s="289"/>
      <c r="AB1376" s="22">
        <f t="shared" si="436"/>
        <v>0</v>
      </c>
      <c r="AC1376" s="23">
        <v>0</v>
      </c>
      <c r="AD1376" s="35">
        <v>1</v>
      </c>
      <c r="AE1376" s="35"/>
      <c r="AF1376" s="35"/>
      <c r="AG1376" s="35"/>
      <c r="AH1376" s="35"/>
      <c r="AI1376" s="35"/>
      <c r="AJ1376" s="35"/>
      <c r="AK1376" s="35"/>
      <c r="AL1376" s="35">
        <f>1+1</f>
        <v>2</v>
      </c>
      <c r="AM1376" s="35"/>
      <c r="AN1376" s="35"/>
      <c r="AO1376" s="35"/>
      <c r="AP1376" s="35">
        <f>2+1</f>
        <v>3</v>
      </c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22">
        <f t="shared" si="437"/>
        <v>6</v>
      </c>
      <c r="BC1376" s="23">
        <v>1</v>
      </c>
      <c r="BD1376" s="130">
        <f t="shared" si="438"/>
        <v>6</v>
      </c>
      <c r="BE1376" s="130">
        <f t="shared" si="439"/>
        <v>1</v>
      </c>
      <c r="BF1376" s="195">
        <f t="shared" si="440"/>
        <v>600</v>
      </c>
      <c r="BG1376" s="373">
        <f t="shared" si="442"/>
        <v>-5</v>
      </c>
    </row>
    <row r="1377" spans="1:59" s="21" customFormat="1" ht="15.95" customHeight="1">
      <c r="A1377" s="176">
        <v>119</v>
      </c>
      <c r="B1377" s="31" t="s">
        <v>1059</v>
      </c>
      <c r="C1377" s="34" t="s">
        <v>2039</v>
      </c>
      <c r="D1377" s="274"/>
      <c r="E1377" s="274"/>
      <c r="F1377" s="274"/>
      <c r="G1377" s="274"/>
      <c r="H1377" s="274"/>
      <c r="I1377" s="274"/>
      <c r="J1377" s="274"/>
      <c r="K1377" s="274"/>
      <c r="L1377" s="274"/>
      <c r="M1377" s="274"/>
      <c r="N1377" s="274"/>
      <c r="O1377" s="274"/>
      <c r="P1377" s="274"/>
      <c r="Q1377" s="274"/>
      <c r="R1377" s="274"/>
      <c r="S1377" s="274"/>
      <c r="T1377" s="274"/>
      <c r="U1377" s="274"/>
      <c r="V1377" s="274"/>
      <c r="W1377" s="274"/>
      <c r="X1377" s="274"/>
      <c r="Y1377" s="274"/>
      <c r="Z1377" s="274"/>
      <c r="AA1377" s="274"/>
      <c r="AB1377" s="22">
        <f t="shared" si="436"/>
        <v>0</v>
      </c>
      <c r="AC1377" s="23">
        <v>0</v>
      </c>
      <c r="AD1377" s="35">
        <f>60+1467</f>
        <v>1527</v>
      </c>
      <c r="AE1377" s="35"/>
      <c r="AF1377" s="35"/>
      <c r="AG1377" s="35"/>
      <c r="AH1377" s="35">
        <f>43+1136+1</f>
        <v>1180</v>
      </c>
      <c r="AI1377" s="35"/>
      <c r="AJ1377" s="35"/>
      <c r="AK1377" s="35"/>
      <c r="AL1377" s="35">
        <f>11+599+6</f>
        <v>616</v>
      </c>
      <c r="AM1377" s="35"/>
      <c r="AN1377" s="35"/>
      <c r="AO1377" s="35"/>
      <c r="AP1377" s="35">
        <f>3+32+62</f>
        <v>97</v>
      </c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22">
        <f t="shared" si="437"/>
        <v>3420</v>
      </c>
      <c r="BC1377" s="23">
        <v>73</v>
      </c>
      <c r="BD1377" s="130">
        <f t="shared" si="438"/>
        <v>3420</v>
      </c>
      <c r="BE1377" s="130">
        <f t="shared" si="439"/>
        <v>73</v>
      </c>
      <c r="BF1377" s="195">
        <f t="shared" si="440"/>
        <v>4684.9315068493152</v>
      </c>
      <c r="BG1377" s="373">
        <f t="shared" si="442"/>
        <v>-3347</v>
      </c>
    </row>
    <row r="1378" spans="1:59" s="21" customFormat="1" ht="15.95" customHeight="1">
      <c r="A1378" s="176">
        <v>120</v>
      </c>
      <c r="B1378" s="31" t="s">
        <v>1209</v>
      </c>
      <c r="C1378" s="32" t="s">
        <v>1054</v>
      </c>
      <c r="D1378" s="336">
        <v>1</v>
      </c>
      <c r="E1378" s="336"/>
      <c r="F1378" s="336"/>
      <c r="G1378" s="336"/>
      <c r="H1378" s="336"/>
      <c r="I1378" s="336"/>
      <c r="J1378" s="336"/>
      <c r="K1378" s="336"/>
      <c r="L1378" s="336"/>
      <c r="M1378" s="336"/>
      <c r="N1378" s="336"/>
      <c r="O1378" s="336"/>
      <c r="P1378" s="336"/>
      <c r="Q1378" s="336"/>
      <c r="R1378" s="336"/>
      <c r="S1378" s="336"/>
      <c r="T1378" s="336"/>
      <c r="U1378" s="336"/>
      <c r="V1378" s="336"/>
      <c r="W1378" s="336"/>
      <c r="X1378" s="336"/>
      <c r="Y1378" s="336"/>
      <c r="Z1378" s="336"/>
      <c r="AA1378" s="336"/>
      <c r="AB1378" s="22">
        <f t="shared" si="436"/>
        <v>1</v>
      </c>
      <c r="AC1378" s="23">
        <v>0</v>
      </c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>
        <v>1</v>
      </c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22">
        <f t="shared" si="437"/>
        <v>1</v>
      </c>
      <c r="BC1378" s="23">
        <v>21</v>
      </c>
      <c r="BD1378" s="130">
        <f t="shared" si="438"/>
        <v>2</v>
      </c>
      <c r="BE1378" s="130">
        <f t="shared" si="439"/>
        <v>21</v>
      </c>
      <c r="BF1378" s="195">
        <f t="shared" si="440"/>
        <v>9.5238095238095237</v>
      </c>
      <c r="BG1378" s="373">
        <f t="shared" si="442"/>
        <v>19</v>
      </c>
    </row>
    <row r="1379" spans="1:59" s="21" customFormat="1" ht="15.95" customHeight="1">
      <c r="A1379" s="176">
        <v>121</v>
      </c>
      <c r="B1379" s="31" t="s">
        <v>858</v>
      </c>
      <c r="C1379" s="32" t="s">
        <v>859</v>
      </c>
      <c r="D1379" s="327">
        <v>291</v>
      </c>
      <c r="E1379" s="327"/>
      <c r="F1379" s="327"/>
      <c r="G1379" s="327"/>
      <c r="H1379" s="327"/>
      <c r="I1379" s="327"/>
      <c r="J1379" s="327"/>
      <c r="K1379" s="327"/>
      <c r="L1379" s="327"/>
      <c r="M1379" s="327"/>
      <c r="N1379" s="327"/>
      <c r="O1379" s="327"/>
      <c r="P1379" s="327"/>
      <c r="Q1379" s="327"/>
      <c r="R1379" s="327"/>
      <c r="S1379" s="327"/>
      <c r="T1379" s="327"/>
      <c r="U1379" s="327"/>
      <c r="V1379" s="327"/>
      <c r="W1379" s="327"/>
      <c r="X1379" s="327"/>
      <c r="Y1379" s="327"/>
      <c r="Z1379" s="327"/>
      <c r="AA1379" s="327"/>
      <c r="AB1379" s="22">
        <f t="shared" si="436"/>
        <v>291</v>
      </c>
      <c r="AC1379" s="23">
        <v>0</v>
      </c>
      <c r="AD1379" s="35">
        <f>662+17754</f>
        <v>18416</v>
      </c>
      <c r="AE1379" s="35"/>
      <c r="AF1379" s="35"/>
      <c r="AG1379" s="35"/>
      <c r="AH1379" s="35">
        <f>625+10416+17</f>
        <v>11058</v>
      </c>
      <c r="AI1379" s="35"/>
      <c r="AJ1379" s="35"/>
      <c r="AK1379" s="35"/>
      <c r="AL1379" s="35">
        <f>323+9226+183</f>
        <v>9732</v>
      </c>
      <c r="AM1379" s="35"/>
      <c r="AN1379" s="35"/>
      <c r="AO1379" s="35"/>
      <c r="AP1379" s="35">
        <f>20+718+418</f>
        <v>1156</v>
      </c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22">
        <f t="shared" si="437"/>
        <v>40362</v>
      </c>
      <c r="BC1379" s="23">
        <v>1095</v>
      </c>
      <c r="BD1379" s="130">
        <f t="shared" si="438"/>
        <v>40653</v>
      </c>
      <c r="BE1379" s="130">
        <f t="shared" si="439"/>
        <v>1095</v>
      </c>
      <c r="BF1379" s="195">
        <f t="shared" si="440"/>
        <v>3712.6027397260273</v>
      </c>
      <c r="BG1379" s="373">
        <f t="shared" si="442"/>
        <v>-39558</v>
      </c>
    </row>
    <row r="1380" spans="1:59" s="21" customFormat="1" ht="15.95" customHeight="1">
      <c r="A1380" s="176">
        <v>122</v>
      </c>
      <c r="B1380" s="31" t="s">
        <v>860</v>
      </c>
      <c r="C1380" s="32" t="s">
        <v>921</v>
      </c>
      <c r="D1380" s="327">
        <v>228</v>
      </c>
      <c r="E1380" s="327"/>
      <c r="F1380" s="327"/>
      <c r="G1380" s="327"/>
      <c r="H1380" s="327"/>
      <c r="I1380" s="327"/>
      <c r="J1380" s="327"/>
      <c r="K1380" s="327"/>
      <c r="L1380" s="327">
        <v>206</v>
      </c>
      <c r="M1380" s="327"/>
      <c r="N1380" s="327"/>
      <c r="O1380" s="327"/>
      <c r="P1380" s="327"/>
      <c r="Q1380" s="327"/>
      <c r="R1380" s="327"/>
      <c r="S1380" s="327"/>
      <c r="T1380" s="327"/>
      <c r="U1380" s="327"/>
      <c r="V1380" s="327"/>
      <c r="W1380" s="327"/>
      <c r="X1380" s="327"/>
      <c r="Y1380" s="327"/>
      <c r="Z1380" s="327"/>
      <c r="AA1380" s="327"/>
      <c r="AB1380" s="22">
        <f t="shared" si="436"/>
        <v>434</v>
      </c>
      <c r="AC1380" s="23">
        <v>0</v>
      </c>
      <c r="AD1380" s="35">
        <f>2+18614+31864</f>
        <v>50480</v>
      </c>
      <c r="AE1380" s="35"/>
      <c r="AF1380" s="35"/>
      <c r="AG1380" s="35"/>
      <c r="AH1380" s="35">
        <f>17+11446+23756+950</f>
        <v>36169</v>
      </c>
      <c r="AI1380" s="35"/>
      <c r="AJ1380" s="35"/>
      <c r="AK1380" s="35"/>
      <c r="AL1380" s="35">
        <f>8380+19266+5213</f>
        <v>32859</v>
      </c>
      <c r="AM1380" s="35"/>
      <c r="AN1380" s="35"/>
      <c r="AO1380" s="35"/>
      <c r="AP1380" s="35">
        <f>436+1819+7196+2</f>
        <v>9453</v>
      </c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22">
        <f t="shared" si="437"/>
        <v>128961</v>
      </c>
      <c r="BC1380" s="23">
        <v>19128</v>
      </c>
      <c r="BD1380" s="130">
        <f t="shared" si="438"/>
        <v>129395</v>
      </c>
      <c r="BE1380" s="130">
        <f t="shared" si="439"/>
        <v>19128</v>
      </c>
      <c r="BF1380" s="195">
        <f t="shared" si="440"/>
        <v>676.46905060644076</v>
      </c>
      <c r="BG1380" s="373">
        <f t="shared" si="442"/>
        <v>-110267</v>
      </c>
    </row>
    <row r="1381" spans="1:59" s="21" customFormat="1" ht="15.95" customHeight="1">
      <c r="A1381" s="176">
        <v>123</v>
      </c>
      <c r="B1381" s="31" t="s">
        <v>862</v>
      </c>
      <c r="C1381" s="34" t="s">
        <v>2040</v>
      </c>
      <c r="D1381" s="231">
        <v>11</v>
      </c>
      <c r="E1381" s="231"/>
      <c r="F1381" s="231"/>
      <c r="G1381" s="231"/>
      <c r="H1381" s="231"/>
      <c r="I1381" s="231"/>
      <c r="J1381" s="231"/>
      <c r="K1381" s="231"/>
      <c r="L1381" s="231">
        <v>1</v>
      </c>
      <c r="M1381" s="231"/>
      <c r="N1381" s="231"/>
      <c r="O1381" s="231"/>
      <c r="P1381" s="231"/>
      <c r="Q1381" s="231"/>
      <c r="R1381" s="231"/>
      <c r="S1381" s="231"/>
      <c r="T1381" s="231"/>
      <c r="U1381" s="231"/>
      <c r="V1381" s="231"/>
      <c r="W1381" s="231"/>
      <c r="X1381" s="231"/>
      <c r="Y1381" s="231"/>
      <c r="Z1381" s="231"/>
      <c r="AA1381" s="231"/>
      <c r="AB1381" s="22">
        <f t="shared" si="436"/>
        <v>12</v>
      </c>
      <c r="AC1381" s="23">
        <v>0</v>
      </c>
      <c r="AD1381" s="35">
        <v>8125</v>
      </c>
      <c r="AE1381" s="35"/>
      <c r="AF1381" s="35"/>
      <c r="AG1381" s="35"/>
      <c r="AH1381" s="35">
        <f>5126+3509+165</f>
        <v>8800</v>
      </c>
      <c r="AI1381" s="35"/>
      <c r="AJ1381" s="35"/>
      <c r="AK1381" s="35"/>
      <c r="AL1381" s="35">
        <f>3558+3109+997</f>
        <v>7664</v>
      </c>
      <c r="AM1381" s="35"/>
      <c r="AN1381" s="35"/>
      <c r="AO1381" s="35"/>
      <c r="AP1381" s="35">
        <f>223+249+1898</f>
        <v>2370</v>
      </c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22">
        <f t="shared" si="437"/>
        <v>26959</v>
      </c>
      <c r="BC1381" s="23">
        <v>2620</v>
      </c>
      <c r="BD1381" s="130">
        <f t="shared" si="438"/>
        <v>26971</v>
      </c>
      <c r="BE1381" s="130">
        <f t="shared" si="439"/>
        <v>2620</v>
      </c>
      <c r="BF1381" s="195">
        <f t="shared" si="440"/>
        <v>1029.4274809160304</v>
      </c>
      <c r="BG1381" s="373">
        <f t="shared" si="442"/>
        <v>-24351</v>
      </c>
    </row>
    <row r="1382" spans="1:59" s="21" customFormat="1" ht="15.95" customHeight="1">
      <c r="A1382" s="176">
        <v>124</v>
      </c>
      <c r="B1382" s="31" t="s">
        <v>1254</v>
      </c>
      <c r="C1382" s="32" t="s">
        <v>1515</v>
      </c>
      <c r="D1382" s="231"/>
      <c r="E1382" s="231"/>
      <c r="F1382" s="231"/>
      <c r="G1382" s="231"/>
      <c r="H1382" s="231"/>
      <c r="I1382" s="231"/>
      <c r="J1382" s="231"/>
      <c r="K1382" s="231"/>
      <c r="L1382" s="231"/>
      <c r="M1382" s="231"/>
      <c r="N1382" s="231"/>
      <c r="O1382" s="231"/>
      <c r="P1382" s="231"/>
      <c r="Q1382" s="231"/>
      <c r="R1382" s="231"/>
      <c r="S1382" s="231"/>
      <c r="T1382" s="231"/>
      <c r="U1382" s="231"/>
      <c r="V1382" s="231"/>
      <c r="W1382" s="231"/>
      <c r="X1382" s="231"/>
      <c r="Y1382" s="231"/>
      <c r="Z1382" s="231"/>
      <c r="AA1382" s="231"/>
      <c r="AB1382" s="22">
        <f t="shared" si="436"/>
        <v>0</v>
      </c>
      <c r="AC1382" s="23">
        <v>0</v>
      </c>
      <c r="AD1382" s="35">
        <v>5260</v>
      </c>
      <c r="AE1382" s="35"/>
      <c r="AF1382" s="35"/>
      <c r="AG1382" s="35"/>
      <c r="AH1382" s="35">
        <v>1</v>
      </c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22">
        <f t="shared" si="437"/>
        <v>5261</v>
      </c>
      <c r="BC1382" s="23">
        <v>7</v>
      </c>
      <c r="BD1382" s="130">
        <f t="shared" si="438"/>
        <v>5261</v>
      </c>
      <c r="BE1382" s="130">
        <f t="shared" si="439"/>
        <v>7</v>
      </c>
      <c r="BF1382" s="195">
        <f t="shared" si="440"/>
        <v>75157.142857142855</v>
      </c>
      <c r="BG1382" s="373">
        <f t="shared" si="442"/>
        <v>-5254</v>
      </c>
    </row>
    <row r="1383" spans="1:59" s="21" customFormat="1" ht="15.95" customHeight="1">
      <c r="A1383" s="176">
        <v>125</v>
      </c>
      <c r="B1383" s="31" t="s">
        <v>1989</v>
      </c>
      <c r="C1383" s="34" t="s">
        <v>2030</v>
      </c>
      <c r="D1383" s="231"/>
      <c r="E1383" s="231"/>
      <c r="F1383" s="231"/>
      <c r="G1383" s="231"/>
      <c r="H1383" s="231"/>
      <c r="I1383" s="231"/>
      <c r="J1383" s="231"/>
      <c r="K1383" s="231"/>
      <c r="L1383" s="231"/>
      <c r="M1383" s="231"/>
      <c r="N1383" s="231"/>
      <c r="O1383" s="231"/>
      <c r="P1383" s="231"/>
      <c r="Q1383" s="231"/>
      <c r="R1383" s="231"/>
      <c r="S1383" s="231"/>
      <c r="T1383" s="231"/>
      <c r="U1383" s="231"/>
      <c r="V1383" s="231"/>
      <c r="W1383" s="231"/>
      <c r="X1383" s="231"/>
      <c r="Y1383" s="231"/>
      <c r="Z1383" s="231"/>
      <c r="AA1383" s="231"/>
      <c r="AB1383" s="22">
        <f t="shared" si="436"/>
        <v>0</v>
      </c>
      <c r="AC1383" s="23">
        <v>0</v>
      </c>
      <c r="AD1383" s="35"/>
      <c r="AE1383" s="35"/>
      <c r="AF1383" s="35"/>
      <c r="AG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22">
        <f t="shared" si="437"/>
        <v>0</v>
      </c>
      <c r="BC1383" s="23">
        <v>2</v>
      </c>
      <c r="BD1383" s="130">
        <f t="shared" si="438"/>
        <v>0</v>
      </c>
      <c r="BE1383" s="130">
        <f t="shared" si="439"/>
        <v>2</v>
      </c>
      <c r="BF1383" s="195">
        <f t="shared" si="440"/>
        <v>0</v>
      </c>
      <c r="BG1383" s="373">
        <f t="shared" si="442"/>
        <v>2</v>
      </c>
    </row>
    <row r="1384" spans="1:59" s="21" customFormat="1" ht="15.95" customHeight="1">
      <c r="A1384" s="176">
        <v>126</v>
      </c>
      <c r="B1384" s="31" t="s">
        <v>864</v>
      </c>
      <c r="C1384" s="34" t="s">
        <v>1516</v>
      </c>
      <c r="D1384" s="336">
        <v>11</v>
      </c>
      <c r="E1384" s="336"/>
      <c r="F1384" s="336"/>
      <c r="G1384" s="336"/>
      <c r="H1384" s="336"/>
      <c r="I1384" s="336"/>
      <c r="J1384" s="336"/>
      <c r="K1384" s="336"/>
      <c r="L1384" s="336"/>
      <c r="M1384" s="336"/>
      <c r="N1384" s="336"/>
      <c r="O1384" s="336"/>
      <c r="P1384" s="336"/>
      <c r="Q1384" s="336"/>
      <c r="R1384" s="336"/>
      <c r="S1384" s="336"/>
      <c r="T1384" s="336"/>
      <c r="U1384" s="336"/>
      <c r="V1384" s="336"/>
      <c r="W1384" s="336"/>
      <c r="X1384" s="336"/>
      <c r="Y1384" s="336"/>
      <c r="Z1384" s="336"/>
      <c r="AA1384" s="336"/>
      <c r="AB1384" s="22">
        <f t="shared" si="436"/>
        <v>11</v>
      </c>
      <c r="AC1384" s="23">
        <v>0</v>
      </c>
      <c r="AD1384" s="35">
        <f>1744+248</f>
        <v>1992</v>
      </c>
      <c r="AE1384" s="35"/>
      <c r="AF1384" s="35"/>
      <c r="AG1384" s="35"/>
      <c r="AH1384" s="35">
        <f>1087+91+62</f>
        <v>1240</v>
      </c>
      <c r="AI1384" s="35"/>
      <c r="AJ1384" s="35"/>
      <c r="AK1384" s="35"/>
      <c r="AL1384" s="35">
        <f>610+94+123</f>
        <v>827</v>
      </c>
      <c r="AM1384" s="35"/>
      <c r="AN1384" s="35"/>
      <c r="AO1384" s="35"/>
      <c r="AP1384" s="35">
        <f>44+312</f>
        <v>356</v>
      </c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22">
        <f t="shared" si="437"/>
        <v>4415</v>
      </c>
      <c r="BC1384" s="23">
        <v>820</v>
      </c>
      <c r="BD1384" s="130">
        <f t="shared" si="438"/>
        <v>4426</v>
      </c>
      <c r="BE1384" s="130">
        <f t="shared" si="439"/>
        <v>820</v>
      </c>
      <c r="BF1384" s="195">
        <f t="shared" si="440"/>
        <v>539.7560975609756</v>
      </c>
      <c r="BG1384" s="373">
        <f t="shared" si="442"/>
        <v>-3606</v>
      </c>
    </row>
    <row r="1385" spans="1:59" s="21" customFormat="1" ht="15.95" customHeight="1">
      <c r="A1385" s="176">
        <v>127</v>
      </c>
      <c r="B1385" s="31" t="s">
        <v>865</v>
      </c>
      <c r="C1385" s="34" t="s">
        <v>1647</v>
      </c>
      <c r="D1385" s="231"/>
      <c r="E1385" s="231"/>
      <c r="F1385" s="231"/>
      <c r="G1385" s="231"/>
      <c r="H1385" s="231"/>
      <c r="I1385" s="231"/>
      <c r="J1385" s="231"/>
      <c r="K1385" s="231"/>
      <c r="L1385" s="231"/>
      <c r="M1385" s="231"/>
      <c r="N1385" s="231"/>
      <c r="O1385" s="231"/>
      <c r="P1385" s="231"/>
      <c r="Q1385" s="231"/>
      <c r="R1385" s="231"/>
      <c r="S1385" s="231"/>
      <c r="T1385" s="231"/>
      <c r="U1385" s="231"/>
      <c r="V1385" s="231"/>
      <c r="W1385" s="231"/>
      <c r="X1385" s="231"/>
      <c r="Y1385" s="231"/>
      <c r="Z1385" s="231"/>
      <c r="AA1385" s="231"/>
      <c r="AB1385" s="22">
        <f t="shared" si="436"/>
        <v>0</v>
      </c>
      <c r="AC1385" s="23">
        <v>0</v>
      </c>
      <c r="AD1385" s="35">
        <v>18</v>
      </c>
      <c r="AE1385" s="35"/>
      <c r="AF1385" s="35"/>
      <c r="AG1385" s="35"/>
      <c r="AH1385" s="35">
        <f>21+42</f>
        <v>63</v>
      </c>
      <c r="AI1385" s="35"/>
      <c r="AJ1385" s="35"/>
      <c r="AK1385" s="35"/>
      <c r="AL1385" s="35">
        <f>25+350</f>
        <v>375</v>
      </c>
      <c r="AM1385" s="35"/>
      <c r="AN1385" s="35"/>
      <c r="AO1385" s="35"/>
      <c r="AP1385" s="35">
        <v>417</v>
      </c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22">
        <f t="shared" si="437"/>
        <v>873</v>
      </c>
      <c r="BC1385" s="23">
        <v>1433</v>
      </c>
      <c r="BD1385" s="130">
        <f t="shared" si="438"/>
        <v>873</v>
      </c>
      <c r="BE1385" s="130">
        <f t="shared" si="439"/>
        <v>1433</v>
      </c>
      <c r="BF1385" s="195">
        <f t="shared" si="440"/>
        <v>60.921144452198185</v>
      </c>
      <c r="BG1385" s="373">
        <f t="shared" si="442"/>
        <v>560</v>
      </c>
    </row>
    <row r="1386" spans="1:59" s="21" customFormat="1" ht="15.95" customHeight="1">
      <c r="A1386" s="176">
        <v>128</v>
      </c>
      <c r="B1386" s="31" t="s">
        <v>1648</v>
      </c>
      <c r="C1386" s="32" t="s">
        <v>3466</v>
      </c>
      <c r="D1386" s="231"/>
      <c r="E1386" s="231"/>
      <c r="F1386" s="231"/>
      <c r="G1386" s="231"/>
      <c r="H1386" s="231"/>
      <c r="I1386" s="231"/>
      <c r="J1386" s="231"/>
      <c r="K1386" s="231"/>
      <c r="L1386" s="231"/>
      <c r="M1386" s="231"/>
      <c r="N1386" s="231"/>
      <c r="O1386" s="231"/>
      <c r="P1386" s="231"/>
      <c r="Q1386" s="231"/>
      <c r="R1386" s="231"/>
      <c r="S1386" s="231"/>
      <c r="T1386" s="231"/>
      <c r="U1386" s="231"/>
      <c r="V1386" s="231"/>
      <c r="W1386" s="231"/>
      <c r="X1386" s="231"/>
      <c r="Y1386" s="231"/>
      <c r="Z1386" s="231"/>
      <c r="AA1386" s="231"/>
      <c r="AB1386" s="22">
        <f t="shared" si="436"/>
        <v>0</v>
      </c>
      <c r="AC1386" s="23">
        <v>0</v>
      </c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22">
        <f t="shared" si="437"/>
        <v>0</v>
      </c>
      <c r="BC1386" s="23">
        <v>6</v>
      </c>
      <c r="BD1386" s="130">
        <f t="shared" si="438"/>
        <v>0</v>
      </c>
      <c r="BE1386" s="130">
        <f t="shared" si="439"/>
        <v>6</v>
      </c>
      <c r="BF1386" s="195">
        <f t="shared" si="440"/>
        <v>0</v>
      </c>
      <c r="BG1386" s="373">
        <f t="shared" si="442"/>
        <v>6</v>
      </c>
    </row>
    <row r="1387" spans="1:59" s="21" customFormat="1" ht="15.95" customHeight="1">
      <c r="A1387" s="176">
        <v>129</v>
      </c>
      <c r="B1387" s="31" t="s">
        <v>1027</v>
      </c>
      <c r="C1387" s="32" t="s">
        <v>3180</v>
      </c>
      <c r="D1387" s="523"/>
      <c r="E1387" s="523"/>
      <c r="F1387" s="523"/>
      <c r="G1387" s="523"/>
      <c r="H1387" s="523"/>
      <c r="I1387" s="523"/>
      <c r="J1387" s="523"/>
      <c r="K1387" s="523"/>
      <c r="L1387" s="523"/>
      <c r="M1387" s="523"/>
      <c r="N1387" s="523"/>
      <c r="O1387" s="523"/>
      <c r="P1387" s="523"/>
      <c r="Q1387" s="523"/>
      <c r="R1387" s="523"/>
      <c r="S1387" s="523"/>
      <c r="T1387" s="523"/>
      <c r="U1387" s="523"/>
      <c r="V1387" s="523"/>
      <c r="W1387" s="523"/>
      <c r="X1387" s="523"/>
      <c r="Y1387" s="523"/>
      <c r="Z1387" s="523"/>
      <c r="AA1387" s="523"/>
      <c r="AB1387" s="22">
        <f t="shared" ref="AB1387:AB1408" si="443">SUM(D1387:AA1387)</f>
        <v>0</v>
      </c>
      <c r="AC1387" s="23">
        <v>0</v>
      </c>
      <c r="AD1387" s="35"/>
      <c r="AE1387" s="35"/>
      <c r="AF1387" s="35"/>
      <c r="AG1387" s="35"/>
      <c r="AH1387" s="35">
        <v>1</v>
      </c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22">
        <f t="shared" ref="BB1387:BB1408" si="444">SUM(AD1387:BA1387)</f>
        <v>1</v>
      </c>
      <c r="BC1387" s="23">
        <v>0</v>
      </c>
      <c r="BD1387" s="130">
        <f t="shared" ref="BD1387:BD1408" si="445">AB1387+BB1387</f>
        <v>1</v>
      </c>
      <c r="BE1387" s="130">
        <f t="shared" ref="BE1387:BE1408" si="446">AC1387+BC1387</f>
        <v>0</v>
      </c>
      <c r="BF1387" s="195" t="e">
        <f t="shared" ref="BF1387:BF1408" si="447">BD1387/BE1387*100</f>
        <v>#DIV/0!</v>
      </c>
      <c r="BG1387" s="373"/>
    </row>
    <row r="1388" spans="1:59" s="21" customFormat="1" ht="15.95" customHeight="1">
      <c r="A1388" s="176">
        <v>130</v>
      </c>
      <c r="B1388" s="31" t="s">
        <v>2430</v>
      </c>
      <c r="C1388" s="32" t="s">
        <v>3704</v>
      </c>
      <c r="D1388" s="407"/>
      <c r="E1388" s="407"/>
      <c r="F1388" s="407"/>
      <c r="G1388" s="407"/>
      <c r="H1388" s="407"/>
      <c r="I1388" s="407"/>
      <c r="J1388" s="407"/>
      <c r="K1388" s="407"/>
      <c r="L1388" s="407"/>
      <c r="M1388" s="407"/>
      <c r="N1388" s="407"/>
      <c r="O1388" s="407"/>
      <c r="P1388" s="407"/>
      <c r="Q1388" s="407"/>
      <c r="R1388" s="407"/>
      <c r="S1388" s="407"/>
      <c r="T1388" s="407"/>
      <c r="U1388" s="407"/>
      <c r="V1388" s="407"/>
      <c r="W1388" s="407"/>
      <c r="X1388" s="407"/>
      <c r="Y1388" s="407"/>
      <c r="Z1388" s="407"/>
      <c r="AA1388" s="407"/>
      <c r="AB1388" s="22">
        <f t="shared" si="443"/>
        <v>0</v>
      </c>
      <c r="AC1388" s="23">
        <v>0</v>
      </c>
      <c r="AD1388" s="35">
        <v>6</v>
      </c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22">
        <f t="shared" si="444"/>
        <v>6</v>
      </c>
      <c r="BC1388" s="23">
        <v>0</v>
      </c>
      <c r="BD1388" s="130">
        <f t="shared" si="445"/>
        <v>6</v>
      </c>
      <c r="BE1388" s="130">
        <f t="shared" si="446"/>
        <v>0</v>
      </c>
      <c r="BF1388" s="195" t="e">
        <f t="shared" si="447"/>
        <v>#DIV/0!</v>
      </c>
      <c r="BG1388" s="373"/>
    </row>
    <row r="1389" spans="1:59" s="21" customFormat="1" ht="15.95" customHeight="1">
      <c r="A1389" s="176">
        <v>131</v>
      </c>
      <c r="B1389" s="31" t="s">
        <v>1028</v>
      </c>
      <c r="C1389" s="34" t="s">
        <v>2580</v>
      </c>
      <c r="D1389" s="407"/>
      <c r="E1389" s="407"/>
      <c r="F1389" s="407"/>
      <c r="G1389" s="407"/>
      <c r="H1389" s="407"/>
      <c r="I1389" s="407"/>
      <c r="J1389" s="407"/>
      <c r="K1389" s="407"/>
      <c r="L1389" s="407"/>
      <c r="M1389" s="407"/>
      <c r="N1389" s="407"/>
      <c r="O1389" s="407"/>
      <c r="P1389" s="407"/>
      <c r="Q1389" s="407"/>
      <c r="R1389" s="407"/>
      <c r="S1389" s="407"/>
      <c r="T1389" s="407"/>
      <c r="U1389" s="407"/>
      <c r="V1389" s="407"/>
      <c r="W1389" s="407"/>
      <c r="X1389" s="407"/>
      <c r="Y1389" s="407"/>
      <c r="Z1389" s="407"/>
      <c r="AA1389" s="407"/>
      <c r="AB1389" s="22">
        <f t="shared" si="443"/>
        <v>0</v>
      </c>
      <c r="AC1389" s="23">
        <v>0</v>
      </c>
      <c r="AD1389" s="35">
        <v>22</v>
      </c>
      <c r="AE1389" s="35"/>
      <c r="AF1389" s="35"/>
      <c r="AG1389" s="35"/>
      <c r="AH1389" s="35">
        <v>8</v>
      </c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22">
        <f t="shared" si="444"/>
        <v>30</v>
      </c>
      <c r="BC1389" s="23">
        <v>0</v>
      </c>
      <c r="BD1389" s="130">
        <f t="shared" si="445"/>
        <v>30</v>
      </c>
      <c r="BE1389" s="130">
        <f t="shared" si="446"/>
        <v>0</v>
      </c>
      <c r="BF1389" s="195" t="e">
        <f t="shared" si="447"/>
        <v>#DIV/0!</v>
      </c>
      <c r="BG1389" s="373"/>
    </row>
    <row r="1390" spans="1:59" s="21" customFormat="1" ht="15.95" customHeight="1">
      <c r="A1390" s="176">
        <v>132</v>
      </c>
      <c r="B1390" s="31" t="s">
        <v>922</v>
      </c>
      <c r="C1390" s="34" t="s">
        <v>923</v>
      </c>
      <c r="D1390" s="231"/>
      <c r="E1390" s="231"/>
      <c r="F1390" s="231"/>
      <c r="G1390" s="231"/>
      <c r="H1390" s="231"/>
      <c r="I1390" s="231"/>
      <c r="J1390" s="231"/>
      <c r="K1390" s="231"/>
      <c r="L1390" s="231"/>
      <c r="M1390" s="231"/>
      <c r="N1390" s="231"/>
      <c r="O1390" s="231"/>
      <c r="P1390" s="231"/>
      <c r="Q1390" s="231"/>
      <c r="R1390" s="231"/>
      <c r="S1390" s="231"/>
      <c r="T1390" s="231"/>
      <c r="U1390" s="231"/>
      <c r="V1390" s="231"/>
      <c r="W1390" s="231"/>
      <c r="X1390" s="231"/>
      <c r="Y1390" s="231"/>
      <c r="Z1390" s="231"/>
      <c r="AA1390" s="231"/>
      <c r="AB1390" s="22">
        <f t="shared" si="443"/>
        <v>0</v>
      </c>
      <c r="AC1390" s="23">
        <v>0</v>
      </c>
      <c r="AD1390" s="35"/>
      <c r="AE1390" s="35"/>
      <c r="AF1390" s="35"/>
      <c r="AG1390" s="35"/>
      <c r="AH1390" s="35"/>
      <c r="AI1390" s="35"/>
      <c r="AJ1390" s="35"/>
      <c r="AK1390" s="35"/>
      <c r="AL1390" s="35">
        <v>7</v>
      </c>
      <c r="AM1390" s="35"/>
      <c r="AN1390" s="35"/>
      <c r="AO1390" s="35"/>
      <c r="AP1390" s="35">
        <v>20</v>
      </c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22">
        <f t="shared" si="444"/>
        <v>27</v>
      </c>
      <c r="BC1390" s="23">
        <v>4</v>
      </c>
      <c r="BD1390" s="130">
        <f t="shared" si="445"/>
        <v>27</v>
      </c>
      <c r="BE1390" s="130">
        <f t="shared" si="446"/>
        <v>4</v>
      </c>
      <c r="BF1390" s="195">
        <f t="shared" si="447"/>
        <v>675</v>
      </c>
      <c r="BG1390" s="373">
        <f t="shared" ref="BG1390:BG1397" si="448">BE1390-BD1390</f>
        <v>-23</v>
      </c>
    </row>
    <row r="1391" spans="1:59" s="21" customFormat="1" ht="15.95" customHeight="1">
      <c r="A1391" s="176">
        <v>133</v>
      </c>
      <c r="B1391" s="31" t="s">
        <v>1029</v>
      </c>
      <c r="C1391" s="32" t="s">
        <v>1652</v>
      </c>
      <c r="D1391" s="231"/>
      <c r="E1391" s="231"/>
      <c r="F1391" s="231"/>
      <c r="G1391" s="231"/>
      <c r="H1391" s="231"/>
      <c r="I1391" s="231"/>
      <c r="J1391" s="231"/>
      <c r="K1391" s="231"/>
      <c r="L1391" s="231"/>
      <c r="M1391" s="231"/>
      <c r="N1391" s="231"/>
      <c r="O1391" s="231"/>
      <c r="P1391" s="231"/>
      <c r="Q1391" s="231"/>
      <c r="R1391" s="231"/>
      <c r="S1391" s="231"/>
      <c r="T1391" s="231"/>
      <c r="U1391" s="231"/>
      <c r="V1391" s="231"/>
      <c r="W1391" s="231"/>
      <c r="X1391" s="231"/>
      <c r="Y1391" s="231"/>
      <c r="Z1391" s="231"/>
      <c r="AA1391" s="231"/>
      <c r="AB1391" s="22">
        <f t="shared" si="443"/>
        <v>0</v>
      </c>
      <c r="AC1391" s="23">
        <v>0</v>
      </c>
      <c r="AD1391" s="35">
        <v>160</v>
      </c>
      <c r="AE1391" s="35"/>
      <c r="AF1391" s="35"/>
      <c r="AG1391" s="35"/>
      <c r="AH1391" s="35">
        <v>150</v>
      </c>
      <c r="AI1391" s="35"/>
      <c r="AJ1391" s="35"/>
      <c r="AK1391" s="35"/>
      <c r="AL1391" s="35">
        <v>68</v>
      </c>
      <c r="AM1391" s="35"/>
      <c r="AN1391" s="35"/>
      <c r="AO1391" s="35"/>
      <c r="AP1391" s="35">
        <f>20+9</f>
        <v>29</v>
      </c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22">
        <f t="shared" si="444"/>
        <v>407</v>
      </c>
      <c r="BC1391" s="23">
        <v>245</v>
      </c>
      <c r="BD1391" s="130">
        <f t="shared" si="445"/>
        <v>407</v>
      </c>
      <c r="BE1391" s="130">
        <f t="shared" si="446"/>
        <v>245</v>
      </c>
      <c r="BF1391" s="195">
        <f t="shared" si="447"/>
        <v>166.12244897959184</v>
      </c>
      <c r="BG1391" s="373">
        <f t="shared" si="448"/>
        <v>-162</v>
      </c>
    </row>
    <row r="1392" spans="1:59" s="21" customFormat="1" ht="15.95" customHeight="1">
      <c r="A1392" s="176">
        <v>134</v>
      </c>
      <c r="B1392" s="31" t="s">
        <v>1030</v>
      </c>
      <c r="C1392" s="32" t="s">
        <v>3467</v>
      </c>
      <c r="D1392" s="231"/>
      <c r="E1392" s="231"/>
      <c r="F1392" s="231"/>
      <c r="G1392" s="231"/>
      <c r="H1392" s="231"/>
      <c r="I1392" s="231"/>
      <c r="J1392" s="231"/>
      <c r="K1392" s="231"/>
      <c r="L1392" s="231">
        <v>1</v>
      </c>
      <c r="M1392" s="231"/>
      <c r="N1392" s="231"/>
      <c r="O1392" s="231"/>
      <c r="P1392" s="231"/>
      <c r="Q1392" s="231"/>
      <c r="R1392" s="231"/>
      <c r="S1392" s="231"/>
      <c r="T1392" s="231"/>
      <c r="U1392" s="231"/>
      <c r="V1392" s="231"/>
      <c r="W1392" s="231"/>
      <c r="X1392" s="231"/>
      <c r="Y1392" s="231"/>
      <c r="Z1392" s="231"/>
      <c r="AA1392" s="231"/>
      <c r="AB1392" s="22">
        <f t="shared" si="443"/>
        <v>1</v>
      </c>
      <c r="AC1392" s="23">
        <v>0</v>
      </c>
      <c r="AD1392" s="35">
        <v>2661</v>
      </c>
      <c r="AE1392" s="35"/>
      <c r="AF1392" s="35"/>
      <c r="AG1392" s="35"/>
      <c r="AH1392" s="35">
        <f>1842+2</f>
        <v>1844</v>
      </c>
      <c r="AI1392" s="35"/>
      <c r="AJ1392" s="35"/>
      <c r="AK1392" s="35"/>
      <c r="AL1392" s="35">
        <v>1044</v>
      </c>
      <c r="AM1392" s="35"/>
      <c r="AN1392" s="35"/>
      <c r="AO1392" s="35"/>
      <c r="AP1392" s="35">
        <f>56+173</f>
        <v>229</v>
      </c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22">
        <f t="shared" si="444"/>
        <v>5778</v>
      </c>
      <c r="BC1392" s="23">
        <v>4232</v>
      </c>
      <c r="BD1392" s="130">
        <f t="shared" si="445"/>
        <v>5779</v>
      </c>
      <c r="BE1392" s="130">
        <f t="shared" si="446"/>
        <v>4232</v>
      </c>
      <c r="BF1392" s="195">
        <f t="shared" si="447"/>
        <v>136.55482041587902</v>
      </c>
      <c r="BG1392" s="373">
        <f t="shared" si="448"/>
        <v>-1547</v>
      </c>
    </row>
    <row r="1393" spans="1:59" s="21" customFormat="1" ht="15.95" customHeight="1">
      <c r="A1393" s="176">
        <v>135</v>
      </c>
      <c r="B1393" s="31" t="s">
        <v>1032</v>
      </c>
      <c r="C1393" s="32" t="s">
        <v>1033</v>
      </c>
      <c r="D1393" s="231"/>
      <c r="E1393" s="231"/>
      <c r="F1393" s="231"/>
      <c r="G1393" s="231"/>
      <c r="H1393" s="231"/>
      <c r="I1393" s="231"/>
      <c r="J1393" s="231"/>
      <c r="K1393" s="231"/>
      <c r="L1393" s="231"/>
      <c r="M1393" s="231"/>
      <c r="N1393" s="231"/>
      <c r="O1393" s="231"/>
      <c r="P1393" s="231"/>
      <c r="Q1393" s="231"/>
      <c r="R1393" s="231"/>
      <c r="S1393" s="231"/>
      <c r="T1393" s="231"/>
      <c r="U1393" s="231"/>
      <c r="V1393" s="231"/>
      <c r="W1393" s="231"/>
      <c r="X1393" s="231"/>
      <c r="Y1393" s="231"/>
      <c r="Z1393" s="231"/>
      <c r="AA1393" s="231"/>
      <c r="AB1393" s="22">
        <f t="shared" si="443"/>
        <v>0</v>
      </c>
      <c r="AC1393" s="23">
        <v>0</v>
      </c>
      <c r="AD1393" s="35">
        <v>351</v>
      </c>
      <c r="AE1393" s="35"/>
      <c r="AF1393" s="35"/>
      <c r="AG1393" s="35"/>
      <c r="AH1393" s="35">
        <v>334</v>
      </c>
      <c r="AI1393" s="35"/>
      <c r="AJ1393" s="35"/>
      <c r="AK1393" s="35"/>
      <c r="AL1393" s="35">
        <v>197</v>
      </c>
      <c r="AM1393" s="35"/>
      <c r="AN1393" s="35"/>
      <c r="AO1393" s="35"/>
      <c r="AP1393" s="35">
        <f>23+24</f>
        <v>47</v>
      </c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22">
        <f t="shared" si="444"/>
        <v>929</v>
      </c>
      <c r="BC1393" s="23">
        <v>386</v>
      </c>
      <c r="BD1393" s="130">
        <f t="shared" si="445"/>
        <v>929</v>
      </c>
      <c r="BE1393" s="130">
        <f t="shared" si="446"/>
        <v>386</v>
      </c>
      <c r="BF1393" s="195">
        <f t="shared" si="447"/>
        <v>240.6735751295337</v>
      </c>
      <c r="BG1393" s="373">
        <f t="shared" si="448"/>
        <v>-543</v>
      </c>
    </row>
    <row r="1394" spans="1:59" s="21" customFormat="1" ht="15.95" customHeight="1">
      <c r="A1394" s="176">
        <v>136</v>
      </c>
      <c r="B1394" s="31" t="s">
        <v>1654</v>
      </c>
      <c r="C1394" s="32" t="s">
        <v>1983</v>
      </c>
      <c r="D1394" s="231">
        <v>1</v>
      </c>
      <c r="E1394" s="231"/>
      <c r="F1394" s="231"/>
      <c r="G1394" s="231"/>
      <c r="H1394" s="231"/>
      <c r="I1394" s="231"/>
      <c r="J1394" s="231"/>
      <c r="K1394" s="231"/>
      <c r="L1394" s="231"/>
      <c r="M1394" s="231"/>
      <c r="N1394" s="231"/>
      <c r="O1394" s="231"/>
      <c r="P1394" s="231"/>
      <c r="Q1394" s="231"/>
      <c r="R1394" s="231"/>
      <c r="S1394" s="231"/>
      <c r="T1394" s="231"/>
      <c r="U1394" s="231"/>
      <c r="V1394" s="231"/>
      <c r="W1394" s="231"/>
      <c r="X1394" s="231"/>
      <c r="Y1394" s="231"/>
      <c r="Z1394" s="231"/>
      <c r="AA1394" s="231"/>
      <c r="AB1394" s="22">
        <f t="shared" si="443"/>
        <v>1</v>
      </c>
      <c r="AC1394" s="23">
        <v>0</v>
      </c>
      <c r="AD1394" s="35">
        <v>742</v>
      </c>
      <c r="AE1394" s="35"/>
      <c r="AF1394" s="35"/>
      <c r="AG1394" s="35"/>
      <c r="AH1394" s="35">
        <v>591</v>
      </c>
      <c r="AI1394" s="35"/>
      <c r="AJ1394" s="35"/>
      <c r="AK1394" s="35"/>
      <c r="AL1394" s="35">
        <v>368</v>
      </c>
      <c r="AM1394" s="35"/>
      <c r="AN1394" s="35"/>
      <c r="AO1394" s="35"/>
      <c r="AP1394" s="35">
        <f>24+41</f>
        <v>65</v>
      </c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22">
        <f t="shared" si="444"/>
        <v>1766</v>
      </c>
      <c r="BC1394" s="23">
        <v>247</v>
      </c>
      <c r="BD1394" s="130">
        <f t="shared" si="445"/>
        <v>1767</v>
      </c>
      <c r="BE1394" s="130">
        <f t="shared" si="446"/>
        <v>247</v>
      </c>
      <c r="BF1394" s="195">
        <f t="shared" si="447"/>
        <v>715.38461538461547</v>
      </c>
      <c r="BG1394" s="373">
        <f t="shared" si="448"/>
        <v>-1520</v>
      </c>
    </row>
    <row r="1395" spans="1:59" s="21" customFormat="1" ht="15.95" customHeight="1">
      <c r="A1395" s="176">
        <v>137</v>
      </c>
      <c r="B1395" s="31" t="s">
        <v>1656</v>
      </c>
      <c r="C1395" s="32" t="s">
        <v>1657</v>
      </c>
      <c r="D1395" s="274"/>
      <c r="E1395" s="274"/>
      <c r="F1395" s="274"/>
      <c r="G1395" s="274"/>
      <c r="H1395" s="274"/>
      <c r="I1395" s="274"/>
      <c r="J1395" s="274"/>
      <c r="K1395" s="274"/>
      <c r="L1395" s="274"/>
      <c r="M1395" s="274"/>
      <c r="N1395" s="274"/>
      <c r="O1395" s="274"/>
      <c r="P1395" s="274"/>
      <c r="Q1395" s="274"/>
      <c r="R1395" s="274"/>
      <c r="S1395" s="274"/>
      <c r="T1395" s="274"/>
      <c r="U1395" s="274"/>
      <c r="V1395" s="274"/>
      <c r="W1395" s="274"/>
      <c r="X1395" s="274"/>
      <c r="Y1395" s="274"/>
      <c r="Z1395" s="274"/>
      <c r="AA1395" s="274"/>
      <c r="AB1395" s="22">
        <f t="shared" si="443"/>
        <v>0</v>
      </c>
      <c r="AC1395" s="23">
        <v>0</v>
      </c>
      <c r="AD1395" s="35">
        <f>54+80</f>
        <v>134</v>
      </c>
      <c r="AE1395" s="35"/>
      <c r="AF1395" s="35"/>
      <c r="AG1395" s="35"/>
      <c r="AH1395" s="35">
        <f>20+19</f>
        <v>39</v>
      </c>
      <c r="AI1395" s="35"/>
      <c r="AJ1395" s="35"/>
      <c r="AK1395" s="35"/>
      <c r="AL1395" s="35">
        <f>21+110</f>
        <v>131</v>
      </c>
      <c r="AM1395" s="35"/>
      <c r="AN1395" s="35"/>
      <c r="AO1395" s="35"/>
      <c r="AP1395" s="35">
        <v>7</v>
      </c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22">
        <f t="shared" si="444"/>
        <v>311</v>
      </c>
      <c r="BC1395" s="23">
        <v>62</v>
      </c>
      <c r="BD1395" s="130">
        <f t="shared" si="445"/>
        <v>311</v>
      </c>
      <c r="BE1395" s="130">
        <f t="shared" si="446"/>
        <v>62</v>
      </c>
      <c r="BF1395" s="195">
        <f t="shared" si="447"/>
        <v>501.61290322580652</v>
      </c>
      <c r="BG1395" s="373">
        <f t="shared" si="448"/>
        <v>-249</v>
      </c>
    </row>
    <row r="1396" spans="1:59" s="21" customFormat="1" ht="15.95" customHeight="1">
      <c r="A1396" s="176">
        <v>138</v>
      </c>
      <c r="B1396" s="31" t="s">
        <v>1658</v>
      </c>
      <c r="C1396" s="32" t="s">
        <v>2255</v>
      </c>
      <c r="D1396" s="231"/>
      <c r="E1396" s="231"/>
      <c r="F1396" s="231"/>
      <c r="G1396" s="231"/>
      <c r="H1396" s="231"/>
      <c r="I1396" s="231"/>
      <c r="J1396" s="231"/>
      <c r="K1396" s="231"/>
      <c r="L1396" s="231"/>
      <c r="M1396" s="231"/>
      <c r="N1396" s="231"/>
      <c r="O1396" s="231"/>
      <c r="P1396" s="231"/>
      <c r="Q1396" s="231"/>
      <c r="R1396" s="231"/>
      <c r="S1396" s="231"/>
      <c r="T1396" s="231"/>
      <c r="U1396" s="231"/>
      <c r="V1396" s="231"/>
      <c r="W1396" s="231"/>
      <c r="X1396" s="231"/>
      <c r="Y1396" s="231"/>
      <c r="Z1396" s="231"/>
      <c r="AA1396" s="231"/>
      <c r="AB1396" s="22">
        <f t="shared" si="443"/>
        <v>0</v>
      </c>
      <c r="AC1396" s="23">
        <v>0</v>
      </c>
      <c r="AD1396" s="35">
        <v>397</v>
      </c>
      <c r="AE1396" s="35"/>
      <c r="AF1396" s="35"/>
      <c r="AG1396" s="35"/>
      <c r="AH1396" s="35">
        <v>401</v>
      </c>
      <c r="AI1396" s="35"/>
      <c r="AJ1396" s="35"/>
      <c r="AK1396" s="35"/>
      <c r="AL1396" s="35">
        <v>191</v>
      </c>
      <c r="AM1396" s="35"/>
      <c r="AN1396" s="35"/>
      <c r="AO1396" s="35"/>
      <c r="AP1396" s="35">
        <f>25+39</f>
        <v>64</v>
      </c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22">
        <f t="shared" si="444"/>
        <v>1053</v>
      </c>
      <c r="BC1396" s="23">
        <v>1</v>
      </c>
      <c r="BD1396" s="130">
        <f t="shared" si="445"/>
        <v>1053</v>
      </c>
      <c r="BE1396" s="130">
        <f t="shared" si="446"/>
        <v>1</v>
      </c>
      <c r="BF1396" s="195">
        <f t="shared" si="447"/>
        <v>105300</v>
      </c>
      <c r="BG1396" s="373">
        <f t="shared" si="448"/>
        <v>-1052</v>
      </c>
    </row>
    <row r="1397" spans="1:59" s="21" customFormat="1" ht="15.95" customHeight="1">
      <c r="A1397" s="176">
        <v>139</v>
      </c>
      <c r="B1397" s="31" t="s">
        <v>1034</v>
      </c>
      <c r="C1397" s="34" t="s">
        <v>1660</v>
      </c>
      <c r="D1397" s="231">
        <v>9</v>
      </c>
      <c r="E1397" s="231"/>
      <c r="F1397" s="231"/>
      <c r="G1397" s="231"/>
      <c r="H1397" s="231"/>
      <c r="I1397" s="231"/>
      <c r="J1397" s="231"/>
      <c r="K1397" s="231"/>
      <c r="L1397" s="231">
        <v>3</v>
      </c>
      <c r="M1397" s="231"/>
      <c r="N1397" s="231"/>
      <c r="O1397" s="231"/>
      <c r="P1397" s="231"/>
      <c r="Q1397" s="231"/>
      <c r="R1397" s="231"/>
      <c r="S1397" s="231"/>
      <c r="T1397" s="231"/>
      <c r="U1397" s="231"/>
      <c r="V1397" s="231"/>
      <c r="W1397" s="231"/>
      <c r="X1397" s="231"/>
      <c r="Y1397" s="231"/>
      <c r="Z1397" s="231"/>
      <c r="AA1397" s="231"/>
      <c r="AB1397" s="22">
        <f t="shared" si="443"/>
        <v>12</v>
      </c>
      <c r="AC1397" s="23">
        <v>0</v>
      </c>
      <c r="AD1397" s="35">
        <f>12353+13394</f>
        <v>25747</v>
      </c>
      <c r="AE1397" s="35"/>
      <c r="AF1397" s="35"/>
      <c r="AG1397" s="35"/>
      <c r="AH1397" s="35">
        <f>8+8186+9780+263</f>
        <v>18237</v>
      </c>
      <c r="AI1397" s="35"/>
      <c r="AJ1397" s="35"/>
      <c r="AK1397" s="35"/>
      <c r="AL1397" s="35">
        <f>5257+7171+1530</f>
        <v>13958</v>
      </c>
      <c r="AM1397" s="35"/>
      <c r="AN1397" s="35"/>
      <c r="AO1397" s="35"/>
      <c r="AP1397" s="35">
        <f>295+619+3013</f>
        <v>3927</v>
      </c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22">
        <f t="shared" si="444"/>
        <v>61869</v>
      </c>
      <c r="BC1397" s="23">
        <v>7311</v>
      </c>
      <c r="BD1397" s="130">
        <f t="shared" si="445"/>
        <v>61881</v>
      </c>
      <c r="BE1397" s="130">
        <f t="shared" si="446"/>
        <v>7311</v>
      </c>
      <c r="BF1397" s="195">
        <f t="shared" si="447"/>
        <v>846.40951990151837</v>
      </c>
      <c r="BG1397" s="373">
        <f t="shared" si="448"/>
        <v>-54570</v>
      </c>
    </row>
    <row r="1398" spans="1:59" s="21" customFormat="1" ht="15.95" customHeight="1">
      <c r="A1398" s="176">
        <v>140</v>
      </c>
      <c r="B1398" s="31" t="s">
        <v>1035</v>
      </c>
      <c r="C1398" s="34" t="s">
        <v>2422</v>
      </c>
      <c r="D1398" s="407"/>
      <c r="E1398" s="407"/>
      <c r="F1398" s="407"/>
      <c r="G1398" s="407"/>
      <c r="H1398" s="407"/>
      <c r="I1398" s="407"/>
      <c r="J1398" s="407"/>
      <c r="K1398" s="407"/>
      <c r="L1398" s="407"/>
      <c r="M1398" s="407"/>
      <c r="N1398" s="407"/>
      <c r="O1398" s="407"/>
      <c r="P1398" s="407"/>
      <c r="Q1398" s="407"/>
      <c r="R1398" s="407"/>
      <c r="S1398" s="407"/>
      <c r="T1398" s="407"/>
      <c r="U1398" s="407"/>
      <c r="V1398" s="407"/>
      <c r="W1398" s="407"/>
      <c r="X1398" s="407"/>
      <c r="Y1398" s="407"/>
      <c r="Z1398" s="407"/>
      <c r="AA1398" s="407"/>
      <c r="AB1398" s="22">
        <f t="shared" si="443"/>
        <v>0</v>
      </c>
      <c r="AC1398" s="23">
        <v>0</v>
      </c>
      <c r="AD1398" s="35">
        <v>11</v>
      </c>
      <c r="AE1398" s="35"/>
      <c r="AF1398" s="35"/>
      <c r="AG1398" s="35"/>
      <c r="AH1398" s="35">
        <v>13</v>
      </c>
      <c r="AI1398" s="35"/>
      <c r="AJ1398" s="35"/>
      <c r="AK1398" s="35"/>
      <c r="AL1398" s="35">
        <v>15</v>
      </c>
      <c r="AM1398" s="35"/>
      <c r="AN1398" s="35"/>
      <c r="AO1398" s="35"/>
      <c r="AP1398" s="35">
        <v>2</v>
      </c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22">
        <f t="shared" si="444"/>
        <v>41</v>
      </c>
      <c r="BC1398" s="23">
        <v>0</v>
      </c>
      <c r="BD1398" s="130">
        <f t="shared" si="445"/>
        <v>41</v>
      </c>
      <c r="BE1398" s="130">
        <f t="shared" si="446"/>
        <v>0</v>
      </c>
      <c r="BF1398" s="195" t="e">
        <f t="shared" si="447"/>
        <v>#DIV/0!</v>
      </c>
      <c r="BG1398" s="373"/>
    </row>
    <row r="1399" spans="1:59" s="21" customFormat="1" ht="15.95" customHeight="1">
      <c r="A1399" s="176">
        <v>141</v>
      </c>
      <c r="B1399" s="31" t="s">
        <v>2421</v>
      </c>
      <c r="C1399" s="34" t="s">
        <v>2423</v>
      </c>
      <c r="D1399" s="524"/>
      <c r="E1399" s="524"/>
      <c r="F1399" s="524"/>
      <c r="G1399" s="524"/>
      <c r="H1399" s="524"/>
      <c r="I1399" s="524"/>
      <c r="J1399" s="524"/>
      <c r="K1399" s="524"/>
      <c r="L1399" s="524"/>
      <c r="M1399" s="524"/>
      <c r="N1399" s="524"/>
      <c r="O1399" s="524"/>
      <c r="P1399" s="524"/>
      <c r="Q1399" s="524"/>
      <c r="R1399" s="524"/>
      <c r="S1399" s="524"/>
      <c r="T1399" s="524"/>
      <c r="U1399" s="524"/>
      <c r="V1399" s="524"/>
      <c r="W1399" s="524"/>
      <c r="X1399" s="524"/>
      <c r="Y1399" s="524"/>
      <c r="Z1399" s="524"/>
      <c r="AA1399" s="524"/>
      <c r="AB1399" s="22">
        <f t="shared" si="443"/>
        <v>0</v>
      </c>
      <c r="AC1399" s="23">
        <v>0</v>
      </c>
      <c r="AD1399" s="35"/>
      <c r="AE1399" s="35"/>
      <c r="AF1399" s="35"/>
      <c r="AG1399" s="35"/>
      <c r="AH1399" s="35">
        <v>6</v>
      </c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22">
        <f t="shared" si="444"/>
        <v>6</v>
      </c>
      <c r="BC1399" s="23">
        <v>0</v>
      </c>
      <c r="BD1399" s="130">
        <f t="shared" si="445"/>
        <v>6</v>
      </c>
      <c r="BE1399" s="130">
        <f t="shared" si="446"/>
        <v>0</v>
      </c>
      <c r="BF1399" s="195" t="e">
        <f t="shared" si="447"/>
        <v>#DIV/0!</v>
      </c>
      <c r="BG1399" s="373"/>
    </row>
    <row r="1400" spans="1:59" s="21" customFormat="1" ht="15.95" customHeight="1">
      <c r="A1400" s="176">
        <v>142</v>
      </c>
      <c r="B1400" s="31" t="s">
        <v>3811</v>
      </c>
      <c r="C1400" s="34" t="s">
        <v>3812</v>
      </c>
      <c r="D1400" s="523"/>
      <c r="E1400" s="523"/>
      <c r="F1400" s="523"/>
      <c r="G1400" s="523"/>
      <c r="H1400" s="523"/>
      <c r="I1400" s="523"/>
      <c r="J1400" s="523"/>
      <c r="K1400" s="523"/>
      <c r="L1400" s="523"/>
      <c r="M1400" s="523"/>
      <c r="N1400" s="523"/>
      <c r="O1400" s="523"/>
      <c r="P1400" s="523"/>
      <c r="Q1400" s="523"/>
      <c r="R1400" s="523"/>
      <c r="S1400" s="523"/>
      <c r="T1400" s="523"/>
      <c r="U1400" s="523"/>
      <c r="V1400" s="523"/>
      <c r="W1400" s="523"/>
      <c r="X1400" s="523"/>
      <c r="Y1400" s="523"/>
      <c r="Z1400" s="523"/>
      <c r="AA1400" s="523"/>
      <c r="AB1400" s="22">
        <f t="shared" si="443"/>
        <v>0</v>
      </c>
      <c r="AC1400" s="23">
        <v>0</v>
      </c>
      <c r="AD1400" s="35"/>
      <c r="AE1400" s="35"/>
      <c r="AF1400" s="35"/>
      <c r="AG1400" s="35"/>
      <c r="AH1400" s="35">
        <v>1</v>
      </c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22">
        <f t="shared" si="444"/>
        <v>1</v>
      </c>
      <c r="BC1400" s="23">
        <v>0</v>
      </c>
      <c r="BD1400" s="130">
        <f t="shared" si="445"/>
        <v>1</v>
      </c>
      <c r="BE1400" s="130">
        <f t="shared" si="446"/>
        <v>0</v>
      </c>
      <c r="BF1400" s="195" t="e">
        <f t="shared" si="447"/>
        <v>#DIV/0!</v>
      </c>
      <c r="BG1400" s="373"/>
    </row>
    <row r="1401" spans="1:59" s="21" customFormat="1" ht="15.95" customHeight="1">
      <c r="A1401" s="176">
        <v>143</v>
      </c>
      <c r="B1401" s="31" t="s">
        <v>2629</v>
      </c>
      <c r="C1401" s="34" t="s">
        <v>3186</v>
      </c>
      <c r="D1401" s="524"/>
      <c r="E1401" s="524"/>
      <c r="F1401" s="524"/>
      <c r="G1401" s="524"/>
      <c r="H1401" s="524"/>
      <c r="I1401" s="524"/>
      <c r="J1401" s="524"/>
      <c r="K1401" s="524"/>
      <c r="L1401" s="524"/>
      <c r="M1401" s="524"/>
      <c r="N1401" s="524"/>
      <c r="O1401" s="524"/>
      <c r="P1401" s="524"/>
      <c r="Q1401" s="524"/>
      <c r="R1401" s="524"/>
      <c r="S1401" s="524"/>
      <c r="T1401" s="524"/>
      <c r="U1401" s="524"/>
      <c r="V1401" s="524"/>
      <c r="W1401" s="524"/>
      <c r="X1401" s="524"/>
      <c r="Y1401" s="524"/>
      <c r="Z1401" s="524"/>
      <c r="AA1401" s="524"/>
      <c r="AB1401" s="22">
        <f t="shared" si="443"/>
        <v>0</v>
      </c>
      <c r="AC1401" s="23">
        <v>0</v>
      </c>
      <c r="AD1401" s="35"/>
      <c r="AE1401" s="35"/>
      <c r="AF1401" s="35"/>
      <c r="AG1401" s="35"/>
      <c r="AH1401" s="35">
        <v>5</v>
      </c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22">
        <f t="shared" si="444"/>
        <v>5</v>
      </c>
      <c r="BC1401" s="23">
        <v>0</v>
      </c>
      <c r="BD1401" s="130">
        <f t="shared" si="445"/>
        <v>5</v>
      </c>
      <c r="BE1401" s="130">
        <f t="shared" si="446"/>
        <v>0</v>
      </c>
      <c r="BF1401" s="195" t="e">
        <f t="shared" si="447"/>
        <v>#DIV/0!</v>
      </c>
      <c r="BG1401" s="373"/>
    </row>
    <row r="1402" spans="1:59" s="21" customFormat="1" ht="15.95" customHeight="1">
      <c r="A1402" s="176">
        <v>144</v>
      </c>
      <c r="B1402" s="31" t="s">
        <v>977</v>
      </c>
      <c r="C1402" s="34" t="s">
        <v>2305</v>
      </c>
      <c r="D1402" s="231"/>
      <c r="E1402" s="231"/>
      <c r="F1402" s="231"/>
      <c r="G1402" s="231"/>
      <c r="H1402" s="231"/>
      <c r="I1402" s="231"/>
      <c r="J1402" s="231"/>
      <c r="K1402" s="231"/>
      <c r="L1402" s="231"/>
      <c r="M1402" s="231"/>
      <c r="N1402" s="231"/>
      <c r="O1402" s="231"/>
      <c r="P1402" s="231"/>
      <c r="Q1402" s="231"/>
      <c r="R1402" s="231"/>
      <c r="S1402" s="231"/>
      <c r="T1402" s="231"/>
      <c r="U1402" s="231"/>
      <c r="V1402" s="231"/>
      <c r="W1402" s="231"/>
      <c r="X1402" s="231"/>
      <c r="Y1402" s="231"/>
      <c r="Z1402" s="231"/>
      <c r="AA1402" s="231"/>
      <c r="AB1402" s="22">
        <f t="shared" si="443"/>
        <v>0</v>
      </c>
      <c r="AC1402" s="23">
        <v>0</v>
      </c>
      <c r="AD1402" s="35">
        <f>23+1</f>
        <v>24</v>
      </c>
      <c r="AE1402" s="35"/>
      <c r="AF1402" s="35"/>
      <c r="AG1402" s="35"/>
      <c r="AH1402" s="35">
        <f>10+8+6</f>
        <v>24</v>
      </c>
      <c r="AI1402" s="35"/>
      <c r="AJ1402" s="35"/>
      <c r="AK1402" s="35"/>
      <c r="AL1402" s="35">
        <f>4+5+15</f>
        <v>24</v>
      </c>
      <c r="AM1402" s="35"/>
      <c r="AN1402" s="35"/>
      <c r="AO1402" s="35"/>
      <c r="AP1402" s="35">
        <v>21</v>
      </c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22">
        <f t="shared" si="444"/>
        <v>93</v>
      </c>
      <c r="BC1402" s="23">
        <v>63</v>
      </c>
      <c r="BD1402" s="130">
        <f t="shared" si="445"/>
        <v>93</v>
      </c>
      <c r="BE1402" s="130">
        <f t="shared" si="446"/>
        <v>63</v>
      </c>
      <c r="BF1402" s="195">
        <f t="shared" si="447"/>
        <v>147.61904761904762</v>
      </c>
      <c r="BG1402" s="373">
        <f>BE1402-BD1402</f>
        <v>-30</v>
      </c>
    </row>
    <row r="1403" spans="1:59" s="21" customFormat="1" ht="15.95" customHeight="1">
      <c r="A1403" s="176">
        <v>145</v>
      </c>
      <c r="B1403" s="31" t="s">
        <v>1091</v>
      </c>
      <c r="C1403" s="34" t="s">
        <v>2581</v>
      </c>
      <c r="D1403" s="231"/>
      <c r="E1403" s="231"/>
      <c r="F1403" s="231"/>
      <c r="G1403" s="231"/>
      <c r="H1403" s="231"/>
      <c r="I1403" s="231"/>
      <c r="J1403" s="231"/>
      <c r="K1403" s="231"/>
      <c r="L1403" s="231"/>
      <c r="M1403" s="231"/>
      <c r="N1403" s="231"/>
      <c r="O1403" s="231"/>
      <c r="P1403" s="231"/>
      <c r="Q1403" s="231"/>
      <c r="R1403" s="231"/>
      <c r="S1403" s="231"/>
      <c r="T1403" s="231"/>
      <c r="U1403" s="231"/>
      <c r="V1403" s="231"/>
      <c r="W1403" s="231"/>
      <c r="X1403" s="231"/>
      <c r="Y1403" s="231"/>
      <c r="Z1403" s="231"/>
      <c r="AA1403" s="231"/>
      <c r="AB1403" s="22">
        <f t="shared" si="443"/>
        <v>0</v>
      </c>
      <c r="AC1403" s="23">
        <v>0</v>
      </c>
      <c r="AD1403" s="35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22">
        <f t="shared" si="444"/>
        <v>0</v>
      </c>
      <c r="BC1403" s="23">
        <v>1</v>
      </c>
      <c r="BD1403" s="130">
        <f t="shared" si="445"/>
        <v>0</v>
      </c>
      <c r="BE1403" s="130">
        <f t="shared" si="446"/>
        <v>1</v>
      </c>
      <c r="BF1403" s="195">
        <f t="shared" si="447"/>
        <v>0</v>
      </c>
      <c r="BG1403" s="373">
        <f>BE1403-BD1403</f>
        <v>1</v>
      </c>
    </row>
    <row r="1404" spans="1:59" s="21" customFormat="1" ht="15.95" customHeight="1">
      <c r="A1404" s="176">
        <v>146</v>
      </c>
      <c r="B1404" s="31" t="s">
        <v>868</v>
      </c>
      <c r="C1404" s="32" t="s">
        <v>924</v>
      </c>
      <c r="D1404" s="407"/>
      <c r="E1404" s="407"/>
      <c r="F1404" s="407"/>
      <c r="G1404" s="407"/>
      <c r="H1404" s="407"/>
      <c r="I1404" s="407"/>
      <c r="J1404" s="407"/>
      <c r="K1404" s="407"/>
      <c r="L1404" s="407"/>
      <c r="M1404" s="407"/>
      <c r="N1404" s="407"/>
      <c r="O1404" s="407"/>
      <c r="P1404" s="407"/>
      <c r="Q1404" s="407"/>
      <c r="R1404" s="407"/>
      <c r="S1404" s="407"/>
      <c r="T1404" s="407"/>
      <c r="U1404" s="407"/>
      <c r="V1404" s="407"/>
      <c r="W1404" s="407"/>
      <c r="X1404" s="407"/>
      <c r="Y1404" s="407"/>
      <c r="Z1404" s="407"/>
      <c r="AA1404" s="407"/>
      <c r="AB1404" s="22">
        <f t="shared" si="443"/>
        <v>0</v>
      </c>
      <c r="AC1404" s="23">
        <v>0</v>
      </c>
      <c r="AD1404" s="35"/>
      <c r="AE1404" s="35"/>
      <c r="AF1404" s="35"/>
      <c r="AG1404" s="35"/>
      <c r="AH1404" s="35">
        <v>2</v>
      </c>
      <c r="AI1404" s="35"/>
      <c r="AJ1404" s="35"/>
      <c r="AK1404" s="35"/>
      <c r="AL1404" s="35">
        <v>2</v>
      </c>
      <c r="AM1404" s="35"/>
      <c r="AN1404" s="35"/>
      <c r="AO1404" s="35"/>
      <c r="AP1404" s="35">
        <v>2</v>
      </c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22">
        <f t="shared" si="444"/>
        <v>6</v>
      </c>
      <c r="BC1404" s="23">
        <v>7</v>
      </c>
      <c r="BD1404" s="130">
        <f t="shared" si="445"/>
        <v>6</v>
      </c>
      <c r="BE1404" s="130">
        <f t="shared" si="446"/>
        <v>7</v>
      </c>
      <c r="BF1404" s="195">
        <f t="shared" si="447"/>
        <v>85.714285714285708</v>
      </c>
      <c r="BG1404" s="373">
        <f>BE1404-BD1404</f>
        <v>1</v>
      </c>
    </row>
    <row r="1405" spans="1:59" s="21" customFormat="1" ht="15.95" customHeight="1">
      <c r="A1405" s="176">
        <v>147</v>
      </c>
      <c r="B1405" s="31" t="s">
        <v>1361</v>
      </c>
      <c r="C1405" s="32" t="s">
        <v>1362</v>
      </c>
      <c r="D1405" s="231">
        <f>12031+1</f>
        <v>12032</v>
      </c>
      <c r="E1405" s="231"/>
      <c r="F1405" s="231"/>
      <c r="G1405" s="231"/>
      <c r="H1405" s="231"/>
      <c r="I1405" s="231"/>
      <c r="J1405" s="231"/>
      <c r="K1405" s="231"/>
      <c r="L1405" s="231">
        <v>2304</v>
      </c>
      <c r="M1405" s="231"/>
      <c r="N1405" s="231"/>
      <c r="O1405" s="231"/>
      <c r="P1405" s="231"/>
      <c r="Q1405" s="231"/>
      <c r="R1405" s="231"/>
      <c r="S1405" s="231"/>
      <c r="T1405" s="231"/>
      <c r="U1405" s="231"/>
      <c r="V1405" s="231"/>
      <c r="W1405" s="231"/>
      <c r="X1405" s="231"/>
      <c r="Y1405" s="231"/>
      <c r="Z1405" s="231"/>
      <c r="AA1405" s="231"/>
      <c r="AB1405" s="22">
        <f t="shared" si="443"/>
        <v>14336</v>
      </c>
      <c r="AC1405" s="23">
        <v>0</v>
      </c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22">
        <f t="shared" si="444"/>
        <v>0</v>
      </c>
      <c r="BC1405" s="23">
        <v>0</v>
      </c>
      <c r="BD1405" s="130">
        <f t="shared" si="445"/>
        <v>14336</v>
      </c>
      <c r="BE1405" s="130">
        <f t="shared" si="446"/>
        <v>0</v>
      </c>
      <c r="BF1405" s="195" t="e">
        <f t="shared" si="447"/>
        <v>#DIV/0!</v>
      </c>
      <c r="BG1405" s="373"/>
    </row>
    <row r="1406" spans="1:59" s="21" customFormat="1" ht="15.95" customHeight="1">
      <c r="A1406" s="176">
        <v>148</v>
      </c>
      <c r="B1406" s="441" t="s">
        <v>3050</v>
      </c>
      <c r="C1406" s="442" t="s">
        <v>3051</v>
      </c>
      <c r="D1406" s="231"/>
      <c r="E1406" s="231"/>
      <c r="F1406" s="231"/>
      <c r="G1406" s="231"/>
      <c r="H1406" s="231"/>
      <c r="I1406" s="231"/>
      <c r="J1406" s="231"/>
      <c r="K1406" s="231"/>
      <c r="L1406" s="231"/>
      <c r="M1406" s="231"/>
      <c r="N1406" s="231"/>
      <c r="O1406" s="231"/>
      <c r="P1406" s="231"/>
      <c r="Q1406" s="231"/>
      <c r="R1406" s="231"/>
      <c r="S1406" s="231"/>
      <c r="T1406" s="231"/>
      <c r="U1406" s="231"/>
      <c r="V1406" s="231"/>
      <c r="W1406" s="231"/>
      <c r="X1406" s="231"/>
      <c r="Y1406" s="231"/>
      <c r="Z1406" s="231"/>
      <c r="AA1406" s="231"/>
      <c r="AB1406" s="22">
        <f t="shared" si="443"/>
        <v>0</v>
      </c>
      <c r="AC1406" s="23">
        <f>2+6</f>
        <v>8</v>
      </c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22">
        <f t="shared" si="444"/>
        <v>0</v>
      </c>
      <c r="BC1406" s="23">
        <v>0</v>
      </c>
      <c r="BD1406" s="130">
        <f t="shared" si="445"/>
        <v>0</v>
      </c>
      <c r="BE1406" s="130">
        <f t="shared" si="446"/>
        <v>8</v>
      </c>
      <c r="BF1406" s="195">
        <f t="shared" si="447"/>
        <v>0</v>
      </c>
      <c r="BG1406" s="373">
        <f>BE1406-BD1406</f>
        <v>8</v>
      </c>
    </row>
    <row r="1407" spans="1:59" s="21" customFormat="1" ht="15.95" customHeight="1">
      <c r="A1407" s="176">
        <v>149</v>
      </c>
      <c r="B1407" s="443" t="s">
        <v>3052</v>
      </c>
      <c r="C1407" s="444" t="s">
        <v>3053</v>
      </c>
      <c r="D1407" s="231">
        <v>3</v>
      </c>
      <c r="E1407" s="231"/>
      <c r="F1407" s="231"/>
      <c r="G1407" s="231"/>
      <c r="H1407" s="231"/>
      <c r="I1407" s="231"/>
      <c r="J1407" s="231"/>
      <c r="K1407" s="231"/>
      <c r="L1407" s="231">
        <v>16</v>
      </c>
      <c r="M1407" s="231"/>
      <c r="N1407" s="231"/>
      <c r="O1407" s="231"/>
      <c r="P1407" s="231">
        <v>5</v>
      </c>
      <c r="Q1407" s="231"/>
      <c r="R1407" s="231"/>
      <c r="S1407" s="231"/>
      <c r="T1407" s="231"/>
      <c r="U1407" s="231"/>
      <c r="V1407" s="231"/>
      <c r="W1407" s="231"/>
      <c r="X1407" s="231"/>
      <c r="Y1407" s="231"/>
      <c r="Z1407" s="231"/>
      <c r="AA1407" s="231"/>
      <c r="AB1407" s="22">
        <f t="shared" si="443"/>
        <v>24</v>
      </c>
      <c r="AC1407" s="23">
        <f>43+53</f>
        <v>96</v>
      </c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22">
        <f t="shared" si="444"/>
        <v>0</v>
      </c>
      <c r="BC1407" s="23">
        <v>0</v>
      </c>
      <c r="BD1407" s="130">
        <f t="shared" si="445"/>
        <v>24</v>
      </c>
      <c r="BE1407" s="130">
        <f t="shared" si="446"/>
        <v>96</v>
      </c>
      <c r="BF1407" s="195">
        <f t="shared" si="447"/>
        <v>25</v>
      </c>
      <c r="BG1407" s="373">
        <f>BE1407-BD1407</f>
        <v>72</v>
      </c>
    </row>
    <row r="1408" spans="1:59" s="21" customFormat="1" ht="15.95" customHeight="1">
      <c r="A1408" s="176">
        <v>150</v>
      </c>
      <c r="B1408" s="441" t="s">
        <v>3047</v>
      </c>
      <c r="C1408" s="445" t="s">
        <v>3048</v>
      </c>
      <c r="D1408" s="231"/>
      <c r="E1408" s="231"/>
      <c r="F1408" s="231"/>
      <c r="G1408" s="231"/>
      <c r="H1408" s="231"/>
      <c r="I1408" s="231"/>
      <c r="J1408" s="231"/>
      <c r="K1408" s="231"/>
      <c r="L1408" s="231">
        <v>5733</v>
      </c>
      <c r="M1408" s="231"/>
      <c r="N1408" s="231"/>
      <c r="O1408" s="231"/>
      <c r="P1408" s="231"/>
      <c r="Q1408" s="231"/>
      <c r="R1408" s="231"/>
      <c r="S1408" s="231"/>
      <c r="T1408" s="231"/>
      <c r="U1408" s="231"/>
      <c r="V1408" s="231"/>
      <c r="W1408" s="231"/>
      <c r="X1408" s="231"/>
      <c r="Y1408" s="231"/>
      <c r="Z1408" s="231"/>
      <c r="AA1408" s="231"/>
      <c r="AB1408" s="22">
        <f t="shared" si="443"/>
        <v>5733</v>
      </c>
      <c r="AC1408" s="23">
        <v>661</v>
      </c>
      <c r="AD1408" s="35">
        <v>19419</v>
      </c>
      <c r="AE1408" s="35"/>
      <c r="AF1408" s="35"/>
      <c r="AG1408" s="35"/>
      <c r="AH1408" s="35">
        <v>8337</v>
      </c>
      <c r="AI1408" s="35"/>
      <c r="AJ1408" s="35"/>
      <c r="AK1408" s="35"/>
      <c r="AL1408" s="35">
        <v>8712</v>
      </c>
      <c r="AM1408" s="35"/>
      <c r="AN1408" s="35"/>
      <c r="AO1408" s="35"/>
      <c r="AP1408" s="35">
        <f>450+1311</f>
        <v>1761</v>
      </c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22">
        <f t="shared" si="444"/>
        <v>38229</v>
      </c>
      <c r="BC1408" s="23">
        <v>0</v>
      </c>
      <c r="BD1408" s="130">
        <f t="shared" si="445"/>
        <v>43962</v>
      </c>
      <c r="BE1408" s="130">
        <f t="shared" si="446"/>
        <v>661</v>
      </c>
      <c r="BF1408" s="195">
        <f t="shared" si="447"/>
        <v>6650.8320726172469</v>
      </c>
      <c r="BG1408" s="373">
        <f>BE1408-BD1408</f>
        <v>-43301</v>
      </c>
    </row>
    <row r="1409" spans="1:61" s="21" customFormat="1" ht="15.95" customHeight="1">
      <c r="A1409" s="636" t="s">
        <v>925</v>
      </c>
      <c r="B1409" s="637"/>
      <c r="C1409" s="637"/>
      <c r="D1409" s="98">
        <f t="shared" ref="D1409:AI1409" si="449">SUM(D1410:D1511)</f>
        <v>0</v>
      </c>
      <c r="E1409" s="98">
        <f t="shared" si="449"/>
        <v>0</v>
      </c>
      <c r="F1409" s="98">
        <f t="shared" si="449"/>
        <v>0</v>
      </c>
      <c r="G1409" s="98">
        <f t="shared" si="449"/>
        <v>141</v>
      </c>
      <c r="H1409" s="98">
        <f t="shared" si="449"/>
        <v>22</v>
      </c>
      <c r="I1409" s="98">
        <f t="shared" si="449"/>
        <v>0</v>
      </c>
      <c r="J1409" s="98">
        <f t="shared" si="449"/>
        <v>0</v>
      </c>
      <c r="K1409" s="98">
        <f t="shared" si="449"/>
        <v>261</v>
      </c>
      <c r="L1409" s="98">
        <f t="shared" si="449"/>
        <v>50</v>
      </c>
      <c r="M1409" s="98">
        <f t="shared" si="449"/>
        <v>0</v>
      </c>
      <c r="N1409" s="98">
        <f t="shared" si="449"/>
        <v>0</v>
      </c>
      <c r="O1409" s="98">
        <f t="shared" si="449"/>
        <v>923</v>
      </c>
      <c r="P1409" s="98">
        <f t="shared" si="449"/>
        <v>619</v>
      </c>
      <c r="Q1409" s="98">
        <f t="shared" si="449"/>
        <v>0</v>
      </c>
      <c r="R1409" s="98">
        <f t="shared" si="449"/>
        <v>0</v>
      </c>
      <c r="S1409" s="98">
        <f t="shared" si="449"/>
        <v>169</v>
      </c>
      <c r="T1409" s="98">
        <f t="shared" si="449"/>
        <v>0</v>
      </c>
      <c r="U1409" s="98">
        <f t="shared" si="449"/>
        <v>0</v>
      </c>
      <c r="V1409" s="98">
        <f t="shared" si="449"/>
        <v>0</v>
      </c>
      <c r="W1409" s="98">
        <f t="shared" si="449"/>
        <v>0</v>
      </c>
      <c r="X1409" s="98">
        <f t="shared" si="449"/>
        <v>0</v>
      </c>
      <c r="Y1409" s="98">
        <f t="shared" si="449"/>
        <v>0</v>
      </c>
      <c r="Z1409" s="98">
        <f t="shared" si="449"/>
        <v>0</v>
      </c>
      <c r="AA1409" s="98">
        <f t="shared" si="449"/>
        <v>0</v>
      </c>
      <c r="AB1409" s="98">
        <f t="shared" si="449"/>
        <v>2185</v>
      </c>
      <c r="AC1409" s="161">
        <f t="shared" si="449"/>
        <v>3288</v>
      </c>
      <c r="AD1409" s="130">
        <f t="shared" si="449"/>
        <v>174</v>
      </c>
      <c r="AE1409" s="130">
        <f t="shared" si="449"/>
        <v>0</v>
      </c>
      <c r="AF1409" s="130">
        <f t="shared" si="449"/>
        <v>0</v>
      </c>
      <c r="AG1409" s="130">
        <f t="shared" si="449"/>
        <v>0</v>
      </c>
      <c r="AH1409" s="130">
        <f t="shared" si="449"/>
        <v>1356</v>
      </c>
      <c r="AI1409" s="130">
        <f t="shared" si="449"/>
        <v>0</v>
      </c>
      <c r="AJ1409" s="130">
        <f t="shared" ref="AJ1409:BC1409" si="450">SUM(AJ1410:AJ1511)</f>
        <v>0</v>
      </c>
      <c r="AK1409" s="130">
        <f t="shared" si="450"/>
        <v>2</v>
      </c>
      <c r="AL1409" s="130">
        <f t="shared" si="450"/>
        <v>13984</v>
      </c>
      <c r="AM1409" s="130">
        <f t="shared" si="450"/>
        <v>0</v>
      </c>
      <c r="AN1409" s="130">
        <f t="shared" si="450"/>
        <v>0</v>
      </c>
      <c r="AO1409" s="130">
        <f t="shared" si="450"/>
        <v>0</v>
      </c>
      <c r="AP1409" s="130">
        <f t="shared" si="450"/>
        <v>13279</v>
      </c>
      <c r="AQ1409" s="130">
        <f t="shared" si="450"/>
        <v>0</v>
      </c>
      <c r="AR1409" s="130">
        <f t="shared" si="450"/>
        <v>0</v>
      </c>
      <c r="AS1409" s="130">
        <f t="shared" si="450"/>
        <v>0</v>
      </c>
      <c r="AT1409" s="130">
        <f t="shared" si="450"/>
        <v>0</v>
      </c>
      <c r="AU1409" s="130">
        <f t="shared" si="450"/>
        <v>0</v>
      </c>
      <c r="AV1409" s="130">
        <f t="shared" si="450"/>
        <v>0</v>
      </c>
      <c r="AW1409" s="130">
        <f t="shared" si="450"/>
        <v>0</v>
      </c>
      <c r="AX1409" s="130">
        <f t="shared" si="450"/>
        <v>0</v>
      </c>
      <c r="AY1409" s="130">
        <f t="shared" si="450"/>
        <v>0</v>
      </c>
      <c r="AZ1409" s="130">
        <f t="shared" si="450"/>
        <v>0</v>
      </c>
      <c r="BA1409" s="130">
        <f t="shared" si="450"/>
        <v>0</v>
      </c>
      <c r="BB1409" s="130">
        <f t="shared" si="450"/>
        <v>28795</v>
      </c>
      <c r="BC1409" s="103">
        <f t="shared" si="450"/>
        <v>57876</v>
      </c>
      <c r="BD1409" s="130">
        <f t="shared" ref="BD1409" si="451">AB1409+BB1409</f>
        <v>30980</v>
      </c>
      <c r="BE1409" s="130">
        <f t="shared" ref="BE1409" si="452">AC1409+BC1409</f>
        <v>61164</v>
      </c>
      <c r="BF1409" s="195">
        <f t="shared" ref="BF1409" si="453">BD1409/BE1409*100</f>
        <v>50.650709567719574</v>
      </c>
      <c r="BG1409" s="374">
        <f t="shared" ref="BG1409" si="454">BE1409-BD1409</f>
        <v>30184</v>
      </c>
    </row>
    <row r="1410" spans="1:61" s="21" customFormat="1" ht="21" customHeight="1">
      <c r="A1410" s="417">
        <v>1</v>
      </c>
      <c r="B1410" s="418" t="s">
        <v>1266</v>
      </c>
      <c r="C1410" s="419" t="s">
        <v>2207</v>
      </c>
      <c r="D1410" s="231"/>
      <c r="E1410" s="231"/>
      <c r="F1410" s="231"/>
      <c r="G1410" s="231"/>
      <c r="H1410" s="231"/>
      <c r="I1410" s="231"/>
      <c r="J1410" s="231"/>
      <c r="K1410" s="231">
        <v>9</v>
      </c>
      <c r="L1410" s="231"/>
      <c r="M1410" s="231"/>
      <c r="N1410" s="231"/>
      <c r="O1410" s="231">
        <f>89+3</f>
        <v>92</v>
      </c>
      <c r="P1410" s="231"/>
      <c r="Q1410" s="231"/>
      <c r="R1410" s="231"/>
      <c r="S1410" s="231">
        <v>112</v>
      </c>
      <c r="T1410" s="231"/>
      <c r="U1410" s="231"/>
      <c r="V1410" s="231"/>
      <c r="W1410" s="231"/>
      <c r="X1410" s="231"/>
      <c r="Y1410" s="231"/>
      <c r="Z1410" s="231"/>
      <c r="AA1410" s="231"/>
      <c r="AB1410" s="22">
        <f t="shared" ref="AB1410:AB1441" si="455">SUM(D1410:AA1410)</f>
        <v>213</v>
      </c>
      <c r="AC1410" s="23">
        <f>160+796</f>
        <v>956</v>
      </c>
      <c r="AD1410" s="35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22">
        <f t="shared" ref="BB1410:BB1441" si="456">SUM(AD1410:BA1410)</f>
        <v>0</v>
      </c>
      <c r="BC1410" s="23">
        <v>0</v>
      </c>
      <c r="BD1410" s="130">
        <f t="shared" ref="BD1410:BD1441" si="457">AB1410+BB1410</f>
        <v>213</v>
      </c>
      <c r="BE1410" s="130">
        <f t="shared" ref="BE1410:BE1441" si="458">AC1410+BC1410</f>
        <v>956</v>
      </c>
      <c r="BF1410" s="195">
        <f t="shared" ref="BF1410:BF1441" si="459">BD1410/BE1410*100</f>
        <v>22.280334728033473</v>
      </c>
      <c r="BG1410" s="373">
        <f>BE1410-BD1410</f>
        <v>743</v>
      </c>
      <c r="BH1410" s="426" t="s">
        <v>3675</v>
      </c>
      <c r="BI1410" s="421"/>
    </row>
    <row r="1411" spans="1:61" s="21" customFormat="1" ht="21" customHeight="1">
      <c r="A1411" s="417">
        <v>2</v>
      </c>
      <c r="B1411" s="418" t="s">
        <v>2218</v>
      </c>
      <c r="C1411" s="419" t="s">
        <v>2223</v>
      </c>
      <c r="D1411" s="231"/>
      <c r="E1411" s="231"/>
      <c r="F1411" s="231"/>
      <c r="G1411" s="231"/>
      <c r="H1411" s="231"/>
      <c r="I1411" s="231"/>
      <c r="J1411" s="231"/>
      <c r="K1411" s="231">
        <v>16</v>
      </c>
      <c r="L1411" s="231"/>
      <c r="M1411" s="231"/>
      <c r="N1411" s="231"/>
      <c r="O1411" s="231">
        <v>47</v>
      </c>
      <c r="P1411" s="231"/>
      <c r="Q1411" s="231"/>
      <c r="R1411" s="231"/>
      <c r="S1411" s="231">
        <f>56+1</f>
        <v>57</v>
      </c>
      <c r="T1411" s="231"/>
      <c r="U1411" s="231"/>
      <c r="V1411" s="231"/>
      <c r="W1411" s="231"/>
      <c r="X1411" s="231"/>
      <c r="Y1411" s="231"/>
      <c r="Z1411" s="231"/>
      <c r="AA1411" s="231"/>
      <c r="AB1411" s="22">
        <f t="shared" si="455"/>
        <v>120</v>
      </c>
      <c r="AC1411" s="23">
        <f>128+463</f>
        <v>591</v>
      </c>
      <c r="AD1411" s="35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22">
        <f t="shared" si="456"/>
        <v>0</v>
      </c>
      <c r="BC1411" s="23">
        <v>0</v>
      </c>
      <c r="BD1411" s="130">
        <f t="shared" si="457"/>
        <v>120</v>
      </c>
      <c r="BE1411" s="130">
        <f t="shared" si="458"/>
        <v>591</v>
      </c>
      <c r="BF1411" s="195">
        <f t="shared" si="459"/>
        <v>20.304568527918782</v>
      </c>
      <c r="BG1411" s="373">
        <f>BE1411-BD1411</f>
        <v>471</v>
      </c>
      <c r="BH1411" s="426" t="s">
        <v>3675</v>
      </c>
      <c r="BI1411" s="421"/>
    </row>
    <row r="1412" spans="1:61" s="21" customFormat="1" ht="21" customHeight="1">
      <c r="A1412" s="417">
        <v>3</v>
      </c>
      <c r="B1412" s="418" t="s">
        <v>2246</v>
      </c>
      <c r="C1412" s="419" t="s">
        <v>2247</v>
      </c>
      <c r="D1412" s="381"/>
      <c r="E1412" s="381"/>
      <c r="F1412" s="381"/>
      <c r="G1412" s="381">
        <v>141</v>
      </c>
      <c r="H1412" s="381"/>
      <c r="I1412" s="381"/>
      <c r="J1412" s="381"/>
      <c r="K1412" s="381">
        <f>235+1</f>
        <v>236</v>
      </c>
      <c r="L1412" s="381"/>
      <c r="M1412" s="381"/>
      <c r="N1412" s="381"/>
      <c r="O1412" s="381">
        <v>784</v>
      </c>
      <c r="P1412" s="381"/>
      <c r="Q1412" s="381"/>
      <c r="R1412" s="381"/>
      <c r="S1412" s="381"/>
      <c r="T1412" s="381"/>
      <c r="U1412" s="381"/>
      <c r="V1412" s="381"/>
      <c r="W1412" s="381"/>
      <c r="X1412" s="381"/>
      <c r="Y1412" s="381"/>
      <c r="Z1412" s="381"/>
      <c r="AA1412" s="381"/>
      <c r="AB1412" s="22">
        <f t="shared" si="455"/>
        <v>1161</v>
      </c>
      <c r="AC1412" s="23">
        <v>323</v>
      </c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22">
        <f t="shared" si="456"/>
        <v>0</v>
      </c>
      <c r="BC1412" s="23">
        <v>0</v>
      </c>
      <c r="BD1412" s="130">
        <f t="shared" si="457"/>
        <v>1161</v>
      </c>
      <c r="BE1412" s="130">
        <f t="shared" si="458"/>
        <v>323</v>
      </c>
      <c r="BF1412" s="195">
        <f t="shared" si="459"/>
        <v>359.44272445820434</v>
      </c>
      <c r="BG1412" s="373">
        <f>BE1412-BD1412</f>
        <v>-838</v>
      </c>
      <c r="BH1412" s="426" t="s">
        <v>3675</v>
      </c>
      <c r="BI1412" s="421"/>
    </row>
    <row r="1413" spans="1:61" s="21" customFormat="1" ht="15.95" customHeight="1">
      <c r="A1413" s="176">
        <v>4</v>
      </c>
      <c r="B1413" s="237" t="s">
        <v>732</v>
      </c>
      <c r="C1413" s="238" t="s">
        <v>733</v>
      </c>
      <c r="D1413" s="381"/>
      <c r="E1413" s="381"/>
      <c r="F1413" s="381"/>
      <c r="G1413" s="381"/>
      <c r="H1413" s="381"/>
      <c r="I1413" s="381"/>
      <c r="J1413" s="381"/>
      <c r="K1413" s="381"/>
      <c r="L1413" s="381"/>
      <c r="M1413" s="381"/>
      <c r="N1413" s="381"/>
      <c r="O1413" s="381"/>
      <c r="P1413" s="381"/>
      <c r="Q1413" s="381"/>
      <c r="R1413" s="381"/>
      <c r="S1413" s="381"/>
      <c r="T1413" s="381"/>
      <c r="U1413" s="381"/>
      <c r="V1413" s="381"/>
      <c r="W1413" s="381"/>
      <c r="X1413" s="381"/>
      <c r="Y1413" s="381"/>
      <c r="Z1413" s="381"/>
      <c r="AA1413" s="381"/>
      <c r="AB1413" s="22">
        <f t="shared" si="455"/>
        <v>0</v>
      </c>
      <c r="AC1413" s="23">
        <v>36</v>
      </c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22">
        <f t="shared" si="456"/>
        <v>0</v>
      </c>
      <c r="BC1413" s="23">
        <v>0</v>
      </c>
      <c r="BD1413" s="130">
        <f t="shared" si="457"/>
        <v>0</v>
      </c>
      <c r="BE1413" s="130">
        <f t="shared" si="458"/>
        <v>36</v>
      </c>
      <c r="BF1413" s="195">
        <f t="shared" si="459"/>
        <v>0</v>
      </c>
      <c r="BG1413" s="373">
        <f>BE1413-BD1413</f>
        <v>36</v>
      </c>
    </row>
    <row r="1414" spans="1:61" s="21" customFormat="1" ht="15.95" customHeight="1">
      <c r="A1414" s="176">
        <v>5</v>
      </c>
      <c r="B1414" s="31" t="s">
        <v>874</v>
      </c>
      <c r="C1414" s="32" t="s">
        <v>875</v>
      </c>
      <c r="D1414" s="381"/>
      <c r="E1414" s="381"/>
      <c r="F1414" s="381"/>
      <c r="G1414" s="381"/>
      <c r="H1414" s="381"/>
      <c r="I1414" s="381"/>
      <c r="J1414" s="381"/>
      <c r="K1414" s="381"/>
      <c r="L1414" s="381"/>
      <c r="M1414" s="381"/>
      <c r="N1414" s="381"/>
      <c r="O1414" s="381"/>
      <c r="P1414" s="381"/>
      <c r="Q1414" s="381"/>
      <c r="R1414" s="381"/>
      <c r="S1414" s="381"/>
      <c r="T1414" s="381"/>
      <c r="U1414" s="381"/>
      <c r="V1414" s="381"/>
      <c r="W1414" s="381"/>
      <c r="X1414" s="381"/>
      <c r="Y1414" s="381"/>
      <c r="Z1414" s="381"/>
      <c r="AA1414" s="381"/>
      <c r="AB1414" s="22">
        <f t="shared" si="455"/>
        <v>0</v>
      </c>
      <c r="AC1414" s="23">
        <v>0</v>
      </c>
      <c r="AD1414" s="35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22">
        <f t="shared" si="456"/>
        <v>0</v>
      </c>
      <c r="BC1414" s="23">
        <v>1</v>
      </c>
      <c r="BD1414" s="130">
        <f t="shared" si="457"/>
        <v>0</v>
      </c>
      <c r="BE1414" s="130">
        <f t="shared" si="458"/>
        <v>1</v>
      </c>
      <c r="BF1414" s="195">
        <f t="shared" si="459"/>
        <v>0</v>
      </c>
      <c r="BG1414" s="373">
        <f>BE1414-BD1414</f>
        <v>1</v>
      </c>
    </row>
    <row r="1415" spans="1:61" s="21" customFormat="1" ht="15.95" customHeight="1">
      <c r="A1415" s="176">
        <v>6</v>
      </c>
      <c r="B1415" s="31" t="s">
        <v>738</v>
      </c>
      <c r="C1415" s="32" t="s">
        <v>739</v>
      </c>
      <c r="D1415" s="580"/>
      <c r="E1415" s="580"/>
      <c r="F1415" s="580"/>
      <c r="G1415" s="580"/>
      <c r="H1415" s="580"/>
      <c r="I1415" s="580"/>
      <c r="J1415" s="580"/>
      <c r="K1415" s="580"/>
      <c r="L1415" s="580"/>
      <c r="M1415" s="580"/>
      <c r="N1415" s="580"/>
      <c r="O1415" s="580"/>
      <c r="P1415" s="580">
        <v>110</v>
      </c>
      <c r="Q1415" s="580"/>
      <c r="R1415" s="580"/>
      <c r="S1415" s="580"/>
      <c r="T1415" s="580"/>
      <c r="U1415" s="580"/>
      <c r="V1415" s="580"/>
      <c r="W1415" s="580"/>
      <c r="X1415" s="580"/>
      <c r="Y1415" s="580"/>
      <c r="Z1415" s="580"/>
      <c r="AA1415" s="580"/>
      <c r="AB1415" s="22">
        <f t="shared" si="455"/>
        <v>110</v>
      </c>
      <c r="AC1415" s="23">
        <v>0</v>
      </c>
      <c r="AD1415" s="35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22">
        <f t="shared" si="456"/>
        <v>0</v>
      </c>
      <c r="BC1415" s="23">
        <v>0</v>
      </c>
      <c r="BD1415" s="130">
        <f t="shared" si="457"/>
        <v>110</v>
      </c>
      <c r="BE1415" s="130">
        <f t="shared" si="458"/>
        <v>0</v>
      </c>
      <c r="BF1415" s="195" t="e">
        <f t="shared" si="459"/>
        <v>#DIV/0!</v>
      </c>
      <c r="BG1415" s="373"/>
    </row>
    <row r="1416" spans="1:61" s="21" customFormat="1" ht="15.95" customHeight="1">
      <c r="A1416" s="176">
        <v>7</v>
      </c>
      <c r="B1416" s="31" t="s">
        <v>746</v>
      </c>
      <c r="C1416" s="32" t="s">
        <v>747</v>
      </c>
      <c r="D1416" s="381"/>
      <c r="E1416" s="381"/>
      <c r="F1416" s="381"/>
      <c r="G1416" s="381"/>
      <c r="H1416" s="381"/>
      <c r="I1416" s="381"/>
      <c r="J1416" s="381"/>
      <c r="K1416" s="381"/>
      <c r="L1416" s="381"/>
      <c r="M1416" s="381"/>
      <c r="N1416" s="381"/>
      <c r="O1416" s="381"/>
      <c r="P1416" s="381"/>
      <c r="Q1416" s="381"/>
      <c r="R1416" s="381"/>
      <c r="S1416" s="381"/>
      <c r="T1416" s="381"/>
      <c r="U1416" s="381"/>
      <c r="V1416" s="381"/>
      <c r="W1416" s="381"/>
      <c r="X1416" s="381"/>
      <c r="Y1416" s="381"/>
      <c r="Z1416" s="381"/>
      <c r="AA1416" s="381"/>
      <c r="AB1416" s="22">
        <f t="shared" si="455"/>
        <v>0</v>
      </c>
      <c r="AC1416" s="23">
        <v>4</v>
      </c>
      <c r="AD1416" s="35"/>
      <c r="AE1416" s="35"/>
      <c r="AF1416" s="35"/>
      <c r="AG1416" s="35"/>
      <c r="AH1416" s="35">
        <v>12</v>
      </c>
      <c r="AI1416" s="35"/>
      <c r="AJ1416" s="35"/>
      <c r="AK1416" s="35"/>
      <c r="AL1416" s="35">
        <v>42</v>
      </c>
      <c r="AM1416" s="35"/>
      <c r="AN1416" s="35"/>
      <c r="AO1416" s="35"/>
      <c r="AP1416" s="35">
        <v>54</v>
      </c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22">
        <f t="shared" si="456"/>
        <v>108</v>
      </c>
      <c r="BC1416" s="23">
        <v>525</v>
      </c>
      <c r="BD1416" s="130">
        <f t="shared" si="457"/>
        <v>108</v>
      </c>
      <c r="BE1416" s="130">
        <f t="shared" si="458"/>
        <v>529</v>
      </c>
      <c r="BF1416" s="195">
        <f t="shared" si="459"/>
        <v>20.415879017013232</v>
      </c>
      <c r="BG1416" s="373">
        <f t="shared" ref="BG1416:BG1426" si="460">BE1416-BD1416</f>
        <v>421</v>
      </c>
    </row>
    <row r="1417" spans="1:61" s="21" customFormat="1" ht="15.95" customHeight="1">
      <c r="A1417" s="176">
        <v>8</v>
      </c>
      <c r="B1417" s="31" t="s">
        <v>881</v>
      </c>
      <c r="C1417" s="32" t="s">
        <v>882</v>
      </c>
      <c r="D1417" s="381"/>
      <c r="E1417" s="381"/>
      <c r="F1417" s="381"/>
      <c r="G1417" s="381"/>
      <c r="H1417" s="381"/>
      <c r="I1417" s="381"/>
      <c r="J1417" s="381"/>
      <c r="K1417" s="381"/>
      <c r="L1417" s="381"/>
      <c r="M1417" s="381"/>
      <c r="N1417" s="381"/>
      <c r="O1417" s="381"/>
      <c r="P1417" s="381"/>
      <c r="Q1417" s="381"/>
      <c r="R1417" s="381"/>
      <c r="S1417" s="381"/>
      <c r="T1417" s="381"/>
      <c r="U1417" s="381"/>
      <c r="V1417" s="381"/>
      <c r="W1417" s="381"/>
      <c r="X1417" s="381"/>
      <c r="Y1417" s="381"/>
      <c r="Z1417" s="381"/>
      <c r="AA1417" s="381"/>
      <c r="AB1417" s="22">
        <f t="shared" si="455"/>
        <v>0</v>
      </c>
      <c r="AC1417" s="23">
        <v>0</v>
      </c>
      <c r="AD1417" s="35"/>
      <c r="AE1417" s="35"/>
      <c r="AF1417" s="35"/>
      <c r="AG1417" s="35"/>
      <c r="AH1417" s="35">
        <v>27</v>
      </c>
      <c r="AI1417" s="35"/>
      <c r="AJ1417" s="35"/>
      <c r="AK1417" s="35"/>
      <c r="AL1417" s="35">
        <v>332</v>
      </c>
      <c r="AM1417" s="35"/>
      <c r="AN1417" s="35"/>
      <c r="AO1417" s="35"/>
      <c r="AP1417" s="35">
        <v>453</v>
      </c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22">
        <f t="shared" si="456"/>
        <v>812</v>
      </c>
      <c r="BC1417" s="23">
        <v>1875</v>
      </c>
      <c r="BD1417" s="130">
        <f t="shared" si="457"/>
        <v>812</v>
      </c>
      <c r="BE1417" s="130">
        <f t="shared" si="458"/>
        <v>1875</v>
      </c>
      <c r="BF1417" s="195">
        <f t="shared" si="459"/>
        <v>43.306666666666665</v>
      </c>
      <c r="BG1417" s="373">
        <f t="shared" si="460"/>
        <v>1063</v>
      </c>
    </row>
    <row r="1418" spans="1:61" s="21" customFormat="1" ht="15.95" customHeight="1">
      <c r="A1418" s="176">
        <v>9</v>
      </c>
      <c r="B1418" s="31" t="s">
        <v>748</v>
      </c>
      <c r="C1418" s="32" t="s">
        <v>749</v>
      </c>
      <c r="D1418" s="231"/>
      <c r="E1418" s="231"/>
      <c r="F1418" s="231"/>
      <c r="G1418" s="231"/>
      <c r="H1418" s="231"/>
      <c r="I1418" s="231"/>
      <c r="J1418" s="231"/>
      <c r="K1418" s="231"/>
      <c r="L1418" s="231"/>
      <c r="M1418" s="231"/>
      <c r="N1418" s="231"/>
      <c r="O1418" s="231"/>
      <c r="P1418" s="231"/>
      <c r="Q1418" s="231"/>
      <c r="R1418" s="231"/>
      <c r="S1418" s="231"/>
      <c r="T1418" s="231"/>
      <c r="U1418" s="231"/>
      <c r="V1418" s="231"/>
      <c r="W1418" s="231"/>
      <c r="X1418" s="231"/>
      <c r="Y1418" s="231"/>
      <c r="Z1418" s="231"/>
      <c r="AA1418" s="231"/>
      <c r="AB1418" s="22">
        <f t="shared" si="455"/>
        <v>0</v>
      </c>
      <c r="AC1418" s="23">
        <v>0</v>
      </c>
      <c r="AD1418" s="35"/>
      <c r="AE1418" s="35"/>
      <c r="AF1418" s="35"/>
      <c r="AG1418" s="35"/>
      <c r="AH1418" s="35">
        <v>2</v>
      </c>
      <c r="AI1418" s="35"/>
      <c r="AJ1418" s="35"/>
      <c r="AK1418" s="35"/>
      <c r="AL1418" s="35">
        <v>1</v>
      </c>
      <c r="AM1418" s="35"/>
      <c r="AN1418" s="35"/>
      <c r="AO1418" s="35"/>
      <c r="AP1418" s="35">
        <v>2</v>
      </c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22">
        <f t="shared" si="456"/>
        <v>5</v>
      </c>
      <c r="BC1418" s="23">
        <v>9</v>
      </c>
      <c r="BD1418" s="130">
        <f t="shared" si="457"/>
        <v>5</v>
      </c>
      <c r="BE1418" s="130">
        <f t="shared" si="458"/>
        <v>9</v>
      </c>
      <c r="BF1418" s="195">
        <f t="shared" si="459"/>
        <v>55.555555555555557</v>
      </c>
      <c r="BG1418" s="373">
        <f t="shared" si="460"/>
        <v>4</v>
      </c>
    </row>
    <row r="1419" spans="1:61" s="21" customFormat="1" ht="15.95" customHeight="1">
      <c r="A1419" s="176">
        <v>10</v>
      </c>
      <c r="B1419" s="31" t="s">
        <v>750</v>
      </c>
      <c r="C1419" s="42" t="s">
        <v>751</v>
      </c>
      <c r="D1419" s="380"/>
      <c r="E1419" s="380"/>
      <c r="F1419" s="380"/>
      <c r="G1419" s="380"/>
      <c r="H1419" s="380"/>
      <c r="I1419" s="380"/>
      <c r="J1419" s="380"/>
      <c r="K1419" s="380"/>
      <c r="L1419" s="380"/>
      <c r="M1419" s="380"/>
      <c r="N1419" s="380"/>
      <c r="O1419" s="380"/>
      <c r="P1419" s="380"/>
      <c r="Q1419" s="380"/>
      <c r="R1419" s="380"/>
      <c r="S1419" s="380"/>
      <c r="T1419" s="380"/>
      <c r="U1419" s="380"/>
      <c r="V1419" s="380"/>
      <c r="W1419" s="380"/>
      <c r="X1419" s="380"/>
      <c r="Y1419" s="380"/>
      <c r="Z1419" s="380"/>
      <c r="AA1419" s="380"/>
      <c r="AB1419" s="22">
        <f t="shared" si="455"/>
        <v>0</v>
      </c>
      <c r="AC1419" s="23">
        <v>0</v>
      </c>
      <c r="AD1419" s="35">
        <v>7</v>
      </c>
      <c r="AE1419" s="35"/>
      <c r="AF1419" s="35"/>
      <c r="AG1419" s="35"/>
      <c r="AH1419" s="35">
        <f>29+2</f>
        <v>31</v>
      </c>
      <c r="AI1419" s="35"/>
      <c r="AJ1419" s="35"/>
      <c r="AK1419" s="35"/>
      <c r="AL1419" s="35">
        <v>172</v>
      </c>
      <c r="AM1419" s="35"/>
      <c r="AN1419" s="35"/>
      <c r="AO1419" s="35"/>
      <c r="AP1419" s="35">
        <v>197</v>
      </c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22">
        <f t="shared" si="456"/>
        <v>407</v>
      </c>
      <c r="BC1419" s="23">
        <v>670</v>
      </c>
      <c r="BD1419" s="130">
        <f t="shared" si="457"/>
        <v>407</v>
      </c>
      <c r="BE1419" s="130">
        <f t="shared" si="458"/>
        <v>670</v>
      </c>
      <c r="BF1419" s="195">
        <f t="shared" si="459"/>
        <v>60.746268656716417</v>
      </c>
      <c r="BG1419" s="373">
        <f t="shared" si="460"/>
        <v>263</v>
      </c>
    </row>
    <row r="1420" spans="1:61" s="21" customFormat="1" ht="15.95" customHeight="1">
      <c r="A1420" s="176">
        <v>11</v>
      </c>
      <c r="B1420" s="31" t="s">
        <v>930</v>
      </c>
      <c r="C1420" s="42" t="s">
        <v>931</v>
      </c>
      <c r="D1420" s="380"/>
      <c r="E1420" s="380"/>
      <c r="F1420" s="380"/>
      <c r="G1420" s="380"/>
      <c r="H1420" s="380"/>
      <c r="I1420" s="380"/>
      <c r="J1420" s="380"/>
      <c r="K1420" s="380"/>
      <c r="L1420" s="380"/>
      <c r="M1420" s="380"/>
      <c r="N1420" s="380"/>
      <c r="O1420" s="380"/>
      <c r="P1420" s="380"/>
      <c r="Q1420" s="380"/>
      <c r="R1420" s="380"/>
      <c r="S1420" s="380"/>
      <c r="T1420" s="380"/>
      <c r="U1420" s="380"/>
      <c r="V1420" s="380"/>
      <c r="W1420" s="380"/>
      <c r="X1420" s="380"/>
      <c r="Y1420" s="380"/>
      <c r="Z1420" s="380"/>
      <c r="AA1420" s="380"/>
      <c r="AB1420" s="22">
        <f t="shared" si="455"/>
        <v>0</v>
      </c>
      <c r="AC1420" s="23">
        <v>0</v>
      </c>
      <c r="AD1420" s="35"/>
      <c r="AE1420" s="35"/>
      <c r="AF1420" s="35"/>
      <c r="AG1420" s="35"/>
      <c r="AH1420" s="35"/>
      <c r="AI1420" s="35"/>
      <c r="AJ1420" s="35"/>
      <c r="AK1420" s="35"/>
      <c r="AL1420" s="35">
        <v>2</v>
      </c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22">
        <f t="shared" si="456"/>
        <v>2</v>
      </c>
      <c r="BC1420" s="23">
        <v>17</v>
      </c>
      <c r="BD1420" s="130">
        <f t="shared" si="457"/>
        <v>2</v>
      </c>
      <c r="BE1420" s="130">
        <f t="shared" si="458"/>
        <v>17</v>
      </c>
      <c r="BF1420" s="195">
        <f t="shared" si="459"/>
        <v>11.76470588235294</v>
      </c>
      <c r="BG1420" s="373">
        <f t="shared" si="460"/>
        <v>15</v>
      </c>
    </row>
    <row r="1421" spans="1:61" s="21" customFormat="1" ht="15.95" customHeight="1">
      <c r="A1421" s="176">
        <v>12</v>
      </c>
      <c r="B1421" s="37" t="s">
        <v>754</v>
      </c>
      <c r="C1421" s="504" t="s">
        <v>889</v>
      </c>
      <c r="D1421" s="380"/>
      <c r="E1421" s="380"/>
      <c r="F1421" s="380"/>
      <c r="G1421" s="380"/>
      <c r="H1421" s="380"/>
      <c r="I1421" s="380"/>
      <c r="J1421" s="380"/>
      <c r="K1421" s="380"/>
      <c r="L1421" s="380"/>
      <c r="M1421" s="380"/>
      <c r="N1421" s="380"/>
      <c r="O1421" s="380"/>
      <c r="P1421" s="380"/>
      <c r="Q1421" s="380"/>
      <c r="R1421" s="380"/>
      <c r="S1421" s="380"/>
      <c r="T1421" s="380"/>
      <c r="U1421" s="380"/>
      <c r="V1421" s="380"/>
      <c r="W1421" s="380"/>
      <c r="X1421" s="380"/>
      <c r="Y1421" s="380"/>
      <c r="Z1421" s="380"/>
      <c r="AA1421" s="380"/>
      <c r="AB1421" s="22">
        <f t="shared" si="455"/>
        <v>0</v>
      </c>
      <c r="AC1421" s="23">
        <v>0</v>
      </c>
      <c r="AD1421" s="35">
        <v>1</v>
      </c>
      <c r="AE1421" s="35"/>
      <c r="AF1421" s="35"/>
      <c r="AG1421" s="35"/>
      <c r="AH1421" s="35"/>
      <c r="AI1421" s="35"/>
      <c r="AJ1421" s="35"/>
      <c r="AK1421" s="35"/>
      <c r="AL1421" s="35">
        <v>1</v>
      </c>
      <c r="AM1421" s="35"/>
      <c r="AN1421" s="35"/>
      <c r="AO1421" s="35"/>
      <c r="AP1421" s="35">
        <v>9</v>
      </c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22">
        <f t="shared" si="456"/>
        <v>11</v>
      </c>
      <c r="BC1421" s="23">
        <v>26</v>
      </c>
      <c r="BD1421" s="130">
        <f t="shared" si="457"/>
        <v>11</v>
      </c>
      <c r="BE1421" s="130">
        <f t="shared" si="458"/>
        <v>26</v>
      </c>
      <c r="BF1421" s="195">
        <f t="shared" si="459"/>
        <v>42.307692307692307</v>
      </c>
      <c r="BG1421" s="373">
        <f t="shared" si="460"/>
        <v>15</v>
      </c>
    </row>
    <row r="1422" spans="1:61" s="21" customFormat="1" ht="15.95" customHeight="1">
      <c r="A1422" s="176">
        <v>13</v>
      </c>
      <c r="B1422" s="31" t="s">
        <v>756</v>
      </c>
      <c r="C1422" s="32" t="s">
        <v>757</v>
      </c>
      <c r="D1422" s="231"/>
      <c r="E1422" s="231"/>
      <c r="F1422" s="231"/>
      <c r="G1422" s="231"/>
      <c r="H1422" s="231"/>
      <c r="I1422" s="231"/>
      <c r="J1422" s="231"/>
      <c r="K1422" s="231"/>
      <c r="L1422" s="231"/>
      <c r="M1422" s="231"/>
      <c r="N1422" s="231"/>
      <c r="O1422" s="231"/>
      <c r="P1422" s="231">
        <v>3</v>
      </c>
      <c r="Q1422" s="231"/>
      <c r="R1422" s="231"/>
      <c r="S1422" s="231"/>
      <c r="T1422" s="231"/>
      <c r="U1422" s="231"/>
      <c r="V1422" s="231"/>
      <c r="W1422" s="231"/>
      <c r="X1422" s="231"/>
      <c r="Y1422" s="231"/>
      <c r="Z1422" s="231"/>
      <c r="AA1422" s="231"/>
      <c r="AB1422" s="22">
        <f t="shared" si="455"/>
        <v>3</v>
      </c>
      <c r="AC1422" s="23">
        <v>0</v>
      </c>
      <c r="AD1422" s="35"/>
      <c r="AE1422" s="35"/>
      <c r="AF1422" s="35"/>
      <c r="AG1422" s="35"/>
      <c r="AH1422" s="35">
        <f>47+2</f>
        <v>49</v>
      </c>
      <c r="AI1422" s="35"/>
      <c r="AJ1422" s="35"/>
      <c r="AK1422" s="35"/>
      <c r="AL1422" s="35">
        <f>784+3</f>
        <v>787</v>
      </c>
      <c r="AM1422" s="35"/>
      <c r="AN1422" s="35"/>
      <c r="AO1422" s="35"/>
      <c r="AP1422" s="35">
        <f>715+2</f>
        <v>717</v>
      </c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22">
        <f t="shared" si="456"/>
        <v>1553</v>
      </c>
      <c r="BC1422" s="23">
        <v>3936</v>
      </c>
      <c r="BD1422" s="130">
        <f t="shared" si="457"/>
        <v>1556</v>
      </c>
      <c r="BE1422" s="130">
        <f t="shared" si="458"/>
        <v>3936</v>
      </c>
      <c r="BF1422" s="195">
        <f t="shared" si="459"/>
        <v>39.532520325203251</v>
      </c>
      <c r="BG1422" s="373">
        <f t="shared" si="460"/>
        <v>2380</v>
      </c>
    </row>
    <row r="1423" spans="1:61" s="21" customFormat="1" ht="15.95" customHeight="1">
      <c r="A1423" s="176">
        <v>14</v>
      </c>
      <c r="B1423" s="31" t="s">
        <v>758</v>
      </c>
      <c r="C1423" s="32" t="s">
        <v>759</v>
      </c>
      <c r="D1423" s="231"/>
      <c r="E1423" s="231"/>
      <c r="F1423" s="231"/>
      <c r="G1423" s="231"/>
      <c r="H1423" s="231"/>
      <c r="I1423" s="231"/>
      <c r="J1423" s="231"/>
      <c r="K1423" s="231"/>
      <c r="L1423" s="231"/>
      <c r="M1423" s="231"/>
      <c r="N1423" s="231"/>
      <c r="O1423" s="231"/>
      <c r="P1423" s="231"/>
      <c r="Q1423" s="231"/>
      <c r="R1423" s="231"/>
      <c r="S1423" s="231"/>
      <c r="T1423" s="231"/>
      <c r="U1423" s="231"/>
      <c r="V1423" s="231"/>
      <c r="W1423" s="231"/>
      <c r="X1423" s="231"/>
      <c r="Y1423" s="231"/>
      <c r="Z1423" s="231"/>
      <c r="AA1423" s="231"/>
      <c r="AB1423" s="22">
        <f t="shared" si="455"/>
        <v>0</v>
      </c>
      <c r="AC1423" s="23">
        <v>6</v>
      </c>
      <c r="AD1423" s="35"/>
      <c r="AE1423" s="35"/>
      <c r="AF1423" s="35"/>
      <c r="AG1423" s="35"/>
      <c r="AH1423" s="35">
        <v>1</v>
      </c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22">
        <f t="shared" si="456"/>
        <v>1</v>
      </c>
      <c r="BC1423" s="23">
        <v>87</v>
      </c>
      <c r="BD1423" s="130">
        <f t="shared" si="457"/>
        <v>1</v>
      </c>
      <c r="BE1423" s="130">
        <f t="shared" si="458"/>
        <v>93</v>
      </c>
      <c r="BF1423" s="195">
        <f t="shared" si="459"/>
        <v>1.0752688172043012</v>
      </c>
      <c r="BG1423" s="373">
        <f t="shared" si="460"/>
        <v>92</v>
      </c>
    </row>
    <row r="1424" spans="1:61" s="21" customFormat="1" ht="15.95" customHeight="1">
      <c r="A1424" s="176">
        <v>15</v>
      </c>
      <c r="B1424" s="31" t="s">
        <v>760</v>
      </c>
      <c r="C1424" s="34" t="s">
        <v>934</v>
      </c>
      <c r="D1424" s="381"/>
      <c r="E1424" s="381"/>
      <c r="F1424" s="381"/>
      <c r="G1424" s="381"/>
      <c r="H1424" s="381"/>
      <c r="I1424" s="381"/>
      <c r="J1424" s="381"/>
      <c r="K1424" s="381"/>
      <c r="L1424" s="381"/>
      <c r="M1424" s="381"/>
      <c r="N1424" s="381"/>
      <c r="O1424" s="381"/>
      <c r="P1424" s="381"/>
      <c r="Q1424" s="381"/>
      <c r="R1424" s="381"/>
      <c r="S1424" s="381"/>
      <c r="T1424" s="381"/>
      <c r="U1424" s="381"/>
      <c r="V1424" s="381"/>
      <c r="W1424" s="381"/>
      <c r="X1424" s="381"/>
      <c r="Y1424" s="381"/>
      <c r="Z1424" s="381"/>
      <c r="AA1424" s="381"/>
      <c r="AB1424" s="22">
        <f t="shared" si="455"/>
        <v>0</v>
      </c>
      <c r="AC1424" s="23">
        <v>0</v>
      </c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22">
        <f t="shared" si="456"/>
        <v>0</v>
      </c>
      <c r="BC1424" s="23">
        <v>21</v>
      </c>
      <c r="BD1424" s="130">
        <f t="shared" si="457"/>
        <v>0</v>
      </c>
      <c r="BE1424" s="130">
        <f t="shared" si="458"/>
        <v>21</v>
      </c>
      <c r="BF1424" s="195">
        <f t="shared" si="459"/>
        <v>0</v>
      </c>
      <c r="BG1424" s="373">
        <f t="shared" si="460"/>
        <v>21</v>
      </c>
    </row>
    <row r="1425" spans="1:59" s="21" customFormat="1" ht="15.95" customHeight="1">
      <c r="A1425" s="176">
        <v>16</v>
      </c>
      <c r="B1425" s="31" t="s">
        <v>762</v>
      </c>
      <c r="C1425" s="34" t="s">
        <v>934</v>
      </c>
      <c r="D1425" s="381"/>
      <c r="E1425" s="381"/>
      <c r="F1425" s="381"/>
      <c r="G1425" s="381"/>
      <c r="H1425" s="381"/>
      <c r="I1425" s="381"/>
      <c r="J1425" s="381"/>
      <c r="K1425" s="381"/>
      <c r="L1425" s="381"/>
      <c r="M1425" s="381"/>
      <c r="N1425" s="381"/>
      <c r="O1425" s="381"/>
      <c r="P1425" s="381"/>
      <c r="Q1425" s="381"/>
      <c r="R1425" s="381"/>
      <c r="S1425" s="381"/>
      <c r="T1425" s="381"/>
      <c r="U1425" s="381"/>
      <c r="V1425" s="381"/>
      <c r="W1425" s="381"/>
      <c r="X1425" s="381"/>
      <c r="Y1425" s="381"/>
      <c r="Z1425" s="381"/>
      <c r="AA1425" s="381"/>
      <c r="AB1425" s="22">
        <f t="shared" si="455"/>
        <v>0</v>
      </c>
      <c r="AC1425" s="23">
        <v>0</v>
      </c>
      <c r="AD1425" s="35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22">
        <f t="shared" si="456"/>
        <v>0</v>
      </c>
      <c r="BC1425" s="23">
        <v>7</v>
      </c>
      <c r="BD1425" s="130">
        <f t="shared" si="457"/>
        <v>0</v>
      </c>
      <c r="BE1425" s="130">
        <f t="shared" si="458"/>
        <v>7</v>
      </c>
      <c r="BF1425" s="195">
        <f t="shared" si="459"/>
        <v>0</v>
      </c>
      <c r="BG1425" s="373">
        <f t="shared" si="460"/>
        <v>7</v>
      </c>
    </row>
    <row r="1426" spans="1:59" s="21" customFormat="1" ht="15.95" customHeight="1">
      <c r="A1426" s="176">
        <v>17</v>
      </c>
      <c r="B1426" s="31" t="s">
        <v>763</v>
      </c>
      <c r="C1426" s="34" t="s">
        <v>934</v>
      </c>
      <c r="D1426" s="381"/>
      <c r="E1426" s="381"/>
      <c r="F1426" s="381"/>
      <c r="G1426" s="381"/>
      <c r="H1426" s="381"/>
      <c r="I1426" s="381"/>
      <c r="J1426" s="381"/>
      <c r="K1426" s="381"/>
      <c r="L1426" s="381"/>
      <c r="M1426" s="381"/>
      <c r="N1426" s="381"/>
      <c r="O1426" s="381"/>
      <c r="P1426" s="381"/>
      <c r="Q1426" s="381"/>
      <c r="R1426" s="381"/>
      <c r="S1426" s="381"/>
      <c r="T1426" s="381"/>
      <c r="U1426" s="381"/>
      <c r="V1426" s="381"/>
      <c r="W1426" s="381"/>
      <c r="X1426" s="381"/>
      <c r="Y1426" s="381"/>
      <c r="Z1426" s="381"/>
      <c r="AA1426" s="381"/>
      <c r="AB1426" s="22">
        <f t="shared" si="455"/>
        <v>0</v>
      </c>
      <c r="AC1426" s="23">
        <v>0</v>
      </c>
      <c r="AD1426" s="35"/>
      <c r="AE1426" s="35"/>
      <c r="AF1426" s="35"/>
      <c r="AG1426" s="35"/>
      <c r="AH1426" s="35"/>
      <c r="AI1426" s="35"/>
      <c r="AJ1426" s="35"/>
      <c r="AK1426" s="35"/>
      <c r="AL1426" s="35">
        <v>2</v>
      </c>
      <c r="AM1426" s="35"/>
      <c r="AN1426" s="35"/>
      <c r="AO1426" s="35"/>
      <c r="AP1426" s="35">
        <v>2</v>
      </c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22">
        <f t="shared" si="456"/>
        <v>4</v>
      </c>
      <c r="BC1426" s="23">
        <v>22</v>
      </c>
      <c r="BD1426" s="130">
        <f t="shared" si="457"/>
        <v>4</v>
      </c>
      <c r="BE1426" s="130">
        <f t="shared" si="458"/>
        <v>22</v>
      </c>
      <c r="BF1426" s="195">
        <f t="shared" si="459"/>
        <v>18.181818181818183</v>
      </c>
      <c r="BG1426" s="373">
        <f t="shared" si="460"/>
        <v>18</v>
      </c>
    </row>
    <row r="1427" spans="1:59" s="21" customFormat="1" ht="15.95" customHeight="1">
      <c r="A1427" s="176">
        <v>18</v>
      </c>
      <c r="B1427" s="31" t="s">
        <v>764</v>
      </c>
      <c r="C1427" s="34" t="s">
        <v>765</v>
      </c>
      <c r="D1427" s="521"/>
      <c r="E1427" s="521"/>
      <c r="F1427" s="521"/>
      <c r="G1427" s="521"/>
      <c r="H1427" s="521"/>
      <c r="I1427" s="521"/>
      <c r="J1427" s="521"/>
      <c r="K1427" s="521"/>
      <c r="L1427" s="521"/>
      <c r="M1427" s="521"/>
      <c r="N1427" s="521"/>
      <c r="O1427" s="521"/>
      <c r="P1427" s="521"/>
      <c r="Q1427" s="521"/>
      <c r="R1427" s="521"/>
      <c r="S1427" s="521"/>
      <c r="T1427" s="521"/>
      <c r="U1427" s="521"/>
      <c r="V1427" s="521"/>
      <c r="W1427" s="521"/>
      <c r="X1427" s="521"/>
      <c r="Y1427" s="521"/>
      <c r="Z1427" s="521"/>
      <c r="AA1427" s="521"/>
      <c r="AB1427" s="22">
        <f t="shared" si="455"/>
        <v>0</v>
      </c>
      <c r="AC1427" s="23">
        <v>0</v>
      </c>
      <c r="AD1427" s="35"/>
      <c r="AE1427" s="35"/>
      <c r="AF1427" s="35"/>
      <c r="AG1427" s="35"/>
      <c r="AH1427" s="35">
        <v>1</v>
      </c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22">
        <f t="shared" si="456"/>
        <v>1</v>
      </c>
      <c r="BC1427" s="23">
        <v>0</v>
      </c>
      <c r="BD1427" s="130">
        <f t="shared" si="457"/>
        <v>1</v>
      </c>
      <c r="BE1427" s="130">
        <f t="shared" si="458"/>
        <v>0</v>
      </c>
      <c r="BF1427" s="195" t="e">
        <f t="shared" si="459"/>
        <v>#DIV/0!</v>
      </c>
      <c r="BG1427" s="373"/>
    </row>
    <row r="1428" spans="1:59" s="21" customFormat="1" ht="15.95" customHeight="1">
      <c r="A1428" s="176">
        <v>19</v>
      </c>
      <c r="B1428" s="31" t="s">
        <v>1135</v>
      </c>
      <c r="C1428" s="34" t="s">
        <v>4196</v>
      </c>
      <c r="D1428" s="580"/>
      <c r="E1428" s="580"/>
      <c r="F1428" s="580"/>
      <c r="G1428" s="580"/>
      <c r="H1428" s="580"/>
      <c r="I1428" s="580"/>
      <c r="J1428" s="580"/>
      <c r="K1428" s="580"/>
      <c r="L1428" s="580"/>
      <c r="M1428" s="580"/>
      <c r="N1428" s="580"/>
      <c r="O1428" s="580"/>
      <c r="P1428" s="580">
        <v>408</v>
      </c>
      <c r="Q1428" s="580"/>
      <c r="R1428" s="580"/>
      <c r="S1428" s="580"/>
      <c r="T1428" s="580"/>
      <c r="U1428" s="580"/>
      <c r="V1428" s="580"/>
      <c r="W1428" s="580"/>
      <c r="X1428" s="580"/>
      <c r="Y1428" s="580"/>
      <c r="Z1428" s="580"/>
      <c r="AA1428" s="580"/>
      <c r="AB1428" s="22">
        <f t="shared" si="455"/>
        <v>408</v>
      </c>
      <c r="AC1428" s="23">
        <v>0</v>
      </c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22">
        <f t="shared" si="456"/>
        <v>0</v>
      </c>
      <c r="BC1428" s="23">
        <v>0</v>
      </c>
      <c r="BD1428" s="130">
        <f t="shared" si="457"/>
        <v>408</v>
      </c>
      <c r="BE1428" s="130">
        <f t="shared" si="458"/>
        <v>0</v>
      </c>
      <c r="BF1428" s="195" t="e">
        <f t="shared" si="459"/>
        <v>#DIV/0!</v>
      </c>
      <c r="BG1428" s="373"/>
    </row>
    <row r="1429" spans="1:59" s="21" customFormat="1" ht="21.75" customHeight="1">
      <c r="A1429" s="176">
        <v>20</v>
      </c>
      <c r="B1429" s="31" t="s">
        <v>768</v>
      </c>
      <c r="C1429" s="32" t="s">
        <v>769</v>
      </c>
      <c r="D1429" s="231"/>
      <c r="E1429" s="231"/>
      <c r="F1429" s="231"/>
      <c r="G1429" s="231"/>
      <c r="H1429" s="231"/>
      <c r="I1429" s="231"/>
      <c r="J1429" s="231"/>
      <c r="K1429" s="231"/>
      <c r="L1429" s="231"/>
      <c r="M1429" s="231"/>
      <c r="N1429" s="231"/>
      <c r="O1429" s="231"/>
      <c r="P1429" s="231"/>
      <c r="Q1429" s="231"/>
      <c r="R1429" s="231"/>
      <c r="S1429" s="231"/>
      <c r="T1429" s="231"/>
      <c r="U1429" s="231"/>
      <c r="V1429" s="231"/>
      <c r="W1429" s="231"/>
      <c r="X1429" s="231"/>
      <c r="Y1429" s="231"/>
      <c r="Z1429" s="231"/>
      <c r="AA1429" s="231"/>
      <c r="AB1429" s="22">
        <f t="shared" si="455"/>
        <v>0</v>
      </c>
      <c r="AC1429" s="23">
        <v>0</v>
      </c>
      <c r="AD1429" s="35"/>
      <c r="AE1429" s="35"/>
      <c r="AF1429" s="35"/>
      <c r="AG1429" s="35"/>
      <c r="AH1429" s="35">
        <v>3</v>
      </c>
      <c r="AI1429" s="35"/>
      <c r="AJ1429" s="35"/>
      <c r="AK1429" s="35"/>
      <c r="AL1429" s="35">
        <v>6</v>
      </c>
      <c r="AM1429" s="35"/>
      <c r="AN1429" s="35"/>
      <c r="AO1429" s="35"/>
      <c r="AP1429" s="35">
        <v>2</v>
      </c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22">
        <f t="shared" si="456"/>
        <v>11</v>
      </c>
      <c r="BC1429" s="23">
        <v>34</v>
      </c>
      <c r="BD1429" s="130">
        <f t="shared" si="457"/>
        <v>11</v>
      </c>
      <c r="BE1429" s="130">
        <f t="shared" si="458"/>
        <v>34</v>
      </c>
      <c r="BF1429" s="195">
        <f t="shared" si="459"/>
        <v>32.352941176470587</v>
      </c>
      <c r="BG1429" s="373">
        <f>BE1429-BD1429</f>
        <v>23</v>
      </c>
    </row>
    <row r="1430" spans="1:59" s="21" customFormat="1" ht="21.75" customHeight="1">
      <c r="A1430" s="176">
        <v>21</v>
      </c>
      <c r="B1430" s="31" t="s">
        <v>770</v>
      </c>
      <c r="C1430" s="43" t="s">
        <v>771</v>
      </c>
      <c r="D1430" s="380"/>
      <c r="E1430" s="380"/>
      <c r="F1430" s="380"/>
      <c r="G1430" s="380"/>
      <c r="H1430" s="380"/>
      <c r="I1430" s="380"/>
      <c r="J1430" s="380"/>
      <c r="K1430" s="380"/>
      <c r="L1430" s="380"/>
      <c r="M1430" s="380"/>
      <c r="N1430" s="380"/>
      <c r="O1430" s="380"/>
      <c r="P1430" s="380"/>
      <c r="Q1430" s="380"/>
      <c r="R1430" s="380"/>
      <c r="S1430" s="380"/>
      <c r="T1430" s="380"/>
      <c r="U1430" s="380"/>
      <c r="V1430" s="380"/>
      <c r="W1430" s="380"/>
      <c r="X1430" s="380"/>
      <c r="Y1430" s="380"/>
      <c r="Z1430" s="380"/>
      <c r="AA1430" s="380"/>
      <c r="AB1430" s="22">
        <f t="shared" si="455"/>
        <v>0</v>
      </c>
      <c r="AC1430" s="23">
        <v>0</v>
      </c>
      <c r="AD1430" s="35"/>
      <c r="AE1430" s="35"/>
      <c r="AF1430" s="35"/>
      <c r="AG1430" s="35"/>
      <c r="AH1430" s="35">
        <v>4</v>
      </c>
      <c r="AI1430" s="35"/>
      <c r="AJ1430" s="35"/>
      <c r="AK1430" s="35"/>
      <c r="AL1430" s="35">
        <v>21</v>
      </c>
      <c r="AM1430" s="35"/>
      <c r="AN1430" s="35"/>
      <c r="AO1430" s="35"/>
      <c r="AP1430" s="35">
        <v>8</v>
      </c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22">
        <f t="shared" si="456"/>
        <v>33</v>
      </c>
      <c r="BC1430" s="23">
        <v>89</v>
      </c>
      <c r="BD1430" s="130">
        <f t="shared" si="457"/>
        <v>33</v>
      </c>
      <c r="BE1430" s="130">
        <f t="shared" si="458"/>
        <v>89</v>
      </c>
      <c r="BF1430" s="195">
        <f t="shared" si="459"/>
        <v>37.078651685393261</v>
      </c>
      <c r="BG1430" s="373">
        <f>BE1430-BD1430</f>
        <v>56</v>
      </c>
    </row>
    <row r="1431" spans="1:59" s="21" customFormat="1" ht="20.25" customHeight="1">
      <c r="A1431" s="176">
        <v>22</v>
      </c>
      <c r="B1431" s="31" t="s">
        <v>772</v>
      </c>
      <c r="C1431" s="32" t="s">
        <v>773</v>
      </c>
      <c r="D1431" s="231"/>
      <c r="E1431" s="231"/>
      <c r="F1431" s="231"/>
      <c r="G1431" s="231"/>
      <c r="H1431" s="231"/>
      <c r="I1431" s="231"/>
      <c r="J1431" s="231"/>
      <c r="K1431" s="231"/>
      <c r="L1431" s="231"/>
      <c r="M1431" s="231"/>
      <c r="N1431" s="231"/>
      <c r="O1431" s="231"/>
      <c r="P1431" s="231">
        <v>20</v>
      </c>
      <c r="Q1431" s="231"/>
      <c r="R1431" s="231"/>
      <c r="S1431" s="231"/>
      <c r="T1431" s="231"/>
      <c r="U1431" s="231"/>
      <c r="V1431" s="231"/>
      <c r="W1431" s="231"/>
      <c r="X1431" s="231"/>
      <c r="Y1431" s="231"/>
      <c r="Z1431" s="231"/>
      <c r="AA1431" s="231"/>
      <c r="AB1431" s="22">
        <f t="shared" si="455"/>
        <v>20</v>
      </c>
      <c r="AC1431" s="23">
        <v>0</v>
      </c>
      <c r="AD1431" s="35"/>
      <c r="AE1431" s="35"/>
      <c r="AF1431" s="35"/>
      <c r="AG1431" s="35"/>
      <c r="AH1431" s="35">
        <v>2</v>
      </c>
      <c r="AI1431" s="35"/>
      <c r="AJ1431" s="35"/>
      <c r="AK1431" s="35"/>
      <c r="AL1431" s="35">
        <v>9</v>
      </c>
      <c r="AM1431" s="35"/>
      <c r="AN1431" s="35"/>
      <c r="AO1431" s="35"/>
      <c r="AP1431" s="35">
        <v>1</v>
      </c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22">
        <f t="shared" si="456"/>
        <v>12</v>
      </c>
      <c r="BC1431" s="23">
        <v>31</v>
      </c>
      <c r="BD1431" s="130">
        <f t="shared" si="457"/>
        <v>32</v>
      </c>
      <c r="BE1431" s="130">
        <f t="shared" si="458"/>
        <v>31</v>
      </c>
      <c r="BF1431" s="195">
        <f t="shared" si="459"/>
        <v>103.2258064516129</v>
      </c>
      <c r="BG1431" s="373">
        <f>BE1431-BD1431</f>
        <v>-1</v>
      </c>
    </row>
    <row r="1432" spans="1:59" s="21" customFormat="1" ht="20.25" customHeight="1">
      <c r="A1432" s="176">
        <v>23</v>
      </c>
      <c r="B1432" s="31" t="s">
        <v>892</v>
      </c>
      <c r="C1432" s="32" t="s">
        <v>893</v>
      </c>
      <c r="D1432" s="550"/>
      <c r="E1432" s="550"/>
      <c r="F1432" s="550"/>
      <c r="G1432" s="550"/>
      <c r="H1432" s="550"/>
      <c r="I1432" s="550"/>
      <c r="J1432" s="550"/>
      <c r="K1432" s="550"/>
      <c r="L1432" s="550"/>
      <c r="M1432" s="550"/>
      <c r="N1432" s="550"/>
      <c r="O1432" s="550"/>
      <c r="P1432" s="550"/>
      <c r="Q1432" s="550"/>
      <c r="R1432" s="550"/>
      <c r="S1432" s="550"/>
      <c r="T1432" s="550"/>
      <c r="U1432" s="550"/>
      <c r="V1432" s="550"/>
      <c r="W1432" s="550"/>
      <c r="X1432" s="550"/>
      <c r="Y1432" s="550"/>
      <c r="Z1432" s="550"/>
      <c r="AA1432" s="550"/>
      <c r="AB1432" s="22">
        <f t="shared" si="455"/>
        <v>0</v>
      </c>
      <c r="AC1432" s="23">
        <v>0</v>
      </c>
      <c r="AD1432" s="35"/>
      <c r="AE1432" s="35"/>
      <c r="AF1432" s="35"/>
      <c r="AG1432" s="35"/>
      <c r="AH1432" s="35"/>
      <c r="AI1432" s="35"/>
      <c r="AJ1432" s="35"/>
      <c r="AK1432" s="35"/>
      <c r="AL1432" s="35">
        <v>1</v>
      </c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22">
        <f t="shared" si="456"/>
        <v>1</v>
      </c>
      <c r="BC1432" s="23">
        <v>0</v>
      </c>
      <c r="BD1432" s="130">
        <f t="shared" si="457"/>
        <v>1</v>
      </c>
      <c r="BE1432" s="130">
        <f t="shared" si="458"/>
        <v>0</v>
      </c>
      <c r="BF1432" s="195" t="e">
        <f t="shared" si="459"/>
        <v>#DIV/0!</v>
      </c>
      <c r="BG1432" s="373"/>
    </row>
    <row r="1433" spans="1:59" s="21" customFormat="1" ht="20.25" customHeight="1">
      <c r="A1433" s="176">
        <v>24</v>
      </c>
      <c r="B1433" s="31" t="s">
        <v>935</v>
      </c>
      <c r="C1433" s="32" t="s">
        <v>936</v>
      </c>
      <c r="D1433" s="231"/>
      <c r="E1433" s="231"/>
      <c r="F1433" s="231"/>
      <c r="G1433" s="231"/>
      <c r="H1433" s="231"/>
      <c r="I1433" s="231"/>
      <c r="J1433" s="231"/>
      <c r="K1433" s="231"/>
      <c r="L1433" s="231"/>
      <c r="M1433" s="231"/>
      <c r="N1433" s="231"/>
      <c r="O1433" s="231"/>
      <c r="P1433" s="231"/>
      <c r="Q1433" s="231"/>
      <c r="R1433" s="231"/>
      <c r="S1433" s="231"/>
      <c r="T1433" s="231"/>
      <c r="U1433" s="231"/>
      <c r="V1433" s="231"/>
      <c r="W1433" s="231"/>
      <c r="X1433" s="231"/>
      <c r="Y1433" s="231"/>
      <c r="Z1433" s="231"/>
      <c r="AA1433" s="231"/>
      <c r="AB1433" s="22">
        <f t="shared" si="455"/>
        <v>0</v>
      </c>
      <c r="AC1433" s="23">
        <v>0</v>
      </c>
      <c r="AD1433" s="35"/>
      <c r="AE1433" s="35"/>
      <c r="AF1433" s="35"/>
      <c r="AG1433" s="35"/>
      <c r="AH1433" s="35"/>
      <c r="AI1433" s="35"/>
      <c r="AJ1433" s="35"/>
      <c r="AK1433" s="35"/>
      <c r="AL1433" s="35">
        <v>1</v>
      </c>
      <c r="AM1433" s="35"/>
      <c r="AN1433" s="35"/>
      <c r="AO1433" s="35"/>
      <c r="AP1433" s="35">
        <v>1</v>
      </c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22">
        <f t="shared" si="456"/>
        <v>2</v>
      </c>
      <c r="BC1433" s="23">
        <v>16</v>
      </c>
      <c r="BD1433" s="130">
        <f t="shared" si="457"/>
        <v>2</v>
      </c>
      <c r="BE1433" s="130">
        <f t="shared" si="458"/>
        <v>16</v>
      </c>
      <c r="BF1433" s="195">
        <f t="shared" si="459"/>
        <v>12.5</v>
      </c>
      <c r="BG1433" s="373">
        <f>BE1433-BD1433</f>
        <v>14</v>
      </c>
    </row>
    <row r="1434" spans="1:59" s="21" customFormat="1" ht="15.95" customHeight="1">
      <c r="A1434" s="176">
        <v>25</v>
      </c>
      <c r="B1434" s="37" t="s">
        <v>774</v>
      </c>
      <c r="C1434" s="38" t="s">
        <v>937</v>
      </c>
      <c r="D1434" s="231"/>
      <c r="E1434" s="231"/>
      <c r="F1434" s="231"/>
      <c r="G1434" s="231"/>
      <c r="H1434" s="231">
        <v>2</v>
      </c>
      <c r="I1434" s="231"/>
      <c r="J1434" s="231"/>
      <c r="K1434" s="231"/>
      <c r="L1434" s="231">
        <v>14</v>
      </c>
      <c r="M1434" s="231"/>
      <c r="N1434" s="231"/>
      <c r="O1434" s="231"/>
      <c r="P1434" s="231">
        <v>12</v>
      </c>
      <c r="Q1434" s="231"/>
      <c r="R1434" s="231"/>
      <c r="S1434" s="231"/>
      <c r="T1434" s="231"/>
      <c r="U1434" s="231"/>
      <c r="V1434" s="231"/>
      <c r="W1434" s="231"/>
      <c r="X1434" s="231"/>
      <c r="Y1434" s="231"/>
      <c r="Z1434" s="231"/>
      <c r="AA1434" s="231"/>
      <c r="AB1434" s="22">
        <f t="shared" si="455"/>
        <v>28</v>
      </c>
      <c r="AC1434" s="23">
        <v>64</v>
      </c>
      <c r="AD1434" s="35">
        <v>22</v>
      </c>
      <c r="AE1434" s="35"/>
      <c r="AF1434" s="35"/>
      <c r="AG1434" s="35"/>
      <c r="AH1434" s="35">
        <v>15</v>
      </c>
      <c r="AI1434" s="35"/>
      <c r="AJ1434" s="35"/>
      <c r="AK1434" s="35"/>
      <c r="AL1434" s="35">
        <f>2+43</f>
        <v>45</v>
      </c>
      <c r="AM1434" s="35"/>
      <c r="AN1434" s="35"/>
      <c r="AO1434" s="35"/>
      <c r="AP1434" s="35">
        <f>1+46</f>
        <v>47</v>
      </c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22">
        <f t="shared" si="456"/>
        <v>129</v>
      </c>
      <c r="BC1434" s="23">
        <v>180</v>
      </c>
      <c r="BD1434" s="130">
        <f t="shared" si="457"/>
        <v>157</v>
      </c>
      <c r="BE1434" s="130">
        <f t="shared" si="458"/>
        <v>244</v>
      </c>
      <c r="BF1434" s="195">
        <f t="shared" si="459"/>
        <v>64.344262295081961</v>
      </c>
      <c r="BG1434" s="373">
        <f>BE1434-BD1434</f>
        <v>87</v>
      </c>
    </row>
    <row r="1435" spans="1:59" s="21" customFormat="1" ht="21.75" customHeight="1">
      <c r="A1435" s="176">
        <v>26</v>
      </c>
      <c r="B1435" s="37" t="s">
        <v>775</v>
      </c>
      <c r="C1435" s="38" t="s">
        <v>776</v>
      </c>
      <c r="D1435" s="231"/>
      <c r="E1435" s="231"/>
      <c r="F1435" s="231"/>
      <c r="G1435" s="231"/>
      <c r="H1435" s="231">
        <v>6</v>
      </c>
      <c r="I1435" s="231"/>
      <c r="J1435" s="231"/>
      <c r="K1435" s="231"/>
      <c r="L1435" s="231">
        <v>21</v>
      </c>
      <c r="M1435" s="231"/>
      <c r="N1435" s="231"/>
      <c r="O1435" s="231"/>
      <c r="P1435" s="231">
        <v>25</v>
      </c>
      <c r="Q1435" s="231"/>
      <c r="R1435" s="231"/>
      <c r="S1435" s="231"/>
      <c r="T1435" s="231"/>
      <c r="U1435" s="231"/>
      <c r="V1435" s="231"/>
      <c r="W1435" s="231"/>
      <c r="X1435" s="231"/>
      <c r="Y1435" s="231"/>
      <c r="Z1435" s="231"/>
      <c r="AA1435" s="231"/>
      <c r="AB1435" s="22">
        <f t="shared" si="455"/>
        <v>52</v>
      </c>
      <c r="AC1435" s="23">
        <v>231</v>
      </c>
      <c r="AD1435" s="35">
        <v>1</v>
      </c>
      <c r="AE1435" s="35"/>
      <c r="AF1435" s="35"/>
      <c r="AG1435" s="35"/>
      <c r="AH1435" s="35">
        <f>39+20</f>
        <v>59</v>
      </c>
      <c r="AI1435" s="35"/>
      <c r="AJ1435" s="35"/>
      <c r="AK1435" s="35">
        <v>1</v>
      </c>
      <c r="AL1435" s="35">
        <f>199+131+4</f>
        <v>334</v>
      </c>
      <c r="AM1435" s="35"/>
      <c r="AN1435" s="35"/>
      <c r="AO1435" s="35"/>
      <c r="AP1435" s="35">
        <f>160+1+74+7</f>
        <v>242</v>
      </c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22">
        <f t="shared" si="456"/>
        <v>637</v>
      </c>
      <c r="BC1435" s="23">
        <v>1078</v>
      </c>
      <c r="BD1435" s="130">
        <f t="shared" si="457"/>
        <v>689</v>
      </c>
      <c r="BE1435" s="130">
        <f t="shared" si="458"/>
        <v>1309</v>
      </c>
      <c r="BF1435" s="195">
        <f t="shared" si="459"/>
        <v>52.63559969442322</v>
      </c>
      <c r="BG1435" s="373">
        <f>BE1435-BD1435</f>
        <v>620</v>
      </c>
    </row>
    <row r="1436" spans="1:59" s="21" customFormat="1" ht="21.75" customHeight="1">
      <c r="A1436" s="176">
        <v>27</v>
      </c>
      <c r="B1436" s="31" t="s">
        <v>2746</v>
      </c>
      <c r="C1436" s="32" t="s">
        <v>4154</v>
      </c>
      <c r="D1436" s="571"/>
      <c r="E1436" s="571"/>
      <c r="F1436" s="571"/>
      <c r="G1436" s="571"/>
      <c r="H1436" s="571"/>
      <c r="I1436" s="571"/>
      <c r="J1436" s="571"/>
      <c r="K1436" s="571"/>
      <c r="L1436" s="571"/>
      <c r="M1436" s="571"/>
      <c r="N1436" s="571"/>
      <c r="O1436" s="571"/>
      <c r="P1436" s="571"/>
      <c r="Q1436" s="571"/>
      <c r="R1436" s="571"/>
      <c r="S1436" s="571"/>
      <c r="T1436" s="571"/>
      <c r="U1436" s="571"/>
      <c r="V1436" s="571"/>
      <c r="W1436" s="571"/>
      <c r="X1436" s="571"/>
      <c r="Y1436" s="571"/>
      <c r="Z1436" s="571"/>
      <c r="AA1436" s="571"/>
      <c r="AB1436" s="22">
        <f t="shared" si="455"/>
        <v>0</v>
      </c>
      <c r="AC1436" s="23">
        <v>0</v>
      </c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>
        <v>2</v>
      </c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22">
        <f t="shared" si="456"/>
        <v>2</v>
      </c>
      <c r="BC1436" s="23">
        <v>0</v>
      </c>
      <c r="BD1436" s="130">
        <f t="shared" si="457"/>
        <v>2</v>
      </c>
      <c r="BE1436" s="130">
        <f t="shared" si="458"/>
        <v>0</v>
      </c>
      <c r="BF1436" s="195" t="e">
        <f t="shared" si="459"/>
        <v>#DIV/0!</v>
      </c>
      <c r="BG1436" s="373"/>
    </row>
    <row r="1437" spans="1:59" s="21" customFormat="1" ht="15.95" customHeight="1">
      <c r="A1437" s="176">
        <v>28</v>
      </c>
      <c r="B1437" s="31" t="s">
        <v>3174</v>
      </c>
      <c r="C1437" s="32" t="s">
        <v>3175</v>
      </c>
      <c r="D1437" s="381"/>
      <c r="E1437" s="381"/>
      <c r="F1437" s="381"/>
      <c r="G1437" s="381"/>
      <c r="H1437" s="381"/>
      <c r="I1437" s="381"/>
      <c r="J1437" s="381"/>
      <c r="K1437" s="381"/>
      <c r="L1437" s="381"/>
      <c r="M1437" s="381"/>
      <c r="N1437" s="381"/>
      <c r="O1437" s="381"/>
      <c r="P1437" s="381"/>
      <c r="Q1437" s="381"/>
      <c r="R1437" s="381"/>
      <c r="S1437" s="381"/>
      <c r="T1437" s="381"/>
      <c r="U1437" s="381"/>
      <c r="V1437" s="381"/>
      <c r="W1437" s="381"/>
      <c r="X1437" s="381"/>
      <c r="Y1437" s="381"/>
      <c r="Z1437" s="381"/>
      <c r="AA1437" s="381"/>
      <c r="AB1437" s="22">
        <f t="shared" si="455"/>
        <v>0</v>
      </c>
      <c r="AC1437" s="23">
        <v>0</v>
      </c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22">
        <f t="shared" si="456"/>
        <v>0</v>
      </c>
      <c r="BC1437" s="23">
        <v>2</v>
      </c>
      <c r="BD1437" s="130">
        <f t="shared" si="457"/>
        <v>0</v>
      </c>
      <c r="BE1437" s="130">
        <f t="shared" si="458"/>
        <v>2</v>
      </c>
      <c r="BF1437" s="195">
        <f t="shared" si="459"/>
        <v>0</v>
      </c>
      <c r="BG1437" s="373">
        <f>BE1437-BD1437</f>
        <v>2</v>
      </c>
    </row>
    <row r="1438" spans="1:59" s="21" customFormat="1" ht="15.95" customHeight="1">
      <c r="A1438" s="176">
        <v>29</v>
      </c>
      <c r="B1438" s="31" t="s">
        <v>1961</v>
      </c>
      <c r="C1438" s="32" t="s">
        <v>1962</v>
      </c>
      <c r="D1438" s="231"/>
      <c r="E1438" s="231"/>
      <c r="F1438" s="231"/>
      <c r="G1438" s="231"/>
      <c r="H1438" s="231"/>
      <c r="I1438" s="231"/>
      <c r="J1438" s="231"/>
      <c r="K1438" s="231"/>
      <c r="L1438" s="231"/>
      <c r="M1438" s="231"/>
      <c r="N1438" s="231"/>
      <c r="O1438" s="231"/>
      <c r="P1438" s="231"/>
      <c r="Q1438" s="231"/>
      <c r="R1438" s="231"/>
      <c r="S1438" s="231"/>
      <c r="T1438" s="231"/>
      <c r="U1438" s="231"/>
      <c r="V1438" s="231"/>
      <c r="W1438" s="231"/>
      <c r="X1438" s="231"/>
      <c r="Y1438" s="231"/>
      <c r="Z1438" s="231"/>
      <c r="AA1438" s="231"/>
      <c r="AB1438" s="22">
        <f t="shared" si="455"/>
        <v>0</v>
      </c>
      <c r="AC1438" s="23">
        <v>0</v>
      </c>
      <c r="AD1438" s="35"/>
      <c r="AE1438" s="35"/>
      <c r="AF1438" s="35"/>
      <c r="AG1438" s="35"/>
      <c r="AH1438" s="35"/>
      <c r="AI1438" s="35"/>
      <c r="AJ1438" s="35"/>
      <c r="AK1438" s="35"/>
      <c r="AL1438" s="35">
        <f>1+4</f>
        <v>5</v>
      </c>
      <c r="AM1438" s="35"/>
      <c r="AN1438" s="35"/>
      <c r="AO1438" s="35"/>
      <c r="AP1438" s="35">
        <v>1</v>
      </c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22">
        <f t="shared" si="456"/>
        <v>6</v>
      </c>
      <c r="BC1438" s="23">
        <v>1</v>
      </c>
      <c r="BD1438" s="130">
        <f t="shared" si="457"/>
        <v>6</v>
      </c>
      <c r="BE1438" s="130">
        <f t="shared" si="458"/>
        <v>1</v>
      </c>
      <c r="BF1438" s="195">
        <f t="shared" si="459"/>
        <v>600</v>
      </c>
      <c r="BG1438" s="373">
        <f>BE1438-BD1438</f>
        <v>-5</v>
      </c>
    </row>
    <row r="1439" spans="1:59" s="21" customFormat="1" ht="15.95" customHeight="1">
      <c r="A1439" s="176">
        <v>30</v>
      </c>
      <c r="B1439" s="31" t="s">
        <v>3935</v>
      </c>
      <c r="C1439" s="32" t="s">
        <v>3936</v>
      </c>
      <c r="D1439" s="542"/>
      <c r="E1439" s="542"/>
      <c r="F1439" s="542"/>
      <c r="G1439" s="542"/>
      <c r="H1439" s="542"/>
      <c r="I1439" s="542"/>
      <c r="J1439" s="542"/>
      <c r="K1439" s="542"/>
      <c r="L1439" s="542">
        <v>1</v>
      </c>
      <c r="M1439" s="542"/>
      <c r="N1439" s="542"/>
      <c r="O1439" s="542"/>
      <c r="P1439" s="542"/>
      <c r="Q1439" s="542"/>
      <c r="R1439" s="542"/>
      <c r="S1439" s="542"/>
      <c r="T1439" s="542"/>
      <c r="U1439" s="542"/>
      <c r="V1439" s="542"/>
      <c r="W1439" s="542"/>
      <c r="X1439" s="542"/>
      <c r="Y1439" s="542"/>
      <c r="Z1439" s="542"/>
      <c r="AA1439" s="542"/>
      <c r="AB1439" s="22">
        <f t="shared" si="455"/>
        <v>1</v>
      </c>
      <c r="AC1439" s="23">
        <v>0</v>
      </c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22">
        <f t="shared" si="456"/>
        <v>0</v>
      </c>
      <c r="BC1439" s="23">
        <v>0</v>
      </c>
      <c r="BD1439" s="130">
        <f t="shared" si="457"/>
        <v>1</v>
      </c>
      <c r="BE1439" s="130">
        <f t="shared" si="458"/>
        <v>0</v>
      </c>
      <c r="BF1439" s="195" t="e">
        <f t="shared" si="459"/>
        <v>#DIV/0!</v>
      </c>
      <c r="BG1439" s="373"/>
    </row>
    <row r="1440" spans="1:59" s="21" customFormat="1" ht="15.95" customHeight="1">
      <c r="A1440" s="176">
        <v>31</v>
      </c>
      <c r="B1440" s="31" t="s">
        <v>2502</v>
      </c>
      <c r="C1440" s="32" t="s">
        <v>2503</v>
      </c>
      <c r="D1440" s="231"/>
      <c r="E1440" s="231"/>
      <c r="F1440" s="231"/>
      <c r="G1440" s="231"/>
      <c r="H1440" s="231"/>
      <c r="I1440" s="231"/>
      <c r="J1440" s="231"/>
      <c r="K1440" s="231"/>
      <c r="L1440" s="231"/>
      <c r="M1440" s="231"/>
      <c r="N1440" s="231"/>
      <c r="O1440" s="231"/>
      <c r="P1440" s="231"/>
      <c r="Q1440" s="231"/>
      <c r="R1440" s="231"/>
      <c r="S1440" s="231"/>
      <c r="T1440" s="231"/>
      <c r="U1440" s="231"/>
      <c r="V1440" s="231"/>
      <c r="W1440" s="231"/>
      <c r="X1440" s="231"/>
      <c r="Y1440" s="231"/>
      <c r="Z1440" s="231"/>
      <c r="AA1440" s="231"/>
      <c r="AB1440" s="22">
        <f t="shared" si="455"/>
        <v>0</v>
      </c>
      <c r="AC1440" s="23">
        <v>0</v>
      </c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22">
        <f t="shared" si="456"/>
        <v>0</v>
      </c>
      <c r="BC1440" s="23">
        <v>1</v>
      </c>
      <c r="BD1440" s="130">
        <f t="shared" si="457"/>
        <v>0</v>
      </c>
      <c r="BE1440" s="130">
        <f t="shared" si="458"/>
        <v>1</v>
      </c>
      <c r="BF1440" s="195">
        <f t="shared" si="459"/>
        <v>0</v>
      </c>
      <c r="BG1440" s="373">
        <f t="shared" ref="BG1440:BG1449" si="461">BE1440-BD1440</f>
        <v>1</v>
      </c>
    </row>
    <row r="1441" spans="1:59" s="21" customFormat="1" ht="15.95" customHeight="1">
      <c r="A1441" s="176">
        <v>32</v>
      </c>
      <c r="B1441" s="31" t="s">
        <v>938</v>
      </c>
      <c r="C1441" s="32" t="s">
        <v>939</v>
      </c>
      <c r="D1441" s="231"/>
      <c r="E1441" s="231"/>
      <c r="F1441" s="231"/>
      <c r="G1441" s="231"/>
      <c r="H1441" s="231"/>
      <c r="I1441" s="231"/>
      <c r="J1441" s="231"/>
      <c r="K1441" s="231"/>
      <c r="L1441" s="231"/>
      <c r="M1441" s="231"/>
      <c r="N1441" s="231"/>
      <c r="O1441" s="231"/>
      <c r="P1441" s="231"/>
      <c r="Q1441" s="231"/>
      <c r="R1441" s="231"/>
      <c r="S1441" s="231"/>
      <c r="T1441" s="231"/>
      <c r="U1441" s="231"/>
      <c r="V1441" s="231"/>
      <c r="W1441" s="231"/>
      <c r="X1441" s="231"/>
      <c r="Y1441" s="231"/>
      <c r="Z1441" s="231"/>
      <c r="AA1441" s="231"/>
      <c r="AB1441" s="22">
        <f t="shared" si="455"/>
        <v>0</v>
      </c>
      <c r="AC1441" s="23">
        <v>0</v>
      </c>
      <c r="AD1441" s="35"/>
      <c r="AE1441" s="35"/>
      <c r="AF1441" s="35"/>
      <c r="AG1441" s="35"/>
      <c r="AH1441" s="35"/>
      <c r="AI1441" s="35"/>
      <c r="AJ1441" s="35"/>
      <c r="AK1441" s="35"/>
      <c r="AL1441" s="35">
        <v>2</v>
      </c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22">
        <f t="shared" si="456"/>
        <v>2</v>
      </c>
      <c r="BC1441" s="23">
        <v>21</v>
      </c>
      <c r="BD1441" s="130">
        <f t="shared" si="457"/>
        <v>2</v>
      </c>
      <c r="BE1441" s="130">
        <f t="shared" si="458"/>
        <v>21</v>
      </c>
      <c r="BF1441" s="195">
        <f t="shared" si="459"/>
        <v>9.5238095238095237</v>
      </c>
      <c r="BG1441" s="373">
        <f t="shared" si="461"/>
        <v>19</v>
      </c>
    </row>
    <row r="1442" spans="1:59" s="21" customFormat="1" ht="15.95" customHeight="1">
      <c r="A1442" s="176">
        <v>33</v>
      </c>
      <c r="B1442" s="31" t="s">
        <v>940</v>
      </c>
      <c r="C1442" s="32" t="s">
        <v>2730</v>
      </c>
      <c r="D1442" s="231"/>
      <c r="E1442" s="231"/>
      <c r="F1442" s="231"/>
      <c r="G1442" s="231"/>
      <c r="H1442" s="231"/>
      <c r="I1442" s="231"/>
      <c r="J1442" s="231"/>
      <c r="K1442" s="231"/>
      <c r="L1442" s="231"/>
      <c r="M1442" s="231"/>
      <c r="N1442" s="231"/>
      <c r="O1442" s="231"/>
      <c r="P1442" s="231"/>
      <c r="Q1442" s="231"/>
      <c r="R1442" s="231"/>
      <c r="S1442" s="231"/>
      <c r="T1442" s="231"/>
      <c r="U1442" s="231"/>
      <c r="V1442" s="231"/>
      <c r="W1442" s="231"/>
      <c r="X1442" s="231"/>
      <c r="Y1442" s="231"/>
      <c r="Z1442" s="231"/>
      <c r="AA1442" s="231"/>
      <c r="AB1442" s="22">
        <f t="shared" ref="AB1442:AB1473" si="462">SUM(D1442:AA1442)</f>
        <v>0</v>
      </c>
      <c r="AC1442" s="23">
        <v>1</v>
      </c>
      <c r="AD1442" s="35"/>
      <c r="AE1442" s="35"/>
      <c r="AF1442" s="35"/>
      <c r="AG1442" s="35"/>
      <c r="AH1442" s="35">
        <v>2</v>
      </c>
      <c r="AI1442" s="35"/>
      <c r="AJ1442" s="35"/>
      <c r="AK1442" s="35"/>
      <c r="AL1442" s="35">
        <v>1</v>
      </c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22">
        <f t="shared" ref="BB1442:BB1473" si="463">SUM(AD1442:BA1442)</f>
        <v>3</v>
      </c>
      <c r="BC1442" s="23">
        <f>58+2</f>
        <v>60</v>
      </c>
      <c r="BD1442" s="130">
        <f t="shared" ref="BD1442:BD1473" si="464">AB1442+BB1442</f>
        <v>3</v>
      </c>
      <c r="BE1442" s="130">
        <f t="shared" ref="BE1442:BE1473" si="465">AC1442+BC1442</f>
        <v>61</v>
      </c>
      <c r="BF1442" s="195">
        <f t="shared" ref="BF1442:BF1473" si="466">BD1442/BE1442*100</f>
        <v>4.918032786885246</v>
      </c>
      <c r="BG1442" s="373">
        <f t="shared" si="461"/>
        <v>58</v>
      </c>
    </row>
    <row r="1443" spans="1:59" s="21" customFormat="1" ht="15.95" customHeight="1">
      <c r="A1443" s="176">
        <v>34</v>
      </c>
      <c r="B1443" s="37" t="s">
        <v>777</v>
      </c>
      <c r="C1443" s="38" t="s">
        <v>896</v>
      </c>
      <c r="D1443" s="98"/>
      <c r="E1443" s="98"/>
      <c r="F1443" s="98"/>
      <c r="G1443" s="98"/>
      <c r="H1443" s="98">
        <v>2</v>
      </c>
      <c r="I1443" s="98"/>
      <c r="J1443" s="98"/>
      <c r="K1443" s="98"/>
      <c r="L1443" s="98">
        <v>8</v>
      </c>
      <c r="M1443" s="98"/>
      <c r="N1443" s="98"/>
      <c r="O1443" s="98"/>
      <c r="P1443" s="98">
        <v>12</v>
      </c>
      <c r="Q1443" s="98"/>
      <c r="R1443" s="98"/>
      <c r="S1443" s="98"/>
      <c r="T1443" s="98"/>
      <c r="U1443" s="98"/>
      <c r="V1443" s="98"/>
      <c r="W1443" s="98"/>
      <c r="X1443" s="98"/>
      <c r="Y1443" s="98"/>
      <c r="Z1443" s="98"/>
      <c r="AA1443" s="98"/>
      <c r="AB1443" s="22">
        <f t="shared" si="462"/>
        <v>22</v>
      </c>
      <c r="AC1443" s="23">
        <v>95</v>
      </c>
      <c r="AD1443" s="99"/>
      <c r="AE1443" s="99"/>
      <c r="AF1443" s="99"/>
      <c r="AG1443" s="99"/>
      <c r="AH1443" s="99">
        <f>16+6</f>
        <v>22</v>
      </c>
      <c r="AI1443" s="99"/>
      <c r="AJ1443" s="99"/>
      <c r="AK1443" s="99">
        <v>1</v>
      </c>
      <c r="AL1443" s="99">
        <f>155+74+4</f>
        <v>233</v>
      </c>
      <c r="AM1443" s="99"/>
      <c r="AN1443" s="99"/>
      <c r="AO1443" s="99"/>
      <c r="AP1443" s="99">
        <f>103+31+5</f>
        <v>139</v>
      </c>
      <c r="AQ1443" s="99"/>
      <c r="AR1443" s="99"/>
      <c r="AS1443" s="99"/>
      <c r="AT1443" s="99"/>
      <c r="AU1443" s="99"/>
      <c r="AV1443" s="99"/>
      <c r="AW1443" s="99"/>
      <c r="AX1443" s="99"/>
      <c r="AY1443" s="99"/>
      <c r="AZ1443" s="99"/>
      <c r="BA1443" s="99"/>
      <c r="BB1443" s="22">
        <f t="shared" si="463"/>
        <v>395</v>
      </c>
      <c r="BC1443" s="23">
        <v>910</v>
      </c>
      <c r="BD1443" s="130">
        <f t="shared" si="464"/>
        <v>417</v>
      </c>
      <c r="BE1443" s="130">
        <f t="shared" si="465"/>
        <v>1005</v>
      </c>
      <c r="BF1443" s="195">
        <f t="shared" si="466"/>
        <v>41.492537313432834</v>
      </c>
      <c r="BG1443" s="373">
        <f t="shared" si="461"/>
        <v>588</v>
      </c>
    </row>
    <row r="1444" spans="1:59" s="21" customFormat="1" ht="15.95" customHeight="1">
      <c r="A1444" s="176">
        <v>35</v>
      </c>
      <c r="B1444" s="37" t="s">
        <v>778</v>
      </c>
      <c r="C1444" s="38" t="s">
        <v>779</v>
      </c>
      <c r="D1444" s="98"/>
      <c r="E1444" s="98"/>
      <c r="F1444" s="98"/>
      <c r="G1444" s="98"/>
      <c r="H1444" s="98">
        <v>3</v>
      </c>
      <c r="I1444" s="98"/>
      <c r="J1444" s="98"/>
      <c r="K1444" s="98"/>
      <c r="L1444" s="98">
        <v>2</v>
      </c>
      <c r="M1444" s="98"/>
      <c r="N1444" s="98"/>
      <c r="O1444" s="98"/>
      <c r="P1444" s="98">
        <v>6</v>
      </c>
      <c r="Q1444" s="98"/>
      <c r="R1444" s="98"/>
      <c r="S1444" s="98"/>
      <c r="T1444" s="98"/>
      <c r="U1444" s="98"/>
      <c r="V1444" s="98"/>
      <c r="W1444" s="98"/>
      <c r="X1444" s="98"/>
      <c r="Y1444" s="98"/>
      <c r="Z1444" s="98"/>
      <c r="AA1444" s="98"/>
      <c r="AB1444" s="22">
        <f t="shared" si="462"/>
        <v>11</v>
      </c>
      <c r="AC1444" s="23">
        <v>30</v>
      </c>
      <c r="AD1444" s="99"/>
      <c r="AE1444" s="99"/>
      <c r="AF1444" s="99"/>
      <c r="AG1444" s="99"/>
      <c r="AH1444" s="99">
        <f>11+7</f>
        <v>18</v>
      </c>
      <c r="AI1444" s="99"/>
      <c r="AJ1444" s="99"/>
      <c r="AK1444" s="99"/>
      <c r="AL1444" s="99">
        <f>46+22</f>
        <v>68</v>
      </c>
      <c r="AM1444" s="99"/>
      <c r="AN1444" s="99"/>
      <c r="AO1444" s="99"/>
      <c r="AP1444" s="99">
        <f>36+18+1</f>
        <v>55</v>
      </c>
      <c r="AQ1444" s="99"/>
      <c r="AR1444" s="99"/>
      <c r="AS1444" s="99"/>
      <c r="AT1444" s="99"/>
      <c r="AU1444" s="99"/>
      <c r="AV1444" s="99"/>
      <c r="AW1444" s="99"/>
      <c r="AX1444" s="99"/>
      <c r="AY1444" s="99"/>
      <c r="AZ1444" s="99"/>
      <c r="BA1444" s="99"/>
      <c r="BB1444" s="22">
        <f t="shared" si="463"/>
        <v>141</v>
      </c>
      <c r="BC1444" s="23">
        <v>232</v>
      </c>
      <c r="BD1444" s="130">
        <f t="shared" si="464"/>
        <v>152</v>
      </c>
      <c r="BE1444" s="130">
        <f t="shared" si="465"/>
        <v>262</v>
      </c>
      <c r="BF1444" s="195">
        <f t="shared" si="466"/>
        <v>58.015267175572518</v>
      </c>
      <c r="BG1444" s="373">
        <f t="shared" si="461"/>
        <v>110</v>
      </c>
    </row>
    <row r="1445" spans="1:59" s="21" customFormat="1" ht="15.95" customHeight="1">
      <c r="A1445" s="176">
        <v>36</v>
      </c>
      <c r="B1445" s="37" t="s">
        <v>2504</v>
      </c>
      <c r="C1445" s="38" t="s">
        <v>2505</v>
      </c>
      <c r="D1445" s="98"/>
      <c r="E1445" s="98"/>
      <c r="F1445" s="98"/>
      <c r="G1445" s="98"/>
      <c r="H1445" s="98"/>
      <c r="I1445" s="98"/>
      <c r="J1445" s="98"/>
      <c r="K1445" s="98"/>
      <c r="L1445" s="98"/>
      <c r="M1445" s="98"/>
      <c r="N1445" s="98"/>
      <c r="O1445" s="98"/>
      <c r="P1445" s="98"/>
      <c r="Q1445" s="98"/>
      <c r="R1445" s="98"/>
      <c r="S1445" s="98"/>
      <c r="T1445" s="98"/>
      <c r="U1445" s="98"/>
      <c r="V1445" s="98"/>
      <c r="W1445" s="98"/>
      <c r="X1445" s="98"/>
      <c r="Y1445" s="98"/>
      <c r="Z1445" s="98"/>
      <c r="AA1445" s="98"/>
      <c r="AB1445" s="22">
        <f t="shared" si="462"/>
        <v>0</v>
      </c>
      <c r="AC1445" s="23">
        <v>0</v>
      </c>
      <c r="AD1445" s="99"/>
      <c r="AE1445" s="99"/>
      <c r="AF1445" s="99"/>
      <c r="AG1445" s="99"/>
      <c r="AH1445" s="99"/>
      <c r="AI1445" s="99"/>
      <c r="AJ1445" s="99"/>
      <c r="AK1445" s="99"/>
      <c r="AL1445" s="99"/>
      <c r="AM1445" s="99"/>
      <c r="AN1445" s="99"/>
      <c r="AO1445" s="99"/>
      <c r="AP1445" s="99"/>
      <c r="AQ1445" s="99"/>
      <c r="AR1445" s="99"/>
      <c r="AS1445" s="99"/>
      <c r="AT1445" s="99"/>
      <c r="AU1445" s="99"/>
      <c r="AV1445" s="99"/>
      <c r="AW1445" s="99"/>
      <c r="AX1445" s="99"/>
      <c r="AY1445" s="99"/>
      <c r="AZ1445" s="99"/>
      <c r="BA1445" s="99"/>
      <c r="BB1445" s="22">
        <f t="shared" si="463"/>
        <v>0</v>
      </c>
      <c r="BC1445" s="23">
        <v>4</v>
      </c>
      <c r="BD1445" s="130">
        <f t="shared" si="464"/>
        <v>0</v>
      </c>
      <c r="BE1445" s="130">
        <f t="shared" si="465"/>
        <v>4</v>
      </c>
      <c r="BF1445" s="195">
        <f t="shared" si="466"/>
        <v>0</v>
      </c>
      <c r="BG1445" s="373">
        <f t="shared" si="461"/>
        <v>4</v>
      </c>
    </row>
    <row r="1446" spans="1:59" s="21" customFormat="1" ht="15.95" customHeight="1">
      <c r="A1446" s="176">
        <v>37</v>
      </c>
      <c r="B1446" s="37" t="s">
        <v>942</v>
      </c>
      <c r="C1446" s="38" t="s">
        <v>943</v>
      </c>
      <c r="D1446" s="98"/>
      <c r="E1446" s="98"/>
      <c r="F1446" s="98"/>
      <c r="G1446" s="98"/>
      <c r="H1446" s="98"/>
      <c r="I1446" s="98"/>
      <c r="J1446" s="98"/>
      <c r="K1446" s="98"/>
      <c r="L1446" s="98"/>
      <c r="M1446" s="98"/>
      <c r="N1446" s="98"/>
      <c r="O1446" s="98"/>
      <c r="P1446" s="98">
        <v>1</v>
      </c>
      <c r="Q1446" s="98"/>
      <c r="R1446" s="98"/>
      <c r="S1446" s="98"/>
      <c r="T1446" s="98"/>
      <c r="U1446" s="98"/>
      <c r="V1446" s="98"/>
      <c r="W1446" s="98"/>
      <c r="X1446" s="98"/>
      <c r="Y1446" s="98"/>
      <c r="Z1446" s="98"/>
      <c r="AA1446" s="98"/>
      <c r="AB1446" s="22">
        <f t="shared" si="462"/>
        <v>1</v>
      </c>
      <c r="AC1446" s="23">
        <v>12</v>
      </c>
      <c r="AD1446" s="99"/>
      <c r="AE1446" s="99"/>
      <c r="AF1446" s="99"/>
      <c r="AG1446" s="99"/>
      <c r="AH1446" s="99">
        <v>1</v>
      </c>
      <c r="AI1446" s="99"/>
      <c r="AJ1446" s="99"/>
      <c r="AK1446" s="99"/>
      <c r="AL1446" s="99">
        <f>22+16+1</f>
        <v>39</v>
      </c>
      <c r="AM1446" s="99"/>
      <c r="AN1446" s="99"/>
      <c r="AO1446" s="99"/>
      <c r="AP1446" s="99">
        <f>11+7</f>
        <v>18</v>
      </c>
      <c r="AQ1446" s="99"/>
      <c r="AR1446" s="99"/>
      <c r="AS1446" s="99"/>
      <c r="AT1446" s="99"/>
      <c r="AU1446" s="99"/>
      <c r="AV1446" s="99"/>
      <c r="AW1446" s="99"/>
      <c r="AX1446" s="99"/>
      <c r="AY1446" s="99"/>
      <c r="AZ1446" s="99"/>
      <c r="BA1446" s="99"/>
      <c r="BB1446" s="22">
        <f t="shared" si="463"/>
        <v>58</v>
      </c>
      <c r="BC1446" s="23">
        <v>140</v>
      </c>
      <c r="BD1446" s="130">
        <f t="shared" si="464"/>
        <v>59</v>
      </c>
      <c r="BE1446" s="130">
        <f t="shared" si="465"/>
        <v>152</v>
      </c>
      <c r="BF1446" s="195">
        <f t="shared" si="466"/>
        <v>38.815789473684212</v>
      </c>
      <c r="BG1446" s="373">
        <f t="shared" si="461"/>
        <v>93</v>
      </c>
    </row>
    <row r="1447" spans="1:59" s="21" customFormat="1" ht="15.95" customHeight="1">
      <c r="A1447" s="176">
        <v>38</v>
      </c>
      <c r="B1447" s="31" t="s">
        <v>1094</v>
      </c>
      <c r="C1447" s="32" t="s">
        <v>1095</v>
      </c>
      <c r="D1447" s="231"/>
      <c r="E1447" s="231"/>
      <c r="F1447" s="231"/>
      <c r="G1447" s="231"/>
      <c r="H1447" s="231"/>
      <c r="I1447" s="231"/>
      <c r="J1447" s="231"/>
      <c r="K1447" s="231"/>
      <c r="L1447" s="231"/>
      <c r="M1447" s="231"/>
      <c r="N1447" s="231"/>
      <c r="O1447" s="231"/>
      <c r="P1447" s="231"/>
      <c r="Q1447" s="231"/>
      <c r="R1447" s="231"/>
      <c r="S1447" s="231"/>
      <c r="T1447" s="231"/>
      <c r="U1447" s="231"/>
      <c r="V1447" s="231"/>
      <c r="W1447" s="231"/>
      <c r="X1447" s="231"/>
      <c r="Y1447" s="231"/>
      <c r="Z1447" s="231"/>
      <c r="AA1447" s="231"/>
      <c r="AB1447" s="22">
        <f t="shared" si="462"/>
        <v>0</v>
      </c>
      <c r="AC1447" s="23">
        <v>0</v>
      </c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22">
        <f t="shared" si="463"/>
        <v>0</v>
      </c>
      <c r="BC1447" s="23">
        <v>1</v>
      </c>
      <c r="BD1447" s="130">
        <f t="shared" si="464"/>
        <v>0</v>
      </c>
      <c r="BE1447" s="130">
        <f t="shared" si="465"/>
        <v>1</v>
      </c>
      <c r="BF1447" s="195">
        <f t="shared" si="466"/>
        <v>0</v>
      </c>
      <c r="BG1447" s="373">
        <f t="shared" si="461"/>
        <v>1</v>
      </c>
    </row>
    <row r="1448" spans="1:59" s="21" customFormat="1" ht="15.95" customHeight="1">
      <c r="A1448" s="176">
        <v>39</v>
      </c>
      <c r="B1448" s="31" t="s">
        <v>783</v>
      </c>
      <c r="C1448" s="32" t="s">
        <v>784</v>
      </c>
      <c r="D1448" s="381"/>
      <c r="E1448" s="381"/>
      <c r="F1448" s="381"/>
      <c r="G1448" s="381"/>
      <c r="H1448" s="381"/>
      <c r="I1448" s="381"/>
      <c r="J1448" s="381"/>
      <c r="K1448" s="381"/>
      <c r="L1448" s="381"/>
      <c r="M1448" s="381"/>
      <c r="N1448" s="381"/>
      <c r="O1448" s="381"/>
      <c r="P1448" s="381"/>
      <c r="Q1448" s="381"/>
      <c r="R1448" s="381"/>
      <c r="S1448" s="381"/>
      <c r="T1448" s="381"/>
      <c r="U1448" s="381"/>
      <c r="V1448" s="381"/>
      <c r="W1448" s="381"/>
      <c r="X1448" s="381"/>
      <c r="Y1448" s="381"/>
      <c r="Z1448" s="381"/>
      <c r="AA1448" s="381"/>
      <c r="AB1448" s="22">
        <f t="shared" si="462"/>
        <v>0</v>
      </c>
      <c r="AC1448" s="23">
        <v>0</v>
      </c>
      <c r="AD1448" s="35"/>
      <c r="AE1448" s="35"/>
      <c r="AF1448" s="35"/>
      <c r="AG1448" s="35"/>
      <c r="AH1448" s="35">
        <v>5</v>
      </c>
      <c r="AI1448" s="35"/>
      <c r="AJ1448" s="35"/>
      <c r="AK1448" s="35"/>
      <c r="AL1448" s="35">
        <v>18</v>
      </c>
      <c r="AM1448" s="35"/>
      <c r="AN1448" s="35"/>
      <c r="AO1448" s="35"/>
      <c r="AP1448" s="35">
        <v>48</v>
      </c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22">
        <f t="shared" si="463"/>
        <v>71</v>
      </c>
      <c r="BC1448" s="23">
        <v>162</v>
      </c>
      <c r="BD1448" s="130">
        <f t="shared" si="464"/>
        <v>71</v>
      </c>
      <c r="BE1448" s="130">
        <f t="shared" si="465"/>
        <v>162</v>
      </c>
      <c r="BF1448" s="195">
        <f t="shared" si="466"/>
        <v>43.827160493827158</v>
      </c>
      <c r="BG1448" s="373">
        <f t="shared" si="461"/>
        <v>91</v>
      </c>
    </row>
    <row r="1449" spans="1:59" s="21" customFormat="1" ht="15.95" customHeight="1">
      <c r="A1449" s="176">
        <v>40</v>
      </c>
      <c r="B1449" s="37" t="s">
        <v>1158</v>
      </c>
      <c r="C1449" s="38" t="s">
        <v>1159</v>
      </c>
      <c r="D1449" s="381"/>
      <c r="E1449" s="381"/>
      <c r="F1449" s="381"/>
      <c r="G1449" s="381"/>
      <c r="H1449" s="381"/>
      <c r="I1449" s="381"/>
      <c r="J1449" s="381"/>
      <c r="K1449" s="381"/>
      <c r="L1449" s="381"/>
      <c r="M1449" s="381"/>
      <c r="N1449" s="381"/>
      <c r="O1449" s="381"/>
      <c r="P1449" s="381"/>
      <c r="Q1449" s="381"/>
      <c r="R1449" s="381"/>
      <c r="S1449" s="381"/>
      <c r="T1449" s="381"/>
      <c r="U1449" s="381"/>
      <c r="V1449" s="381"/>
      <c r="W1449" s="381"/>
      <c r="X1449" s="381"/>
      <c r="Y1449" s="381"/>
      <c r="Z1449" s="381"/>
      <c r="AA1449" s="381"/>
      <c r="AB1449" s="22">
        <f t="shared" si="462"/>
        <v>0</v>
      </c>
      <c r="AC1449" s="23">
        <v>0</v>
      </c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>
        <v>1</v>
      </c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22">
        <f t="shared" si="463"/>
        <v>1</v>
      </c>
      <c r="BC1449" s="23">
        <v>1</v>
      </c>
      <c r="BD1449" s="130">
        <f t="shared" si="464"/>
        <v>1</v>
      </c>
      <c r="BE1449" s="130">
        <f t="shared" si="465"/>
        <v>1</v>
      </c>
      <c r="BF1449" s="195">
        <f t="shared" si="466"/>
        <v>100</v>
      </c>
      <c r="BG1449" s="373">
        <f t="shared" si="461"/>
        <v>0</v>
      </c>
    </row>
    <row r="1450" spans="1:59" s="21" customFormat="1" ht="15.95" customHeight="1">
      <c r="A1450" s="176">
        <v>41</v>
      </c>
      <c r="B1450" s="31" t="s">
        <v>1310</v>
      </c>
      <c r="C1450" s="32" t="s">
        <v>4153</v>
      </c>
      <c r="D1450" s="571"/>
      <c r="E1450" s="571"/>
      <c r="F1450" s="571"/>
      <c r="G1450" s="571"/>
      <c r="H1450" s="571"/>
      <c r="I1450" s="571"/>
      <c r="J1450" s="571"/>
      <c r="K1450" s="571"/>
      <c r="L1450" s="571"/>
      <c r="M1450" s="571"/>
      <c r="N1450" s="571"/>
      <c r="O1450" s="571"/>
      <c r="P1450" s="571"/>
      <c r="Q1450" s="571"/>
      <c r="R1450" s="571"/>
      <c r="S1450" s="571"/>
      <c r="T1450" s="571"/>
      <c r="U1450" s="571"/>
      <c r="V1450" s="571"/>
      <c r="W1450" s="571"/>
      <c r="X1450" s="571"/>
      <c r="Y1450" s="571"/>
      <c r="Z1450" s="571"/>
      <c r="AA1450" s="571"/>
      <c r="AB1450" s="22">
        <f t="shared" si="462"/>
        <v>0</v>
      </c>
      <c r="AC1450" s="23">
        <v>0</v>
      </c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>
        <v>1</v>
      </c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22">
        <f t="shared" si="463"/>
        <v>1</v>
      </c>
      <c r="BC1450" s="23">
        <v>0</v>
      </c>
      <c r="BD1450" s="130">
        <f t="shared" si="464"/>
        <v>1</v>
      </c>
      <c r="BE1450" s="130">
        <f t="shared" si="465"/>
        <v>0</v>
      </c>
      <c r="BF1450" s="195" t="e">
        <f t="shared" si="466"/>
        <v>#DIV/0!</v>
      </c>
      <c r="BG1450" s="373"/>
    </row>
    <row r="1451" spans="1:59" s="21" customFormat="1" ht="15.95" customHeight="1">
      <c r="A1451" s="176">
        <v>42</v>
      </c>
      <c r="B1451" s="31" t="s">
        <v>999</v>
      </c>
      <c r="C1451" s="32" t="s">
        <v>1000</v>
      </c>
      <c r="D1451" s="381"/>
      <c r="E1451" s="381"/>
      <c r="F1451" s="381"/>
      <c r="G1451" s="381"/>
      <c r="H1451" s="381"/>
      <c r="I1451" s="381"/>
      <c r="J1451" s="381"/>
      <c r="K1451" s="381"/>
      <c r="L1451" s="381"/>
      <c r="M1451" s="381"/>
      <c r="N1451" s="381"/>
      <c r="O1451" s="381"/>
      <c r="P1451" s="381"/>
      <c r="Q1451" s="381"/>
      <c r="R1451" s="381"/>
      <c r="S1451" s="381"/>
      <c r="T1451" s="381"/>
      <c r="U1451" s="381"/>
      <c r="V1451" s="381"/>
      <c r="W1451" s="381"/>
      <c r="X1451" s="381"/>
      <c r="Y1451" s="381"/>
      <c r="Z1451" s="381"/>
      <c r="AA1451" s="381"/>
      <c r="AB1451" s="22">
        <f t="shared" si="462"/>
        <v>0</v>
      </c>
      <c r="AC1451" s="23">
        <v>1</v>
      </c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22">
        <f t="shared" si="463"/>
        <v>0</v>
      </c>
      <c r="BC1451" s="23">
        <v>0</v>
      </c>
      <c r="BD1451" s="130">
        <f t="shared" si="464"/>
        <v>0</v>
      </c>
      <c r="BE1451" s="130">
        <f t="shared" si="465"/>
        <v>1</v>
      </c>
      <c r="BF1451" s="195">
        <f t="shared" si="466"/>
        <v>0</v>
      </c>
      <c r="BG1451" s="373">
        <f t="shared" ref="BG1451:BG1456" si="467">BE1451-BD1451</f>
        <v>1</v>
      </c>
    </row>
    <row r="1452" spans="1:59" s="21" customFormat="1" ht="15.95" customHeight="1">
      <c r="A1452" s="176">
        <v>43</v>
      </c>
      <c r="B1452" s="31" t="s">
        <v>814</v>
      </c>
      <c r="C1452" s="32" t="s">
        <v>815</v>
      </c>
      <c r="D1452" s="381"/>
      <c r="E1452" s="381"/>
      <c r="F1452" s="381"/>
      <c r="G1452" s="381"/>
      <c r="H1452" s="381"/>
      <c r="I1452" s="381"/>
      <c r="J1452" s="381"/>
      <c r="K1452" s="381"/>
      <c r="L1452" s="381"/>
      <c r="M1452" s="381"/>
      <c r="N1452" s="381"/>
      <c r="O1452" s="381"/>
      <c r="P1452" s="381"/>
      <c r="Q1452" s="381"/>
      <c r="R1452" s="381"/>
      <c r="S1452" s="381"/>
      <c r="T1452" s="381"/>
      <c r="U1452" s="381"/>
      <c r="V1452" s="381"/>
      <c r="W1452" s="381"/>
      <c r="X1452" s="381"/>
      <c r="Y1452" s="381"/>
      <c r="Z1452" s="381"/>
      <c r="AA1452" s="381"/>
      <c r="AB1452" s="22">
        <f t="shared" si="462"/>
        <v>0</v>
      </c>
      <c r="AC1452" s="23">
        <v>0</v>
      </c>
      <c r="AD1452" s="35"/>
      <c r="AE1452" s="35"/>
      <c r="AF1452" s="35"/>
      <c r="AG1452" s="35"/>
      <c r="AH1452" s="35"/>
      <c r="AI1452" s="35"/>
      <c r="AJ1452" s="35"/>
      <c r="AK1452" s="35"/>
      <c r="AL1452" s="35">
        <v>2</v>
      </c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22">
        <f t="shared" si="463"/>
        <v>2</v>
      </c>
      <c r="BC1452" s="23">
        <v>51</v>
      </c>
      <c r="BD1452" s="130">
        <f t="shared" si="464"/>
        <v>2</v>
      </c>
      <c r="BE1452" s="130">
        <f t="shared" si="465"/>
        <v>51</v>
      </c>
      <c r="BF1452" s="195">
        <f t="shared" si="466"/>
        <v>3.9215686274509802</v>
      </c>
      <c r="BG1452" s="373">
        <f t="shared" si="467"/>
        <v>49</v>
      </c>
    </row>
    <row r="1453" spans="1:59" s="21" customFormat="1" ht="15.95" customHeight="1">
      <c r="A1453" s="176">
        <v>44</v>
      </c>
      <c r="B1453" s="31" t="s">
        <v>905</v>
      </c>
      <c r="C1453" s="32" t="s">
        <v>3173</v>
      </c>
      <c r="D1453" s="231"/>
      <c r="E1453" s="231"/>
      <c r="F1453" s="231"/>
      <c r="G1453" s="231"/>
      <c r="H1453" s="231"/>
      <c r="I1453" s="231"/>
      <c r="J1453" s="231"/>
      <c r="K1453" s="231"/>
      <c r="L1453" s="231"/>
      <c r="M1453" s="231"/>
      <c r="N1453" s="231"/>
      <c r="O1453" s="231"/>
      <c r="P1453" s="231"/>
      <c r="Q1453" s="231"/>
      <c r="R1453" s="231"/>
      <c r="S1453" s="231"/>
      <c r="T1453" s="231"/>
      <c r="U1453" s="231"/>
      <c r="V1453" s="231"/>
      <c r="W1453" s="231"/>
      <c r="X1453" s="231"/>
      <c r="Y1453" s="231"/>
      <c r="Z1453" s="231"/>
      <c r="AA1453" s="231"/>
      <c r="AB1453" s="22">
        <f t="shared" si="462"/>
        <v>0</v>
      </c>
      <c r="AC1453" s="23">
        <v>0</v>
      </c>
      <c r="AD1453" s="35"/>
      <c r="AE1453" s="35"/>
      <c r="AF1453" s="35"/>
      <c r="AG1453" s="35"/>
      <c r="AH1453" s="35"/>
      <c r="AI1453" s="35"/>
      <c r="AJ1453" s="35"/>
      <c r="AK1453" s="35"/>
      <c r="AL1453" s="35">
        <v>1</v>
      </c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22">
        <f t="shared" si="463"/>
        <v>1</v>
      </c>
      <c r="BC1453" s="23">
        <v>1</v>
      </c>
      <c r="BD1453" s="130">
        <f t="shared" si="464"/>
        <v>1</v>
      </c>
      <c r="BE1453" s="130">
        <f t="shared" si="465"/>
        <v>1</v>
      </c>
      <c r="BF1453" s="195">
        <f t="shared" si="466"/>
        <v>100</v>
      </c>
      <c r="BG1453" s="373">
        <f t="shared" si="467"/>
        <v>0</v>
      </c>
    </row>
    <row r="1454" spans="1:59" s="21" customFormat="1" ht="15.95" customHeight="1">
      <c r="A1454" s="176">
        <v>45</v>
      </c>
      <c r="B1454" s="31" t="s">
        <v>1072</v>
      </c>
      <c r="C1454" s="32" t="s">
        <v>1073</v>
      </c>
      <c r="D1454" s="231"/>
      <c r="E1454" s="231"/>
      <c r="F1454" s="231"/>
      <c r="G1454" s="231"/>
      <c r="H1454" s="231"/>
      <c r="I1454" s="231"/>
      <c r="J1454" s="231"/>
      <c r="K1454" s="231"/>
      <c r="L1454" s="231"/>
      <c r="M1454" s="231"/>
      <c r="N1454" s="231"/>
      <c r="O1454" s="231"/>
      <c r="P1454" s="231"/>
      <c r="Q1454" s="231"/>
      <c r="R1454" s="231"/>
      <c r="S1454" s="231"/>
      <c r="T1454" s="231"/>
      <c r="U1454" s="231"/>
      <c r="V1454" s="231"/>
      <c r="W1454" s="231"/>
      <c r="X1454" s="231"/>
      <c r="Y1454" s="231"/>
      <c r="Z1454" s="231"/>
      <c r="AA1454" s="231"/>
      <c r="AB1454" s="22">
        <f t="shared" si="462"/>
        <v>0</v>
      </c>
      <c r="AC1454" s="23">
        <v>0</v>
      </c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22">
        <f t="shared" si="463"/>
        <v>0</v>
      </c>
      <c r="BC1454" s="23">
        <v>1</v>
      </c>
      <c r="BD1454" s="130">
        <f t="shared" si="464"/>
        <v>0</v>
      </c>
      <c r="BE1454" s="130">
        <f t="shared" si="465"/>
        <v>1</v>
      </c>
      <c r="BF1454" s="195">
        <f t="shared" si="466"/>
        <v>0</v>
      </c>
      <c r="BG1454" s="373">
        <f t="shared" si="467"/>
        <v>1</v>
      </c>
    </row>
    <row r="1455" spans="1:59" s="21" customFormat="1" ht="15.95" customHeight="1">
      <c r="A1455" s="176">
        <v>46</v>
      </c>
      <c r="B1455" s="31" t="s">
        <v>819</v>
      </c>
      <c r="C1455" s="32" t="s">
        <v>820</v>
      </c>
      <c r="D1455" s="366"/>
      <c r="E1455" s="366"/>
      <c r="F1455" s="366"/>
      <c r="G1455" s="366"/>
      <c r="H1455" s="366">
        <v>2</v>
      </c>
      <c r="I1455" s="366"/>
      <c r="J1455" s="366"/>
      <c r="K1455" s="366"/>
      <c r="L1455" s="366">
        <v>1</v>
      </c>
      <c r="M1455" s="366"/>
      <c r="N1455" s="366"/>
      <c r="O1455" s="366"/>
      <c r="P1455" s="366">
        <v>5</v>
      </c>
      <c r="Q1455" s="366"/>
      <c r="R1455" s="366"/>
      <c r="S1455" s="366"/>
      <c r="T1455" s="366"/>
      <c r="U1455" s="366"/>
      <c r="V1455" s="366"/>
      <c r="W1455" s="366"/>
      <c r="X1455" s="366"/>
      <c r="Y1455" s="366"/>
      <c r="Z1455" s="366"/>
      <c r="AA1455" s="366"/>
      <c r="AB1455" s="22">
        <f t="shared" si="462"/>
        <v>8</v>
      </c>
      <c r="AC1455" s="23">
        <v>102</v>
      </c>
      <c r="AD1455" s="35"/>
      <c r="AE1455" s="35"/>
      <c r="AF1455" s="35"/>
      <c r="AG1455" s="35"/>
      <c r="AH1455" s="35">
        <f>19+13</f>
        <v>32</v>
      </c>
      <c r="AI1455" s="35"/>
      <c r="AJ1455" s="35"/>
      <c r="AK1455" s="35"/>
      <c r="AL1455" s="35">
        <f>129+95</f>
        <v>224</v>
      </c>
      <c r="AM1455" s="35"/>
      <c r="AN1455" s="35"/>
      <c r="AO1455" s="35"/>
      <c r="AP1455" s="35">
        <f>92+53</f>
        <v>145</v>
      </c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22">
        <f t="shared" si="463"/>
        <v>401</v>
      </c>
      <c r="BC1455" s="23">
        <v>717</v>
      </c>
      <c r="BD1455" s="130">
        <f t="shared" si="464"/>
        <v>409</v>
      </c>
      <c r="BE1455" s="130">
        <f t="shared" si="465"/>
        <v>819</v>
      </c>
      <c r="BF1455" s="195">
        <f t="shared" si="466"/>
        <v>49.938949938949939</v>
      </c>
      <c r="BG1455" s="373">
        <f t="shared" si="467"/>
        <v>410</v>
      </c>
    </row>
    <row r="1456" spans="1:59" s="21" customFormat="1" ht="15.95" customHeight="1">
      <c r="A1456" s="176">
        <v>47</v>
      </c>
      <c r="B1456" s="31" t="s">
        <v>1321</v>
      </c>
      <c r="C1456" s="32" t="s">
        <v>907</v>
      </c>
      <c r="D1456" s="366"/>
      <c r="E1456" s="366"/>
      <c r="F1456" s="366"/>
      <c r="G1456" s="366"/>
      <c r="H1456" s="366">
        <v>2</v>
      </c>
      <c r="I1456" s="366"/>
      <c r="J1456" s="366"/>
      <c r="K1456" s="366"/>
      <c r="L1456" s="366"/>
      <c r="M1456" s="366"/>
      <c r="N1456" s="366"/>
      <c r="O1456" s="366"/>
      <c r="P1456" s="366"/>
      <c r="Q1456" s="366"/>
      <c r="R1456" s="366"/>
      <c r="S1456" s="366"/>
      <c r="T1456" s="366"/>
      <c r="U1456" s="366"/>
      <c r="V1456" s="366"/>
      <c r="W1456" s="366"/>
      <c r="X1456" s="366"/>
      <c r="Y1456" s="366"/>
      <c r="Z1456" s="366"/>
      <c r="AA1456" s="366"/>
      <c r="AB1456" s="22">
        <f t="shared" si="462"/>
        <v>2</v>
      </c>
      <c r="AC1456" s="23">
        <v>53</v>
      </c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22">
        <f t="shared" si="463"/>
        <v>0</v>
      </c>
      <c r="BC1456" s="23">
        <v>0</v>
      </c>
      <c r="BD1456" s="130">
        <f t="shared" si="464"/>
        <v>2</v>
      </c>
      <c r="BE1456" s="130">
        <f t="shared" si="465"/>
        <v>53</v>
      </c>
      <c r="BF1456" s="195">
        <f t="shared" si="466"/>
        <v>3.7735849056603774</v>
      </c>
      <c r="BG1456" s="373">
        <f t="shared" si="467"/>
        <v>51</v>
      </c>
    </row>
    <row r="1457" spans="1:59" s="21" customFormat="1" ht="15.95" customHeight="1">
      <c r="A1457" s="176">
        <v>48</v>
      </c>
      <c r="B1457" s="31" t="s">
        <v>1322</v>
      </c>
      <c r="C1457" s="32" t="s">
        <v>3980</v>
      </c>
      <c r="D1457" s="550"/>
      <c r="E1457" s="550"/>
      <c r="F1457" s="550"/>
      <c r="G1457" s="550"/>
      <c r="H1457" s="550"/>
      <c r="I1457" s="550"/>
      <c r="J1457" s="550"/>
      <c r="K1457" s="550"/>
      <c r="L1457" s="550"/>
      <c r="M1457" s="550"/>
      <c r="N1457" s="550"/>
      <c r="O1457" s="550"/>
      <c r="P1457" s="550"/>
      <c r="Q1457" s="550"/>
      <c r="R1457" s="550"/>
      <c r="S1457" s="550"/>
      <c r="T1457" s="550"/>
      <c r="U1457" s="550"/>
      <c r="V1457" s="550"/>
      <c r="W1457" s="550"/>
      <c r="X1457" s="550"/>
      <c r="Y1457" s="550"/>
      <c r="Z1457" s="550"/>
      <c r="AA1457" s="550"/>
      <c r="AB1457" s="22">
        <f t="shared" si="462"/>
        <v>0</v>
      </c>
      <c r="AC1457" s="23">
        <v>0</v>
      </c>
      <c r="AD1457" s="35"/>
      <c r="AE1457" s="35"/>
      <c r="AF1457" s="35"/>
      <c r="AG1457" s="35"/>
      <c r="AH1457" s="35"/>
      <c r="AI1457" s="35"/>
      <c r="AJ1457" s="35"/>
      <c r="AK1457" s="35"/>
      <c r="AL1457" s="35">
        <v>3</v>
      </c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22">
        <f t="shared" si="463"/>
        <v>3</v>
      </c>
      <c r="BC1457" s="23">
        <v>0</v>
      </c>
      <c r="BD1457" s="130">
        <f t="shared" si="464"/>
        <v>3</v>
      </c>
      <c r="BE1457" s="130">
        <f t="shared" si="465"/>
        <v>0</v>
      </c>
      <c r="BF1457" s="195" t="e">
        <f t="shared" si="466"/>
        <v>#DIV/0!</v>
      </c>
      <c r="BG1457" s="373"/>
    </row>
    <row r="1458" spans="1:59" s="21" customFormat="1" ht="15.95" customHeight="1">
      <c r="A1458" s="176">
        <v>49</v>
      </c>
      <c r="B1458" s="44" t="s">
        <v>821</v>
      </c>
      <c r="C1458" s="42" t="s">
        <v>822</v>
      </c>
      <c r="D1458" s="380"/>
      <c r="E1458" s="380"/>
      <c r="F1458" s="380"/>
      <c r="G1458" s="380"/>
      <c r="H1458" s="380"/>
      <c r="I1458" s="380"/>
      <c r="J1458" s="380"/>
      <c r="K1458" s="380"/>
      <c r="L1458" s="380"/>
      <c r="M1458" s="380"/>
      <c r="N1458" s="380"/>
      <c r="O1458" s="380"/>
      <c r="P1458" s="380"/>
      <c r="Q1458" s="380"/>
      <c r="R1458" s="380"/>
      <c r="S1458" s="380"/>
      <c r="T1458" s="380"/>
      <c r="U1458" s="380"/>
      <c r="V1458" s="380"/>
      <c r="W1458" s="380"/>
      <c r="X1458" s="380"/>
      <c r="Y1458" s="380"/>
      <c r="Z1458" s="380"/>
      <c r="AA1458" s="380"/>
      <c r="AB1458" s="22">
        <f t="shared" si="462"/>
        <v>0</v>
      </c>
      <c r="AC1458" s="23">
        <v>0</v>
      </c>
      <c r="AD1458" s="35"/>
      <c r="AE1458" s="35"/>
      <c r="AF1458" s="35"/>
      <c r="AG1458" s="35"/>
      <c r="AH1458" s="35">
        <v>5</v>
      </c>
      <c r="AI1458" s="35"/>
      <c r="AJ1458" s="35"/>
      <c r="AK1458" s="35"/>
      <c r="AL1458" s="35">
        <v>3</v>
      </c>
      <c r="AM1458" s="35"/>
      <c r="AN1458" s="35"/>
      <c r="AO1458" s="35"/>
      <c r="AP1458" s="35">
        <v>9</v>
      </c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22">
        <f t="shared" si="463"/>
        <v>17</v>
      </c>
      <c r="BC1458" s="23">
        <v>41</v>
      </c>
      <c r="BD1458" s="130">
        <f t="shared" si="464"/>
        <v>17</v>
      </c>
      <c r="BE1458" s="130">
        <f t="shared" si="465"/>
        <v>41</v>
      </c>
      <c r="BF1458" s="195">
        <f t="shared" si="466"/>
        <v>41.463414634146339</v>
      </c>
      <c r="BG1458" s="373">
        <f>BE1458-BD1458</f>
        <v>24</v>
      </c>
    </row>
    <row r="1459" spans="1:59" s="21" customFormat="1" ht="15.95" customHeight="1">
      <c r="A1459" s="176">
        <v>50</v>
      </c>
      <c r="B1459" s="44" t="s">
        <v>1669</v>
      </c>
      <c r="C1459" s="42" t="s">
        <v>2101</v>
      </c>
      <c r="D1459" s="380"/>
      <c r="E1459" s="380"/>
      <c r="F1459" s="380"/>
      <c r="G1459" s="380"/>
      <c r="H1459" s="380"/>
      <c r="I1459" s="380"/>
      <c r="J1459" s="380"/>
      <c r="K1459" s="380"/>
      <c r="L1459" s="380"/>
      <c r="M1459" s="380"/>
      <c r="N1459" s="380"/>
      <c r="O1459" s="380"/>
      <c r="P1459" s="380"/>
      <c r="Q1459" s="380"/>
      <c r="R1459" s="380"/>
      <c r="S1459" s="380"/>
      <c r="T1459" s="380"/>
      <c r="U1459" s="380"/>
      <c r="V1459" s="380"/>
      <c r="W1459" s="380"/>
      <c r="X1459" s="380"/>
      <c r="Y1459" s="380"/>
      <c r="Z1459" s="380"/>
      <c r="AA1459" s="380"/>
      <c r="AB1459" s="22">
        <f t="shared" si="462"/>
        <v>0</v>
      </c>
      <c r="AC1459" s="23">
        <v>0</v>
      </c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22">
        <f t="shared" si="463"/>
        <v>0</v>
      </c>
      <c r="BC1459" s="23">
        <v>1</v>
      </c>
      <c r="BD1459" s="130">
        <f t="shared" si="464"/>
        <v>0</v>
      </c>
      <c r="BE1459" s="130">
        <f t="shared" si="465"/>
        <v>1</v>
      </c>
      <c r="BF1459" s="195">
        <f t="shared" si="466"/>
        <v>0</v>
      </c>
      <c r="BG1459" s="373">
        <f>BE1459-BD1459</f>
        <v>1</v>
      </c>
    </row>
    <row r="1460" spans="1:59" s="21" customFormat="1" ht="15.95" customHeight="1">
      <c r="A1460" s="176">
        <v>51</v>
      </c>
      <c r="B1460" s="44" t="s">
        <v>823</v>
      </c>
      <c r="C1460" s="42" t="s">
        <v>824</v>
      </c>
      <c r="D1460" s="380"/>
      <c r="E1460" s="380"/>
      <c r="F1460" s="380"/>
      <c r="G1460" s="380"/>
      <c r="H1460" s="380"/>
      <c r="I1460" s="380"/>
      <c r="J1460" s="380"/>
      <c r="K1460" s="380"/>
      <c r="L1460" s="380"/>
      <c r="M1460" s="380"/>
      <c r="N1460" s="380"/>
      <c r="O1460" s="380"/>
      <c r="P1460" s="380"/>
      <c r="Q1460" s="380"/>
      <c r="R1460" s="380"/>
      <c r="S1460" s="380"/>
      <c r="T1460" s="380"/>
      <c r="U1460" s="380"/>
      <c r="V1460" s="380"/>
      <c r="W1460" s="380"/>
      <c r="X1460" s="380"/>
      <c r="Y1460" s="380"/>
      <c r="Z1460" s="380"/>
      <c r="AA1460" s="380"/>
      <c r="AB1460" s="22">
        <f t="shared" si="462"/>
        <v>0</v>
      </c>
      <c r="AC1460" s="23">
        <v>0</v>
      </c>
      <c r="AD1460" s="35"/>
      <c r="AE1460" s="35"/>
      <c r="AF1460" s="35"/>
      <c r="AG1460" s="35"/>
      <c r="AH1460" s="35"/>
      <c r="AI1460" s="35"/>
      <c r="AJ1460" s="35"/>
      <c r="AK1460" s="35"/>
      <c r="AL1460" s="35">
        <v>20</v>
      </c>
      <c r="AM1460" s="35"/>
      <c r="AN1460" s="35"/>
      <c r="AO1460" s="35"/>
      <c r="AP1460" s="35">
        <v>76</v>
      </c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22">
        <f t="shared" si="463"/>
        <v>96</v>
      </c>
      <c r="BC1460" s="23">
        <v>170</v>
      </c>
      <c r="BD1460" s="130">
        <f t="shared" si="464"/>
        <v>96</v>
      </c>
      <c r="BE1460" s="130">
        <f t="shared" si="465"/>
        <v>170</v>
      </c>
      <c r="BF1460" s="195">
        <f t="shared" si="466"/>
        <v>56.470588235294116</v>
      </c>
      <c r="BG1460" s="373">
        <f>BE1460-BD1460</f>
        <v>74</v>
      </c>
    </row>
    <row r="1461" spans="1:59" s="21" customFormat="1" ht="15.95" customHeight="1">
      <c r="A1461" s="176">
        <v>52</v>
      </c>
      <c r="B1461" s="31" t="s">
        <v>825</v>
      </c>
      <c r="C1461" s="32" t="s">
        <v>907</v>
      </c>
      <c r="D1461" s="366"/>
      <c r="E1461" s="366"/>
      <c r="F1461" s="366"/>
      <c r="G1461" s="366"/>
      <c r="H1461" s="366"/>
      <c r="I1461" s="366"/>
      <c r="J1461" s="366"/>
      <c r="K1461" s="366"/>
      <c r="L1461" s="366">
        <v>1</v>
      </c>
      <c r="M1461" s="366"/>
      <c r="N1461" s="366"/>
      <c r="O1461" s="366"/>
      <c r="P1461" s="366">
        <v>5</v>
      </c>
      <c r="Q1461" s="366"/>
      <c r="R1461" s="366"/>
      <c r="S1461" s="366"/>
      <c r="T1461" s="366"/>
      <c r="U1461" s="366"/>
      <c r="V1461" s="366"/>
      <c r="W1461" s="366"/>
      <c r="X1461" s="366"/>
      <c r="Y1461" s="366"/>
      <c r="Z1461" s="366"/>
      <c r="AA1461" s="366"/>
      <c r="AB1461" s="22">
        <f t="shared" si="462"/>
        <v>6</v>
      </c>
      <c r="AC1461" s="23">
        <v>43</v>
      </c>
      <c r="AD1461" s="35"/>
      <c r="AE1461" s="35"/>
      <c r="AF1461" s="35"/>
      <c r="AG1461" s="35"/>
      <c r="AH1461" s="35">
        <f>19+22</f>
        <v>41</v>
      </c>
      <c r="AI1461" s="35"/>
      <c r="AJ1461" s="35"/>
      <c r="AK1461" s="35"/>
      <c r="AL1461" s="35">
        <f>128+120</f>
        <v>248</v>
      </c>
      <c r="AM1461" s="35"/>
      <c r="AN1461" s="35"/>
      <c r="AO1461" s="35"/>
      <c r="AP1461" s="35">
        <f>92+159</f>
        <v>251</v>
      </c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22">
        <f t="shared" si="463"/>
        <v>540</v>
      </c>
      <c r="BC1461" s="23">
        <v>985</v>
      </c>
      <c r="BD1461" s="130">
        <f t="shared" si="464"/>
        <v>546</v>
      </c>
      <c r="BE1461" s="130">
        <f t="shared" si="465"/>
        <v>1028</v>
      </c>
      <c r="BF1461" s="195">
        <f t="shared" si="466"/>
        <v>53.112840466926073</v>
      </c>
      <c r="BG1461" s="373">
        <f>BE1461-BD1461</f>
        <v>482</v>
      </c>
    </row>
    <row r="1462" spans="1:59" s="21" customFormat="1" ht="15.95" customHeight="1">
      <c r="A1462" s="176">
        <v>53</v>
      </c>
      <c r="B1462" s="31" t="s">
        <v>827</v>
      </c>
      <c r="C1462" s="32" t="s">
        <v>828</v>
      </c>
      <c r="D1462" s="381"/>
      <c r="E1462" s="381"/>
      <c r="F1462" s="381"/>
      <c r="G1462" s="381"/>
      <c r="H1462" s="381"/>
      <c r="I1462" s="381"/>
      <c r="J1462" s="381"/>
      <c r="K1462" s="381"/>
      <c r="L1462" s="381"/>
      <c r="M1462" s="381"/>
      <c r="N1462" s="381"/>
      <c r="O1462" s="381"/>
      <c r="P1462" s="381"/>
      <c r="Q1462" s="381"/>
      <c r="R1462" s="381"/>
      <c r="S1462" s="381"/>
      <c r="T1462" s="381"/>
      <c r="U1462" s="381"/>
      <c r="V1462" s="381"/>
      <c r="W1462" s="381"/>
      <c r="X1462" s="381"/>
      <c r="Y1462" s="381"/>
      <c r="Z1462" s="381"/>
      <c r="AA1462" s="381"/>
      <c r="AB1462" s="22">
        <f t="shared" si="462"/>
        <v>0</v>
      </c>
      <c r="AC1462" s="23">
        <v>0</v>
      </c>
      <c r="AD1462" s="35"/>
      <c r="AE1462" s="35"/>
      <c r="AF1462" s="35"/>
      <c r="AG1462" s="35"/>
      <c r="AH1462" s="35">
        <v>3</v>
      </c>
      <c r="AI1462" s="35"/>
      <c r="AJ1462" s="35"/>
      <c r="AK1462" s="35"/>
      <c r="AL1462" s="35">
        <v>3</v>
      </c>
      <c r="AM1462" s="35"/>
      <c r="AN1462" s="35"/>
      <c r="AO1462" s="35"/>
      <c r="AP1462" s="35">
        <v>3</v>
      </c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22">
        <f t="shared" si="463"/>
        <v>9</v>
      </c>
      <c r="BC1462" s="23">
        <v>16</v>
      </c>
      <c r="BD1462" s="130">
        <f t="shared" si="464"/>
        <v>9</v>
      </c>
      <c r="BE1462" s="130">
        <f t="shared" si="465"/>
        <v>16</v>
      </c>
      <c r="BF1462" s="195">
        <f t="shared" si="466"/>
        <v>56.25</v>
      </c>
      <c r="BG1462" s="373">
        <f>BE1462-BD1462</f>
        <v>7</v>
      </c>
    </row>
    <row r="1463" spans="1:59" s="21" customFormat="1" ht="15.95" customHeight="1">
      <c r="A1463" s="176">
        <v>54</v>
      </c>
      <c r="B1463" s="31" t="s">
        <v>829</v>
      </c>
      <c r="C1463" s="32" t="s">
        <v>830</v>
      </c>
      <c r="D1463" s="521"/>
      <c r="E1463" s="521"/>
      <c r="F1463" s="521"/>
      <c r="G1463" s="521"/>
      <c r="H1463" s="521"/>
      <c r="I1463" s="521"/>
      <c r="J1463" s="521"/>
      <c r="K1463" s="521"/>
      <c r="L1463" s="521"/>
      <c r="M1463" s="521"/>
      <c r="N1463" s="521"/>
      <c r="O1463" s="521"/>
      <c r="P1463" s="521"/>
      <c r="Q1463" s="521"/>
      <c r="R1463" s="521"/>
      <c r="S1463" s="521"/>
      <c r="T1463" s="521"/>
      <c r="U1463" s="521"/>
      <c r="V1463" s="521"/>
      <c r="W1463" s="521"/>
      <c r="X1463" s="521"/>
      <c r="Y1463" s="521"/>
      <c r="Z1463" s="521"/>
      <c r="AA1463" s="521"/>
      <c r="AB1463" s="22">
        <f t="shared" si="462"/>
        <v>0</v>
      </c>
      <c r="AC1463" s="23">
        <v>0</v>
      </c>
      <c r="AD1463" s="35"/>
      <c r="AE1463" s="35"/>
      <c r="AF1463" s="35"/>
      <c r="AG1463" s="35"/>
      <c r="AH1463" s="35">
        <v>1</v>
      </c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22">
        <f t="shared" si="463"/>
        <v>1</v>
      </c>
      <c r="BC1463" s="23">
        <v>0</v>
      </c>
      <c r="BD1463" s="130">
        <f t="shared" si="464"/>
        <v>1</v>
      </c>
      <c r="BE1463" s="130">
        <f t="shared" si="465"/>
        <v>0</v>
      </c>
      <c r="BF1463" s="195" t="e">
        <f t="shared" si="466"/>
        <v>#DIV/0!</v>
      </c>
      <c r="BG1463" s="373"/>
    </row>
    <row r="1464" spans="1:59" s="21" customFormat="1" ht="15.95" customHeight="1">
      <c r="A1464" s="176">
        <v>55</v>
      </c>
      <c r="B1464" s="31" t="s">
        <v>835</v>
      </c>
      <c r="C1464" s="32" t="s">
        <v>947</v>
      </c>
      <c r="D1464" s="521"/>
      <c r="E1464" s="521"/>
      <c r="F1464" s="521"/>
      <c r="G1464" s="521"/>
      <c r="H1464" s="521"/>
      <c r="I1464" s="521"/>
      <c r="J1464" s="521"/>
      <c r="K1464" s="521"/>
      <c r="L1464" s="521"/>
      <c r="M1464" s="521"/>
      <c r="N1464" s="521"/>
      <c r="O1464" s="521"/>
      <c r="P1464" s="521"/>
      <c r="Q1464" s="521"/>
      <c r="R1464" s="521"/>
      <c r="S1464" s="521"/>
      <c r="T1464" s="521"/>
      <c r="U1464" s="521"/>
      <c r="V1464" s="521"/>
      <c r="W1464" s="521"/>
      <c r="X1464" s="521"/>
      <c r="Y1464" s="521"/>
      <c r="Z1464" s="521"/>
      <c r="AA1464" s="521"/>
      <c r="AB1464" s="22">
        <f t="shared" si="462"/>
        <v>0</v>
      </c>
      <c r="AC1464" s="23">
        <v>0</v>
      </c>
      <c r="AD1464" s="35"/>
      <c r="AE1464" s="35"/>
      <c r="AF1464" s="35"/>
      <c r="AG1464" s="35"/>
      <c r="AH1464" s="35">
        <v>1</v>
      </c>
      <c r="AI1464" s="35"/>
      <c r="AJ1464" s="35"/>
      <c r="AK1464" s="35"/>
      <c r="AL1464" s="35">
        <v>12</v>
      </c>
      <c r="AM1464" s="35"/>
      <c r="AN1464" s="35"/>
      <c r="AO1464" s="35"/>
      <c r="AP1464" s="35">
        <v>7</v>
      </c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22">
        <f t="shared" si="463"/>
        <v>20</v>
      </c>
      <c r="BC1464" s="23">
        <v>0</v>
      </c>
      <c r="BD1464" s="130">
        <f t="shared" si="464"/>
        <v>20</v>
      </c>
      <c r="BE1464" s="130">
        <f t="shared" si="465"/>
        <v>0</v>
      </c>
      <c r="BF1464" s="195" t="e">
        <f t="shared" si="466"/>
        <v>#DIV/0!</v>
      </c>
      <c r="BG1464" s="373"/>
    </row>
    <row r="1465" spans="1:59" s="21" customFormat="1" ht="15.95" customHeight="1">
      <c r="A1465" s="176">
        <v>56</v>
      </c>
      <c r="B1465" s="44" t="s">
        <v>1013</v>
      </c>
      <c r="C1465" s="42" t="s">
        <v>1014</v>
      </c>
      <c r="D1465" s="333"/>
      <c r="E1465" s="333"/>
      <c r="F1465" s="333"/>
      <c r="G1465" s="333"/>
      <c r="H1465" s="333"/>
      <c r="I1465" s="333"/>
      <c r="J1465" s="333"/>
      <c r="K1465" s="333"/>
      <c r="L1465" s="333"/>
      <c r="M1465" s="333"/>
      <c r="N1465" s="333"/>
      <c r="O1465" s="333"/>
      <c r="P1465" s="333"/>
      <c r="Q1465" s="333"/>
      <c r="R1465" s="333"/>
      <c r="S1465" s="333"/>
      <c r="T1465" s="333"/>
      <c r="U1465" s="333"/>
      <c r="V1465" s="333"/>
      <c r="W1465" s="333"/>
      <c r="X1465" s="333"/>
      <c r="Y1465" s="333"/>
      <c r="Z1465" s="333"/>
      <c r="AA1465" s="333"/>
      <c r="AB1465" s="22">
        <f t="shared" si="462"/>
        <v>0</v>
      </c>
      <c r="AC1465" s="23">
        <v>0</v>
      </c>
      <c r="AD1465" s="35"/>
      <c r="AE1465" s="35"/>
      <c r="AF1465" s="35"/>
      <c r="AG1465" s="35"/>
      <c r="AH1465" s="35"/>
      <c r="AI1465" s="35"/>
      <c r="AJ1465" s="35"/>
      <c r="AK1465" s="35"/>
      <c r="AL1465" s="35">
        <v>5</v>
      </c>
      <c r="AM1465" s="35"/>
      <c r="AN1465" s="35"/>
      <c r="AO1465" s="35"/>
      <c r="AP1465" s="35">
        <v>3</v>
      </c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22">
        <f t="shared" si="463"/>
        <v>8</v>
      </c>
      <c r="BC1465" s="23">
        <v>26</v>
      </c>
      <c r="BD1465" s="130">
        <f t="shared" si="464"/>
        <v>8</v>
      </c>
      <c r="BE1465" s="130">
        <f t="shared" si="465"/>
        <v>26</v>
      </c>
      <c r="BF1465" s="195">
        <f t="shared" si="466"/>
        <v>30.76923076923077</v>
      </c>
      <c r="BG1465" s="373">
        <f t="shared" ref="BG1465:BG1478" si="468">BE1465-BD1465</f>
        <v>18</v>
      </c>
    </row>
    <row r="1466" spans="1:59" s="21" customFormat="1" ht="15.95" customHeight="1">
      <c r="A1466" s="176">
        <v>57</v>
      </c>
      <c r="B1466" s="44" t="s">
        <v>837</v>
      </c>
      <c r="C1466" s="42" t="s">
        <v>908</v>
      </c>
      <c r="D1466" s="230"/>
      <c r="E1466" s="230"/>
      <c r="F1466" s="230"/>
      <c r="G1466" s="230"/>
      <c r="H1466" s="230"/>
      <c r="I1466" s="230"/>
      <c r="J1466" s="230"/>
      <c r="K1466" s="230"/>
      <c r="L1466" s="230"/>
      <c r="M1466" s="230"/>
      <c r="N1466" s="230"/>
      <c r="O1466" s="230"/>
      <c r="P1466" s="230"/>
      <c r="Q1466" s="230"/>
      <c r="R1466" s="230"/>
      <c r="S1466" s="230"/>
      <c r="T1466" s="230"/>
      <c r="U1466" s="230"/>
      <c r="V1466" s="230"/>
      <c r="W1466" s="230"/>
      <c r="X1466" s="230"/>
      <c r="Y1466" s="230"/>
      <c r="Z1466" s="230"/>
      <c r="AA1466" s="230"/>
      <c r="AB1466" s="22">
        <f t="shared" si="462"/>
        <v>0</v>
      </c>
      <c r="AC1466" s="23">
        <v>0</v>
      </c>
      <c r="AD1466" s="35"/>
      <c r="AE1466" s="35"/>
      <c r="AF1466" s="35"/>
      <c r="AG1466" s="35"/>
      <c r="AH1466" s="35">
        <v>12</v>
      </c>
      <c r="AI1466" s="35"/>
      <c r="AJ1466" s="35"/>
      <c r="AK1466" s="35"/>
      <c r="AL1466" s="35">
        <v>109</v>
      </c>
      <c r="AM1466" s="35"/>
      <c r="AN1466" s="35"/>
      <c r="AO1466" s="35"/>
      <c r="AP1466" s="35">
        <v>180</v>
      </c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22">
        <f t="shared" si="463"/>
        <v>301</v>
      </c>
      <c r="BC1466" s="23">
        <v>692</v>
      </c>
      <c r="BD1466" s="130">
        <f t="shared" si="464"/>
        <v>301</v>
      </c>
      <c r="BE1466" s="130">
        <f t="shared" si="465"/>
        <v>692</v>
      </c>
      <c r="BF1466" s="195">
        <f t="shared" si="466"/>
        <v>43.4971098265896</v>
      </c>
      <c r="BG1466" s="373">
        <f t="shared" si="468"/>
        <v>391</v>
      </c>
    </row>
    <row r="1467" spans="1:59" s="21" customFormat="1" ht="15.95" customHeight="1">
      <c r="A1467" s="176">
        <v>58</v>
      </c>
      <c r="B1467" s="31" t="s">
        <v>909</v>
      </c>
      <c r="C1467" s="32" t="s">
        <v>910</v>
      </c>
      <c r="D1467" s="231"/>
      <c r="E1467" s="231"/>
      <c r="F1467" s="231"/>
      <c r="G1467" s="231"/>
      <c r="H1467" s="231"/>
      <c r="I1467" s="231"/>
      <c r="J1467" s="231"/>
      <c r="K1467" s="231"/>
      <c r="L1467" s="231"/>
      <c r="M1467" s="231"/>
      <c r="N1467" s="231"/>
      <c r="O1467" s="231"/>
      <c r="P1467" s="231"/>
      <c r="Q1467" s="231"/>
      <c r="R1467" s="231"/>
      <c r="S1467" s="231"/>
      <c r="T1467" s="231"/>
      <c r="U1467" s="231"/>
      <c r="V1467" s="231"/>
      <c r="W1467" s="231"/>
      <c r="X1467" s="231"/>
      <c r="Y1467" s="231"/>
      <c r="Z1467" s="231"/>
      <c r="AA1467" s="231"/>
      <c r="AB1467" s="22">
        <f t="shared" si="462"/>
        <v>0</v>
      </c>
      <c r="AC1467" s="23">
        <v>0</v>
      </c>
      <c r="AD1467" s="35"/>
      <c r="AE1467" s="35"/>
      <c r="AF1467" s="35"/>
      <c r="AG1467" s="35"/>
      <c r="AH1467" s="35"/>
      <c r="AI1467" s="35"/>
      <c r="AJ1467" s="35"/>
      <c r="AK1467" s="35"/>
      <c r="AL1467" s="35">
        <v>7</v>
      </c>
      <c r="AM1467" s="35"/>
      <c r="AN1467" s="35"/>
      <c r="AO1467" s="35"/>
      <c r="AP1467" s="35">
        <v>1</v>
      </c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22">
        <f t="shared" si="463"/>
        <v>8</v>
      </c>
      <c r="BC1467" s="23">
        <v>44</v>
      </c>
      <c r="BD1467" s="130">
        <f t="shared" si="464"/>
        <v>8</v>
      </c>
      <c r="BE1467" s="130">
        <f t="shared" si="465"/>
        <v>44</v>
      </c>
      <c r="BF1467" s="195">
        <f t="shared" si="466"/>
        <v>18.181818181818183</v>
      </c>
      <c r="BG1467" s="373">
        <f t="shared" si="468"/>
        <v>36</v>
      </c>
    </row>
    <row r="1468" spans="1:59" s="21" customFormat="1" ht="15.95" customHeight="1">
      <c r="A1468" s="176">
        <v>59</v>
      </c>
      <c r="B1468" s="31" t="s">
        <v>911</v>
      </c>
      <c r="C1468" s="32" t="s">
        <v>1127</v>
      </c>
      <c r="D1468" s="231"/>
      <c r="E1468" s="231"/>
      <c r="F1468" s="231"/>
      <c r="G1468" s="231"/>
      <c r="H1468" s="231"/>
      <c r="I1468" s="231"/>
      <c r="J1468" s="231"/>
      <c r="K1468" s="231"/>
      <c r="L1468" s="231"/>
      <c r="M1468" s="231"/>
      <c r="N1468" s="231"/>
      <c r="O1468" s="231"/>
      <c r="P1468" s="231"/>
      <c r="Q1468" s="231"/>
      <c r="R1468" s="231"/>
      <c r="S1468" s="231"/>
      <c r="T1468" s="231"/>
      <c r="U1468" s="231"/>
      <c r="V1468" s="231"/>
      <c r="W1468" s="231"/>
      <c r="X1468" s="231"/>
      <c r="Y1468" s="231"/>
      <c r="Z1468" s="231"/>
      <c r="AA1468" s="231"/>
      <c r="AB1468" s="22">
        <f t="shared" si="462"/>
        <v>0</v>
      </c>
      <c r="AC1468" s="23">
        <v>1</v>
      </c>
      <c r="AD1468" s="35"/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22">
        <f t="shared" si="463"/>
        <v>0</v>
      </c>
      <c r="BC1468" s="23">
        <v>0</v>
      </c>
      <c r="BD1468" s="130">
        <f t="shared" si="464"/>
        <v>0</v>
      </c>
      <c r="BE1468" s="130">
        <f t="shared" si="465"/>
        <v>1</v>
      </c>
      <c r="BF1468" s="195">
        <f t="shared" si="466"/>
        <v>0</v>
      </c>
      <c r="BG1468" s="373">
        <f t="shared" si="468"/>
        <v>1</v>
      </c>
    </row>
    <row r="1469" spans="1:59" s="21" customFormat="1" ht="15.95" customHeight="1">
      <c r="A1469" s="176">
        <v>60</v>
      </c>
      <c r="B1469" s="31" t="s">
        <v>843</v>
      </c>
      <c r="C1469" s="32" t="s">
        <v>2900</v>
      </c>
      <c r="D1469" s="381"/>
      <c r="E1469" s="381"/>
      <c r="F1469" s="381"/>
      <c r="G1469" s="381"/>
      <c r="H1469" s="381"/>
      <c r="I1469" s="381"/>
      <c r="J1469" s="381"/>
      <c r="K1469" s="381"/>
      <c r="L1469" s="381"/>
      <c r="M1469" s="381"/>
      <c r="N1469" s="381"/>
      <c r="O1469" s="381"/>
      <c r="P1469" s="381"/>
      <c r="Q1469" s="381"/>
      <c r="R1469" s="381"/>
      <c r="S1469" s="381"/>
      <c r="T1469" s="381"/>
      <c r="U1469" s="381"/>
      <c r="V1469" s="381"/>
      <c r="W1469" s="381"/>
      <c r="X1469" s="381"/>
      <c r="Y1469" s="381"/>
      <c r="Z1469" s="381"/>
      <c r="AA1469" s="381"/>
      <c r="AB1469" s="22">
        <f t="shared" si="462"/>
        <v>0</v>
      </c>
      <c r="AC1469" s="23">
        <v>0</v>
      </c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22">
        <f t="shared" si="463"/>
        <v>0</v>
      </c>
      <c r="BC1469" s="23">
        <v>2</v>
      </c>
      <c r="BD1469" s="130">
        <f t="shared" si="464"/>
        <v>0</v>
      </c>
      <c r="BE1469" s="130">
        <f t="shared" si="465"/>
        <v>2</v>
      </c>
      <c r="BF1469" s="195">
        <f t="shared" si="466"/>
        <v>0</v>
      </c>
      <c r="BG1469" s="373">
        <f t="shared" si="468"/>
        <v>2</v>
      </c>
    </row>
    <row r="1470" spans="1:59" s="21" customFormat="1" ht="15.95" customHeight="1">
      <c r="A1470" s="176">
        <v>61</v>
      </c>
      <c r="B1470" s="31" t="s">
        <v>912</v>
      </c>
      <c r="C1470" s="32" t="s">
        <v>2900</v>
      </c>
      <c r="D1470" s="381"/>
      <c r="E1470" s="381"/>
      <c r="F1470" s="381"/>
      <c r="G1470" s="381"/>
      <c r="H1470" s="381"/>
      <c r="I1470" s="381"/>
      <c r="J1470" s="381"/>
      <c r="K1470" s="381"/>
      <c r="L1470" s="381"/>
      <c r="M1470" s="381"/>
      <c r="N1470" s="381"/>
      <c r="O1470" s="381"/>
      <c r="P1470" s="381"/>
      <c r="Q1470" s="381"/>
      <c r="R1470" s="381"/>
      <c r="S1470" s="381"/>
      <c r="T1470" s="381"/>
      <c r="U1470" s="381"/>
      <c r="V1470" s="381"/>
      <c r="W1470" s="381"/>
      <c r="X1470" s="381"/>
      <c r="Y1470" s="381"/>
      <c r="Z1470" s="381"/>
      <c r="AA1470" s="381"/>
      <c r="AB1470" s="22">
        <f t="shared" si="462"/>
        <v>0</v>
      </c>
      <c r="AC1470" s="23">
        <v>0</v>
      </c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>
        <v>1</v>
      </c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22">
        <f t="shared" si="463"/>
        <v>1</v>
      </c>
      <c r="BC1470" s="23">
        <v>3</v>
      </c>
      <c r="BD1470" s="130">
        <f t="shared" si="464"/>
        <v>1</v>
      </c>
      <c r="BE1470" s="130">
        <f t="shared" si="465"/>
        <v>3</v>
      </c>
      <c r="BF1470" s="195">
        <f t="shared" si="466"/>
        <v>33.333333333333329</v>
      </c>
      <c r="BG1470" s="373">
        <f t="shared" si="468"/>
        <v>2</v>
      </c>
    </row>
    <row r="1471" spans="1:59" s="21" customFormat="1" ht="15.95" customHeight="1">
      <c r="A1471" s="176">
        <v>62</v>
      </c>
      <c r="B1471" s="31" t="s">
        <v>913</v>
      </c>
      <c r="C1471" s="32" t="s">
        <v>2415</v>
      </c>
      <c r="D1471" s="231"/>
      <c r="E1471" s="231"/>
      <c r="F1471" s="231"/>
      <c r="G1471" s="231"/>
      <c r="H1471" s="231"/>
      <c r="I1471" s="231"/>
      <c r="J1471" s="231"/>
      <c r="K1471" s="231"/>
      <c r="L1471" s="231"/>
      <c r="M1471" s="231"/>
      <c r="N1471" s="231"/>
      <c r="O1471" s="231"/>
      <c r="P1471" s="231"/>
      <c r="Q1471" s="231"/>
      <c r="R1471" s="231"/>
      <c r="S1471" s="231"/>
      <c r="T1471" s="231"/>
      <c r="U1471" s="231"/>
      <c r="V1471" s="231"/>
      <c r="W1471" s="231"/>
      <c r="X1471" s="231"/>
      <c r="Y1471" s="231"/>
      <c r="Z1471" s="231"/>
      <c r="AA1471" s="231"/>
      <c r="AB1471" s="22">
        <f t="shared" si="462"/>
        <v>0</v>
      </c>
      <c r="AC1471" s="23">
        <v>0</v>
      </c>
      <c r="AD1471" s="35"/>
      <c r="AE1471" s="35"/>
      <c r="AF1471" s="35"/>
      <c r="AG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  <c r="AX1471" s="35"/>
      <c r="AY1471" s="35"/>
      <c r="AZ1471" s="35"/>
      <c r="BA1471" s="35"/>
      <c r="BB1471" s="22">
        <f t="shared" si="463"/>
        <v>0</v>
      </c>
      <c r="BC1471" s="23">
        <v>3</v>
      </c>
      <c r="BD1471" s="130">
        <f t="shared" si="464"/>
        <v>0</v>
      </c>
      <c r="BE1471" s="130">
        <f t="shared" si="465"/>
        <v>3</v>
      </c>
      <c r="BF1471" s="195">
        <f t="shared" si="466"/>
        <v>0</v>
      </c>
      <c r="BG1471" s="373">
        <f t="shared" si="468"/>
        <v>3</v>
      </c>
    </row>
    <row r="1472" spans="1:59" s="21" customFormat="1" ht="15.95" customHeight="1">
      <c r="A1472" s="176">
        <v>63</v>
      </c>
      <c r="B1472" s="31" t="s">
        <v>845</v>
      </c>
      <c r="C1472" s="32" t="s">
        <v>948</v>
      </c>
      <c r="D1472" s="288"/>
      <c r="E1472" s="288"/>
      <c r="F1472" s="288"/>
      <c r="G1472" s="288"/>
      <c r="H1472" s="288">
        <v>2</v>
      </c>
      <c r="I1472" s="288"/>
      <c r="J1472" s="288"/>
      <c r="K1472" s="288"/>
      <c r="L1472" s="288">
        <v>1</v>
      </c>
      <c r="M1472" s="288"/>
      <c r="N1472" s="288"/>
      <c r="O1472" s="288"/>
      <c r="P1472" s="288">
        <v>4</v>
      </c>
      <c r="Q1472" s="288"/>
      <c r="R1472" s="288"/>
      <c r="S1472" s="288"/>
      <c r="T1472" s="288"/>
      <c r="U1472" s="288"/>
      <c r="V1472" s="288"/>
      <c r="W1472" s="288"/>
      <c r="X1472" s="288"/>
      <c r="Y1472" s="288"/>
      <c r="Z1472" s="288"/>
      <c r="AA1472" s="288"/>
      <c r="AB1472" s="22">
        <f t="shared" si="462"/>
        <v>7</v>
      </c>
      <c r="AC1472" s="23">
        <v>77</v>
      </c>
      <c r="AD1472" s="35"/>
      <c r="AE1472" s="35"/>
      <c r="AF1472" s="35"/>
      <c r="AG1472" s="35"/>
      <c r="AH1472" s="35">
        <f>19+12</f>
        <v>31</v>
      </c>
      <c r="AI1472" s="35"/>
      <c r="AJ1472" s="35"/>
      <c r="AK1472" s="35"/>
      <c r="AL1472" s="35">
        <f>117+92</f>
        <v>209</v>
      </c>
      <c r="AM1472" s="35"/>
      <c r="AN1472" s="35"/>
      <c r="AO1472" s="35"/>
      <c r="AP1472" s="35">
        <f>84+48</f>
        <v>132</v>
      </c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22">
        <f t="shared" si="463"/>
        <v>372</v>
      </c>
      <c r="BC1472" s="23">
        <v>669</v>
      </c>
      <c r="BD1472" s="130">
        <f t="shared" si="464"/>
        <v>379</v>
      </c>
      <c r="BE1472" s="130">
        <f t="shared" si="465"/>
        <v>746</v>
      </c>
      <c r="BF1472" s="195">
        <f t="shared" si="466"/>
        <v>50.804289544235928</v>
      </c>
      <c r="BG1472" s="373">
        <f t="shared" si="468"/>
        <v>367</v>
      </c>
    </row>
    <row r="1473" spans="1:59" s="21" customFormat="1" ht="15.95" customHeight="1">
      <c r="A1473" s="176">
        <v>64</v>
      </c>
      <c r="B1473" s="31" t="s">
        <v>1075</v>
      </c>
      <c r="C1473" s="32" t="s">
        <v>1076</v>
      </c>
      <c r="D1473" s="288"/>
      <c r="E1473" s="288"/>
      <c r="F1473" s="288"/>
      <c r="G1473" s="288"/>
      <c r="H1473" s="288"/>
      <c r="I1473" s="288"/>
      <c r="J1473" s="288"/>
      <c r="K1473" s="288"/>
      <c r="L1473" s="288"/>
      <c r="M1473" s="288"/>
      <c r="N1473" s="288"/>
      <c r="O1473" s="288"/>
      <c r="P1473" s="288">
        <v>1</v>
      </c>
      <c r="Q1473" s="288"/>
      <c r="R1473" s="288"/>
      <c r="S1473" s="288"/>
      <c r="T1473" s="288"/>
      <c r="U1473" s="288"/>
      <c r="V1473" s="288"/>
      <c r="W1473" s="288"/>
      <c r="X1473" s="288"/>
      <c r="Y1473" s="288"/>
      <c r="Z1473" s="288"/>
      <c r="AA1473" s="288"/>
      <c r="AB1473" s="22">
        <f t="shared" si="462"/>
        <v>1</v>
      </c>
      <c r="AC1473" s="23">
        <v>26</v>
      </c>
      <c r="AD1473" s="35"/>
      <c r="AE1473" s="35"/>
      <c r="AF1473" s="35"/>
      <c r="AG1473" s="35"/>
      <c r="AH1473" s="35">
        <v>1</v>
      </c>
      <c r="AI1473" s="35"/>
      <c r="AJ1473" s="35"/>
      <c r="AK1473" s="35"/>
      <c r="AL1473" s="35">
        <f>12+3</f>
        <v>15</v>
      </c>
      <c r="AM1473" s="35"/>
      <c r="AN1473" s="35"/>
      <c r="AO1473" s="35"/>
      <c r="AP1473" s="35">
        <f>8+7</f>
        <v>15</v>
      </c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22">
        <f t="shared" si="463"/>
        <v>31</v>
      </c>
      <c r="BC1473" s="23">
        <v>115</v>
      </c>
      <c r="BD1473" s="130">
        <f t="shared" si="464"/>
        <v>32</v>
      </c>
      <c r="BE1473" s="130">
        <f t="shared" si="465"/>
        <v>141</v>
      </c>
      <c r="BF1473" s="195">
        <f t="shared" si="466"/>
        <v>22.695035460992909</v>
      </c>
      <c r="BG1473" s="373">
        <f t="shared" si="468"/>
        <v>109</v>
      </c>
    </row>
    <row r="1474" spans="1:59" s="21" customFormat="1" ht="15.95" customHeight="1">
      <c r="A1474" s="176">
        <v>65</v>
      </c>
      <c r="B1474" s="31" t="s">
        <v>915</v>
      </c>
      <c r="C1474" s="32" t="s">
        <v>916</v>
      </c>
      <c r="D1474" s="231"/>
      <c r="E1474" s="231"/>
      <c r="F1474" s="231"/>
      <c r="G1474" s="231"/>
      <c r="H1474" s="231"/>
      <c r="I1474" s="231"/>
      <c r="J1474" s="231"/>
      <c r="K1474" s="231"/>
      <c r="L1474" s="231"/>
      <c r="M1474" s="231"/>
      <c r="N1474" s="231"/>
      <c r="O1474" s="231"/>
      <c r="P1474" s="231"/>
      <c r="Q1474" s="231"/>
      <c r="R1474" s="231"/>
      <c r="S1474" s="231"/>
      <c r="T1474" s="231"/>
      <c r="U1474" s="231"/>
      <c r="V1474" s="231"/>
      <c r="W1474" s="231"/>
      <c r="X1474" s="231"/>
      <c r="Y1474" s="231"/>
      <c r="Z1474" s="231"/>
      <c r="AA1474" s="231"/>
      <c r="AB1474" s="22">
        <f t="shared" ref="AB1474:AB1505" si="469">SUM(D1474:AA1474)</f>
        <v>0</v>
      </c>
      <c r="AC1474" s="23">
        <v>0</v>
      </c>
      <c r="AD1474" s="35"/>
      <c r="AE1474" s="35"/>
      <c r="AF1474" s="35"/>
      <c r="AG1474" s="35"/>
      <c r="AH1474" s="35"/>
      <c r="AI1474" s="35"/>
      <c r="AJ1474" s="35"/>
      <c r="AK1474" s="35"/>
      <c r="AL1474" s="35">
        <v>1</v>
      </c>
      <c r="AM1474" s="35"/>
      <c r="AN1474" s="35"/>
      <c r="AO1474" s="35"/>
      <c r="AP1474" s="35">
        <v>1</v>
      </c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22">
        <f t="shared" ref="BB1474:BB1505" si="470">SUM(AD1474:BA1474)</f>
        <v>2</v>
      </c>
      <c r="BC1474" s="23">
        <v>1</v>
      </c>
      <c r="BD1474" s="130">
        <f t="shared" ref="BD1474:BD1505" si="471">AB1474+BB1474</f>
        <v>2</v>
      </c>
      <c r="BE1474" s="130">
        <f t="shared" ref="BE1474:BE1505" si="472">AC1474+BC1474</f>
        <v>1</v>
      </c>
      <c r="BF1474" s="195">
        <f t="shared" ref="BF1474:BF1505" si="473">BD1474/BE1474*100</f>
        <v>200</v>
      </c>
      <c r="BG1474" s="373">
        <f t="shared" si="468"/>
        <v>-1</v>
      </c>
    </row>
    <row r="1475" spans="1:59" s="21" customFormat="1" ht="15.95" customHeight="1">
      <c r="A1475" s="176">
        <v>66</v>
      </c>
      <c r="B1475" s="31" t="s">
        <v>1082</v>
      </c>
      <c r="C1475" s="32" t="s">
        <v>1346</v>
      </c>
      <c r="D1475" s="231"/>
      <c r="E1475" s="231"/>
      <c r="F1475" s="231"/>
      <c r="G1475" s="231"/>
      <c r="H1475" s="231"/>
      <c r="I1475" s="231"/>
      <c r="J1475" s="231"/>
      <c r="K1475" s="231"/>
      <c r="L1475" s="231"/>
      <c r="M1475" s="231"/>
      <c r="N1475" s="231"/>
      <c r="O1475" s="231"/>
      <c r="P1475" s="231"/>
      <c r="Q1475" s="231"/>
      <c r="R1475" s="231"/>
      <c r="S1475" s="231"/>
      <c r="T1475" s="231"/>
      <c r="U1475" s="231"/>
      <c r="V1475" s="231"/>
      <c r="W1475" s="231"/>
      <c r="X1475" s="231"/>
      <c r="Y1475" s="231"/>
      <c r="Z1475" s="231"/>
      <c r="AA1475" s="231"/>
      <c r="AB1475" s="22">
        <f t="shared" si="469"/>
        <v>0</v>
      </c>
      <c r="AC1475" s="23">
        <v>0</v>
      </c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>
        <v>3</v>
      </c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22">
        <f t="shared" si="470"/>
        <v>3</v>
      </c>
      <c r="BC1475" s="23">
        <v>16</v>
      </c>
      <c r="BD1475" s="130">
        <f t="shared" si="471"/>
        <v>3</v>
      </c>
      <c r="BE1475" s="130">
        <f t="shared" si="472"/>
        <v>16</v>
      </c>
      <c r="BF1475" s="195">
        <f t="shared" si="473"/>
        <v>18.75</v>
      </c>
      <c r="BG1475" s="373">
        <f t="shared" si="468"/>
        <v>13</v>
      </c>
    </row>
    <row r="1476" spans="1:59" s="21" customFormat="1" ht="15.95" customHeight="1">
      <c r="A1476" s="176">
        <v>67</v>
      </c>
      <c r="B1476" s="31" t="s">
        <v>1197</v>
      </c>
      <c r="C1476" s="32" t="s">
        <v>2812</v>
      </c>
      <c r="D1476" s="231"/>
      <c r="E1476" s="231"/>
      <c r="F1476" s="231"/>
      <c r="G1476" s="231"/>
      <c r="H1476" s="231"/>
      <c r="I1476" s="231"/>
      <c r="J1476" s="231"/>
      <c r="K1476" s="231"/>
      <c r="L1476" s="231"/>
      <c r="M1476" s="231"/>
      <c r="N1476" s="231"/>
      <c r="O1476" s="231"/>
      <c r="P1476" s="231"/>
      <c r="Q1476" s="231"/>
      <c r="R1476" s="231"/>
      <c r="S1476" s="231"/>
      <c r="T1476" s="231"/>
      <c r="U1476" s="231"/>
      <c r="V1476" s="231"/>
      <c r="W1476" s="231"/>
      <c r="X1476" s="231"/>
      <c r="Y1476" s="231"/>
      <c r="Z1476" s="231"/>
      <c r="AA1476" s="231"/>
      <c r="AB1476" s="22">
        <f t="shared" si="469"/>
        <v>0</v>
      </c>
      <c r="AC1476" s="23">
        <v>0</v>
      </c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22">
        <f t="shared" si="470"/>
        <v>0</v>
      </c>
      <c r="BC1476" s="23">
        <v>1</v>
      </c>
      <c r="BD1476" s="130">
        <f t="shared" si="471"/>
        <v>0</v>
      </c>
      <c r="BE1476" s="130">
        <f t="shared" si="472"/>
        <v>1</v>
      </c>
      <c r="BF1476" s="195">
        <f t="shared" si="473"/>
        <v>0</v>
      </c>
      <c r="BG1476" s="373">
        <f t="shared" si="468"/>
        <v>1</v>
      </c>
    </row>
    <row r="1477" spans="1:59" s="21" customFormat="1" ht="15.95" customHeight="1">
      <c r="A1477" s="176">
        <v>68</v>
      </c>
      <c r="B1477" s="31" t="s">
        <v>1251</v>
      </c>
      <c r="C1477" s="32" t="s">
        <v>1252</v>
      </c>
      <c r="D1477" s="231"/>
      <c r="E1477" s="231"/>
      <c r="F1477" s="231"/>
      <c r="G1477" s="231"/>
      <c r="H1477" s="231"/>
      <c r="I1477" s="231"/>
      <c r="J1477" s="231"/>
      <c r="K1477" s="231"/>
      <c r="L1477" s="231"/>
      <c r="M1477" s="231"/>
      <c r="N1477" s="231"/>
      <c r="O1477" s="231"/>
      <c r="P1477" s="231"/>
      <c r="Q1477" s="231"/>
      <c r="R1477" s="231"/>
      <c r="S1477" s="231"/>
      <c r="T1477" s="231"/>
      <c r="U1477" s="231"/>
      <c r="V1477" s="231"/>
      <c r="W1477" s="231"/>
      <c r="X1477" s="231"/>
      <c r="Y1477" s="231"/>
      <c r="Z1477" s="231"/>
      <c r="AA1477" s="231"/>
      <c r="AB1477" s="22">
        <f t="shared" si="469"/>
        <v>0</v>
      </c>
      <c r="AC1477" s="23">
        <v>0</v>
      </c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22">
        <f t="shared" si="470"/>
        <v>0</v>
      </c>
      <c r="BC1477" s="23">
        <v>2</v>
      </c>
      <c r="BD1477" s="130">
        <f t="shared" si="471"/>
        <v>0</v>
      </c>
      <c r="BE1477" s="130">
        <f t="shared" si="472"/>
        <v>2</v>
      </c>
      <c r="BF1477" s="195">
        <f t="shared" si="473"/>
        <v>0</v>
      </c>
      <c r="BG1477" s="373">
        <f t="shared" si="468"/>
        <v>2</v>
      </c>
    </row>
    <row r="1478" spans="1:59" s="21" customFormat="1" ht="15.95" customHeight="1">
      <c r="A1478" s="176">
        <v>69</v>
      </c>
      <c r="B1478" s="31" t="s">
        <v>1016</v>
      </c>
      <c r="C1478" s="32" t="s">
        <v>2471</v>
      </c>
      <c r="D1478" s="231"/>
      <c r="E1478" s="231"/>
      <c r="F1478" s="231"/>
      <c r="G1478" s="231"/>
      <c r="H1478" s="231"/>
      <c r="I1478" s="231"/>
      <c r="J1478" s="231"/>
      <c r="K1478" s="231"/>
      <c r="L1478" s="231"/>
      <c r="M1478" s="231"/>
      <c r="N1478" s="231"/>
      <c r="O1478" s="231"/>
      <c r="P1478" s="231"/>
      <c r="Q1478" s="231"/>
      <c r="R1478" s="231"/>
      <c r="S1478" s="231"/>
      <c r="T1478" s="231"/>
      <c r="U1478" s="231"/>
      <c r="V1478" s="231"/>
      <c r="W1478" s="231"/>
      <c r="X1478" s="231"/>
      <c r="Y1478" s="231"/>
      <c r="Z1478" s="231"/>
      <c r="AA1478" s="231"/>
      <c r="AB1478" s="22">
        <f t="shared" si="469"/>
        <v>0</v>
      </c>
      <c r="AC1478" s="23">
        <v>0</v>
      </c>
      <c r="AD1478" s="35"/>
      <c r="AE1478" s="35"/>
      <c r="AF1478" s="35"/>
      <c r="AG1478" s="35"/>
      <c r="AH1478" s="35"/>
      <c r="AI1478" s="35"/>
      <c r="AJ1478" s="35"/>
      <c r="AK1478" s="35"/>
      <c r="AL1478" s="35">
        <v>4</v>
      </c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22">
        <f t="shared" si="470"/>
        <v>4</v>
      </c>
      <c r="BC1478" s="23">
        <v>10</v>
      </c>
      <c r="BD1478" s="130">
        <f t="shared" si="471"/>
        <v>4</v>
      </c>
      <c r="BE1478" s="130">
        <f t="shared" si="472"/>
        <v>10</v>
      </c>
      <c r="BF1478" s="195">
        <f t="shared" si="473"/>
        <v>40</v>
      </c>
      <c r="BG1478" s="373">
        <f t="shared" si="468"/>
        <v>6</v>
      </c>
    </row>
    <row r="1479" spans="1:59" s="21" customFormat="1" ht="15.95" customHeight="1">
      <c r="A1479" s="176">
        <v>70</v>
      </c>
      <c r="B1479" s="31" t="s">
        <v>1347</v>
      </c>
      <c r="C1479" s="32" t="s">
        <v>1640</v>
      </c>
      <c r="D1479" s="521"/>
      <c r="E1479" s="521"/>
      <c r="F1479" s="521"/>
      <c r="G1479" s="521"/>
      <c r="H1479" s="521"/>
      <c r="I1479" s="521"/>
      <c r="J1479" s="521"/>
      <c r="K1479" s="521"/>
      <c r="L1479" s="521"/>
      <c r="M1479" s="521"/>
      <c r="N1479" s="521"/>
      <c r="O1479" s="521"/>
      <c r="P1479" s="521"/>
      <c r="Q1479" s="521"/>
      <c r="R1479" s="521"/>
      <c r="S1479" s="521"/>
      <c r="T1479" s="521"/>
      <c r="U1479" s="521"/>
      <c r="V1479" s="521"/>
      <c r="W1479" s="521"/>
      <c r="X1479" s="521"/>
      <c r="Y1479" s="521"/>
      <c r="Z1479" s="521"/>
      <c r="AA1479" s="521"/>
      <c r="AB1479" s="22">
        <f t="shared" si="469"/>
        <v>0</v>
      </c>
      <c r="AC1479" s="23">
        <v>0</v>
      </c>
      <c r="AD1479" s="35"/>
      <c r="AE1479" s="35"/>
      <c r="AF1479" s="35"/>
      <c r="AG1479" s="35"/>
      <c r="AH1479" s="35">
        <v>1</v>
      </c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22">
        <f t="shared" si="470"/>
        <v>1</v>
      </c>
      <c r="BC1479" s="23">
        <v>0</v>
      </c>
      <c r="BD1479" s="130">
        <f t="shared" si="471"/>
        <v>1</v>
      </c>
      <c r="BE1479" s="130">
        <f t="shared" si="472"/>
        <v>0</v>
      </c>
      <c r="BF1479" s="195" t="e">
        <f t="shared" si="473"/>
        <v>#DIV/0!</v>
      </c>
      <c r="BG1479" s="373"/>
    </row>
    <row r="1480" spans="1:59" s="21" customFormat="1" ht="15.95" customHeight="1">
      <c r="A1480" s="176">
        <v>71</v>
      </c>
      <c r="B1480" s="31" t="s">
        <v>950</v>
      </c>
      <c r="C1480" s="32" t="s">
        <v>1510</v>
      </c>
      <c r="D1480" s="270"/>
      <c r="E1480" s="270"/>
      <c r="F1480" s="270"/>
      <c r="G1480" s="270"/>
      <c r="H1480" s="270"/>
      <c r="I1480" s="270"/>
      <c r="J1480" s="270"/>
      <c r="K1480" s="270"/>
      <c r="L1480" s="270"/>
      <c r="M1480" s="270"/>
      <c r="N1480" s="270"/>
      <c r="O1480" s="270"/>
      <c r="P1480" s="270"/>
      <c r="Q1480" s="270"/>
      <c r="R1480" s="270"/>
      <c r="S1480" s="270"/>
      <c r="T1480" s="270"/>
      <c r="U1480" s="270"/>
      <c r="V1480" s="270"/>
      <c r="W1480" s="270"/>
      <c r="X1480" s="270"/>
      <c r="Y1480" s="270"/>
      <c r="Z1480" s="270"/>
      <c r="AA1480" s="270"/>
      <c r="AB1480" s="22">
        <f t="shared" si="469"/>
        <v>0</v>
      </c>
      <c r="AC1480" s="23">
        <v>0</v>
      </c>
      <c r="AD1480" s="35"/>
      <c r="AE1480" s="35"/>
      <c r="AF1480" s="35"/>
      <c r="AG1480" s="35"/>
      <c r="AH1480" s="35"/>
      <c r="AI1480" s="35"/>
      <c r="AJ1480" s="35"/>
      <c r="AK1480" s="35"/>
      <c r="AL1480" s="35">
        <v>1</v>
      </c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22">
        <f t="shared" si="470"/>
        <v>1</v>
      </c>
      <c r="BC1480" s="23">
        <v>3</v>
      </c>
      <c r="BD1480" s="130">
        <f t="shared" si="471"/>
        <v>1</v>
      </c>
      <c r="BE1480" s="130">
        <f t="shared" si="472"/>
        <v>3</v>
      </c>
      <c r="BF1480" s="195">
        <f t="shared" si="473"/>
        <v>33.333333333333329</v>
      </c>
      <c r="BG1480" s="373">
        <f t="shared" ref="BG1480:BG1488" si="474">BE1480-BD1480</f>
        <v>2</v>
      </c>
    </row>
    <row r="1481" spans="1:59" s="21" customFormat="1" ht="15.95" customHeight="1">
      <c r="A1481" s="176">
        <v>72</v>
      </c>
      <c r="B1481" s="40" t="s">
        <v>847</v>
      </c>
      <c r="C1481" s="41" t="s">
        <v>956</v>
      </c>
      <c r="D1481" s="252"/>
      <c r="E1481" s="252"/>
      <c r="F1481" s="252"/>
      <c r="G1481" s="252"/>
      <c r="H1481" s="252"/>
      <c r="I1481" s="252"/>
      <c r="J1481" s="252"/>
      <c r="K1481" s="252"/>
      <c r="L1481" s="252"/>
      <c r="M1481" s="252"/>
      <c r="N1481" s="252"/>
      <c r="O1481" s="252"/>
      <c r="P1481" s="252"/>
      <c r="Q1481" s="252"/>
      <c r="R1481" s="252"/>
      <c r="S1481" s="252"/>
      <c r="T1481" s="252"/>
      <c r="U1481" s="252"/>
      <c r="V1481" s="252"/>
      <c r="W1481" s="252"/>
      <c r="X1481" s="252"/>
      <c r="Y1481" s="252"/>
      <c r="Z1481" s="252"/>
      <c r="AA1481" s="252"/>
      <c r="AB1481" s="22">
        <f t="shared" si="469"/>
        <v>0</v>
      </c>
      <c r="AC1481" s="23">
        <v>4</v>
      </c>
      <c r="AD1481" s="35"/>
      <c r="AE1481" s="35"/>
      <c r="AF1481" s="35"/>
      <c r="AG1481" s="35"/>
      <c r="AH1481" s="35"/>
      <c r="AI1481" s="35"/>
      <c r="AJ1481" s="35"/>
      <c r="AK1481" s="35"/>
      <c r="AL1481" s="35">
        <f>4+1</f>
        <v>5</v>
      </c>
      <c r="AM1481" s="35"/>
      <c r="AN1481" s="35"/>
      <c r="AO1481" s="35"/>
      <c r="AP1481" s="35">
        <v>1</v>
      </c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22">
        <f t="shared" si="470"/>
        <v>6</v>
      </c>
      <c r="BC1481" s="23">
        <v>9</v>
      </c>
      <c r="BD1481" s="130">
        <f t="shared" si="471"/>
        <v>6</v>
      </c>
      <c r="BE1481" s="130">
        <f t="shared" si="472"/>
        <v>13</v>
      </c>
      <c r="BF1481" s="195">
        <f t="shared" si="473"/>
        <v>46.153846153846153</v>
      </c>
      <c r="BG1481" s="373">
        <f t="shared" si="474"/>
        <v>7</v>
      </c>
    </row>
    <row r="1482" spans="1:59" s="21" customFormat="1" ht="15.95" customHeight="1">
      <c r="A1482" s="176">
        <v>73</v>
      </c>
      <c r="B1482" s="40" t="s">
        <v>957</v>
      </c>
      <c r="C1482" s="41" t="s">
        <v>958</v>
      </c>
      <c r="D1482" s="252"/>
      <c r="E1482" s="252"/>
      <c r="F1482" s="252"/>
      <c r="G1482" s="252"/>
      <c r="H1482" s="252"/>
      <c r="I1482" s="252"/>
      <c r="J1482" s="252"/>
      <c r="K1482" s="252"/>
      <c r="L1482" s="252">
        <v>1</v>
      </c>
      <c r="M1482" s="252"/>
      <c r="N1482" s="252"/>
      <c r="O1482" s="252"/>
      <c r="P1482" s="252"/>
      <c r="Q1482" s="252"/>
      <c r="R1482" s="252"/>
      <c r="S1482" s="252"/>
      <c r="T1482" s="252"/>
      <c r="U1482" s="252"/>
      <c r="V1482" s="252"/>
      <c r="W1482" s="252"/>
      <c r="X1482" s="252"/>
      <c r="Y1482" s="252"/>
      <c r="Z1482" s="252"/>
      <c r="AA1482" s="252"/>
      <c r="AB1482" s="22">
        <f t="shared" si="469"/>
        <v>1</v>
      </c>
      <c r="AC1482" s="23">
        <v>24</v>
      </c>
      <c r="AD1482" s="35"/>
      <c r="AE1482" s="35"/>
      <c r="AF1482" s="35"/>
      <c r="AG1482" s="35"/>
      <c r="AH1482" s="35">
        <v>1</v>
      </c>
      <c r="AI1482" s="35"/>
      <c r="AJ1482" s="35"/>
      <c r="AK1482" s="35"/>
      <c r="AL1482" s="35">
        <f>24+11</f>
        <v>35</v>
      </c>
      <c r="AM1482" s="35"/>
      <c r="AN1482" s="35"/>
      <c r="AO1482" s="35"/>
      <c r="AP1482" s="35">
        <f>18+3</f>
        <v>21</v>
      </c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22">
        <f t="shared" si="470"/>
        <v>57</v>
      </c>
      <c r="BC1482" s="23">
        <v>102</v>
      </c>
      <c r="BD1482" s="130">
        <f t="shared" si="471"/>
        <v>58</v>
      </c>
      <c r="BE1482" s="130">
        <f t="shared" si="472"/>
        <v>126</v>
      </c>
      <c r="BF1482" s="195">
        <f t="shared" si="473"/>
        <v>46.031746031746032</v>
      </c>
      <c r="BG1482" s="373">
        <f t="shared" si="474"/>
        <v>68</v>
      </c>
    </row>
    <row r="1483" spans="1:59" s="21" customFormat="1" ht="15.95" customHeight="1">
      <c r="A1483" s="176">
        <v>74</v>
      </c>
      <c r="B1483" s="40" t="s">
        <v>959</v>
      </c>
      <c r="C1483" s="41" t="s">
        <v>960</v>
      </c>
      <c r="D1483" s="231"/>
      <c r="E1483" s="231"/>
      <c r="F1483" s="231"/>
      <c r="G1483" s="231"/>
      <c r="H1483" s="231"/>
      <c r="I1483" s="231"/>
      <c r="J1483" s="231"/>
      <c r="K1483" s="231"/>
      <c r="L1483" s="231"/>
      <c r="M1483" s="231"/>
      <c r="N1483" s="231"/>
      <c r="O1483" s="231"/>
      <c r="P1483" s="231">
        <v>1</v>
      </c>
      <c r="Q1483" s="231"/>
      <c r="R1483" s="231"/>
      <c r="S1483" s="231"/>
      <c r="T1483" s="231"/>
      <c r="U1483" s="231"/>
      <c r="V1483" s="231"/>
      <c r="W1483" s="231"/>
      <c r="X1483" s="231"/>
      <c r="Y1483" s="231"/>
      <c r="Z1483" s="231"/>
      <c r="AA1483" s="231"/>
      <c r="AB1483" s="22">
        <f t="shared" si="469"/>
        <v>1</v>
      </c>
      <c r="AC1483" s="23">
        <v>16</v>
      </c>
      <c r="AD1483" s="35"/>
      <c r="AE1483" s="35"/>
      <c r="AF1483" s="35"/>
      <c r="AG1483" s="35"/>
      <c r="AH1483" s="35"/>
      <c r="AI1483" s="35"/>
      <c r="AJ1483" s="35"/>
      <c r="AK1483" s="35"/>
      <c r="AL1483" s="35">
        <f>8+1</f>
        <v>9</v>
      </c>
      <c r="AM1483" s="35"/>
      <c r="AN1483" s="35"/>
      <c r="AO1483" s="35"/>
      <c r="AP1483" s="35">
        <f>7+3</f>
        <v>10</v>
      </c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22">
        <f t="shared" si="470"/>
        <v>19</v>
      </c>
      <c r="BC1483" s="23">
        <v>57</v>
      </c>
      <c r="BD1483" s="130">
        <f t="shared" si="471"/>
        <v>20</v>
      </c>
      <c r="BE1483" s="130">
        <f t="shared" si="472"/>
        <v>73</v>
      </c>
      <c r="BF1483" s="195">
        <f t="shared" si="473"/>
        <v>27.397260273972602</v>
      </c>
      <c r="BG1483" s="373">
        <f t="shared" si="474"/>
        <v>53</v>
      </c>
    </row>
    <row r="1484" spans="1:59" s="21" customFormat="1" ht="15.95" customHeight="1">
      <c r="A1484" s="176">
        <v>75</v>
      </c>
      <c r="B1484" s="40" t="s">
        <v>961</v>
      </c>
      <c r="C1484" s="41" t="s">
        <v>962</v>
      </c>
      <c r="D1484" s="231"/>
      <c r="E1484" s="231"/>
      <c r="F1484" s="231"/>
      <c r="G1484" s="231"/>
      <c r="H1484" s="231">
        <v>2</v>
      </c>
      <c r="I1484" s="231"/>
      <c r="J1484" s="231"/>
      <c r="K1484" s="231"/>
      <c r="L1484" s="231"/>
      <c r="M1484" s="231"/>
      <c r="N1484" s="231"/>
      <c r="O1484" s="231"/>
      <c r="P1484" s="231">
        <v>2</v>
      </c>
      <c r="Q1484" s="231"/>
      <c r="R1484" s="231"/>
      <c r="S1484" s="231"/>
      <c r="T1484" s="231"/>
      <c r="U1484" s="231"/>
      <c r="V1484" s="231"/>
      <c r="W1484" s="231"/>
      <c r="X1484" s="231"/>
      <c r="Y1484" s="231"/>
      <c r="Z1484" s="231"/>
      <c r="AA1484" s="231"/>
      <c r="AB1484" s="22">
        <f t="shared" si="469"/>
        <v>4</v>
      </c>
      <c r="AC1484" s="23">
        <v>45</v>
      </c>
      <c r="AD1484" s="35"/>
      <c r="AE1484" s="35"/>
      <c r="AF1484" s="35"/>
      <c r="AG1484" s="35"/>
      <c r="AH1484" s="35">
        <f>13+1</f>
        <v>14</v>
      </c>
      <c r="AI1484" s="35"/>
      <c r="AJ1484" s="35"/>
      <c r="AK1484" s="35"/>
      <c r="AL1484" s="35">
        <f>74+44</f>
        <v>118</v>
      </c>
      <c r="AM1484" s="35"/>
      <c r="AN1484" s="35"/>
      <c r="AO1484" s="35"/>
      <c r="AP1484" s="35">
        <f>50+19</f>
        <v>69</v>
      </c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22">
        <f t="shared" si="470"/>
        <v>201</v>
      </c>
      <c r="BC1484" s="23">
        <v>369</v>
      </c>
      <c r="BD1484" s="130">
        <f t="shared" si="471"/>
        <v>205</v>
      </c>
      <c r="BE1484" s="130">
        <f t="shared" si="472"/>
        <v>414</v>
      </c>
      <c r="BF1484" s="195">
        <f t="shared" si="473"/>
        <v>49.516908212560381</v>
      </c>
      <c r="BG1484" s="373">
        <f t="shared" si="474"/>
        <v>209</v>
      </c>
    </row>
    <row r="1485" spans="1:59" s="21" customFormat="1" ht="15.95" customHeight="1">
      <c r="A1485" s="176">
        <v>76</v>
      </c>
      <c r="B1485" s="40" t="s">
        <v>1355</v>
      </c>
      <c r="C1485" s="41" t="s">
        <v>1400</v>
      </c>
      <c r="D1485" s="231"/>
      <c r="E1485" s="231"/>
      <c r="F1485" s="231"/>
      <c r="G1485" s="231"/>
      <c r="H1485" s="231"/>
      <c r="I1485" s="231"/>
      <c r="J1485" s="231"/>
      <c r="K1485" s="231"/>
      <c r="L1485" s="231"/>
      <c r="M1485" s="231"/>
      <c r="N1485" s="231"/>
      <c r="O1485" s="231"/>
      <c r="P1485" s="231"/>
      <c r="Q1485" s="231"/>
      <c r="R1485" s="231"/>
      <c r="S1485" s="231"/>
      <c r="T1485" s="231"/>
      <c r="U1485" s="231"/>
      <c r="V1485" s="231"/>
      <c r="W1485" s="231"/>
      <c r="X1485" s="231"/>
      <c r="Y1485" s="231"/>
      <c r="Z1485" s="231"/>
      <c r="AA1485" s="231"/>
      <c r="AB1485" s="22">
        <f t="shared" si="469"/>
        <v>0</v>
      </c>
      <c r="AC1485" s="23">
        <v>6</v>
      </c>
      <c r="AD1485" s="35"/>
      <c r="AE1485" s="35"/>
      <c r="AF1485" s="35"/>
      <c r="AG1485" s="35"/>
      <c r="AH1485" s="35"/>
      <c r="AI1485" s="35"/>
      <c r="AJ1485" s="35"/>
      <c r="AK1485" s="35"/>
      <c r="AL1485" s="35">
        <v>1</v>
      </c>
      <c r="AM1485" s="35"/>
      <c r="AN1485" s="35"/>
      <c r="AO1485" s="35"/>
      <c r="AP1485" s="35">
        <v>1</v>
      </c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22">
        <f t="shared" si="470"/>
        <v>2</v>
      </c>
      <c r="BC1485" s="23">
        <v>30</v>
      </c>
      <c r="BD1485" s="130">
        <f t="shared" si="471"/>
        <v>2</v>
      </c>
      <c r="BE1485" s="130">
        <f t="shared" si="472"/>
        <v>36</v>
      </c>
      <c r="BF1485" s="195">
        <f t="shared" si="473"/>
        <v>5.5555555555555554</v>
      </c>
      <c r="BG1485" s="373">
        <f t="shared" si="474"/>
        <v>34</v>
      </c>
    </row>
    <row r="1486" spans="1:59" s="21" customFormat="1" ht="15.95" customHeight="1">
      <c r="A1486" s="176">
        <v>77</v>
      </c>
      <c r="B1486" s="40" t="s">
        <v>963</v>
      </c>
      <c r="C1486" s="41" t="s">
        <v>964</v>
      </c>
      <c r="D1486" s="231"/>
      <c r="E1486" s="231"/>
      <c r="F1486" s="231"/>
      <c r="G1486" s="231"/>
      <c r="H1486" s="231"/>
      <c r="I1486" s="231"/>
      <c r="J1486" s="231"/>
      <c r="K1486" s="231"/>
      <c r="L1486" s="231"/>
      <c r="M1486" s="231"/>
      <c r="N1486" s="231"/>
      <c r="O1486" s="231"/>
      <c r="P1486" s="231">
        <v>2</v>
      </c>
      <c r="Q1486" s="231"/>
      <c r="R1486" s="231"/>
      <c r="S1486" s="231"/>
      <c r="T1486" s="231"/>
      <c r="U1486" s="231"/>
      <c r="V1486" s="231"/>
      <c r="W1486" s="231"/>
      <c r="X1486" s="231"/>
      <c r="Y1486" s="231"/>
      <c r="Z1486" s="231"/>
      <c r="AA1486" s="231"/>
      <c r="AB1486" s="22">
        <f t="shared" si="469"/>
        <v>2</v>
      </c>
      <c r="AC1486" s="23">
        <v>8</v>
      </c>
      <c r="AD1486" s="35"/>
      <c r="AE1486" s="35"/>
      <c r="AF1486" s="35"/>
      <c r="AG1486" s="35"/>
      <c r="AH1486" s="35">
        <f>5+11</f>
        <v>16</v>
      </c>
      <c r="AI1486" s="35"/>
      <c r="AJ1486" s="35"/>
      <c r="AK1486" s="35"/>
      <c r="AL1486" s="35">
        <f>19+32</f>
        <v>51</v>
      </c>
      <c r="AM1486" s="35"/>
      <c r="AN1486" s="35"/>
      <c r="AO1486" s="35"/>
      <c r="AP1486" s="35">
        <f>16+25</f>
        <v>41</v>
      </c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22">
        <f t="shared" si="470"/>
        <v>108</v>
      </c>
      <c r="BC1486" s="23">
        <v>177</v>
      </c>
      <c r="BD1486" s="130">
        <f t="shared" si="471"/>
        <v>110</v>
      </c>
      <c r="BE1486" s="130">
        <f t="shared" si="472"/>
        <v>185</v>
      </c>
      <c r="BF1486" s="195">
        <f t="shared" si="473"/>
        <v>59.45945945945946</v>
      </c>
      <c r="BG1486" s="373">
        <f t="shared" si="474"/>
        <v>75</v>
      </c>
    </row>
    <row r="1487" spans="1:59" s="21" customFormat="1" ht="15.95" customHeight="1">
      <c r="A1487" s="176">
        <v>78</v>
      </c>
      <c r="B1487" s="40" t="s">
        <v>965</v>
      </c>
      <c r="C1487" s="41" t="s">
        <v>966</v>
      </c>
      <c r="D1487" s="231"/>
      <c r="E1487" s="231"/>
      <c r="F1487" s="231"/>
      <c r="G1487" s="231"/>
      <c r="H1487" s="231"/>
      <c r="I1487" s="231"/>
      <c r="J1487" s="231"/>
      <c r="K1487" s="231"/>
      <c r="L1487" s="231"/>
      <c r="M1487" s="231"/>
      <c r="N1487" s="231"/>
      <c r="O1487" s="231"/>
      <c r="P1487" s="231"/>
      <c r="Q1487" s="231"/>
      <c r="R1487" s="231"/>
      <c r="S1487" s="231"/>
      <c r="T1487" s="231"/>
      <c r="U1487" s="231"/>
      <c r="V1487" s="231"/>
      <c r="W1487" s="231"/>
      <c r="X1487" s="231"/>
      <c r="Y1487" s="231"/>
      <c r="Z1487" s="231"/>
      <c r="AA1487" s="231"/>
      <c r="AB1487" s="22">
        <f t="shared" si="469"/>
        <v>0</v>
      </c>
      <c r="AC1487" s="23">
        <v>0</v>
      </c>
      <c r="AD1487" s="35"/>
      <c r="AE1487" s="35"/>
      <c r="AF1487" s="35"/>
      <c r="AG1487" s="35"/>
      <c r="AH1487" s="35"/>
      <c r="AI1487" s="35"/>
      <c r="AJ1487" s="35"/>
      <c r="AK1487" s="35"/>
      <c r="AL1487" s="35">
        <v>1</v>
      </c>
      <c r="AM1487" s="35"/>
      <c r="AN1487" s="35"/>
      <c r="AO1487" s="35"/>
      <c r="AP1487" s="35">
        <v>6</v>
      </c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22">
        <f t="shared" si="470"/>
        <v>7</v>
      </c>
      <c r="BC1487" s="23">
        <v>23</v>
      </c>
      <c r="BD1487" s="130">
        <f t="shared" si="471"/>
        <v>7</v>
      </c>
      <c r="BE1487" s="130">
        <f t="shared" si="472"/>
        <v>23</v>
      </c>
      <c r="BF1487" s="195">
        <f t="shared" si="473"/>
        <v>30.434782608695656</v>
      </c>
      <c r="BG1487" s="373">
        <f t="shared" si="474"/>
        <v>16</v>
      </c>
    </row>
    <row r="1488" spans="1:59" s="21" customFormat="1" ht="15.95" customHeight="1">
      <c r="A1488" s="176">
        <v>79</v>
      </c>
      <c r="B1488" s="40" t="s">
        <v>967</v>
      </c>
      <c r="C1488" s="41" t="s">
        <v>968</v>
      </c>
      <c r="D1488" s="231"/>
      <c r="E1488" s="231"/>
      <c r="F1488" s="231"/>
      <c r="G1488" s="231"/>
      <c r="H1488" s="231"/>
      <c r="I1488" s="231"/>
      <c r="J1488" s="231"/>
      <c r="K1488" s="231"/>
      <c r="L1488" s="231"/>
      <c r="M1488" s="231"/>
      <c r="N1488" s="231"/>
      <c r="O1488" s="231"/>
      <c r="P1488" s="231"/>
      <c r="Q1488" s="231"/>
      <c r="R1488" s="231"/>
      <c r="S1488" s="231"/>
      <c r="T1488" s="231"/>
      <c r="U1488" s="231"/>
      <c r="V1488" s="231"/>
      <c r="W1488" s="231"/>
      <c r="X1488" s="231"/>
      <c r="Y1488" s="231"/>
      <c r="Z1488" s="231"/>
      <c r="AA1488" s="231"/>
      <c r="AB1488" s="22">
        <f t="shared" si="469"/>
        <v>0</v>
      </c>
      <c r="AC1488" s="23">
        <v>0</v>
      </c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>
        <v>1</v>
      </c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22">
        <f t="shared" si="470"/>
        <v>1</v>
      </c>
      <c r="BC1488" s="23">
        <v>7</v>
      </c>
      <c r="BD1488" s="130">
        <f t="shared" si="471"/>
        <v>1</v>
      </c>
      <c r="BE1488" s="130">
        <f t="shared" si="472"/>
        <v>7</v>
      </c>
      <c r="BF1488" s="195">
        <f t="shared" si="473"/>
        <v>14.285714285714285</v>
      </c>
      <c r="BG1488" s="373">
        <f t="shared" si="474"/>
        <v>6</v>
      </c>
    </row>
    <row r="1489" spans="1:59" s="21" customFormat="1" ht="15.95" customHeight="1">
      <c r="A1489" s="176">
        <v>80</v>
      </c>
      <c r="B1489" s="40" t="s">
        <v>3826</v>
      </c>
      <c r="C1489" s="41" t="s">
        <v>3827</v>
      </c>
      <c r="D1489" s="527"/>
      <c r="E1489" s="527"/>
      <c r="F1489" s="527"/>
      <c r="G1489" s="527"/>
      <c r="H1489" s="527">
        <v>1</v>
      </c>
      <c r="I1489" s="527"/>
      <c r="J1489" s="527"/>
      <c r="K1489" s="527"/>
      <c r="L1489" s="527"/>
      <c r="M1489" s="527"/>
      <c r="N1489" s="527"/>
      <c r="O1489" s="527"/>
      <c r="P1489" s="527"/>
      <c r="Q1489" s="527"/>
      <c r="R1489" s="527"/>
      <c r="S1489" s="527"/>
      <c r="T1489" s="527"/>
      <c r="U1489" s="527"/>
      <c r="V1489" s="527"/>
      <c r="W1489" s="527"/>
      <c r="X1489" s="527"/>
      <c r="Y1489" s="527"/>
      <c r="Z1489" s="527"/>
      <c r="AA1489" s="527"/>
      <c r="AB1489" s="22">
        <f t="shared" si="469"/>
        <v>1</v>
      </c>
      <c r="AC1489" s="23">
        <v>0</v>
      </c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22">
        <f t="shared" si="470"/>
        <v>0</v>
      </c>
      <c r="BC1489" s="23">
        <v>0</v>
      </c>
      <c r="BD1489" s="130">
        <f t="shared" si="471"/>
        <v>1</v>
      </c>
      <c r="BE1489" s="130">
        <f t="shared" si="472"/>
        <v>0</v>
      </c>
      <c r="BF1489" s="195" t="e">
        <f t="shared" si="473"/>
        <v>#DIV/0!</v>
      </c>
      <c r="BG1489" s="373"/>
    </row>
    <row r="1490" spans="1:59" s="21" customFormat="1" ht="15.95" customHeight="1">
      <c r="A1490" s="176">
        <v>81</v>
      </c>
      <c r="B1490" s="31" t="s">
        <v>1049</v>
      </c>
      <c r="C1490" s="395" t="s">
        <v>2172</v>
      </c>
      <c r="D1490" s="231"/>
      <c r="E1490" s="231"/>
      <c r="F1490" s="231"/>
      <c r="G1490" s="231"/>
      <c r="H1490" s="231"/>
      <c r="I1490" s="231"/>
      <c r="J1490" s="231"/>
      <c r="K1490" s="231"/>
      <c r="L1490" s="231"/>
      <c r="M1490" s="231"/>
      <c r="N1490" s="231"/>
      <c r="O1490" s="231"/>
      <c r="P1490" s="231"/>
      <c r="Q1490" s="231"/>
      <c r="R1490" s="231"/>
      <c r="S1490" s="231"/>
      <c r="T1490" s="231"/>
      <c r="U1490" s="231"/>
      <c r="V1490" s="231"/>
      <c r="W1490" s="231"/>
      <c r="X1490" s="231"/>
      <c r="Y1490" s="231"/>
      <c r="Z1490" s="231"/>
      <c r="AA1490" s="231"/>
      <c r="AB1490" s="22">
        <f t="shared" si="469"/>
        <v>0</v>
      </c>
      <c r="AC1490" s="23">
        <v>0</v>
      </c>
      <c r="AD1490" s="35"/>
      <c r="AE1490" s="35"/>
      <c r="AF1490" s="35"/>
      <c r="AG1490" s="35"/>
      <c r="AH1490" s="35">
        <v>151</v>
      </c>
      <c r="AI1490" s="35"/>
      <c r="AJ1490" s="35"/>
      <c r="AK1490" s="35"/>
      <c r="AL1490" s="35">
        <v>2003</v>
      </c>
      <c r="AM1490" s="35"/>
      <c r="AN1490" s="35"/>
      <c r="AO1490" s="35"/>
      <c r="AP1490" s="35">
        <v>1481</v>
      </c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22">
        <f t="shared" si="470"/>
        <v>3635</v>
      </c>
      <c r="BC1490" s="23">
        <v>7792</v>
      </c>
      <c r="BD1490" s="130">
        <f t="shared" si="471"/>
        <v>3635</v>
      </c>
      <c r="BE1490" s="130">
        <f t="shared" si="472"/>
        <v>7792</v>
      </c>
      <c r="BF1490" s="195">
        <f t="shared" si="473"/>
        <v>46.650410677618069</v>
      </c>
      <c r="BG1490" s="373">
        <f>BE1490-BD1490</f>
        <v>4157</v>
      </c>
    </row>
    <row r="1491" spans="1:59" s="21" customFormat="1" ht="15.95" customHeight="1">
      <c r="A1491" s="176">
        <v>82</v>
      </c>
      <c r="B1491" s="31" t="s">
        <v>851</v>
      </c>
      <c r="C1491" s="395" t="s">
        <v>917</v>
      </c>
      <c r="D1491" s="231"/>
      <c r="E1491" s="231"/>
      <c r="F1491" s="231"/>
      <c r="G1491" s="231"/>
      <c r="H1491" s="231"/>
      <c r="I1491" s="231"/>
      <c r="J1491" s="231"/>
      <c r="K1491" s="231"/>
      <c r="L1491" s="231"/>
      <c r="M1491" s="231"/>
      <c r="N1491" s="231"/>
      <c r="O1491" s="231"/>
      <c r="P1491" s="231"/>
      <c r="Q1491" s="231"/>
      <c r="R1491" s="231"/>
      <c r="S1491" s="231"/>
      <c r="T1491" s="231"/>
      <c r="U1491" s="231"/>
      <c r="V1491" s="231"/>
      <c r="W1491" s="231"/>
      <c r="X1491" s="231"/>
      <c r="Y1491" s="231"/>
      <c r="Z1491" s="231"/>
      <c r="AA1491" s="231"/>
      <c r="AB1491" s="22">
        <f t="shared" si="469"/>
        <v>0</v>
      </c>
      <c r="AC1491" s="23">
        <v>0</v>
      </c>
      <c r="AD1491" s="35"/>
      <c r="AE1491" s="35"/>
      <c r="AF1491" s="35"/>
      <c r="AG1491" s="35"/>
      <c r="AH1491" s="35"/>
      <c r="AI1491" s="35"/>
      <c r="AJ1491" s="35"/>
      <c r="AK1491" s="35"/>
      <c r="AL1491" s="214">
        <v>1</v>
      </c>
      <c r="AM1491" s="35"/>
      <c r="AN1491" s="35"/>
      <c r="AO1491" s="35"/>
      <c r="AP1491" s="35">
        <v>2</v>
      </c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22">
        <f t="shared" si="470"/>
        <v>3</v>
      </c>
      <c r="BC1491" s="23">
        <v>44</v>
      </c>
      <c r="BD1491" s="130">
        <f t="shared" si="471"/>
        <v>3</v>
      </c>
      <c r="BE1491" s="130">
        <f t="shared" si="472"/>
        <v>44</v>
      </c>
      <c r="BF1491" s="195">
        <f t="shared" si="473"/>
        <v>6.8181818181818175</v>
      </c>
      <c r="BG1491" s="373">
        <f>BE1491-BD1491</f>
        <v>41</v>
      </c>
    </row>
    <row r="1492" spans="1:59" s="21" customFormat="1" ht="15.95" customHeight="1">
      <c r="A1492" s="176">
        <v>83</v>
      </c>
      <c r="B1492" s="31" t="s">
        <v>1088</v>
      </c>
      <c r="C1492" s="395" t="s">
        <v>1089</v>
      </c>
      <c r="D1492" s="231"/>
      <c r="E1492" s="231"/>
      <c r="F1492" s="231"/>
      <c r="G1492" s="231"/>
      <c r="H1492" s="231"/>
      <c r="I1492" s="231"/>
      <c r="J1492" s="231"/>
      <c r="K1492" s="231"/>
      <c r="L1492" s="231"/>
      <c r="M1492" s="231"/>
      <c r="N1492" s="231"/>
      <c r="O1492" s="231"/>
      <c r="P1492" s="231"/>
      <c r="Q1492" s="231"/>
      <c r="R1492" s="231"/>
      <c r="S1492" s="231"/>
      <c r="T1492" s="231"/>
      <c r="U1492" s="231"/>
      <c r="V1492" s="231"/>
      <c r="W1492" s="231"/>
      <c r="X1492" s="231"/>
      <c r="Y1492" s="231"/>
      <c r="Z1492" s="231"/>
      <c r="AA1492" s="231"/>
      <c r="AB1492" s="22">
        <f t="shared" si="469"/>
        <v>0</v>
      </c>
      <c r="AC1492" s="23">
        <v>0</v>
      </c>
      <c r="AD1492" s="35"/>
      <c r="AE1492" s="35"/>
      <c r="AF1492" s="35"/>
      <c r="AG1492" s="35"/>
      <c r="AH1492" s="35">
        <v>2</v>
      </c>
      <c r="AI1492" s="35"/>
      <c r="AJ1492" s="35"/>
      <c r="AK1492" s="35"/>
      <c r="AL1492" s="35">
        <v>5</v>
      </c>
      <c r="AM1492" s="35"/>
      <c r="AN1492" s="35"/>
      <c r="AO1492" s="35"/>
      <c r="AP1492" s="35">
        <v>1</v>
      </c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22">
        <f t="shared" si="470"/>
        <v>8</v>
      </c>
      <c r="BC1492" s="23">
        <v>18</v>
      </c>
      <c r="BD1492" s="130">
        <f t="shared" si="471"/>
        <v>8</v>
      </c>
      <c r="BE1492" s="130">
        <f t="shared" si="472"/>
        <v>18</v>
      </c>
      <c r="BF1492" s="195">
        <f t="shared" si="473"/>
        <v>44.444444444444443</v>
      </c>
      <c r="BG1492" s="373">
        <f>BE1492-BD1492</f>
        <v>10</v>
      </c>
    </row>
    <row r="1493" spans="1:59" s="21" customFormat="1" ht="15.95" customHeight="1">
      <c r="A1493" s="176">
        <v>84</v>
      </c>
      <c r="B1493" s="31" t="s">
        <v>1773</v>
      </c>
      <c r="C1493" s="395" t="s">
        <v>3465</v>
      </c>
      <c r="D1493" s="550"/>
      <c r="E1493" s="550"/>
      <c r="F1493" s="550"/>
      <c r="G1493" s="550"/>
      <c r="H1493" s="550"/>
      <c r="I1493" s="550"/>
      <c r="J1493" s="550"/>
      <c r="K1493" s="550"/>
      <c r="L1493" s="550"/>
      <c r="M1493" s="550"/>
      <c r="N1493" s="550"/>
      <c r="O1493" s="550"/>
      <c r="P1493" s="550"/>
      <c r="Q1493" s="550"/>
      <c r="R1493" s="550"/>
      <c r="S1493" s="550"/>
      <c r="T1493" s="550"/>
      <c r="U1493" s="550"/>
      <c r="V1493" s="550"/>
      <c r="W1493" s="550"/>
      <c r="X1493" s="550"/>
      <c r="Y1493" s="550"/>
      <c r="Z1493" s="550"/>
      <c r="AA1493" s="550"/>
      <c r="AB1493" s="22">
        <f t="shared" si="469"/>
        <v>0</v>
      </c>
      <c r="AC1493" s="23">
        <v>0</v>
      </c>
      <c r="AD1493" s="35"/>
      <c r="AE1493" s="35"/>
      <c r="AF1493" s="35"/>
      <c r="AG1493" s="35"/>
      <c r="AH1493" s="35"/>
      <c r="AI1493" s="35"/>
      <c r="AJ1493" s="35"/>
      <c r="AK1493" s="35"/>
      <c r="AL1493" s="35">
        <v>2</v>
      </c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22">
        <f t="shared" si="470"/>
        <v>2</v>
      </c>
      <c r="BC1493" s="23">
        <v>0</v>
      </c>
      <c r="BD1493" s="130">
        <f t="shared" si="471"/>
        <v>2</v>
      </c>
      <c r="BE1493" s="130">
        <f t="shared" si="472"/>
        <v>0</v>
      </c>
      <c r="BF1493" s="195" t="e">
        <f t="shared" si="473"/>
        <v>#DIV/0!</v>
      </c>
      <c r="BG1493" s="373"/>
    </row>
    <row r="1494" spans="1:59" s="21" customFormat="1" ht="15.95" customHeight="1">
      <c r="A1494" s="176">
        <v>85</v>
      </c>
      <c r="B1494" s="31" t="s">
        <v>1018</v>
      </c>
      <c r="C1494" s="395" t="s">
        <v>1019</v>
      </c>
      <c r="D1494" s="231"/>
      <c r="E1494" s="231"/>
      <c r="F1494" s="231"/>
      <c r="G1494" s="231"/>
      <c r="H1494" s="231"/>
      <c r="I1494" s="231"/>
      <c r="J1494" s="231"/>
      <c r="K1494" s="231"/>
      <c r="L1494" s="231"/>
      <c r="M1494" s="231"/>
      <c r="N1494" s="231"/>
      <c r="O1494" s="231"/>
      <c r="P1494" s="231"/>
      <c r="Q1494" s="231"/>
      <c r="R1494" s="231"/>
      <c r="S1494" s="231"/>
      <c r="T1494" s="231"/>
      <c r="U1494" s="231"/>
      <c r="V1494" s="231"/>
      <c r="W1494" s="231"/>
      <c r="X1494" s="231"/>
      <c r="Y1494" s="231"/>
      <c r="Z1494" s="231"/>
      <c r="AA1494" s="231"/>
      <c r="AB1494" s="22">
        <f t="shared" si="469"/>
        <v>0</v>
      </c>
      <c r="AC1494" s="23">
        <v>0</v>
      </c>
      <c r="AD1494" s="35"/>
      <c r="AE1494" s="35"/>
      <c r="AF1494" s="35"/>
      <c r="AG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22">
        <f t="shared" si="470"/>
        <v>0</v>
      </c>
      <c r="BC1494" s="23">
        <v>3</v>
      </c>
      <c r="BD1494" s="130">
        <f t="shared" si="471"/>
        <v>0</v>
      </c>
      <c r="BE1494" s="130">
        <f t="shared" si="472"/>
        <v>3</v>
      </c>
      <c r="BF1494" s="195">
        <f t="shared" si="473"/>
        <v>0</v>
      </c>
      <c r="BG1494" s="373">
        <f>BE1494-BD1494</f>
        <v>3</v>
      </c>
    </row>
    <row r="1495" spans="1:59" s="21" customFormat="1" ht="15.95" customHeight="1">
      <c r="A1495" s="176">
        <v>86</v>
      </c>
      <c r="B1495" s="44" t="s">
        <v>854</v>
      </c>
      <c r="C1495" s="396" t="s">
        <v>973</v>
      </c>
      <c r="D1495" s="380"/>
      <c r="E1495" s="380"/>
      <c r="F1495" s="380"/>
      <c r="G1495" s="380"/>
      <c r="H1495" s="380"/>
      <c r="I1495" s="380"/>
      <c r="J1495" s="380"/>
      <c r="K1495" s="380"/>
      <c r="L1495" s="380"/>
      <c r="M1495" s="380"/>
      <c r="N1495" s="380"/>
      <c r="O1495" s="380"/>
      <c r="P1495" s="380"/>
      <c r="Q1495" s="380"/>
      <c r="R1495" s="380"/>
      <c r="S1495" s="380"/>
      <c r="T1495" s="380"/>
      <c r="U1495" s="380"/>
      <c r="V1495" s="380"/>
      <c r="W1495" s="380"/>
      <c r="X1495" s="380"/>
      <c r="Y1495" s="380"/>
      <c r="Z1495" s="380"/>
      <c r="AA1495" s="380"/>
      <c r="AB1495" s="22">
        <f t="shared" si="469"/>
        <v>0</v>
      </c>
      <c r="AC1495" s="23">
        <v>0</v>
      </c>
      <c r="AD1495" s="35"/>
      <c r="AE1495" s="35"/>
      <c r="AF1495" s="35"/>
      <c r="AG1495" s="35"/>
      <c r="AH1495" s="35">
        <v>3</v>
      </c>
      <c r="AI1495" s="35"/>
      <c r="AJ1495" s="35"/>
      <c r="AK1495" s="35"/>
      <c r="AL1495" s="35">
        <f>42+10</f>
        <v>52</v>
      </c>
      <c r="AM1495" s="35"/>
      <c r="AN1495" s="35"/>
      <c r="AO1495" s="35"/>
      <c r="AP1495" s="35">
        <f>64+4</f>
        <v>68</v>
      </c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22">
        <f t="shared" si="470"/>
        <v>123</v>
      </c>
      <c r="BC1495" s="23">
        <v>233</v>
      </c>
      <c r="BD1495" s="130">
        <f t="shared" si="471"/>
        <v>123</v>
      </c>
      <c r="BE1495" s="130">
        <f t="shared" si="472"/>
        <v>233</v>
      </c>
      <c r="BF1495" s="195">
        <f t="shared" si="473"/>
        <v>52.789699570815451</v>
      </c>
      <c r="BG1495" s="373">
        <f>BE1495-BD1495</f>
        <v>110</v>
      </c>
    </row>
    <row r="1496" spans="1:59" s="21" customFormat="1" ht="15.95" customHeight="1">
      <c r="A1496" s="176">
        <v>87</v>
      </c>
      <c r="B1496" s="31" t="s">
        <v>974</v>
      </c>
      <c r="C1496" s="396" t="s">
        <v>921</v>
      </c>
      <c r="D1496" s="380"/>
      <c r="E1496" s="380"/>
      <c r="F1496" s="380"/>
      <c r="G1496" s="380"/>
      <c r="H1496" s="380"/>
      <c r="I1496" s="380"/>
      <c r="J1496" s="380"/>
      <c r="K1496" s="380"/>
      <c r="L1496" s="380"/>
      <c r="M1496" s="380"/>
      <c r="N1496" s="380"/>
      <c r="O1496" s="380"/>
      <c r="P1496" s="380"/>
      <c r="Q1496" s="380"/>
      <c r="R1496" s="380"/>
      <c r="S1496" s="380"/>
      <c r="T1496" s="380"/>
      <c r="U1496" s="380"/>
      <c r="V1496" s="380"/>
      <c r="W1496" s="380"/>
      <c r="X1496" s="380"/>
      <c r="Y1496" s="380"/>
      <c r="Z1496" s="380"/>
      <c r="AA1496" s="380"/>
      <c r="AB1496" s="22">
        <f t="shared" si="469"/>
        <v>0</v>
      </c>
      <c r="AC1496" s="23">
        <v>0</v>
      </c>
      <c r="AD1496" s="35"/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22">
        <f t="shared" si="470"/>
        <v>0</v>
      </c>
      <c r="BC1496" s="23">
        <v>50</v>
      </c>
      <c r="BD1496" s="130">
        <f t="shared" si="471"/>
        <v>0</v>
      </c>
      <c r="BE1496" s="130">
        <f t="shared" si="472"/>
        <v>50</v>
      </c>
      <c r="BF1496" s="195">
        <f t="shared" si="473"/>
        <v>0</v>
      </c>
      <c r="BG1496" s="373">
        <f>BE1496-BD1496</f>
        <v>50</v>
      </c>
    </row>
    <row r="1497" spans="1:59" s="21" customFormat="1" ht="15.95" customHeight="1">
      <c r="A1497" s="176">
        <v>88</v>
      </c>
      <c r="B1497" s="31" t="s">
        <v>856</v>
      </c>
      <c r="C1497" s="396" t="s">
        <v>1123</v>
      </c>
      <c r="D1497" s="570"/>
      <c r="E1497" s="570"/>
      <c r="F1497" s="570"/>
      <c r="G1497" s="570"/>
      <c r="H1497" s="570"/>
      <c r="I1497" s="570"/>
      <c r="J1497" s="570"/>
      <c r="K1497" s="570"/>
      <c r="L1497" s="570"/>
      <c r="M1497" s="570"/>
      <c r="N1497" s="570"/>
      <c r="O1497" s="570"/>
      <c r="P1497" s="570"/>
      <c r="Q1497" s="570"/>
      <c r="R1497" s="570"/>
      <c r="S1497" s="570"/>
      <c r="T1497" s="570"/>
      <c r="U1497" s="570"/>
      <c r="V1497" s="570"/>
      <c r="W1497" s="570"/>
      <c r="X1497" s="570"/>
      <c r="Y1497" s="570"/>
      <c r="Z1497" s="570"/>
      <c r="AA1497" s="570"/>
      <c r="AB1497" s="22">
        <f t="shared" si="469"/>
        <v>0</v>
      </c>
      <c r="AC1497" s="23">
        <v>0</v>
      </c>
      <c r="AD1497" s="35"/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>
        <v>7</v>
      </c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22">
        <f t="shared" si="470"/>
        <v>7</v>
      </c>
      <c r="BC1497" s="23">
        <v>0</v>
      </c>
      <c r="BD1497" s="130">
        <f t="shared" si="471"/>
        <v>7</v>
      </c>
      <c r="BE1497" s="130">
        <f t="shared" si="472"/>
        <v>0</v>
      </c>
      <c r="BF1497" s="195" t="e">
        <f t="shared" si="473"/>
        <v>#DIV/0!</v>
      </c>
      <c r="BG1497" s="373"/>
    </row>
    <row r="1498" spans="1:59" s="21" customFormat="1" ht="15.95" customHeight="1">
      <c r="A1498" s="176">
        <v>89</v>
      </c>
      <c r="B1498" s="31" t="s">
        <v>1022</v>
      </c>
      <c r="C1498" s="396" t="s">
        <v>1023</v>
      </c>
      <c r="D1498" s="570"/>
      <c r="E1498" s="570"/>
      <c r="F1498" s="570"/>
      <c r="G1498" s="570"/>
      <c r="H1498" s="570"/>
      <c r="I1498" s="570"/>
      <c r="J1498" s="570"/>
      <c r="K1498" s="570"/>
      <c r="L1498" s="570"/>
      <c r="M1498" s="570"/>
      <c r="N1498" s="570"/>
      <c r="O1498" s="570"/>
      <c r="P1498" s="570"/>
      <c r="Q1498" s="570"/>
      <c r="R1498" s="570"/>
      <c r="S1498" s="570"/>
      <c r="T1498" s="570"/>
      <c r="U1498" s="570"/>
      <c r="V1498" s="570"/>
      <c r="W1498" s="570"/>
      <c r="X1498" s="570"/>
      <c r="Y1498" s="570"/>
      <c r="Z1498" s="570"/>
      <c r="AA1498" s="570"/>
      <c r="AB1498" s="22">
        <f t="shared" si="469"/>
        <v>0</v>
      </c>
      <c r="AC1498" s="23">
        <v>0</v>
      </c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>
        <v>1</v>
      </c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22">
        <f t="shared" si="470"/>
        <v>1</v>
      </c>
      <c r="BC1498" s="23">
        <v>0</v>
      </c>
      <c r="BD1498" s="130">
        <f t="shared" si="471"/>
        <v>1</v>
      </c>
      <c r="BE1498" s="130">
        <f t="shared" si="472"/>
        <v>0</v>
      </c>
      <c r="BF1498" s="195" t="e">
        <f t="shared" si="473"/>
        <v>#DIV/0!</v>
      </c>
      <c r="BG1498" s="373"/>
    </row>
    <row r="1499" spans="1:59" s="21" customFormat="1" ht="15.95" customHeight="1">
      <c r="A1499" s="176">
        <v>90</v>
      </c>
      <c r="B1499" s="31" t="s">
        <v>1024</v>
      </c>
      <c r="C1499" s="396" t="s">
        <v>1644</v>
      </c>
      <c r="D1499" s="230"/>
      <c r="E1499" s="230"/>
      <c r="F1499" s="230"/>
      <c r="G1499" s="230"/>
      <c r="H1499" s="230"/>
      <c r="I1499" s="230"/>
      <c r="J1499" s="230"/>
      <c r="K1499" s="230"/>
      <c r="L1499" s="230"/>
      <c r="M1499" s="230"/>
      <c r="N1499" s="230"/>
      <c r="O1499" s="230"/>
      <c r="P1499" s="230"/>
      <c r="Q1499" s="230"/>
      <c r="R1499" s="230"/>
      <c r="S1499" s="230"/>
      <c r="T1499" s="230"/>
      <c r="U1499" s="230"/>
      <c r="V1499" s="230"/>
      <c r="W1499" s="230"/>
      <c r="X1499" s="230"/>
      <c r="Y1499" s="230"/>
      <c r="Z1499" s="230"/>
      <c r="AA1499" s="230"/>
      <c r="AB1499" s="22">
        <f t="shared" si="469"/>
        <v>0</v>
      </c>
      <c r="AC1499" s="23">
        <v>0</v>
      </c>
      <c r="AD1499" s="35"/>
      <c r="AE1499" s="35"/>
      <c r="AF1499" s="35"/>
      <c r="AG1499" s="35"/>
      <c r="AH1499" s="35">
        <v>1</v>
      </c>
      <c r="AI1499" s="35"/>
      <c r="AJ1499" s="35"/>
      <c r="AK1499" s="35"/>
      <c r="AL1499" s="35">
        <v>4</v>
      </c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22">
        <f t="shared" si="470"/>
        <v>5</v>
      </c>
      <c r="BC1499" s="23">
        <v>15</v>
      </c>
      <c r="BD1499" s="130">
        <f t="shared" si="471"/>
        <v>5</v>
      </c>
      <c r="BE1499" s="130">
        <f t="shared" si="472"/>
        <v>15</v>
      </c>
      <c r="BF1499" s="195">
        <f t="shared" si="473"/>
        <v>33.333333333333329</v>
      </c>
      <c r="BG1499" s="373">
        <f>BE1499-BD1499</f>
        <v>10</v>
      </c>
    </row>
    <row r="1500" spans="1:59" s="21" customFormat="1" ht="15.95" customHeight="1">
      <c r="A1500" s="176">
        <v>91</v>
      </c>
      <c r="B1500" s="31" t="s">
        <v>858</v>
      </c>
      <c r="C1500" s="32" t="s">
        <v>859</v>
      </c>
      <c r="D1500" s="230"/>
      <c r="E1500" s="230"/>
      <c r="F1500" s="230"/>
      <c r="G1500" s="230"/>
      <c r="H1500" s="230"/>
      <c r="I1500" s="230"/>
      <c r="J1500" s="230"/>
      <c r="K1500" s="230"/>
      <c r="L1500" s="230"/>
      <c r="M1500" s="230"/>
      <c r="N1500" s="230"/>
      <c r="O1500" s="230"/>
      <c r="P1500" s="230"/>
      <c r="Q1500" s="230"/>
      <c r="R1500" s="230"/>
      <c r="S1500" s="230"/>
      <c r="T1500" s="230"/>
      <c r="U1500" s="230"/>
      <c r="V1500" s="230"/>
      <c r="W1500" s="230"/>
      <c r="X1500" s="230"/>
      <c r="Y1500" s="230"/>
      <c r="Z1500" s="230"/>
      <c r="AA1500" s="230"/>
      <c r="AB1500" s="22">
        <f t="shared" si="469"/>
        <v>0</v>
      </c>
      <c r="AC1500" s="23">
        <v>0</v>
      </c>
      <c r="AD1500" s="35"/>
      <c r="AE1500" s="35"/>
      <c r="AF1500" s="35"/>
      <c r="AG1500" s="35"/>
      <c r="AH1500" s="35">
        <v>11</v>
      </c>
      <c r="AI1500" s="35"/>
      <c r="AJ1500" s="35"/>
      <c r="AK1500" s="35"/>
      <c r="AL1500" s="35">
        <v>23</v>
      </c>
      <c r="AM1500" s="35"/>
      <c r="AN1500" s="35"/>
      <c r="AO1500" s="35"/>
      <c r="AP1500" s="35">
        <v>27</v>
      </c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22">
        <f t="shared" si="470"/>
        <v>61</v>
      </c>
      <c r="BC1500" s="23">
        <v>214</v>
      </c>
      <c r="BD1500" s="130">
        <f t="shared" si="471"/>
        <v>61</v>
      </c>
      <c r="BE1500" s="130">
        <f t="shared" si="472"/>
        <v>214</v>
      </c>
      <c r="BF1500" s="195">
        <f t="shared" si="473"/>
        <v>28.504672897196258</v>
      </c>
      <c r="BG1500" s="373">
        <f>BE1500-BD1500</f>
        <v>153</v>
      </c>
    </row>
    <row r="1501" spans="1:59" s="21" customFormat="1" ht="15.95" customHeight="1">
      <c r="A1501" s="176">
        <v>92</v>
      </c>
      <c r="B1501" s="31" t="s">
        <v>860</v>
      </c>
      <c r="C1501" s="34" t="s">
        <v>975</v>
      </c>
      <c r="D1501" s="381"/>
      <c r="E1501" s="381"/>
      <c r="F1501" s="381"/>
      <c r="G1501" s="381"/>
      <c r="H1501" s="381"/>
      <c r="I1501" s="381"/>
      <c r="J1501" s="381"/>
      <c r="K1501" s="381"/>
      <c r="L1501" s="381"/>
      <c r="M1501" s="381"/>
      <c r="N1501" s="381"/>
      <c r="O1501" s="381"/>
      <c r="P1501" s="381"/>
      <c r="Q1501" s="381"/>
      <c r="R1501" s="381"/>
      <c r="S1501" s="381"/>
      <c r="T1501" s="381"/>
      <c r="U1501" s="381"/>
      <c r="V1501" s="381"/>
      <c r="W1501" s="381"/>
      <c r="X1501" s="381"/>
      <c r="Y1501" s="381"/>
      <c r="Z1501" s="381"/>
      <c r="AA1501" s="381"/>
      <c r="AB1501" s="22">
        <f t="shared" si="469"/>
        <v>0</v>
      </c>
      <c r="AC1501" s="23">
        <v>1</v>
      </c>
      <c r="AD1501" s="35">
        <v>71</v>
      </c>
      <c r="AE1501" s="35"/>
      <c r="AF1501" s="35"/>
      <c r="AG1501" s="35"/>
      <c r="AH1501" s="35">
        <f>407+84</f>
        <v>491</v>
      </c>
      <c r="AI1501" s="35"/>
      <c r="AJ1501" s="35"/>
      <c r="AK1501" s="35"/>
      <c r="AL1501" s="35">
        <f>6063+76</f>
        <v>6139</v>
      </c>
      <c r="AM1501" s="35"/>
      <c r="AN1501" s="35"/>
      <c r="AO1501" s="35"/>
      <c r="AP1501" s="35">
        <f>6668+59</f>
        <v>6727</v>
      </c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22">
        <f t="shared" si="470"/>
        <v>13428</v>
      </c>
      <c r="BC1501" s="23">
        <v>26479</v>
      </c>
      <c r="BD1501" s="130">
        <f t="shared" si="471"/>
        <v>13428</v>
      </c>
      <c r="BE1501" s="130">
        <f t="shared" si="472"/>
        <v>26480</v>
      </c>
      <c r="BF1501" s="195">
        <f t="shared" si="473"/>
        <v>50.709969788519636</v>
      </c>
      <c r="BG1501" s="373">
        <f>BE1501-BD1501</f>
        <v>13052</v>
      </c>
    </row>
    <row r="1502" spans="1:59" s="21" customFormat="1" ht="15.95" customHeight="1">
      <c r="A1502" s="176">
        <v>93</v>
      </c>
      <c r="B1502" s="31" t="s">
        <v>862</v>
      </c>
      <c r="C1502" s="34" t="s">
        <v>3806</v>
      </c>
      <c r="D1502" s="521"/>
      <c r="E1502" s="521"/>
      <c r="F1502" s="521"/>
      <c r="G1502" s="521"/>
      <c r="H1502" s="521"/>
      <c r="I1502" s="521"/>
      <c r="J1502" s="521"/>
      <c r="K1502" s="521"/>
      <c r="L1502" s="521"/>
      <c r="M1502" s="521"/>
      <c r="N1502" s="521"/>
      <c r="O1502" s="521"/>
      <c r="P1502" s="521"/>
      <c r="Q1502" s="521"/>
      <c r="R1502" s="521"/>
      <c r="S1502" s="521"/>
      <c r="T1502" s="521"/>
      <c r="U1502" s="521"/>
      <c r="V1502" s="521"/>
      <c r="W1502" s="521"/>
      <c r="X1502" s="521"/>
      <c r="Y1502" s="521"/>
      <c r="Z1502" s="521"/>
      <c r="AA1502" s="521"/>
      <c r="AB1502" s="22">
        <f t="shared" si="469"/>
        <v>0</v>
      </c>
      <c r="AC1502" s="23">
        <v>0</v>
      </c>
      <c r="AD1502" s="35"/>
      <c r="AE1502" s="35"/>
      <c r="AF1502" s="35"/>
      <c r="AG1502" s="35"/>
      <c r="AH1502" s="35">
        <v>1</v>
      </c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22">
        <f t="shared" si="470"/>
        <v>1</v>
      </c>
      <c r="BC1502" s="23">
        <v>0</v>
      </c>
      <c r="BD1502" s="130">
        <f t="shared" si="471"/>
        <v>1</v>
      </c>
      <c r="BE1502" s="130">
        <f t="shared" si="472"/>
        <v>0</v>
      </c>
      <c r="BF1502" s="195" t="e">
        <f t="shared" si="473"/>
        <v>#DIV/0!</v>
      </c>
      <c r="BG1502" s="373"/>
    </row>
    <row r="1503" spans="1:59" s="21" customFormat="1" ht="15.95" customHeight="1">
      <c r="A1503" s="176">
        <v>94</v>
      </c>
      <c r="B1503" s="31" t="s">
        <v>864</v>
      </c>
      <c r="C1503" s="34" t="s">
        <v>1516</v>
      </c>
      <c r="D1503" s="381"/>
      <c r="E1503" s="381"/>
      <c r="F1503" s="381"/>
      <c r="G1503" s="381"/>
      <c r="H1503" s="381"/>
      <c r="I1503" s="381"/>
      <c r="J1503" s="381"/>
      <c r="K1503" s="381"/>
      <c r="L1503" s="381"/>
      <c r="M1503" s="381"/>
      <c r="N1503" s="381"/>
      <c r="O1503" s="381"/>
      <c r="P1503" s="381"/>
      <c r="Q1503" s="381"/>
      <c r="R1503" s="381"/>
      <c r="S1503" s="381"/>
      <c r="T1503" s="381"/>
      <c r="U1503" s="381"/>
      <c r="V1503" s="381"/>
      <c r="W1503" s="381"/>
      <c r="X1503" s="381"/>
      <c r="Y1503" s="381"/>
      <c r="Z1503" s="381"/>
      <c r="AA1503" s="381"/>
      <c r="AB1503" s="22">
        <f t="shared" si="469"/>
        <v>0</v>
      </c>
      <c r="AC1503" s="23">
        <v>0</v>
      </c>
      <c r="AD1503" s="35"/>
      <c r="AE1503" s="35"/>
      <c r="AF1503" s="35"/>
      <c r="AG1503" s="35"/>
      <c r="AH1503" s="35"/>
      <c r="AI1503" s="35"/>
      <c r="AJ1503" s="35"/>
      <c r="AK1503" s="35"/>
      <c r="AL1503" s="35">
        <v>42</v>
      </c>
      <c r="AM1503" s="35"/>
      <c r="AN1503" s="35"/>
      <c r="AO1503" s="35"/>
      <c r="AP1503" s="35">
        <v>15</v>
      </c>
      <c r="AQ1503" s="35"/>
      <c r="AR1503" s="35"/>
      <c r="AS1503" s="35"/>
      <c r="AT1503" s="35"/>
      <c r="AU1503" s="35"/>
      <c r="AV1503" s="35"/>
      <c r="AW1503" s="35"/>
      <c r="AX1503" s="35"/>
      <c r="AY1503" s="35"/>
      <c r="AZ1503" s="35"/>
      <c r="BA1503" s="35"/>
      <c r="BB1503" s="22">
        <f t="shared" si="470"/>
        <v>57</v>
      </c>
      <c r="BC1503" s="23">
        <v>403</v>
      </c>
      <c r="BD1503" s="130">
        <f t="shared" si="471"/>
        <v>57</v>
      </c>
      <c r="BE1503" s="130">
        <f t="shared" si="472"/>
        <v>403</v>
      </c>
      <c r="BF1503" s="195">
        <f t="shared" si="473"/>
        <v>14.143920595533499</v>
      </c>
      <c r="BG1503" s="373">
        <f>BE1503-BD1503</f>
        <v>346</v>
      </c>
    </row>
    <row r="1504" spans="1:59" s="21" customFormat="1" ht="15.95" customHeight="1">
      <c r="A1504" s="176">
        <v>95</v>
      </c>
      <c r="B1504" s="31" t="s">
        <v>865</v>
      </c>
      <c r="C1504" s="34" t="s">
        <v>863</v>
      </c>
      <c r="D1504" s="231"/>
      <c r="E1504" s="231"/>
      <c r="F1504" s="231"/>
      <c r="G1504" s="231"/>
      <c r="H1504" s="231"/>
      <c r="I1504" s="231"/>
      <c r="J1504" s="231"/>
      <c r="K1504" s="231"/>
      <c r="L1504" s="231"/>
      <c r="M1504" s="231"/>
      <c r="N1504" s="231"/>
      <c r="O1504" s="231"/>
      <c r="P1504" s="231"/>
      <c r="Q1504" s="231"/>
      <c r="R1504" s="231"/>
      <c r="S1504" s="231"/>
      <c r="T1504" s="231"/>
      <c r="U1504" s="231"/>
      <c r="V1504" s="231"/>
      <c r="W1504" s="231"/>
      <c r="X1504" s="231"/>
      <c r="Y1504" s="231"/>
      <c r="Z1504" s="231"/>
      <c r="AA1504" s="231"/>
      <c r="AB1504" s="22">
        <f t="shared" si="469"/>
        <v>0</v>
      </c>
      <c r="AC1504" s="23">
        <v>0</v>
      </c>
      <c r="AD1504" s="35">
        <v>72</v>
      </c>
      <c r="AE1504" s="35"/>
      <c r="AF1504" s="35"/>
      <c r="AG1504" s="35"/>
      <c r="AH1504" s="35">
        <f>28+96</f>
        <v>124</v>
      </c>
      <c r="AI1504" s="35"/>
      <c r="AJ1504" s="35"/>
      <c r="AK1504" s="35"/>
      <c r="AL1504" s="35">
        <f>655+90</f>
        <v>745</v>
      </c>
      <c r="AM1504" s="35"/>
      <c r="AN1504" s="35"/>
      <c r="AO1504" s="35"/>
      <c r="AP1504" s="35">
        <f>537+67</f>
        <v>604</v>
      </c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22">
        <f t="shared" si="470"/>
        <v>1545</v>
      </c>
      <c r="BC1504" s="23">
        <v>2145</v>
      </c>
      <c r="BD1504" s="130">
        <f t="shared" si="471"/>
        <v>1545</v>
      </c>
      <c r="BE1504" s="130">
        <f t="shared" si="472"/>
        <v>2145</v>
      </c>
      <c r="BF1504" s="195">
        <f t="shared" si="473"/>
        <v>72.027972027972027</v>
      </c>
      <c r="BG1504" s="373">
        <f>BE1504-BD1504</f>
        <v>600</v>
      </c>
    </row>
    <row r="1505" spans="1:61" s="21" customFormat="1" ht="15.95" customHeight="1">
      <c r="A1505" s="176">
        <v>96</v>
      </c>
      <c r="B1505" s="31" t="s">
        <v>1028</v>
      </c>
      <c r="C1505" s="34" t="s">
        <v>2580</v>
      </c>
      <c r="D1505" s="231"/>
      <c r="E1505" s="231"/>
      <c r="F1505" s="231"/>
      <c r="G1505" s="231"/>
      <c r="H1505" s="231"/>
      <c r="I1505" s="231"/>
      <c r="J1505" s="231"/>
      <c r="K1505" s="231"/>
      <c r="L1505" s="231"/>
      <c r="M1505" s="231"/>
      <c r="N1505" s="231"/>
      <c r="O1505" s="231"/>
      <c r="P1505" s="231"/>
      <c r="Q1505" s="231"/>
      <c r="R1505" s="231"/>
      <c r="S1505" s="231"/>
      <c r="T1505" s="231"/>
      <c r="U1505" s="231"/>
      <c r="V1505" s="231"/>
      <c r="W1505" s="231"/>
      <c r="X1505" s="231"/>
      <c r="Y1505" s="231"/>
      <c r="Z1505" s="231"/>
      <c r="AA1505" s="231"/>
      <c r="AB1505" s="22">
        <f t="shared" si="469"/>
        <v>0</v>
      </c>
      <c r="AC1505" s="23">
        <v>0</v>
      </c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22">
        <f t="shared" si="470"/>
        <v>0</v>
      </c>
      <c r="BC1505" s="23">
        <v>1858</v>
      </c>
      <c r="BD1505" s="130">
        <f t="shared" si="471"/>
        <v>0</v>
      </c>
      <c r="BE1505" s="130">
        <f t="shared" si="472"/>
        <v>1858</v>
      </c>
      <c r="BF1505" s="195">
        <f t="shared" si="473"/>
        <v>0</v>
      </c>
      <c r="BG1505" s="373">
        <f>BE1505-BD1505</f>
        <v>1858</v>
      </c>
    </row>
    <row r="1506" spans="1:61" s="21" customFormat="1" ht="15.95" customHeight="1">
      <c r="A1506" s="176">
        <v>97</v>
      </c>
      <c r="B1506" s="31" t="s">
        <v>1658</v>
      </c>
      <c r="C1506" s="34" t="s">
        <v>1983</v>
      </c>
      <c r="D1506" s="580"/>
      <c r="E1506" s="580"/>
      <c r="F1506" s="580"/>
      <c r="G1506" s="580"/>
      <c r="H1506" s="580"/>
      <c r="I1506" s="580"/>
      <c r="J1506" s="580"/>
      <c r="K1506" s="580"/>
      <c r="L1506" s="580"/>
      <c r="M1506" s="580"/>
      <c r="N1506" s="580"/>
      <c r="O1506" s="580"/>
      <c r="P1506" s="580">
        <v>2</v>
      </c>
      <c r="Q1506" s="580"/>
      <c r="R1506" s="580"/>
      <c r="S1506" s="580"/>
      <c r="T1506" s="580"/>
      <c r="U1506" s="580"/>
      <c r="V1506" s="580"/>
      <c r="W1506" s="580"/>
      <c r="X1506" s="580"/>
      <c r="Y1506" s="580"/>
      <c r="Z1506" s="580"/>
      <c r="AA1506" s="580"/>
      <c r="AB1506" s="22">
        <f t="shared" ref="AB1506:AB1511" si="475">SUM(D1506:AA1506)</f>
        <v>2</v>
      </c>
      <c r="AC1506" s="23">
        <v>0</v>
      </c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22">
        <f t="shared" ref="BB1506:BB1511" si="476">SUM(AD1506:BA1506)</f>
        <v>0</v>
      </c>
      <c r="BC1506" s="23">
        <v>0</v>
      </c>
      <c r="BD1506" s="130">
        <f t="shared" ref="BD1506:BD1511" si="477">AB1506+BB1506</f>
        <v>2</v>
      </c>
      <c r="BE1506" s="130">
        <f t="shared" ref="BE1506:BE1511" si="478">AC1506+BC1506</f>
        <v>0</v>
      </c>
      <c r="BF1506" s="195" t="e">
        <f t="shared" ref="BF1506:BF1511" si="479">BD1506/BE1506*100</f>
        <v>#DIV/0!</v>
      </c>
      <c r="BG1506" s="373"/>
    </row>
    <row r="1507" spans="1:61" s="21" customFormat="1" ht="15.95" customHeight="1">
      <c r="A1507" s="176">
        <v>98</v>
      </c>
      <c r="B1507" s="31" t="s">
        <v>1034</v>
      </c>
      <c r="C1507" s="34" t="s">
        <v>1984</v>
      </c>
      <c r="D1507" s="231"/>
      <c r="E1507" s="231"/>
      <c r="F1507" s="231"/>
      <c r="G1507" s="231"/>
      <c r="H1507" s="231"/>
      <c r="I1507" s="231"/>
      <c r="J1507" s="231"/>
      <c r="K1507" s="231"/>
      <c r="L1507" s="231"/>
      <c r="M1507" s="231"/>
      <c r="N1507" s="231"/>
      <c r="O1507" s="231"/>
      <c r="P1507" s="231"/>
      <c r="Q1507" s="231"/>
      <c r="R1507" s="231"/>
      <c r="S1507" s="231"/>
      <c r="T1507" s="231"/>
      <c r="U1507" s="231"/>
      <c r="V1507" s="231"/>
      <c r="W1507" s="231"/>
      <c r="X1507" s="231"/>
      <c r="Y1507" s="231"/>
      <c r="Z1507" s="231"/>
      <c r="AA1507" s="231"/>
      <c r="AB1507" s="22">
        <f t="shared" si="475"/>
        <v>0</v>
      </c>
      <c r="AC1507" s="23">
        <v>0</v>
      </c>
      <c r="AD1507" s="35"/>
      <c r="AE1507" s="35"/>
      <c r="AF1507" s="35"/>
      <c r="AG1507" s="35"/>
      <c r="AH1507" s="35">
        <f>151+8</f>
        <v>159</v>
      </c>
      <c r="AI1507" s="35"/>
      <c r="AJ1507" s="35"/>
      <c r="AK1507" s="35"/>
      <c r="AL1507" s="35">
        <f>1728+27</f>
        <v>1755</v>
      </c>
      <c r="AM1507" s="35"/>
      <c r="AN1507" s="35"/>
      <c r="AO1507" s="35"/>
      <c r="AP1507" s="35">
        <f>1333+36</f>
        <v>1369</v>
      </c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22">
        <f t="shared" si="476"/>
        <v>3283</v>
      </c>
      <c r="BC1507" s="23">
        <v>4116</v>
      </c>
      <c r="BD1507" s="130">
        <f t="shared" si="477"/>
        <v>3283</v>
      </c>
      <c r="BE1507" s="130">
        <f t="shared" si="478"/>
        <v>4116</v>
      </c>
      <c r="BF1507" s="195">
        <f t="shared" si="479"/>
        <v>79.761904761904773</v>
      </c>
      <c r="BG1507" s="373">
        <f>BE1507-BD1507</f>
        <v>833</v>
      </c>
    </row>
    <row r="1508" spans="1:61" s="21" customFormat="1" ht="15.95" customHeight="1">
      <c r="A1508" s="176">
        <v>99</v>
      </c>
      <c r="B1508" s="31" t="s">
        <v>2629</v>
      </c>
      <c r="C1508" s="34" t="s">
        <v>3981</v>
      </c>
      <c r="D1508" s="550"/>
      <c r="E1508" s="550"/>
      <c r="F1508" s="550"/>
      <c r="G1508" s="550"/>
      <c r="H1508" s="550"/>
      <c r="I1508" s="550"/>
      <c r="J1508" s="550"/>
      <c r="K1508" s="550"/>
      <c r="L1508" s="550"/>
      <c r="M1508" s="550"/>
      <c r="N1508" s="550"/>
      <c r="O1508" s="550"/>
      <c r="P1508" s="550"/>
      <c r="Q1508" s="550"/>
      <c r="R1508" s="550"/>
      <c r="S1508" s="550"/>
      <c r="T1508" s="550"/>
      <c r="U1508" s="550"/>
      <c r="V1508" s="550"/>
      <c r="W1508" s="550"/>
      <c r="X1508" s="550"/>
      <c r="Y1508" s="550"/>
      <c r="Z1508" s="550"/>
      <c r="AA1508" s="550"/>
      <c r="AB1508" s="22">
        <f t="shared" si="475"/>
        <v>0</v>
      </c>
      <c r="AC1508" s="23">
        <v>0</v>
      </c>
      <c r="AD1508" s="35"/>
      <c r="AE1508" s="35"/>
      <c r="AF1508" s="35"/>
      <c r="AG1508" s="35"/>
      <c r="AH1508" s="35"/>
      <c r="AI1508" s="35"/>
      <c r="AJ1508" s="35"/>
      <c r="AK1508" s="35"/>
      <c r="AL1508" s="35">
        <v>1</v>
      </c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22">
        <f t="shared" si="476"/>
        <v>1</v>
      </c>
      <c r="BC1508" s="23">
        <v>0</v>
      </c>
      <c r="BD1508" s="130">
        <f t="shared" si="477"/>
        <v>1</v>
      </c>
      <c r="BE1508" s="130">
        <f t="shared" si="478"/>
        <v>0</v>
      </c>
      <c r="BF1508" s="195" t="e">
        <f t="shared" si="479"/>
        <v>#DIV/0!</v>
      </c>
      <c r="BG1508" s="373"/>
    </row>
    <row r="1509" spans="1:61" s="21" customFormat="1" ht="15.95" customHeight="1">
      <c r="A1509" s="176">
        <v>100</v>
      </c>
      <c r="B1509" s="31" t="s">
        <v>977</v>
      </c>
      <c r="C1509" s="34" t="s">
        <v>978</v>
      </c>
      <c r="D1509" s="231"/>
      <c r="E1509" s="231"/>
      <c r="F1509" s="231"/>
      <c r="G1509" s="231"/>
      <c r="H1509" s="231"/>
      <c r="I1509" s="231"/>
      <c r="J1509" s="231"/>
      <c r="K1509" s="231"/>
      <c r="L1509" s="231"/>
      <c r="M1509" s="231"/>
      <c r="N1509" s="231"/>
      <c r="O1509" s="231"/>
      <c r="P1509" s="231"/>
      <c r="Q1509" s="231"/>
      <c r="R1509" s="231"/>
      <c r="S1509" s="231"/>
      <c r="T1509" s="231"/>
      <c r="U1509" s="231"/>
      <c r="V1509" s="231"/>
      <c r="W1509" s="231"/>
      <c r="X1509" s="231"/>
      <c r="Y1509" s="231"/>
      <c r="Z1509" s="231"/>
      <c r="AA1509" s="231"/>
      <c r="AB1509" s="22">
        <f t="shared" si="475"/>
        <v>0</v>
      </c>
      <c r="AC1509" s="23">
        <v>0</v>
      </c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22">
        <f t="shared" si="476"/>
        <v>0</v>
      </c>
      <c r="BC1509" s="23">
        <v>2</v>
      </c>
      <c r="BD1509" s="130">
        <f t="shared" si="477"/>
        <v>0</v>
      </c>
      <c r="BE1509" s="130">
        <f t="shared" si="478"/>
        <v>2</v>
      </c>
      <c r="BF1509" s="195">
        <f t="shared" si="479"/>
        <v>0</v>
      </c>
      <c r="BG1509" s="373">
        <f>BE1509-BD1509</f>
        <v>2</v>
      </c>
    </row>
    <row r="1510" spans="1:61" s="21" customFormat="1" ht="15.95" customHeight="1">
      <c r="A1510" s="176">
        <v>101</v>
      </c>
      <c r="B1510" s="31" t="s">
        <v>1361</v>
      </c>
      <c r="C1510" s="32" t="s">
        <v>1362</v>
      </c>
      <c r="D1510" s="231"/>
      <c r="E1510" s="231"/>
      <c r="F1510" s="231"/>
      <c r="G1510" s="231"/>
      <c r="H1510" s="231"/>
      <c r="I1510" s="231"/>
      <c r="J1510" s="231"/>
      <c r="K1510" s="231"/>
      <c r="L1510" s="231"/>
      <c r="M1510" s="231"/>
      <c r="N1510" s="231"/>
      <c r="O1510" s="231"/>
      <c r="P1510" s="231"/>
      <c r="Q1510" s="231"/>
      <c r="R1510" s="231"/>
      <c r="S1510" s="231"/>
      <c r="T1510" s="231"/>
      <c r="U1510" s="231"/>
      <c r="V1510" s="231"/>
      <c r="W1510" s="231"/>
      <c r="X1510" s="231"/>
      <c r="Y1510" s="231"/>
      <c r="Z1510" s="231"/>
      <c r="AA1510" s="231"/>
      <c r="AB1510" s="22">
        <f t="shared" si="475"/>
        <v>0</v>
      </c>
      <c r="AC1510" s="23">
        <v>0</v>
      </c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22">
        <f t="shared" si="476"/>
        <v>0</v>
      </c>
      <c r="BC1510" s="23">
        <v>1</v>
      </c>
      <c r="BD1510" s="130">
        <f t="shared" si="477"/>
        <v>0</v>
      </c>
      <c r="BE1510" s="130">
        <f t="shared" si="478"/>
        <v>1</v>
      </c>
      <c r="BF1510" s="195">
        <f t="shared" si="479"/>
        <v>0</v>
      </c>
      <c r="BG1510" s="373">
        <f>BE1510-BD1510</f>
        <v>1</v>
      </c>
    </row>
    <row r="1511" spans="1:61" s="21" customFormat="1" ht="15.95" customHeight="1">
      <c r="A1511" s="176">
        <v>102</v>
      </c>
      <c r="B1511" s="441" t="s">
        <v>3047</v>
      </c>
      <c r="C1511" s="445" t="s">
        <v>3048</v>
      </c>
      <c r="D1511" s="231"/>
      <c r="E1511" s="231"/>
      <c r="F1511" s="231"/>
      <c r="G1511" s="231"/>
      <c r="H1511" s="231"/>
      <c r="I1511" s="231"/>
      <c r="J1511" s="231"/>
      <c r="K1511" s="231"/>
      <c r="L1511" s="231"/>
      <c r="M1511" s="231"/>
      <c r="N1511" s="231"/>
      <c r="O1511" s="231"/>
      <c r="P1511" s="231"/>
      <c r="Q1511" s="231"/>
      <c r="R1511" s="231"/>
      <c r="S1511" s="231"/>
      <c r="T1511" s="231"/>
      <c r="U1511" s="231"/>
      <c r="V1511" s="231"/>
      <c r="W1511" s="231"/>
      <c r="X1511" s="231"/>
      <c r="Y1511" s="231"/>
      <c r="Z1511" s="231"/>
      <c r="AA1511" s="231"/>
      <c r="AB1511" s="22">
        <f t="shared" si="475"/>
        <v>0</v>
      </c>
      <c r="AC1511" s="23">
        <f>47+485</f>
        <v>532</v>
      </c>
      <c r="AD1511" s="35"/>
      <c r="AE1511" s="35"/>
      <c r="AF1511" s="35"/>
      <c r="AG1511" s="35"/>
      <c r="AH1511" s="35"/>
      <c r="AI1511" s="35"/>
      <c r="AJ1511" s="35"/>
      <c r="AK1511" s="35"/>
      <c r="AL1511" s="35">
        <v>3</v>
      </c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22">
        <f t="shared" si="476"/>
        <v>3</v>
      </c>
      <c r="BC1511" s="23">
        <v>0</v>
      </c>
      <c r="BD1511" s="130">
        <f t="shared" si="477"/>
        <v>3</v>
      </c>
      <c r="BE1511" s="130">
        <f t="shared" si="478"/>
        <v>532</v>
      </c>
      <c r="BF1511" s="195">
        <f t="shared" si="479"/>
        <v>0.56390977443609014</v>
      </c>
      <c r="BG1511" s="373">
        <f>BE1511-BD1511</f>
        <v>529</v>
      </c>
    </row>
    <row r="1512" spans="1:61" s="46" customFormat="1" ht="15.95" customHeight="1">
      <c r="A1512" s="642" t="s">
        <v>980</v>
      </c>
      <c r="B1512" s="643"/>
      <c r="C1512" s="643"/>
      <c r="D1512" s="98">
        <f t="shared" ref="D1512:AI1512" si="480">SUM(D1513:D1619)</f>
        <v>0</v>
      </c>
      <c r="E1512" s="98">
        <f t="shared" si="480"/>
        <v>0</v>
      </c>
      <c r="F1512" s="98">
        <f t="shared" si="480"/>
        <v>0</v>
      </c>
      <c r="G1512" s="98">
        <f t="shared" si="480"/>
        <v>1</v>
      </c>
      <c r="H1512" s="98">
        <f t="shared" si="480"/>
        <v>0</v>
      </c>
      <c r="I1512" s="98">
        <f t="shared" si="480"/>
        <v>0</v>
      </c>
      <c r="J1512" s="98">
        <f t="shared" si="480"/>
        <v>0</v>
      </c>
      <c r="K1512" s="98">
        <f t="shared" si="480"/>
        <v>276</v>
      </c>
      <c r="L1512" s="98">
        <f t="shared" si="480"/>
        <v>0</v>
      </c>
      <c r="M1512" s="98">
        <f t="shared" si="480"/>
        <v>0</v>
      </c>
      <c r="N1512" s="98">
        <f t="shared" si="480"/>
        <v>0</v>
      </c>
      <c r="O1512" s="98">
        <f t="shared" si="480"/>
        <v>1219</v>
      </c>
      <c r="P1512" s="98">
        <f t="shared" si="480"/>
        <v>2</v>
      </c>
      <c r="Q1512" s="98">
        <f t="shared" si="480"/>
        <v>0</v>
      </c>
      <c r="R1512" s="98">
        <f t="shared" si="480"/>
        <v>0</v>
      </c>
      <c r="S1512" s="98">
        <f t="shared" si="480"/>
        <v>1314</v>
      </c>
      <c r="T1512" s="98">
        <f t="shared" si="480"/>
        <v>0</v>
      </c>
      <c r="U1512" s="98">
        <f t="shared" si="480"/>
        <v>0</v>
      </c>
      <c r="V1512" s="98">
        <f t="shared" si="480"/>
        <v>0</v>
      </c>
      <c r="W1512" s="98">
        <f t="shared" si="480"/>
        <v>0</v>
      </c>
      <c r="X1512" s="98">
        <f t="shared" si="480"/>
        <v>0</v>
      </c>
      <c r="Y1512" s="98">
        <f t="shared" si="480"/>
        <v>0</v>
      </c>
      <c r="Z1512" s="98">
        <f t="shared" si="480"/>
        <v>0</v>
      </c>
      <c r="AA1512" s="98">
        <f t="shared" si="480"/>
        <v>0</v>
      </c>
      <c r="AB1512" s="98">
        <f t="shared" si="480"/>
        <v>2812</v>
      </c>
      <c r="AC1512" s="161">
        <f t="shared" si="480"/>
        <v>2746</v>
      </c>
      <c r="AD1512" s="99">
        <f t="shared" si="480"/>
        <v>3</v>
      </c>
      <c r="AE1512" s="99">
        <f t="shared" si="480"/>
        <v>0</v>
      </c>
      <c r="AF1512" s="99">
        <f t="shared" si="480"/>
        <v>0</v>
      </c>
      <c r="AG1512" s="99">
        <f t="shared" si="480"/>
        <v>0</v>
      </c>
      <c r="AH1512" s="99">
        <f t="shared" si="480"/>
        <v>951</v>
      </c>
      <c r="AI1512" s="99">
        <f t="shared" si="480"/>
        <v>0</v>
      </c>
      <c r="AJ1512" s="99">
        <f t="shared" ref="AJ1512:BC1512" si="481">SUM(AJ1513:AJ1619)</f>
        <v>0</v>
      </c>
      <c r="AK1512" s="99">
        <f t="shared" si="481"/>
        <v>0</v>
      </c>
      <c r="AL1512" s="99">
        <f t="shared" si="481"/>
        <v>5111</v>
      </c>
      <c r="AM1512" s="99">
        <f t="shared" si="481"/>
        <v>0</v>
      </c>
      <c r="AN1512" s="99">
        <f t="shared" si="481"/>
        <v>0</v>
      </c>
      <c r="AO1512" s="99">
        <f t="shared" si="481"/>
        <v>0</v>
      </c>
      <c r="AP1512" s="99">
        <f t="shared" si="481"/>
        <v>4725</v>
      </c>
      <c r="AQ1512" s="99">
        <f t="shared" si="481"/>
        <v>0</v>
      </c>
      <c r="AR1512" s="99">
        <f t="shared" si="481"/>
        <v>0</v>
      </c>
      <c r="AS1512" s="99">
        <f t="shared" si="481"/>
        <v>0</v>
      </c>
      <c r="AT1512" s="99">
        <f t="shared" si="481"/>
        <v>0</v>
      </c>
      <c r="AU1512" s="99">
        <f t="shared" si="481"/>
        <v>0</v>
      </c>
      <c r="AV1512" s="99">
        <f t="shared" si="481"/>
        <v>0</v>
      </c>
      <c r="AW1512" s="99">
        <f t="shared" si="481"/>
        <v>0</v>
      </c>
      <c r="AX1512" s="99">
        <f t="shared" si="481"/>
        <v>0</v>
      </c>
      <c r="AY1512" s="99">
        <f t="shared" si="481"/>
        <v>0</v>
      </c>
      <c r="AZ1512" s="99">
        <f t="shared" si="481"/>
        <v>0</v>
      </c>
      <c r="BA1512" s="99">
        <f t="shared" si="481"/>
        <v>0</v>
      </c>
      <c r="BB1512" s="99">
        <f t="shared" si="481"/>
        <v>10790</v>
      </c>
      <c r="BC1512" s="23">
        <f t="shared" si="481"/>
        <v>21935</v>
      </c>
      <c r="BD1512" s="130">
        <f t="shared" ref="BD1512" si="482">AB1512+BB1512</f>
        <v>13602</v>
      </c>
      <c r="BE1512" s="130">
        <f t="shared" ref="BE1512" si="483">AC1512+BC1512</f>
        <v>24681</v>
      </c>
      <c r="BF1512" s="195">
        <f t="shared" ref="BF1512" si="484">BD1512/BE1512*100</f>
        <v>55.111219156436121</v>
      </c>
      <c r="BG1512" s="374">
        <f t="shared" ref="BG1512" si="485">BE1512-BD1512</f>
        <v>11079</v>
      </c>
    </row>
    <row r="1513" spans="1:61" s="46" customFormat="1" ht="21" customHeight="1">
      <c r="A1513" s="417">
        <v>1</v>
      </c>
      <c r="B1513" s="418" t="s">
        <v>4021</v>
      </c>
      <c r="C1513" s="419" t="s">
        <v>4022</v>
      </c>
      <c r="D1513" s="231"/>
      <c r="E1513" s="231"/>
      <c r="F1513" s="231"/>
      <c r="G1513" s="231"/>
      <c r="H1513" s="231"/>
      <c r="I1513" s="231"/>
      <c r="J1513" s="231"/>
      <c r="K1513" s="231"/>
      <c r="L1513" s="231"/>
      <c r="M1513" s="231"/>
      <c r="N1513" s="231"/>
      <c r="O1513" s="231">
        <v>3</v>
      </c>
      <c r="P1513" s="231"/>
      <c r="Q1513" s="231"/>
      <c r="R1513" s="231"/>
      <c r="S1513" s="231">
        <f>4+11</f>
        <v>15</v>
      </c>
      <c r="T1513" s="231"/>
      <c r="U1513" s="231"/>
      <c r="V1513" s="231"/>
      <c r="W1513" s="231"/>
      <c r="X1513" s="231"/>
      <c r="Y1513" s="231"/>
      <c r="Z1513" s="231"/>
      <c r="AA1513" s="231"/>
      <c r="AB1513" s="22">
        <f t="shared" ref="AB1513:AB1544" si="486">SUM(D1513:AA1513)</f>
        <v>18</v>
      </c>
      <c r="AC1513" s="23">
        <v>0</v>
      </c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22">
        <f t="shared" ref="BB1513:BB1544" si="487">SUM(AD1513:BA1513)</f>
        <v>0</v>
      </c>
      <c r="BC1513" s="23">
        <v>0</v>
      </c>
      <c r="BD1513" s="130">
        <f t="shared" ref="BD1513:BD1544" si="488">AB1513+BB1513</f>
        <v>18</v>
      </c>
      <c r="BE1513" s="130">
        <f t="shared" ref="BE1513:BE1544" si="489">AC1513+BC1513</f>
        <v>0</v>
      </c>
      <c r="BF1513" s="195" t="e">
        <f t="shared" ref="BF1513:BF1544" si="490">BD1513/BE1513*100</f>
        <v>#DIV/0!</v>
      </c>
      <c r="BG1513" s="373"/>
      <c r="BH1513" s="426" t="s">
        <v>3675</v>
      </c>
    </row>
    <row r="1514" spans="1:61" s="46" customFormat="1" ht="21" customHeight="1">
      <c r="A1514" s="417">
        <v>2</v>
      </c>
      <c r="B1514" s="418" t="s">
        <v>1266</v>
      </c>
      <c r="C1514" s="419" t="s">
        <v>1267</v>
      </c>
      <c r="D1514" s="231"/>
      <c r="E1514" s="231"/>
      <c r="F1514" s="231"/>
      <c r="G1514" s="231"/>
      <c r="H1514" s="231"/>
      <c r="I1514" s="231"/>
      <c r="J1514" s="231"/>
      <c r="K1514" s="231">
        <v>42</v>
      </c>
      <c r="L1514" s="231"/>
      <c r="M1514" s="231"/>
      <c r="N1514" s="231"/>
      <c r="O1514" s="231">
        <f>4+147</f>
        <v>151</v>
      </c>
      <c r="P1514" s="231"/>
      <c r="Q1514" s="231"/>
      <c r="R1514" s="231"/>
      <c r="S1514" s="231">
        <f>2+169</f>
        <v>171</v>
      </c>
      <c r="T1514" s="231"/>
      <c r="U1514" s="231"/>
      <c r="V1514" s="231"/>
      <c r="W1514" s="231"/>
      <c r="X1514" s="231"/>
      <c r="Y1514" s="231"/>
      <c r="Z1514" s="231"/>
      <c r="AA1514" s="231"/>
      <c r="AB1514" s="22">
        <f t="shared" si="486"/>
        <v>364</v>
      </c>
      <c r="AC1514" s="23">
        <f>213+680</f>
        <v>893</v>
      </c>
      <c r="AD1514" s="35"/>
      <c r="AE1514" s="35"/>
      <c r="AF1514" s="35"/>
      <c r="AG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22">
        <f t="shared" si="487"/>
        <v>0</v>
      </c>
      <c r="BC1514" s="23">
        <v>0</v>
      </c>
      <c r="BD1514" s="130">
        <f t="shared" si="488"/>
        <v>364</v>
      </c>
      <c r="BE1514" s="130">
        <f t="shared" si="489"/>
        <v>893</v>
      </c>
      <c r="BF1514" s="195">
        <f t="shared" si="490"/>
        <v>40.761478163493841</v>
      </c>
      <c r="BG1514" s="373">
        <f t="shared" ref="BG1514:BG1541" si="491">BE1514-BD1514</f>
        <v>529</v>
      </c>
      <c r="BH1514" s="426" t="s">
        <v>3675</v>
      </c>
      <c r="BI1514" s="421"/>
    </row>
    <row r="1515" spans="1:61" s="46" customFormat="1" ht="21" customHeight="1">
      <c r="A1515" s="417">
        <v>3</v>
      </c>
      <c r="B1515" s="418" t="s">
        <v>2218</v>
      </c>
      <c r="C1515" s="419" t="s">
        <v>2223</v>
      </c>
      <c r="D1515" s="381"/>
      <c r="E1515" s="381"/>
      <c r="F1515" s="381"/>
      <c r="G1515" s="381"/>
      <c r="H1515" s="381"/>
      <c r="I1515" s="381"/>
      <c r="J1515" s="381"/>
      <c r="K1515" s="381">
        <v>53</v>
      </c>
      <c r="L1515" s="381"/>
      <c r="M1515" s="381"/>
      <c r="N1515" s="381"/>
      <c r="O1515" s="381">
        <f>205+1</f>
        <v>206</v>
      </c>
      <c r="P1515" s="381"/>
      <c r="Q1515" s="381"/>
      <c r="R1515" s="381"/>
      <c r="S1515" s="381">
        <v>242</v>
      </c>
      <c r="T1515" s="381"/>
      <c r="U1515" s="381"/>
      <c r="V1515" s="381"/>
      <c r="W1515" s="381"/>
      <c r="X1515" s="381"/>
      <c r="Y1515" s="381"/>
      <c r="Z1515" s="381"/>
      <c r="AA1515" s="381"/>
      <c r="AB1515" s="22">
        <f t="shared" si="486"/>
        <v>501</v>
      </c>
      <c r="AC1515" s="23">
        <f>353+1000</f>
        <v>1353</v>
      </c>
      <c r="AD1515" s="35"/>
      <c r="AE1515" s="35"/>
      <c r="AF1515" s="35"/>
      <c r="AG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22">
        <f t="shared" si="487"/>
        <v>0</v>
      </c>
      <c r="BC1515" s="23">
        <v>0</v>
      </c>
      <c r="BD1515" s="130">
        <f t="shared" si="488"/>
        <v>501</v>
      </c>
      <c r="BE1515" s="130">
        <f t="shared" si="489"/>
        <v>1353</v>
      </c>
      <c r="BF1515" s="195">
        <f t="shared" si="490"/>
        <v>37.028824833702885</v>
      </c>
      <c r="BG1515" s="373">
        <f t="shared" si="491"/>
        <v>852</v>
      </c>
      <c r="BH1515" s="426" t="s">
        <v>3675</v>
      </c>
      <c r="BI1515" s="421"/>
    </row>
    <row r="1516" spans="1:61" s="46" customFormat="1" ht="15.95" customHeight="1">
      <c r="A1516" s="417">
        <v>4</v>
      </c>
      <c r="B1516" s="418" t="s">
        <v>2246</v>
      </c>
      <c r="C1516" s="419" t="s">
        <v>2247</v>
      </c>
      <c r="D1516" s="381"/>
      <c r="E1516" s="381"/>
      <c r="F1516" s="381"/>
      <c r="G1516" s="381">
        <v>1</v>
      </c>
      <c r="H1516" s="381"/>
      <c r="I1516" s="381"/>
      <c r="J1516" s="381"/>
      <c r="K1516" s="381">
        <v>181</v>
      </c>
      <c r="L1516" s="381"/>
      <c r="M1516" s="381"/>
      <c r="N1516" s="381"/>
      <c r="O1516" s="381">
        <v>859</v>
      </c>
      <c r="P1516" s="381"/>
      <c r="Q1516" s="381"/>
      <c r="R1516" s="381"/>
      <c r="S1516" s="381">
        <f>3+883</f>
        <v>886</v>
      </c>
      <c r="T1516" s="381"/>
      <c r="U1516" s="381"/>
      <c r="V1516" s="381"/>
      <c r="W1516" s="381"/>
      <c r="X1516" s="381"/>
      <c r="Y1516" s="381"/>
      <c r="Z1516" s="381"/>
      <c r="AA1516" s="381"/>
      <c r="AB1516" s="22">
        <f t="shared" si="486"/>
        <v>1927</v>
      </c>
      <c r="AC1516" s="23">
        <v>442</v>
      </c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22">
        <f t="shared" si="487"/>
        <v>0</v>
      </c>
      <c r="BC1516" s="23">
        <v>0</v>
      </c>
      <c r="BD1516" s="130">
        <f t="shared" si="488"/>
        <v>1927</v>
      </c>
      <c r="BE1516" s="130">
        <f t="shared" si="489"/>
        <v>442</v>
      </c>
      <c r="BF1516" s="195">
        <f t="shared" si="490"/>
        <v>435.97285067873298</v>
      </c>
      <c r="BG1516" s="373">
        <f t="shared" si="491"/>
        <v>-1485</v>
      </c>
      <c r="BH1516" s="426" t="s">
        <v>3675</v>
      </c>
      <c r="BI1516" s="421"/>
    </row>
    <row r="1517" spans="1:61" s="46" customFormat="1" ht="15.95" customHeight="1">
      <c r="A1517" s="176">
        <v>5</v>
      </c>
      <c r="B1517" s="31" t="s">
        <v>740</v>
      </c>
      <c r="C1517" s="32" t="s">
        <v>741</v>
      </c>
      <c r="D1517" s="553"/>
      <c r="E1517" s="553"/>
      <c r="F1517" s="553"/>
      <c r="G1517" s="553"/>
      <c r="H1517" s="553"/>
      <c r="I1517" s="553"/>
      <c r="J1517" s="553"/>
      <c r="K1517" s="553"/>
      <c r="L1517" s="553"/>
      <c r="M1517" s="553"/>
      <c r="N1517" s="553"/>
      <c r="O1517" s="553"/>
      <c r="P1517" s="553"/>
      <c r="Q1517" s="553"/>
      <c r="R1517" s="553"/>
      <c r="S1517" s="553"/>
      <c r="T1517" s="553"/>
      <c r="U1517" s="553"/>
      <c r="V1517" s="553"/>
      <c r="W1517" s="553"/>
      <c r="X1517" s="553"/>
      <c r="Y1517" s="553"/>
      <c r="Z1517" s="553"/>
      <c r="AA1517" s="553"/>
      <c r="AB1517" s="22">
        <f t="shared" si="486"/>
        <v>0</v>
      </c>
      <c r="AC1517" s="23">
        <v>0</v>
      </c>
      <c r="AD1517" s="35"/>
      <c r="AE1517" s="35"/>
      <c r="AF1517" s="35"/>
      <c r="AG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22">
        <f t="shared" si="487"/>
        <v>0</v>
      </c>
      <c r="BC1517" s="23">
        <v>1</v>
      </c>
      <c r="BD1517" s="130">
        <f t="shared" si="488"/>
        <v>0</v>
      </c>
      <c r="BE1517" s="130">
        <f t="shared" si="489"/>
        <v>1</v>
      </c>
      <c r="BF1517" s="195">
        <f t="shared" si="490"/>
        <v>0</v>
      </c>
      <c r="BG1517" s="373">
        <f t="shared" si="491"/>
        <v>1</v>
      </c>
    </row>
    <row r="1518" spans="1:61" s="46" customFormat="1" ht="15.95" customHeight="1">
      <c r="A1518" s="176">
        <v>6</v>
      </c>
      <c r="B1518" s="31" t="s">
        <v>746</v>
      </c>
      <c r="C1518" s="32" t="s">
        <v>747</v>
      </c>
      <c r="D1518" s="381"/>
      <c r="E1518" s="381"/>
      <c r="F1518" s="381"/>
      <c r="G1518" s="381"/>
      <c r="H1518" s="381"/>
      <c r="I1518" s="381"/>
      <c r="J1518" s="381"/>
      <c r="K1518" s="381"/>
      <c r="L1518" s="381"/>
      <c r="M1518" s="381"/>
      <c r="N1518" s="381"/>
      <c r="O1518" s="381"/>
      <c r="P1518" s="381"/>
      <c r="Q1518" s="381"/>
      <c r="R1518" s="381"/>
      <c r="S1518" s="381"/>
      <c r="T1518" s="381"/>
      <c r="U1518" s="381"/>
      <c r="V1518" s="381"/>
      <c r="W1518" s="381"/>
      <c r="X1518" s="381"/>
      <c r="Y1518" s="381"/>
      <c r="Z1518" s="381"/>
      <c r="AA1518" s="381"/>
      <c r="AB1518" s="22">
        <f t="shared" si="486"/>
        <v>0</v>
      </c>
      <c r="AC1518" s="23">
        <v>0</v>
      </c>
      <c r="AD1518" s="35"/>
      <c r="AE1518" s="35"/>
      <c r="AF1518" s="35"/>
      <c r="AG1518" s="35"/>
      <c r="AH1518" s="35"/>
      <c r="AI1518" s="35"/>
      <c r="AJ1518" s="35"/>
      <c r="AK1518" s="35"/>
      <c r="AL1518" s="35">
        <v>7</v>
      </c>
      <c r="AM1518" s="35"/>
      <c r="AN1518" s="35"/>
      <c r="AO1518" s="35"/>
      <c r="AP1518" s="35">
        <v>1</v>
      </c>
      <c r="AQ1518" s="35"/>
      <c r="AR1518" s="35"/>
      <c r="AS1518" s="35"/>
      <c r="AT1518" s="35"/>
      <c r="AU1518" s="35"/>
      <c r="AV1518" s="35"/>
      <c r="AW1518" s="35"/>
      <c r="AX1518" s="35"/>
      <c r="AY1518" s="35"/>
      <c r="AZ1518" s="35"/>
      <c r="BA1518" s="35"/>
      <c r="BB1518" s="22">
        <f t="shared" si="487"/>
        <v>8</v>
      </c>
      <c r="BC1518" s="23">
        <v>38</v>
      </c>
      <c r="BD1518" s="130">
        <f t="shared" si="488"/>
        <v>8</v>
      </c>
      <c r="BE1518" s="130">
        <f t="shared" si="489"/>
        <v>38</v>
      </c>
      <c r="BF1518" s="195">
        <f t="shared" si="490"/>
        <v>21.052631578947366</v>
      </c>
      <c r="BG1518" s="373">
        <f t="shared" si="491"/>
        <v>30</v>
      </c>
    </row>
    <row r="1519" spans="1:61" s="46" customFormat="1" ht="15.95" customHeight="1">
      <c r="A1519" s="176">
        <v>7</v>
      </c>
      <c r="B1519" s="31" t="s">
        <v>881</v>
      </c>
      <c r="C1519" s="32" t="s">
        <v>882</v>
      </c>
      <c r="D1519" s="231"/>
      <c r="E1519" s="231"/>
      <c r="F1519" s="231"/>
      <c r="G1519" s="231"/>
      <c r="H1519" s="231"/>
      <c r="I1519" s="231"/>
      <c r="J1519" s="231"/>
      <c r="K1519" s="231"/>
      <c r="L1519" s="231"/>
      <c r="M1519" s="231"/>
      <c r="N1519" s="231"/>
      <c r="O1519" s="231"/>
      <c r="P1519" s="231"/>
      <c r="Q1519" s="231"/>
      <c r="R1519" s="231"/>
      <c r="S1519" s="231"/>
      <c r="T1519" s="231"/>
      <c r="U1519" s="231"/>
      <c r="V1519" s="231"/>
      <c r="W1519" s="231"/>
      <c r="X1519" s="231"/>
      <c r="Y1519" s="231"/>
      <c r="Z1519" s="231"/>
      <c r="AA1519" s="231"/>
      <c r="AB1519" s="22">
        <f t="shared" si="486"/>
        <v>0</v>
      </c>
      <c r="AC1519" s="23">
        <v>0</v>
      </c>
      <c r="AD1519" s="35"/>
      <c r="AE1519" s="35"/>
      <c r="AF1519" s="35"/>
      <c r="AG1519" s="35"/>
      <c r="AH1519" s="35">
        <v>53</v>
      </c>
      <c r="AI1519" s="35"/>
      <c r="AJ1519" s="35"/>
      <c r="AK1519" s="35"/>
      <c r="AL1519" s="35">
        <v>188</v>
      </c>
      <c r="AM1519" s="35"/>
      <c r="AN1519" s="35"/>
      <c r="AO1519" s="35"/>
      <c r="AP1519" s="35">
        <v>232</v>
      </c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22">
        <f t="shared" si="487"/>
        <v>473</v>
      </c>
      <c r="BC1519" s="23">
        <v>1063</v>
      </c>
      <c r="BD1519" s="130">
        <f t="shared" si="488"/>
        <v>473</v>
      </c>
      <c r="BE1519" s="130">
        <f t="shared" si="489"/>
        <v>1063</v>
      </c>
      <c r="BF1519" s="195">
        <f t="shared" si="490"/>
        <v>44.4967074317968</v>
      </c>
      <c r="BG1519" s="373">
        <f t="shared" si="491"/>
        <v>590</v>
      </c>
    </row>
    <row r="1520" spans="1:61" s="46" customFormat="1" ht="15.95" customHeight="1">
      <c r="A1520" s="176">
        <v>8</v>
      </c>
      <c r="B1520" s="31" t="s">
        <v>1214</v>
      </c>
      <c r="C1520" s="32" t="s">
        <v>1215</v>
      </c>
      <c r="D1520" s="231"/>
      <c r="E1520" s="231"/>
      <c r="F1520" s="231"/>
      <c r="G1520" s="231"/>
      <c r="H1520" s="231"/>
      <c r="I1520" s="231"/>
      <c r="J1520" s="231"/>
      <c r="K1520" s="231"/>
      <c r="L1520" s="231"/>
      <c r="M1520" s="231"/>
      <c r="N1520" s="231"/>
      <c r="O1520" s="231"/>
      <c r="P1520" s="231"/>
      <c r="Q1520" s="231"/>
      <c r="R1520" s="231"/>
      <c r="S1520" s="231"/>
      <c r="T1520" s="231"/>
      <c r="U1520" s="231"/>
      <c r="V1520" s="231"/>
      <c r="W1520" s="231"/>
      <c r="X1520" s="231"/>
      <c r="Y1520" s="231"/>
      <c r="Z1520" s="231"/>
      <c r="AA1520" s="231"/>
      <c r="AB1520" s="22">
        <f t="shared" si="486"/>
        <v>0</v>
      </c>
      <c r="AC1520" s="23">
        <v>0</v>
      </c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22">
        <f t="shared" si="487"/>
        <v>0</v>
      </c>
      <c r="BC1520" s="23">
        <v>1</v>
      </c>
      <c r="BD1520" s="130">
        <f t="shared" si="488"/>
        <v>0</v>
      </c>
      <c r="BE1520" s="130">
        <f t="shared" si="489"/>
        <v>1</v>
      </c>
      <c r="BF1520" s="195">
        <f t="shared" si="490"/>
        <v>0</v>
      </c>
      <c r="BG1520" s="373">
        <f t="shared" si="491"/>
        <v>1</v>
      </c>
    </row>
    <row r="1521" spans="1:59" s="46" customFormat="1" ht="15.95" customHeight="1">
      <c r="A1521" s="176">
        <v>9</v>
      </c>
      <c r="B1521" s="31" t="s">
        <v>748</v>
      </c>
      <c r="C1521" s="32" t="s">
        <v>1965</v>
      </c>
      <c r="D1521" s="231"/>
      <c r="E1521" s="231"/>
      <c r="F1521" s="231"/>
      <c r="G1521" s="231"/>
      <c r="H1521" s="231"/>
      <c r="I1521" s="231"/>
      <c r="J1521" s="231"/>
      <c r="K1521" s="231"/>
      <c r="L1521" s="231"/>
      <c r="M1521" s="231"/>
      <c r="N1521" s="231"/>
      <c r="O1521" s="231"/>
      <c r="P1521" s="231"/>
      <c r="Q1521" s="231"/>
      <c r="R1521" s="231"/>
      <c r="S1521" s="231"/>
      <c r="T1521" s="231"/>
      <c r="U1521" s="231"/>
      <c r="V1521" s="231"/>
      <c r="W1521" s="231"/>
      <c r="X1521" s="231"/>
      <c r="Y1521" s="231"/>
      <c r="Z1521" s="231"/>
      <c r="AA1521" s="231"/>
      <c r="AB1521" s="22">
        <f t="shared" si="486"/>
        <v>0</v>
      </c>
      <c r="AC1521" s="23">
        <v>0</v>
      </c>
      <c r="AD1521" s="35"/>
      <c r="AE1521" s="35"/>
      <c r="AF1521" s="35"/>
      <c r="AG1521" s="35"/>
      <c r="AH1521" s="35"/>
      <c r="AI1521" s="35"/>
      <c r="AJ1521" s="35"/>
      <c r="AK1521" s="35"/>
      <c r="AL1521" s="35">
        <v>2</v>
      </c>
      <c r="AM1521" s="35"/>
      <c r="AN1521" s="35"/>
      <c r="AO1521" s="35"/>
      <c r="AP1521" s="35">
        <v>2</v>
      </c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22">
        <f t="shared" si="487"/>
        <v>4</v>
      </c>
      <c r="BC1521" s="23">
        <v>4</v>
      </c>
      <c r="BD1521" s="130">
        <f t="shared" si="488"/>
        <v>4</v>
      </c>
      <c r="BE1521" s="130">
        <f t="shared" si="489"/>
        <v>4</v>
      </c>
      <c r="BF1521" s="195">
        <f t="shared" si="490"/>
        <v>100</v>
      </c>
      <c r="BG1521" s="373">
        <f t="shared" si="491"/>
        <v>0</v>
      </c>
    </row>
    <row r="1522" spans="1:59" s="46" customFormat="1" ht="15.95" customHeight="1">
      <c r="A1522" s="176">
        <v>10</v>
      </c>
      <c r="B1522" s="31" t="s">
        <v>750</v>
      </c>
      <c r="C1522" s="32" t="s">
        <v>981</v>
      </c>
      <c r="D1522" s="323"/>
      <c r="E1522" s="323"/>
      <c r="F1522" s="323"/>
      <c r="G1522" s="323"/>
      <c r="H1522" s="323"/>
      <c r="I1522" s="323"/>
      <c r="J1522" s="323"/>
      <c r="K1522" s="323"/>
      <c r="L1522" s="323"/>
      <c r="M1522" s="323"/>
      <c r="N1522" s="323"/>
      <c r="O1522" s="323"/>
      <c r="P1522" s="323"/>
      <c r="Q1522" s="323"/>
      <c r="R1522" s="323"/>
      <c r="S1522" s="323"/>
      <c r="T1522" s="323"/>
      <c r="U1522" s="323"/>
      <c r="V1522" s="323"/>
      <c r="W1522" s="323"/>
      <c r="X1522" s="323"/>
      <c r="Y1522" s="323"/>
      <c r="Z1522" s="323"/>
      <c r="AA1522" s="323"/>
      <c r="AB1522" s="22">
        <f t="shared" si="486"/>
        <v>0</v>
      </c>
      <c r="AC1522" s="23">
        <v>0</v>
      </c>
      <c r="AD1522" s="35">
        <v>1</v>
      </c>
      <c r="AE1522" s="35"/>
      <c r="AF1522" s="35"/>
      <c r="AG1522" s="35"/>
      <c r="AH1522" s="35">
        <f>8+27</f>
        <v>35</v>
      </c>
      <c r="AI1522" s="35"/>
      <c r="AJ1522" s="35"/>
      <c r="AK1522" s="35"/>
      <c r="AL1522" s="35">
        <f>32+176</f>
        <v>208</v>
      </c>
      <c r="AM1522" s="35"/>
      <c r="AN1522" s="35"/>
      <c r="AO1522" s="35"/>
      <c r="AP1522" s="35">
        <f>47+124</f>
        <v>171</v>
      </c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22">
        <f t="shared" si="487"/>
        <v>415</v>
      </c>
      <c r="BC1522" s="23">
        <v>745</v>
      </c>
      <c r="BD1522" s="130">
        <f t="shared" si="488"/>
        <v>415</v>
      </c>
      <c r="BE1522" s="130">
        <f t="shared" si="489"/>
        <v>745</v>
      </c>
      <c r="BF1522" s="195">
        <f t="shared" si="490"/>
        <v>55.70469798657718</v>
      </c>
      <c r="BG1522" s="373">
        <f t="shared" si="491"/>
        <v>330</v>
      </c>
    </row>
    <row r="1523" spans="1:59" s="46" customFormat="1" ht="15.95" customHeight="1">
      <c r="A1523" s="176">
        <v>11</v>
      </c>
      <c r="B1523" s="31" t="s">
        <v>930</v>
      </c>
      <c r="C1523" s="32" t="s">
        <v>931</v>
      </c>
      <c r="D1523" s="231"/>
      <c r="E1523" s="231"/>
      <c r="F1523" s="231"/>
      <c r="G1523" s="231"/>
      <c r="H1523" s="231"/>
      <c r="I1523" s="231"/>
      <c r="J1523" s="231"/>
      <c r="K1523" s="231"/>
      <c r="L1523" s="231"/>
      <c r="M1523" s="231"/>
      <c r="N1523" s="231"/>
      <c r="O1523" s="231"/>
      <c r="P1523" s="231"/>
      <c r="Q1523" s="231"/>
      <c r="R1523" s="231"/>
      <c r="S1523" s="231"/>
      <c r="T1523" s="231"/>
      <c r="U1523" s="231"/>
      <c r="V1523" s="231"/>
      <c r="W1523" s="231"/>
      <c r="X1523" s="231"/>
      <c r="Y1523" s="231"/>
      <c r="Z1523" s="231"/>
      <c r="AA1523" s="231"/>
      <c r="AB1523" s="22">
        <f t="shared" si="486"/>
        <v>0</v>
      </c>
      <c r="AC1523" s="23">
        <v>0</v>
      </c>
      <c r="AD1523" s="35"/>
      <c r="AE1523" s="35"/>
      <c r="AF1523" s="35"/>
      <c r="AG1523" s="35"/>
      <c r="AH1523" s="35">
        <v>3</v>
      </c>
      <c r="AI1523" s="35"/>
      <c r="AJ1523" s="35"/>
      <c r="AK1523" s="35"/>
      <c r="AL1523" s="35">
        <f>15+50</f>
        <v>65</v>
      </c>
      <c r="AM1523" s="35"/>
      <c r="AN1523" s="35"/>
      <c r="AO1523" s="35"/>
      <c r="AP1523" s="35">
        <f>4+44</f>
        <v>48</v>
      </c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22">
        <f t="shared" si="487"/>
        <v>116</v>
      </c>
      <c r="BC1523" s="23">
        <v>88</v>
      </c>
      <c r="BD1523" s="130">
        <f t="shared" si="488"/>
        <v>116</v>
      </c>
      <c r="BE1523" s="130">
        <f t="shared" si="489"/>
        <v>88</v>
      </c>
      <c r="BF1523" s="195">
        <f t="shared" si="490"/>
        <v>131.81818181818181</v>
      </c>
      <c r="BG1523" s="373">
        <f t="shared" si="491"/>
        <v>-28</v>
      </c>
    </row>
    <row r="1524" spans="1:59" s="46" customFormat="1" ht="15.95" customHeight="1">
      <c r="A1524" s="176">
        <v>12</v>
      </c>
      <c r="B1524" s="31" t="s">
        <v>982</v>
      </c>
      <c r="C1524" s="32" t="s">
        <v>983</v>
      </c>
      <c r="D1524" s="253"/>
      <c r="E1524" s="253"/>
      <c r="F1524" s="253"/>
      <c r="G1524" s="253"/>
      <c r="H1524" s="253"/>
      <c r="I1524" s="253"/>
      <c r="J1524" s="253"/>
      <c r="K1524" s="253"/>
      <c r="L1524" s="253"/>
      <c r="M1524" s="253"/>
      <c r="N1524" s="253"/>
      <c r="O1524" s="253"/>
      <c r="P1524" s="253"/>
      <c r="Q1524" s="253"/>
      <c r="R1524" s="253"/>
      <c r="S1524" s="253"/>
      <c r="T1524" s="253"/>
      <c r="U1524" s="253"/>
      <c r="V1524" s="253"/>
      <c r="W1524" s="253"/>
      <c r="X1524" s="253"/>
      <c r="Y1524" s="253"/>
      <c r="Z1524" s="253"/>
      <c r="AA1524" s="253"/>
      <c r="AB1524" s="22">
        <f t="shared" si="486"/>
        <v>0</v>
      </c>
      <c r="AC1524" s="23">
        <v>0</v>
      </c>
      <c r="AD1524" s="35"/>
      <c r="AE1524" s="35"/>
      <c r="AF1524" s="35"/>
      <c r="AG1524" s="35"/>
      <c r="AH1524" s="35">
        <v>1</v>
      </c>
      <c r="AI1524" s="35"/>
      <c r="AJ1524" s="35"/>
      <c r="AK1524" s="35"/>
      <c r="AL1524" s="35">
        <v>3</v>
      </c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22">
        <f t="shared" si="487"/>
        <v>4</v>
      </c>
      <c r="BC1524" s="23">
        <v>3</v>
      </c>
      <c r="BD1524" s="130">
        <f t="shared" si="488"/>
        <v>4</v>
      </c>
      <c r="BE1524" s="130">
        <f t="shared" si="489"/>
        <v>3</v>
      </c>
      <c r="BF1524" s="195">
        <f t="shared" si="490"/>
        <v>133.33333333333331</v>
      </c>
      <c r="BG1524" s="373">
        <f t="shared" si="491"/>
        <v>-1</v>
      </c>
    </row>
    <row r="1525" spans="1:59" s="46" customFormat="1" ht="15.95" customHeight="1">
      <c r="A1525" s="176">
        <v>13</v>
      </c>
      <c r="B1525" s="37" t="s">
        <v>932</v>
      </c>
      <c r="C1525" s="132" t="s">
        <v>933</v>
      </c>
      <c r="D1525" s="231"/>
      <c r="E1525" s="231"/>
      <c r="F1525" s="231"/>
      <c r="G1525" s="231"/>
      <c r="H1525" s="231"/>
      <c r="I1525" s="231"/>
      <c r="J1525" s="231"/>
      <c r="K1525" s="231"/>
      <c r="L1525" s="231"/>
      <c r="M1525" s="231"/>
      <c r="N1525" s="231"/>
      <c r="O1525" s="231"/>
      <c r="P1525" s="231"/>
      <c r="Q1525" s="231"/>
      <c r="R1525" s="231"/>
      <c r="S1525" s="231"/>
      <c r="T1525" s="231"/>
      <c r="U1525" s="231"/>
      <c r="V1525" s="231"/>
      <c r="W1525" s="231"/>
      <c r="X1525" s="231"/>
      <c r="Y1525" s="231"/>
      <c r="Z1525" s="231"/>
      <c r="AA1525" s="231"/>
      <c r="AB1525" s="22">
        <f t="shared" si="486"/>
        <v>0</v>
      </c>
      <c r="AC1525" s="23">
        <v>0</v>
      </c>
      <c r="AD1525" s="35"/>
      <c r="AE1525" s="35"/>
      <c r="AF1525" s="35"/>
      <c r="AG1525" s="35"/>
      <c r="AH1525" s="35"/>
      <c r="AI1525" s="35"/>
      <c r="AJ1525" s="35"/>
      <c r="AK1525" s="35"/>
      <c r="AL1525" s="35">
        <v>2</v>
      </c>
      <c r="AM1525" s="35"/>
      <c r="AN1525" s="35"/>
      <c r="AO1525" s="35"/>
      <c r="AP1525" s="35">
        <v>7</v>
      </c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22">
        <f t="shared" si="487"/>
        <v>9</v>
      </c>
      <c r="BC1525" s="23">
        <v>7</v>
      </c>
      <c r="BD1525" s="130">
        <f t="shared" si="488"/>
        <v>9</v>
      </c>
      <c r="BE1525" s="130">
        <f t="shared" si="489"/>
        <v>7</v>
      </c>
      <c r="BF1525" s="195">
        <f t="shared" si="490"/>
        <v>128.57142857142858</v>
      </c>
      <c r="BG1525" s="373">
        <f t="shared" si="491"/>
        <v>-2</v>
      </c>
    </row>
    <row r="1526" spans="1:59" s="46" customFormat="1" ht="15.95" customHeight="1">
      <c r="A1526" s="176">
        <v>14</v>
      </c>
      <c r="B1526" s="31" t="s">
        <v>887</v>
      </c>
      <c r="C1526" s="32" t="s">
        <v>888</v>
      </c>
      <c r="D1526" s="231"/>
      <c r="E1526" s="231"/>
      <c r="F1526" s="231"/>
      <c r="G1526" s="231"/>
      <c r="H1526" s="231"/>
      <c r="I1526" s="231"/>
      <c r="J1526" s="231"/>
      <c r="K1526" s="231"/>
      <c r="L1526" s="231"/>
      <c r="M1526" s="231"/>
      <c r="N1526" s="231"/>
      <c r="O1526" s="231"/>
      <c r="P1526" s="231"/>
      <c r="Q1526" s="231"/>
      <c r="R1526" s="231"/>
      <c r="S1526" s="231"/>
      <c r="T1526" s="231"/>
      <c r="U1526" s="231"/>
      <c r="V1526" s="231"/>
      <c r="W1526" s="231"/>
      <c r="X1526" s="231"/>
      <c r="Y1526" s="231"/>
      <c r="Z1526" s="231"/>
      <c r="AA1526" s="231"/>
      <c r="AB1526" s="22">
        <f t="shared" si="486"/>
        <v>0</v>
      </c>
      <c r="AC1526" s="23">
        <v>0</v>
      </c>
      <c r="AD1526" s="35"/>
      <c r="AE1526" s="35"/>
      <c r="AF1526" s="35"/>
      <c r="AG1526" s="35"/>
      <c r="AH1526" s="35"/>
      <c r="AI1526" s="35"/>
      <c r="AJ1526" s="35"/>
      <c r="AK1526" s="35"/>
      <c r="AL1526" s="35">
        <f>1+1</f>
        <v>2</v>
      </c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22">
        <f t="shared" si="487"/>
        <v>2</v>
      </c>
      <c r="BC1526" s="23">
        <v>87</v>
      </c>
      <c r="BD1526" s="130">
        <f t="shared" si="488"/>
        <v>2</v>
      </c>
      <c r="BE1526" s="130">
        <f t="shared" si="489"/>
        <v>87</v>
      </c>
      <c r="BF1526" s="195">
        <f t="shared" si="490"/>
        <v>2.2988505747126435</v>
      </c>
      <c r="BG1526" s="373">
        <f t="shared" si="491"/>
        <v>85</v>
      </c>
    </row>
    <row r="1527" spans="1:59" s="46" customFormat="1" ht="15.95" customHeight="1">
      <c r="A1527" s="176">
        <v>15</v>
      </c>
      <c r="B1527" s="31" t="s">
        <v>984</v>
      </c>
      <c r="C1527" s="32" t="s">
        <v>985</v>
      </c>
      <c r="D1527" s="231"/>
      <c r="E1527" s="231"/>
      <c r="F1527" s="231"/>
      <c r="G1527" s="231"/>
      <c r="H1527" s="231"/>
      <c r="I1527" s="231"/>
      <c r="J1527" s="231"/>
      <c r="K1527" s="231"/>
      <c r="L1527" s="231"/>
      <c r="M1527" s="231"/>
      <c r="N1527" s="231"/>
      <c r="O1527" s="231"/>
      <c r="P1527" s="231"/>
      <c r="Q1527" s="231"/>
      <c r="R1527" s="231"/>
      <c r="S1527" s="231"/>
      <c r="T1527" s="231"/>
      <c r="U1527" s="231"/>
      <c r="V1527" s="231"/>
      <c r="W1527" s="231"/>
      <c r="X1527" s="231"/>
      <c r="Y1527" s="231"/>
      <c r="Z1527" s="231"/>
      <c r="AA1527" s="231"/>
      <c r="AB1527" s="22">
        <f t="shared" si="486"/>
        <v>0</v>
      </c>
      <c r="AC1527" s="23">
        <v>0</v>
      </c>
      <c r="AD1527" s="35"/>
      <c r="AE1527" s="35"/>
      <c r="AF1527" s="35"/>
      <c r="AG1527" s="35"/>
      <c r="AH1527" s="35">
        <v>18</v>
      </c>
      <c r="AI1527" s="35"/>
      <c r="AJ1527" s="35"/>
      <c r="AK1527" s="35"/>
      <c r="AL1527" s="35">
        <f>67+1</f>
        <v>68</v>
      </c>
      <c r="AM1527" s="35"/>
      <c r="AN1527" s="35"/>
      <c r="AO1527" s="35"/>
      <c r="AP1527" s="35">
        <v>53</v>
      </c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22">
        <f t="shared" si="487"/>
        <v>139</v>
      </c>
      <c r="BC1527" s="23">
        <v>247</v>
      </c>
      <c r="BD1527" s="130">
        <f t="shared" si="488"/>
        <v>139</v>
      </c>
      <c r="BE1527" s="130">
        <f t="shared" si="489"/>
        <v>247</v>
      </c>
      <c r="BF1527" s="195">
        <f t="shared" si="490"/>
        <v>56.275303643724698</v>
      </c>
      <c r="BG1527" s="373">
        <f t="shared" si="491"/>
        <v>108</v>
      </c>
    </row>
    <row r="1528" spans="1:59" s="46" customFormat="1" ht="15.95" customHeight="1">
      <c r="A1528" s="176">
        <v>16</v>
      </c>
      <c r="B1528" s="37" t="s">
        <v>754</v>
      </c>
      <c r="C1528" s="38" t="s">
        <v>889</v>
      </c>
      <c r="D1528" s="231"/>
      <c r="E1528" s="231"/>
      <c r="F1528" s="231"/>
      <c r="G1528" s="231"/>
      <c r="H1528" s="231"/>
      <c r="I1528" s="231"/>
      <c r="J1528" s="231"/>
      <c r="K1528" s="231"/>
      <c r="L1528" s="231"/>
      <c r="M1528" s="231"/>
      <c r="N1528" s="231"/>
      <c r="O1528" s="231"/>
      <c r="P1528" s="231"/>
      <c r="Q1528" s="231"/>
      <c r="R1528" s="231"/>
      <c r="S1528" s="231"/>
      <c r="T1528" s="231"/>
      <c r="U1528" s="231"/>
      <c r="V1528" s="231"/>
      <c r="W1528" s="231"/>
      <c r="X1528" s="231"/>
      <c r="Y1528" s="231"/>
      <c r="Z1528" s="231"/>
      <c r="AA1528" s="231"/>
      <c r="AB1528" s="22">
        <f t="shared" si="486"/>
        <v>0</v>
      </c>
      <c r="AC1528" s="23">
        <v>0</v>
      </c>
      <c r="AD1528" s="35"/>
      <c r="AE1528" s="35"/>
      <c r="AF1528" s="35"/>
      <c r="AG1528" s="35"/>
      <c r="AH1528" s="35"/>
      <c r="AI1528" s="35"/>
      <c r="AJ1528" s="35"/>
      <c r="AK1528" s="35"/>
      <c r="AL1528" s="35">
        <v>4</v>
      </c>
      <c r="AM1528" s="35"/>
      <c r="AN1528" s="35"/>
      <c r="AO1528" s="35"/>
      <c r="AP1528" s="35">
        <v>10</v>
      </c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22">
        <f t="shared" si="487"/>
        <v>14</v>
      </c>
      <c r="BC1528" s="23">
        <v>18</v>
      </c>
      <c r="BD1528" s="130">
        <f t="shared" si="488"/>
        <v>14</v>
      </c>
      <c r="BE1528" s="130">
        <f t="shared" si="489"/>
        <v>18</v>
      </c>
      <c r="BF1528" s="195">
        <f t="shared" si="490"/>
        <v>77.777777777777786</v>
      </c>
      <c r="BG1528" s="373">
        <f t="shared" si="491"/>
        <v>4</v>
      </c>
    </row>
    <row r="1529" spans="1:59" s="46" customFormat="1" ht="15.95" customHeight="1">
      <c r="A1529" s="176">
        <v>17</v>
      </c>
      <c r="B1529" s="31" t="s">
        <v>756</v>
      </c>
      <c r="C1529" s="32" t="s">
        <v>757</v>
      </c>
      <c r="D1529" s="231"/>
      <c r="E1529" s="231"/>
      <c r="F1529" s="231"/>
      <c r="G1529" s="231"/>
      <c r="H1529" s="231"/>
      <c r="I1529" s="231"/>
      <c r="J1529" s="231"/>
      <c r="K1529" s="231"/>
      <c r="L1529" s="231"/>
      <c r="M1529" s="231"/>
      <c r="N1529" s="231"/>
      <c r="O1529" s="231"/>
      <c r="P1529" s="231"/>
      <c r="Q1529" s="231"/>
      <c r="R1529" s="231"/>
      <c r="S1529" s="231"/>
      <c r="T1529" s="231"/>
      <c r="U1529" s="231"/>
      <c r="V1529" s="231"/>
      <c r="W1529" s="231"/>
      <c r="X1529" s="231"/>
      <c r="Y1529" s="231"/>
      <c r="Z1529" s="231"/>
      <c r="AA1529" s="231"/>
      <c r="AB1529" s="22">
        <f t="shared" si="486"/>
        <v>0</v>
      </c>
      <c r="AC1529" s="23">
        <v>0</v>
      </c>
      <c r="AD1529" s="35">
        <v>1</v>
      </c>
      <c r="AE1529" s="35"/>
      <c r="AF1529" s="35"/>
      <c r="AG1529" s="35"/>
      <c r="AH1529" s="35">
        <f>14+131</f>
        <v>145</v>
      </c>
      <c r="AI1529" s="35"/>
      <c r="AJ1529" s="35"/>
      <c r="AK1529" s="35"/>
      <c r="AL1529" s="35">
        <f>52+688</f>
        <v>740</v>
      </c>
      <c r="AM1529" s="35"/>
      <c r="AN1529" s="35"/>
      <c r="AO1529" s="35"/>
      <c r="AP1529" s="35">
        <f>68+655</f>
        <v>723</v>
      </c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22">
        <f t="shared" si="487"/>
        <v>1609</v>
      </c>
      <c r="BC1529" s="23">
        <v>2765</v>
      </c>
      <c r="BD1529" s="130">
        <f t="shared" si="488"/>
        <v>1609</v>
      </c>
      <c r="BE1529" s="130">
        <f t="shared" si="489"/>
        <v>2765</v>
      </c>
      <c r="BF1529" s="195">
        <f t="shared" si="490"/>
        <v>58.191681735985533</v>
      </c>
      <c r="BG1529" s="373">
        <f t="shared" si="491"/>
        <v>1156</v>
      </c>
    </row>
    <row r="1530" spans="1:59" s="46" customFormat="1" ht="15.95" customHeight="1">
      <c r="A1530" s="176">
        <v>18</v>
      </c>
      <c r="B1530" s="31" t="s">
        <v>758</v>
      </c>
      <c r="C1530" s="32" t="s">
        <v>759</v>
      </c>
      <c r="D1530" s="231"/>
      <c r="E1530" s="231"/>
      <c r="F1530" s="231"/>
      <c r="G1530" s="231"/>
      <c r="H1530" s="231"/>
      <c r="I1530" s="231"/>
      <c r="J1530" s="231"/>
      <c r="K1530" s="231"/>
      <c r="L1530" s="231"/>
      <c r="M1530" s="231"/>
      <c r="N1530" s="231"/>
      <c r="O1530" s="231"/>
      <c r="P1530" s="231"/>
      <c r="Q1530" s="231"/>
      <c r="R1530" s="231"/>
      <c r="S1530" s="231"/>
      <c r="T1530" s="231"/>
      <c r="U1530" s="231"/>
      <c r="V1530" s="231"/>
      <c r="W1530" s="231"/>
      <c r="X1530" s="231"/>
      <c r="Y1530" s="231"/>
      <c r="Z1530" s="231"/>
      <c r="AA1530" s="231"/>
      <c r="AB1530" s="22">
        <f t="shared" si="486"/>
        <v>0</v>
      </c>
      <c r="AC1530" s="23">
        <v>0</v>
      </c>
      <c r="AD1530" s="35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22">
        <f t="shared" si="487"/>
        <v>0</v>
      </c>
      <c r="BC1530" s="23">
        <v>3</v>
      </c>
      <c r="BD1530" s="130">
        <f t="shared" si="488"/>
        <v>0</v>
      </c>
      <c r="BE1530" s="130">
        <f t="shared" si="489"/>
        <v>3</v>
      </c>
      <c r="BF1530" s="195">
        <f t="shared" si="490"/>
        <v>0</v>
      </c>
      <c r="BG1530" s="373">
        <f t="shared" si="491"/>
        <v>3</v>
      </c>
    </row>
    <row r="1531" spans="1:59" s="46" customFormat="1" ht="15.95" customHeight="1">
      <c r="A1531" s="176">
        <v>19</v>
      </c>
      <c r="B1531" s="31" t="s">
        <v>760</v>
      </c>
      <c r="C1531" s="32" t="s">
        <v>891</v>
      </c>
      <c r="D1531" s="231"/>
      <c r="E1531" s="231"/>
      <c r="F1531" s="231"/>
      <c r="G1531" s="231"/>
      <c r="H1531" s="231"/>
      <c r="I1531" s="231"/>
      <c r="J1531" s="231"/>
      <c r="K1531" s="231"/>
      <c r="L1531" s="231"/>
      <c r="M1531" s="231"/>
      <c r="N1531" s="231"/>
      <c r="O1531" s="231"/>
      <c r="P1531" s="231"/>
      <c r="Q1531" s="231"/>
      <c r="R1531" s="231"/>
      <c r="S1531" s="231"/>
      <c r="T1531" s="231"/>
      <c r="U1531" s="231"/>
      <c r="V1531" s="231"/>
      <c r="W1531" s="231"/>
      <c r="X1531" s="231"/>
      <c r="Y1531" s="231"/>
      <c r="Z1531" s="231"/>
      <c r="AA1531" s="231"/>
      <c r="AB1531" s="22">
        <f t="shared" si="486"/>
        <v>0</v>
      </c>
      <c r="AC1531" s="23">
        <v>0</v>
      </c>
      <c r="AD1531" s="35"/>
      <c r="AE1531" s="35"/>
      <c r="AF1531" s="35"/>
      <c r="AG1531" s="35"/>
      <c r="AH1531" s="35"/>
      <c r="AI1531" s="35"/>
      <c r="AJ1531" s="35"/>
      <c r="AK1531" s="35"/>
      <c r="AL1531" s="35">
        <v>2</v>
      </c>
      <c r="AM1531" s="35"/>
      <c r="AN1531" s="35"/>
      <c r="AO1531" s="35"/>
      <c r="AP1531" s="35">
        <v>2</v>
      </c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22">
        <f t="shared" si="487"/>
        <v>4</v>
      </c>
      <c r="BC1531" s="23">
        <v>3</v>
      </c>
      <c r="BD1531" s="130">
        <f t="shared" si="488"/>
        <v>4</v>
      </c>
      <c r="BE1531" s="130">
        <f t="shared" si="489"/>
        <v>3</v>
      </c>
      <c r="BF1531" s="195">
        <f t="shared" si="490"/>
        <v>133.33333333333331</v>
      </c>
      <c r="BG1531" s="373">
        <f t="shared" si="491"/>
        <v>-1</v>
      </c>
    </row>
    <row r="1532" spans="1:59" s="46" customFormat="1" ht="15.95" customHeight="1">
      <c r="A1532" s="176">
        <v>20</v>
      </c>
      <c r="B1532" s="31" t="s">
        <v>762</v>
      </c>
      <c r="C1532" s="32" t="s">
        <v>986</v>
      </c>
      <c r="D1532" s="231"/>
      <c r="E1532" s="231"/>
      <c r="F1532" s="231"/>
      <c r="G1532" s="231"/>
      <c r="H1532" s="231"/>
      <c r="I1532" s="231"/>
      <c r="J1532" s="231"/>
      <c r="K1532" s="231"/>
      <c r="L1532" s="231"/>
      <c r="M1532" s="231"/>
      <c r="N1532" s="231"/>
      <c r="O1532" s="231"/>
      <c r="P1532" s="231"/>
      <c r="Q1532" s="231"/>
      <c r="R1532" s="231"/>
      <c r="S1532" s="231"/>
      <c r="T1532" s="231"/>
      <c r="U1532" s="231"/>
      <c r="V1532" s="231"/>
      <c r="W1532" s="231"/>
      <c r="X1532" s="231"/>
      <c r="Y1532" s="231"/>
      <c r="Z1532" s="231"/>
      <c r="AA1532" s="231"/>
      <c r="AB1532" s="22">
        <f t="shared" si="486"/>
        <v>0</v>
      </c>
      <c r="AC1532" s="23">
        <v>0</v>
      </c>
      <c r="AD1532" s="35"/>
      <c r="AE1532" s="35"/>
      <c r="AF1532" s="35"/>
      <c r="AG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22">
        <f t="shared" si="487"/>
        <v>0</v>
      </c>
      <c r="BC1532" s="23">
        <v>2</v>
      </c>
      <c r="BD1532" s="130">
        <f t="shared" si="488"/>
        <v>0</v>
      </c>
      <c r="BE1532" s="130">
        <f t="shared" si="489"/>
        <v>2</v>
      </c>
      <c r="BF1532" s="195">
        <f t="shared" si="490"/>
        <v>0</v>
      </c>
      <c r="BG1532" s="373">
        <f t="shared" si="491"/>
        <v>2</v>
      </c>
    </row>
    <row r="1533" spans="1:59" s="46" customFormat="1" ht="15.95" customHeight="1">
      <c r="A1533" s="176">
        <v>21</v>
      </c>
      <c r="B1533" s="31" t="s">
        <v>763</v>
      </c>
      <c r="C1533" s="32" t="s">
        <v>2414</v>
      </c>
      <c r="D1533" s="231"/>
      <c r="E1533" s="231"/>
      <c r="F1533" s="231"/>
      <c r="G1533" s="231"/>
      <c r="H1533" s="231"/>
      <c r="I1533" s="231"/>
      <c r="J1533" s="231"/>
      <c r="K1533" s="231"/>
      <c r="L1533" s="231"/>
      <c r="M1533" s="231"/>
      <c r="N1533" s="231"/>
      <c r="O1533" s="231"/>
      <c r="P1533" s="231"/>
      <c r="Q1533" s="231"/>
      <c r="R1533" s="231"/>
      <c r="S1533" s="231"/>
      <c r="T1533" s="231"/>
      <c r="U1533" s="231"/>
      <c r="V1533" s="231"/>
      <c r="W1533" s="231"/>
      <c r="X1533" s="231"/>
      <c r="Y1533" s="231"/>
      <c r="Z1533" s="231"/>
      <c r="AA1533" s="231"/>
      <c r="AB1533" s="22">
        <f t="shared" si="486"/>
        <v>0</v>
      </c>
      <c r="AC1533" s="23">
        <v>0</v>
      </c>
      <c r="AD1533" s="35"/>
      <c r="AE1533" s="35"/>
      <c r="AF1533" s="35"/>
      <c r="AG1533" s="35"/>
      <c r="AH1533" s="35"/>
      <c r="AI1533" s="35"/>
      <c r="AJ1533" s="35"/>
      <c r="AK1533" s="35"/>
      <c r="AL1533" s="35">
        <v>2</v>
      </c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22">
        <f t="shared" si="487"/>
        <v>2</v>
      </c>
      <c r="BC1533" s="23">
        <v>2</v>
      </c>
      <c r="BD1533" s="130">
        <f t="shared" si="488"/>
        <v>2</v>
      </c>
      <c r="BE1533" s="130">
        <f t="shared" si="489"/>
        <v>2</v>
      </c>
      <c r="BF1533" s="195">
        <f t="shared" si="490"/>
        <v>100</v>
      </c>
      <c r="BG1533" s="373">
        <f t="shared" si="491"/>
        <v>0</v>
      </c>
    </row>
    <row r="1534" spans="1:59" s="46" customFormat="1" ht="15.95" customHeight="1">
      <c r="A1534" s="176">
        <v>22</v>
      </c>
      <c r="B1534" s="31" t="s">
        <v>764</v>
      </c>
      <c r="C1534" s="32" t="s">
        <v>765</v>
      </c>
      <c r="D1534" s="323"/>
      <c r="E1534" s="323"/>
      <c r="F1534" s="323"/>
      <c r="G1534" s="323"/>
      <c r="H1534" s="323"/>
      <c r="I1534" s="323"/>
      <c r="J1534" s="323"/>
      <c r="K1534" s="323"/>
      <c r="L1534" s="323"/>
      <c r="M1534" s="323"/>
      <c r="N1534" s="323"/>
      <c r="O1534" s="323"/>
      <c r="P1534" s="323"/>
      <c r="Q1534" s="323"/>
      <c r="R1534" s="323"/>
      <c r="S1534" s="323"/>
      <c r="T1534" s="323"/>
      <c r="U1534" s="323"/>
      <c r="V1534" s="323"/>
      <c r="W1534" s="323"/>
      <c r="X1534" s="323"/>
      <c r="Y1534" s="323"/>
      <c r="Z1534" s="323"/>
      <c r="AA1534" s="323"/>
      <c r="AB1534" s="22">
        <f t="shared" si="486"/>
        <v>0</v>
      </c>
      <c r="AC1534" s="23">
        <v>0</v>
      </c>
      <c r="AD1534" s="35"/>
      <c r="AE1534" s="35"/>
      <c r="AF1534" s="35"/>
      <c r="AG1534" s="35"/>
      <c r="AH1534" s="35"/>
      <c r="AI1534" s="35"/>
      <c r="AJ1534" s="35"/>
      <c r="AK1534" s="35"/>
      <c r="AL1534" s="35">
        <v>40</v>
      </c>
      <c r="AM1534" s="35"/>
      <c r="AN1534" s="35"/>
      <c r="AO1534" s="35"/>
      <c r="AP1534" s="35">
        <f>2+43</f>
        <v>45</v>
      </c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22">
        <f t="shared" si="487"/>
        <v>85</v>
      </c>
      <c r="BC1534" s="23">
        <v>346</v>
      </c>
      <c r="BD1534" s="130">
        <f t="shared" si="488"/>
        <v>85</v>
      </c>
      <c r="BE1534" s="130">
        <f t="shared" si="489"/>
        <v>346</v>
      </c>
      <c r="BF1534" s="195">
        <f t="shared" si="490"/>
        <v>24.566473988439306</v>
      </c>
      <c r="BG1534" s="373">
        <f t="shared" si="491"/>
        <v>261</v>
      </c>
    </row>
    <row r="1535" spans="1:59" s="46" customFormat="1" ht="15.95" customHeight="1">
      <c r="A1535" s="176">
        <v>23</v>
      </c>
      <c r="B1535" s="31" t="s">
        <v>768</v>
      </c>
      <c r="C1535" s="32" t="s">
        <v>769</v>
      </c>
      <c r="D1535" s="231"/>
      <c r="E1535" s="231"/>
      <c r="F1535" s="231"/>
      <c r="G1535" s="231"/>
      <c r="H1535" s="231"/>
      <c r="I1535" s="231"/>
      <c r="J1535" s="231"/>
      <c r="K1535" s="231"/>
      <c r="L1535" s="231"/>
      <c r="M1535" s="231"/>
      <c r="N1535" s="231"/>
      <c r="O1535" s="231"/>
      <c r="P1535" s="231"/>
      <c r="Q1535" s="231"/>
      <c r="R1535" s="231"/>
      <c r="S1535" s="231"/>
      <c r="T1535" s="231"/>
      <c r="U1535" s="231"/>
      <c r="V1535" s="231"/>
      <c r="W1535" s="231"/>
      <c r="X1535" s="231"/>
      <c r="Y1535" s="231"/>
      <c r="Z1535" s="231"/>
      <c r="AA1535" s="231"/>
      <c r="AB1535" s="22">
        <f t="shared" si="486"/>
        <v>0</v>
      </c>
      <c r="AC1535" s="23">
        <v>0</v>
      </c>
      <c r="AD1535" s="35"/>
      <c r="AE1535" s="35"/>
      <c r="AF1535" s="35"/>
      <c r="AG1535" s="35"/>
      <c r="AH1535" s="35"/>
      <c r="AI1535" s="35"/>
      <c r="AJ1535" s="35"/>
      <c r="AK1535" s="35"/>
      <c r="AL1535" s="35">
        <v>1</v>
      </c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22">
        <f t="shared" si="487"/>
        <v>1</v>
      </c>
      <c r="BC1535" s="23">
        <v>11</v>
      </c>
      <c r="BD1535" s="130">
        <f t="shared" si="488"/>
        <v>1</v>
      </c>
      <c r="BE1535" s="130">
        <f t="shared" si="489"/>
        <v>11</v>
      </c>
      <c r="BF1535" s="195">
        <f t="shared" si="490"/>
        <v>9.0909090909090917</v>
      </c>
      <c r="BG1535" s="373">
        <f t="shared" si="491"/>
        <v>10</v>
      </c>
    </row>
    <row r="1536" spans="1:59" s="46" customFormat="1" ht="15.95" customHeight="1">
      <c r="A1536" s="176">
        <v>24</v>
      </c>
      <c r="B1536" s="31" t="s">
        <v>770</v>
      </c>
      <c r="C1536" s="34" t="s">
        <v>771</v>
      </c>
      <c r="D1536" s="231"/>
      <c r="E1536" s="231"/>
      <c r="F1536" s="231"/>
      <c r="G1536" s="231"/>
      <c r="H1536" s="231"/>
      <c r="I1536" s="231"/>
      <c r="J1536" s="231"/>
      <c r="K1536" s="231"/>
      <c r="L1536" s="231"/>
      <c r="M1536" s="231"/>
      <c r="N1536" s="231"/>
      <c r="O1536" s="231"/>
      <c r="P1536" s="231"/>
      <c r="Q1536" s="231"/>
      <c r="R1536" s="231"/>
      <c r="S1536" s="231"/>
      <c r="T1536" s="231"/>
      <c r="U1536" s="231"/>
      <c r="V1536" s="231"/>
      <c r="W1536" s="231"/>
      <c r="X1536" s="231"/>
      <c r="Y1536" s="231"/>
      <c r="Z1536" s="231"/>
      <c r="AA1536" s="231"/>
      <c r="AB1536" s="22">
        <f t="shared" si="486"/>
        <v>0</v>
      </c>
      <c r="AC1536" s="23">
        <v>0</v>
      </c>
      <c r="AD1536" s="35"/>
      <c r="AE1536" s="35"/>
      <c r="AF1536" s="35"/>
      <c r="AG1536" s="35"/>
      <c r="AH1536" s="35"/>
      <c r="AI1536" s="35"/>
      <c r="AJ1536" s="35"/>
      <c r="AK1536" s="35"/>
      <c r="AL1536" s="35">
        <v>11</v>
      </c>
      <c r="AM1536" s="35"/>
      <c r="AN1536" s="35"/>
      <c r="AO1536" s="35"/>
      <c r="AP1536" s="35">
        <v>1</v>
      </c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22">
        <f t="shared" si="487"/>
        <v>12</v>
      </c>
      <c r="BC1536" s="23">
        <v>48</v>
      </c>
      <c r="BD1536" s="130">
        <f t="shared" si="488"/>
        <v>12</v>
      </c>
      <c r="BE1536" s="130">
        <f t="shared" si="489"/>
        <v>48</v>
      </c>
      <c r="BF1536" s="195">
        <f t="shared" si="490"/>
        <v>25</v>
      </c>
      <c r="BG1536" s="373">
        <f t="shared" si="491"/>
        <v>36</v>
      </c>
    </row>
    <row r="1537" spans="1:59" s="46" customFormat="1" ht="15.95" customHeight="1">
      <c r="A1537" s="176">
        <v>25</v>
      </c>
      <c r="B1537" s="31" t="s">
        <v>1523</v>
      </c>
      <c r="C1537" s="32" t="s">
        <v>719</v>
      </c>
      <c r="D1537" s="323"/>
      <c r="E1537" s="323"/>
      <c r="F1537" s="323"/>
      <c r="G1537" s="323"/>
      <c r="H1537" s="323"/>
      <c r="I1537" s="323"/>
      <c r="J1537" s="323"/>
      <c r="K1537" s="323"/>
      <c r="L1537" s="323"/>
      <c r="M1537" s="323"/>
      <c r="N1537" s="323"/>
      <c r="O1537" s="323"/>
      <c r="P1537" s="323"/>
      <c r="Q1537" s="323"/>
      <c r="R1537" s="323"/>
      <c r="S1537" s="323"/>
      <c r="T1537" s="323"/>
      <c r="U1537" s="323"/>
      <c r="V1537" s="323"/>
      <c r="W1537" s="323"/>
      <c r="X1537" s="323"/>
      <c r="Y1537" s="323"/>
      <c r="Z1537" s="323"/>
      <c r="AA1537" s="323"/>
      <c r="AB1537" s="22">
        <f t="shared" si="486"/>
        <v>0</v>
      </c>
      <c r="AC1537" s="23">
        <v>0</v>
      </c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>
        <v>1</v>
      </c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22">
        <f t="shared" si="487"/>
        <v>1</v>
      </c>
      <c r="BC1537" s="23">
        <v>1</v>
      </c>
      <c r="BD1537" s="130">
        <f t="shared" si="488"/>
        <v>1</v>
      </c>
      <c r="BE1537" s="130">
        <f t="shared" si="489"/>
        <v>1</v>
      </c>
      <c r="BF1537" s="195">
        <f t="shared" si="490"/>
        <v>100</v>
      </c>
      <c r="BG1537" s="373">
        <f t="shared" si="491"/>
        <v>0</v>
      </c>
    </row>
    <row r="1538" spans="1:59" s="46" customFormat="1" ht="15.95" customHeight="1">
      <c r="A1538" s="176">
        <v>26</v>
      </c>
      <c r="B1538" s="31" t="s">
        <v>772</v>
      </c>
      <c r="C1538" s="32" t="s">
        <v>773</v>
      </c>
      <c r="D1538" s="231"/>
      <c r="E1538" s="231"/>
      <c r="F1538" s="231"/>
      <c r="G1538" s="231"/>
      <c r="H1538" s="231"/>
      <c r="I1538" s="231"/>
      <c r="J1538" s="231"/>
      <c r="K1538" s="231"/>
      <c r="L1538" s="231"/>
      <c r="M1538" s="231"/>
      <c r="N1538" s="231"/>
      <c r="O1538" s="231"/>
      <c r="P1538" s="231"/>
      <c r="Q1538" s="231"/>
      <c r="R1538" s="231"/>
      <c r="S1538" s="231"/>
      <c r="T1538" s="231"/>
      <c r="U1538" s="231"/>
      <c r="V1538" s="231"/>
      <c r="W1538" s="231"/>
      <c r="X1538" s="231"/>
      <c r="Y1538" s="231"/>
      <c r="Z1538" s="231"/>
      <c r="AA1538" s="231"/>
      <c r="AB1538" s="22">
        <f t="shared" si="486"/>
        <v>0</v>
      </c>
      <c r="AC1538" s="23">
        <v>0</v>
      </c>
      <c r="AD1538" s="35"/>
      <c r="AE1538" s="35"/>
      <c r="AF1538" s="35"/>
      <c r="AG1538" s="35"/>
      <c r="AH1538" s="35"/>
      <c r="AI1538" s="35"/>
      <c r="AJ1538" s="35"/>
      <c r="AK1538" s="35"/>
      <c r="AL1538" s="35">
        <v>1</v>
      </c>
      <c r="AM1538" s="35"/>
      <c r="AN1538" s="35"/>
      <c r="AO1538" s="35"/>
      <c r="AP1538" s="35">
        <v>2</v>
      </c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22">
        <f t="shared" si="487"/>
        <v>3</v>
      </c>
      <c r="BC1538" s="23">
        <v>7</v>
      </c>
      <c r="BD1538" s="130">
        <f t="shared" si="488"/>
        <v>3</v>
      </c>
      <c r="BE1538" s="130">
        <f t="shared" si="489"/>
        <v>7</v>
      </c>
      <c r="BF1538" s="195">
        <f t="shared" si="490"/>
        <v>42.857142857142854</v>
      </c>
      <c r="BG1538" s="373">
        <f t="shared" si="491"/>
        <v>4</v>
      </c>
    </row>
    <row r="1539" spans="1:59" s="46" customFormat="1" ht="15.95" customHeight="1">
      <c r="A1539" s="176">
        <v>27</v>
      </c>
      <c r="B1539" s="31" t="s">
        <v>892</v>
      </c>
      <c r="C1539" s="32" t="s">
        <v>893</v>
      </c>
      <c r="D1539" s="231"/>
      <c r="E1539" s="231"/>
      <c r="F1539" s="231"/>
      <c r="G1539" s="231"/>
      <c r="H1539" s="231"/>
      <c r="I1539" s="231"/>
      <c r="J1539" s="231"/>
      <c r="K1539" s="231"/>
      <c r="L1539" s="231"/>
      <c r="M1539" s="231"/>
      <c r="N1539" s="231"/>
      <c r="O1539" s="231"/>
      <c r="P1539" s="231"/>
      <c r="Q1539" s="231"/>
      <c r="R1539" s="231"/>
      <c r="S1539" s="231"/>
      <c r="T1539" s="231"/>
      <c r="U1539" s="231"/>
      <c r="V1539" s="231"/>
      <c r="W1539" s="231"/>
      <c r="X1539" s="231"/>
      <c r="Y1539" s="231"/>
      <c r="Z1539" s="231"/>
      <c r="AA1539" s="231"/>
      <c r="AB1539" s="22">
        <f t="shared" si="486"/>
        <v>0</v>
      </c>
      <c r="AC1539" s="23">
        <v>0</v>
      </c>
      <c r="AD1539" s="35"/>
      <c r="AE1539" s="35"/>
      <c r="AF1539" s="35"/>
      <c r="AG1539" s="35"/>
      <c r="AH1539" s="35">
        <f>1+5</f>
        <v>6</v>
      </c>
      <c r="AI1539" s="35"/>
      <c r="AJ1539" s="35"/>
      <c r="AK1539" s="35"/>
      <c r="AL1539" s="35">
        <f>27+33</f>
        <v>60</v>
      </c>
      <c r="AM1539" s="35"/>
      <c r="AN1539" s="35"/>
      <c r="AO1539" s="35"/>
      <c r="AP1539" s="35">
        <f>12+20</f>
        <v>32</v>
      </c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22">
        <f t="shared" si="487"/>
        <v>98</v>
      </c>
      <c r="BC1539" s="23">
        <v>171</v>
      </c>
      <c r="BD1539" s="130">
        <f t="shared" si="488"/>
        <v>98</v>
      </c>
      <c r="BE1539" s="130">
        <f t="shared" si="489"/>
        <v>171</v>
      </c>
      <c r="BF1539" s="195">
        <f t="shared" si="490"/>
        <v>57.309941520467831</v>
      </c>
      <c r="BG1539" s="373">
        <f t="shared" si="491"/>
        <v>73</v>
      </c>
    </row>
    <row r="1540" spans="1:59" s="46" customFormat="1" ht="21.75" customHeight="1">
      <c r="A1540" s="176">
        <v>28</v>
      </c>
      <c r="B1540" s="31" t="s">
        <v>894</v>
      </c>
      <c r="C1540" s="32" t="s">
        <v>895</v>
      </c>
      <c r="D1540" s="231"/>
      <c r="E1540" s="231"/>
      <c r="F1540" s="231"/>
      <c r="G1540" s="231"/>
      <c r="H1540" s="231"/>
      <c r="I1540" s="231"/>
      <c r="J1540" s="231"/>
      <c r="K1540" s="231"/>
      <c r="L1540" s="231"/>
      <c r="M1540" s="231"/>
      <c r="N1540" s="231"/>
      <c r="O1540" s="231"/>
      <c r="P1540" s="231"/>
      <c r="Q1540" s="231"/>
      <c r="R1540" s="231"/>
      <c r="S1540" s="231"/>
      <c r="T1540" s="231"/>
      <c r="U1540" s="231"/>
      <c r="V1540" s="231"/>
      <c r="W1540" s="231"/>
      <c r="X1540" s="231"/>
      <c r="Y1540" s="231"/>
      <c r="Z1540" s="231"/>
      <c r="AA1540" s="231"/>
      <c r="AB1540" s="22">
        <f t="shared" si="486"/>
        <v>0</v>
      </c>
      <c r="AC1540" s="23">
        <v>0</v>
      </c>
      <c r="AD1540" s="35"/>
      <c r="AE1540" s="35"/>
      <c r="AF1540" s="35"/>
      <c r="AG1540" s="35"/>
      <c r="AH1540" s="35"/>
      <c r="AI1540" s="35"/>
      <c r="AJ1540" s="35"/>
      <c r="AK1540" s="35"/>
      <c r="AL1540" s="35">
        <f>4+4</f>
        <v>8</v>
      </c>
      <c r="AM1540" s="35"/>
      <c r="AN1540" s="35"/>
      <c r="AO1540" s="35"/>
      <c r="AP1540" s="35">
        <v>7</v>
      </c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22">
        <f t="shared" si="487"/>
        <v>15</v>
      </c>
      <c r="BC1540" s="23">
        <v>12</v>
      </c>
      <c r="BD1540" s="130">
        <f t="shared" si="488"/>
        <v>15</v>
      </c>
      <c r="BE1540" s="130">
        <f t="shared" si="489"/>
        <v>12</v>
      </c>
      <c r="BF1540" s="195">
        <f t="shared" si="490"/>
        <v>125</v>
      </c>
      <c r="BG1540" s="373">
        <f t="shared" si="491"/>
        <v>-3</v>
      </c>
    </row>
    <row r="1541" spans="1:59" s="46" customFormat="1" ht="15.95" customHeight="1">
      <c r="A1541" s="176">
        <v>29</v>
      </c>
      <c r="B1541" s="31" t="s">
        <v>2075</v>
      </c>
      <c r="C1541" s="32" t="s">
        <v>2076</v>
      </c>
      <c r="D1541" s="231"/>
      <c r="E1541" s="231"/>
      <c r="F1541" s="231"/>
      <c r="G1541" s="231"/>
      <c r="H1541" s="231"/>
      <c r="I1541" s="231"/>
      <c r="J1541" s="231"/>
      <c r="K1541" s="231"/>
      <c r="L1541" s="231"/>
      <c r="M1541" s="231"/>
      <c r="N1541" s="231"/>
      <c r="O1541" s="231"/>
      <c r="P1541" s="231"/>
      <c r="Q1541" s="231"/>
      <c r="R1541" s="231"/>
      <c r="S1541" s="231"/>
      <c r="T1541" s="231"/>
      <c r="U1541" s="231"/>
      <c r="V1541" s="231"/>
      <c r="W1541" s="231"/>
      <c r="X1541" s="231"/>
      <c r="Y1541" s="231"/>
      <c r="Z1541" s="231"/>
      <c r="AA1541" s="231"/>
      <c r="AB1541" s="22">
        <f t="shared" si="486"/>
        <v>0</v>
      </c>
      <c r="AC1541" s="23">
        <v>0</v>
      </c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>
        <v>2</v>
      </c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22">
        <f t="shared" si="487"/>
        <v>2</v>
      </c>
      <c r="BC1541" s="23">
        <v>2</v>
      </c>
      <c r="BD1541" s="130">
        <f t="shared" si="488"/>
        <v>2</v>
      </c>
      <c r="BE1541" s="130">
        <f t="shared" si="489"/>
        <v>2</v>
      </c>
      <c r="BF1541" s="195">
        <f t="shared" si="490"/>
        <v>100</v>
      </c>
      <c r="BG1541" s="373">
        <f t="shared" si="491"/>
        <v>0</v>
      </c>
    </row>
    <row r="1542" spans="1:59" s="46" customFormat="1" ht="15.95" customHeight="1">
      <c r="A1542" s="176">
        <v>30</v>
      </c>
      <c r="B1542" s="31" t="s">
        <v>989</v>
      </c>
      <c r="C1542" s="32" t="s">
        <v>990</v>
      </c>
      <c r="D1542" s="521"/>
      <c r="E1542" s="521"/>
      <c r="F1542" s="521"/>
      <c r="G1542" s="521"/>
      <c r="H1542" s="521"/>
      <c r="I1542" s="521"/>
      <c r="J1542" s="521"/>
      <c r="K1542" s="521"/>
      <c r="L1542" s="521"/>
      <c r="M1542" s="521"/>
      <c r="N1542" s="521"/>
      <c r="O1542" s="521"/>
      <c r="P1542" s="521"/>
      <c r="Q1542" s="521"/>
      <c r="R1542" s="521"/>
      <c r="S1542" s="521"/>
      <c r="T1542" s="521"/>
      <c r="U1542" s="521"/>
      <c r="V1542" s="521"/>
      <c r="W1542" s="521"/>
      <c r="X1542" s="521"/>
      <c r="Y1542" s="521"/>
      <c r="Z1542" s="521"/>
      <c r="AA1542" s="521"/>
      <c r="AB1542" s="22">
        <f t="shared" si="486"/>
        <v>0</v>
      </c>
      <c r="AC1542" s="23">
        <v>0</v>
      </c>
      <c r="AD1542" s="35"/>
      <c r="AE1542" s="35"/>
      <c r="AF1542" s="35"/>
      <c r="AG1542" s="35"/>
      <c r="AH1542" s="35">
        <v>1</v>
      </c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22">
        <f t="shared" si="487"/>
        <v>1</v>
      </c>
      <c r="BC1542" s="23">
        <v>0</v>
      </c>
      <c r="BD1542" s="130">
        <f t="shared" si="488"/>
        <v>1</v>
      </c>
      <c r="BE1542" s="130">
        <f t="shared" si="489"/>
        <v>0</v>
      </c>
      <c r="BF1542" s="195" t="e">
        <f t="shared" si="490"/>
        <v>#DIV/0!</v>
      </c>
      <c r="BG1542" s="373"/>
    </row>
    <row r="1543" spans="1:59" s="46" customFormat="1" ht="15.95" customHeight="1">
      <c r="A1543" s="176">
        <v>31</v>
      </c>
      <c r="B1543" s="31" t="s">
        <v>780</v>
      </c>
      <c r="C1543" s="32" t="s">
        <v>991</v>
      </c>
      <c r="D1543" s="571"/>
      <c r="E1543" s="571"/>
      <c r="F1543" s="571"/>
      <c r="G1543" s="571"/>
      <c r="H1543" s="571"/>
      <c r="I1543" s="571"/>
      <c r="J1543" s="571"/>
      <c r="K1543" s="571"/>
      <c r="L1543" s="571"/>
      <c r="M1543" s="571"/>
      <c r="N1543" s="571"/>
      <c r="O1543" s="571"/>
      <c r="P1543" s="571">
        <v>2</v>
      </c>
      <c r="Q1543" s="571"/>
      <c r="R1543" s="571"/>
      <c r="S1543" s="571"/>
      <c r="T1543" s="571"/>
      <c r="U1543" s="571"/>
      <c r="V1543" s="571"/>
      <c r="W1543" s="571"/>
      <c r="X1543" s="571"/>
      <c r="Y1543" s="571"/>
      <c r="Z1543" s="571"/>
      <c r="AA1543" s="571"/>
      <c r="AB1543" s="22">
        <f t="shared" si="486"/>
        <v>2</v>
      </c>
      <c r="AC1543" s="23">
        <v>0</v>
      </c>
      <c r="AD1543" s="35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>
        <v>1</v>
      </c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22">
        <f t="shared" si="487"/>
        <v>1</v>
      </c>
      <c r="BC1543" s="23">
        <v>0</v>
      </c>
      <c r="BD1543" s="130">
        <f t="shared" si="488"/>
        <v>3</v>
      </c>
      <c r="BE1543" s="130">
        <f t="shared" si="489"/>
        <v>0</v>
      </c>
      <c r="BF1543" s="195" t="e">
        <f t="shared" si="490"/>
        <v>#DIV/0!</v>
      </c>
      <c r="BG1543" s="373"/>
    </row>
    <row r="1544" spans="1:59" s="46" customFormat="1" ht="15.95" customHeight="1">
      <c r="A1544" s="176">
        <v>32</v>
      </c>
      <c r="B1544" s="31" t="s">
        <v>783</v>
      </c>
      <c r="C1544" s="32" t="s">
        <v>992</v>
      </c>
      <c r="D1544" s="231"/>
      <c r="E1544" s="231"/>
      <c r="F1544" s="231"/>
      <c r="G1544" s="231"/>
      <c r="H1544" s="231"/>
      <c r="I1544" s="231"/>
      <c r="J1544" s="231"/>
      <c r="K1544" s="231"/>
      <c r="L1544" s="231"/>
      <c r="M1544" s="231"/>
      <c r="N1544" s="231"/>
      <c r="O1544" s="231"/>
      <c r="P1544" s="231"/>
      <c r="Q1544" s="231"/>
      <c r="R1544" s="231"/>
      <c r="S1544" s="231"/>
      <c r="T1544" s="231"/>
      <c r="U1544" s="231"/>
      <c r="V1544" s="231"/>
      <c r="W1544" s="231"/>
      <c r="X1544" s="231"/>
      <c r="Y1544" s="231"/>
      <c r="Z1544" s="231"/>
      <c r="AA1544" s="231"/>
      <c r="AB1544" s="22">
        <f t="shared" si="486"/>
        <v>0</v>
      </c>
      <c r="AC1544" s="23">
        <v>0</v>
      </c>
      <c r="AD1544" s="35"/>
      <c r="AE1544" s="35"/>
      <c r="AF1544" s="35"/>
      <c r="AG1544" s="35"/>
      <c r="AH1544" s="35">
        <v>4</v>
      </c>
      <c r="AI1544" s="35"/>
      <c r="AJ1544" s="35"/>
      <c r="AK1544" s="35"/>
      <c r="AL1544" s="35">
        <v>29</v>
      </c>
      <c r="AM1544" s="35"/>
      <c r="AN1544" s="35"/>
      <c r="AO1544" s="35"/>
      <c r="AP1544" s="35">
        <v>34</v>
      </c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22">
        <f t="shared" si="487"/>
        <v>67</v>
      </c>
      <c r="BC1544" s="23">
        <v>95</v>
      </c>
      <c r="BD1544" s="130">
        <f t="shared" si="488"/>
        <v>67</v>
      </c>
      <c r="BE1544" s="130">
        <f t="shared" si="489"/>
        <v>95</v>
      </c>
      <c r="BF1544" s="195">
        <f t="shared" si="490"/>
        <v>70.526315789473685</v>
      </c>
      <c r="BG1544" s="373">
        <f>BE1544-BD1544</f>
        <v>28</v>
      </c>
    </row>
    <row r="1545" spans="1:59" s="46" customFormat="1" ht="15.95" customHeight="1">
      <c r="A1545" s="176">
        <v>33</v>
      </c>
      <c r="B1545" s="31" t="s">
        <v>1160</v>
      </c>
      <c r="C1545" s="32" t="s">
        <v>1161</v>
      </c>
      <c r="D1545" s="231"/>
      <c r="E1545" s="231"/>
      <c r="F1545" s="231"/>
      <c r="G1545" s="231"/>
      <c r="H1545" s="231"/>
      <c r="I1545" s="231"/>
      <c r="J1545" s="231"/>
      <c r="K1545" s="231"/>
      <c r="L1545" s="231"/>
      <c r="M1545" s="231"/>
      <c r="N1545" s="231"/>
      <c r="O1545" s="231"/>
      <c r="P1545" s="231"/>
      <c r="Q1545" s="231"/>
      <c r="R1545" s="231"/>
      <c r="S1545" s="231"/>
      <c r="T1545" s="231"/>
      <c r="U1545" s="231"/>
      <c r="V1545" s="231"/>
      <c r="W1545" s="231"/>
      <c r="X1545" s="231"/>
      <c r="Y1545" s="231"/>
      <c r="Z1545" s="231"/>
      <c r="AA1545" s="231"/>
      <c r="AB1545" s="22">
        <f t="shared" ref="AB1545:AB1576" si="492">SUM(D1545:AA1545)</f>
        <v>0</v>
      </c>
      <c r="AC1545" s="23">
        <v>0</v>
      </c>
      <c r="AD1545" s="35"/>
      <c r="AE1545" s="35"/>
      <c r="AF1545" s="35"/>
      <c r="AG1545" s="35"/>
      <c r="AH1545" s="35"/>
      <c r="AI1545" s="35"/>
      <c r="AJ1545" s="35"/>
      <c r="AK1545" s="35"/>
      <c r="AL1545" s="35">
        <v>2</v>
      </c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22">
        <f t="shared" ref="BB1545:BB1576" si="493">SUM(AD1545:BA1545)</f>
        <v>2</v>
      </c>
      <c r="BC1545" s="23">
        <v>1</v>
      </c>
      <c r="BD1545" s="130">
        <f t="shared" ref="BD1545:BD1576" si="494">AB1545+BB1545</f>
        <v>2</v>
      </c>
      <c r="BE1545" s="130">
        <f t="shared" ref="BE1545:BE1576" si="495">AC1545+BC1545</f>
        <v>1</v>
      </c>
      <c r="BF1545" s="195">
        <f t="shared" ref="BF1545:BF1576" si="496">BD1545/BE1545*100</f>
        <v>200</v>
      </c>
      <c r="BG1545" s="373">
        <f>BE1545-BD1545</f>
        <v>-1</v>
      </c>
    </row>
    <row r="1546" spans="1:59" s="46" customFormat="1" ht="15.95" customHeight="1">
      <c r="A1546" s="176">
        <v>34</v>
      </c>
      <c r="B1546" s="31" t="s">
        <v>3012</v>
      </c>
      <c r="C1546" s="32" t="s">
        <v>3013</v>
      </c>
      <c r="D1546" s="231"/>
      <c r="E1546" s="231"/>
      <c r="F1546" s="231"/>
      <c r="G1546" s="231"/>
      <c r="H1546" s="231"/>
      <c r="I1546" s="231"/>
      <c r="J1546" s="231"/>
      <c r="K1546" s="231"/>
      <c r="L1546" s="231"/>
      <c r="M1546" s="231"/>
      <c r="N1546" s="231"/>
      <c r="O1546" s="231"/>
      <c r="P1546" s="231"/>
      <c r="Q1546" s="231"/>
      <c r="R1546" s="231"/>
      <c r="S1546" s="231"/>
      <c r="T1546" s="231"/>
      <c r="U1546" s="231"/>
      <c r="V1546" s="231"/>
      <c r="W1546" s="231"/>
      <c r="X1546" s="231"/>
      <c r="Y1546" s="231"/>
      <c r="Z1546" s="231"/>
      <c r="AA1546" s="231"/>
      <c r="AB1546" s="22">
        <f t="shared" si="492"/>
        <v>0</v>
      </c>
      <c r="AC1546" s="23">
        <v>0</v>
      </c>
      <c r="AD1546" s="35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22">
        <f t="shared" si="493"/>
        <v>0</v>
      </c>
      <c r="BC1546" s="23">
        <v>1</v>
      </c>
      <c r="BD1546" s="130">
        <f t="shared" si="494"/>
        <v>0</v>
      </c>
      <c r="BE1546" s="130">
        <f t="shared" si="495"/>
        <v>1</v>
      </c>
      <c r="BF1546" s="195">
        <f t="shared" si="496"/>
        <v>0</v>
      </c>
      <c r="BG1546" s="373">
        <f>BE1546-BD1546</f>
        <v>1</v>
      </c>
    </row>
    <row r="1547" spans="1:59" s="46" customFormat="1" ht="15.95" customHeight="1">
      <c r="A1547" s="176">
        <v>35</v>
      </c>
      <c r="B1547" s="31" t="s">
        <v>812</v>
      </c>
      <c r="C1547" s="32" t="s">
        <v>813</v>
      </c>
      <c r="D1547" s="550"/>
      <c r="E1547" s="550"/>
      <c r="F1547" s="550"/>
      <c r="G1547" s="550"/>
      <c r="H1547" s="550"/>
      <c r="I1547" s="550"/>
      <c r="J1547" s="550"/>
      <c r="K1547" s="550"/>
      <c r="L1547" s="550"/>
      <c r="M1547" s="550"/>
      <c r="N1547" s="550"/>
      <c r="O1547" s="550"/>
      <c r="P1547" s="550"/>
      <c r="Q1547" s="550"/>
      <c r="R1547" s="550"/>
      <c r="S1547" s="550"/>
      <c r="T1547" s="550"/>
      <c r="U1547" s="550"/>
      <c r="V1547" s="550"/>
      <c r="W1547" s="550"/>
      <c r="X1547" s="550"/>
      <c r="Y1547" s="550"/>
      <c r="Z1547" s="550"/>
      <c r="AA1547" s="550"/>
      <c r="AB1547" s="22">
        <f t="shared" si="492"/>
        <v>0</v>
      </c>
      <c r="AC1547" s="23">
        <v>0</v>
      </c>
      <c r="AD1547" s="35"/>
      <c r="AE1547" s="35"/>
      <c r="AF1547" s="35"/>
      <c r="AG1547" s="35"/>
      <c r="AH1547" s="35"/>
      <c r="AI1547" s="35"/>
      <c r="AJ1547" s="35"/>
      <c r="AK1547" s="35"/>
      <c r="AL1547" s="35">
        <v>1</v>
      </c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22">
        <f t="shared" si="493"/>
        <v>1</v>
      </c>
      <c r="BC1547" s="23">
        <v>0</v>
      </c>
      <c r="BD1547" s="130">
        <f t="shared" si="494"/>
        <v>1</v>
      </c>
      <c r="BE1547" s="130">
        <f t="shared" si="495"/>
        <v>0</v>
      </c>
      <c r="BF1547" s="195" t="e">
        <f t="shared" si="496"/>
        <v>#DIV/0!</v>
      </c>
      <c r="BG1547" s="373"/>
    </row>
    <row r="1548" spans="1:59" s="46" customFormat="1" ht="15.95" customHeight="1">
      <c r="A1548" s="176">
        <v>36</v>
      </c>
      <c r="B1548" s="37" t="s">
        <v>995</v>
      </c>
      <c r="C1548" s="38" t="s">
        <v>996</v>
      </c>
      <c r="D1548" s="323"/>
      <c r="E1548" s="323"/>
      <c r="F1548" s="323"/>
      <c r="G1548" s="323"/>
      <c r="H1548" s="323"/>
      <c r="I1548" s="323"/>
      <c r="J1548" s="323"/>
      <c r="K1548" s="323"/>
      <c r="L1548" s="323"/>
      <c r="M1548" s="323"/>
      <c r="N1548" s="323"/>
      <c r="O1548" s="323"/>
      <c r="P1548" s="323"/>
      <c r="Q1548" s="323"/>
      <c r="R1548" s="323"/>
      <c r="S1548" s="323"/>
      <c r="T1548" s="323"/>
      <c r="U1548" s="323"/>
      <c r="V1548" s="323"/>
      <c r="W1548" s="323"/>
      <c r="X1548" s="323"/>
      <c r="Y1548" s="323"/>
      <c r="Z1548" s="323"/>
      <c r="AA1548" s="323"/>
      <c r="AB1548" s="22">
        <f t="shared" si="492"/>
        <v>0</v>
      </c>
      <c r="AC1548" s="23">
        <v>0</v>
      </c>
      <c r="AD1548" s="35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22">
        <f t="shared" si="493"/>
        <v>0</v>
      </c>
      <c r="BC1548" s="23">
        <v>3</v>
      </c>
      <c r="BD1548" s="130">
        <f t="shared" si="494"/>
        <v>0</v>
      </c>
      <c r="BE1548" s="130">
        <f t="shared" si="495"/>
        <v>3</v>
      </c>
      <c r="BF1548" s="195">
        <f t="shared" si="496"/>
        <v>0</v>
      </c>
      <c r="BG1548" s="373">
        <f>BE1548-BD1548</f>
        <v>3</v>
      </c>
    </row>
    <row r="1549" spans="1:59" s="46" customFormat="1" ht="15.95" customHeight="1">
      <c r="A1549" s="176">
        <v>37</v>
      </c>
      <c r="B1549" s="31" t="s">
        <v>3975</v>
      </c>
      <c r="C1549" s="32" t="s">
        <v>3976</v>
      </c>
      <c r="D1549" s="571"/>
      <c r="E1549" s="571"/>
      <c r="F1549" s="571"/>
      <c r="G1549" s="571"/>
      <c r="H1549" s="571"/>
      <c r="I1549" s="571"/>
      <c r="J1549" s="571"/>
      <c r="K1549" s="571"/>
      <c r="L1549" s="571"/>
      <c r="M1549" s="571"/>
      <c r="N1549" s="571"/>
      <c r="O1549" s="571"/>
      <c r="P1549" s="571"/>
      <c r="Q1549" s="571"/>
      <c r="R1549" s="571"/>
      <c r="S1549" s="571"/>
      <c r="T1549" s="571"/>
      <c r="U1549" s="571"/>
      <c r="V1549" s="571"/>
      <c r="W1549" s="571"/>
      <c r="X1549" s="571"/>
      <c r="Y1549" s="571"/>
      <c r="Z1549" s="571"/>
      <c r="AA1549" s="571"/>
      <c r="AB1549" s="22">
        <f t="shared" si="492"/>
        <v>0</v>
      </c>
      <c r="AC1549" s="23">
        <v>0</v>
      </c>
      <c r="AD1549" s="35"/>
      <c r="AE1549" s="35"/>
      <c r="AF1549" s="35"/>
      <c r="AG1549" s="35"/>
      <c r="AH1549" s="35"/>
      <c r="AI1549" s="35"/>
      <c r="AJ1549" s="35"/>
      <c r="AK1549" s="35"/>
      <c r="AL1549" s="35"/>
      <c r="AM1549" s="35"/>
      <c r="AN1549" s="35"/>
      <c r="AO1549" s="35"/>
      <c r="AP1549" s="35">
        <v>1</v>
      </c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22">
        <f t="shared" si="493"/>
        <v>1</v>
      </c>
      <c r="BC1549" s="23">
        <v>0</v>
      </c>
      <c r="BD1549" s="130">
        <f t="shared" si="494"/>
        <v>1</v>
      </c>
      <c r="BE1549" s="130">
        <f t="shared" si="495"/>
        <v>0</v>
      </c>
      <c r="BF1549" s="195" t="e">
        <f t="shared" si="496"/>
        <v>#DIV/0!</v>
      </c>
      <c r="BG1549" s="373"/>
    </row>
    <row r="1550" spans="1:59" s="46" customFormat="1" ht="15.95" customHeight="1">
      <c r="A1550" s="176">
        <v>38</v>
      </c>
      <c r="B1550" s="31" t="s">
        <v>814</v>
      </c>
      <c r="C1550" s="32" t="s">
        <v>1002</v>
      </c>
      <c r="D1550" s="231"/>
      <c r="E1550" s="231"/>
      <c r="F1550" s="231"/>
      <c r="G1550" s="231"/>
      <c r="H1550" s="231"/>
      <c r="I1550" s="231"/>
      <c r="J1550" s="231"/>
      <c r="K1550" s="231"/>
      <c r="L1550" s="231"/>
      <c r="M1550" s="231"/>
      <c r="N1550" s="231"/>
      <c r="O1550" s="231"/>
      <c r="P1550" s="231"/>
      <c r="Q1550" s="231"/>
      <c r="R1550" s="231"/>
      <c r="S1550" s="231"/>
      <c r="T1550" s="231"/>
      <c r="U1550" s="231"/>
      <c r="V1550" s="231"/>
      <c r="W1550" s="231"/>
      <c r="X1550" s="231"/>
      <c r="Y1550" s="231"/>
      <c r="Z1550" s="231"/>
      <c r="AA1550" s="231"/>
      <c r="AB1550" s="22">
        <f t="shared" si="492"/>
        <v>0</v>
      </c>
      <c r="AC1550" s="23">
        <v>0</v>
      </c>
      <c r="AD1550" s="35"/>
      <c r="AE1550" s="35"/>
      <c r="AF1550" s="35"/>
      <c r="AG1550" s="35"/>
      <c r="AH1550" s="35">
        <v>10</v>
      </c>
      <c r="AI1550" s="35"/>
      <c r="AJ1550" s="35"/>
      <c r="AK1550" s="35"/>
      <c r="AL1550" s="35">
        <v>1</v>
      </c>
      <c r="AM1550" s="35"/>
      <c r="AN1550" s="35"/>
      <c r="AO1550" s="35"/>
      <c r="AP1550" s="35">
        <v>12</v>
      </c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22">
        <f t="shared" si="493"/>
        <v>23</v>
      </c>
      <c r="BC1550" s="23">
        <v>98</v>
      </c>
      <c r="BD1550" s="130">
        <f t="shared" si="494"/>
        <v>23</v>
      </c>
      <c r="BE1550" s="130">
        <f t="shared" si="495"/>
        <v>98</v>
      </c>
      <c r="BF1550" s="195">
        <f t="shared" si="496"/>
        <v>23.469387755102041</v>
      </c>
      <c r="BG1550" s="373">
        <f t="shared" ref="BG1550:BG1574" si="497">BE1550-BD1550</f>
        <v>75</v>
      </c>
    </row>
    <row r="1551" spans="1:59" s="46" customFormat="1" ht="15.95" customHeight="1">
      <c r="A1551" s="176">
        <v>39</v>
      </c>
      <c r="B1551" s="31" t="s">
        <v>905</v>
      </c>
      <c r="C1551" s="34" t="s">
        <v>1003</v>
      </c>
      <c r="D1551" s="231"/>
      <c r="E1551" s="231"/>
      <c r="F1551" s="231"/>
      <c r="G1551" s="231"/>
      <c r="H1551" s="231"/>
      <c r="I1551" s="231"/>
      <c r="J1551" s="231"/>
      <c r="K1551" s="231"/>
      <c r="L1551" s="231"/>
      <c r="M1551" s="231"/>
      <c r="N1551" s="231"/>
      <c r="O1551" s="231"/>
      <c r="P1551" s="231"/>
      <c r="Q1551" s="231"/>
      <c r="R1551" s="231"/>
      <c r="S1551" s="231"/>
      <c r="T1551" s="231"/>
      <c r="U1551" s="231"/>
      <c r="V1551" s="231"/>
      <c r="W1551" s="231"/>
      <c r="X1551" s="231"/>
      <c r="Y1551" s="231"/>
      <c r="Z1551" s="231"/>
      <c r="AA1551" s="231"/>
      <c r="AB1551" s="22">
        <f t="shared" si="492"/>
        <v>0</v>
      </c>
      <c r="AC1551" s="23">
        <v>0</v>
      </c>
      <c r="AD1551" s="35"/>
      <c r="AE1551" s="35"/>
      <c r="AF1551" s="35"/>
      <c r="AG1551" s="35"/>
      <c r="AH1551" s="35">
        <f>1+5</f>
        <v>6</v>
      </c>
      <c r="AI1551" s="35"/>
      <c r="AJ1551" s="35"/>
      <c r="AK1551" s="35"/>
      <c r="AL1551" s="35">
        <f>26+32</f>
        <v>58</v>
      </c>
      <c r="AM1551" s="35"/>
      <c r="AN1551" s="35"/>
      <c r="AO1551" s="35"/>
      <c r="AP1551" s="35">
        <f>12+20</f>
        <v>32</v>
      </c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22">
        <f t="shared" si="493"/>
        <v>96</v>
      </c>
      <c r="BC1551" s="23">
        <v>170</v>
      </c>
      <c r="BD1551" s="130">
        <f t="shared" si="494"/>
        <v>96</v>
      </c>
      <c r="BE1551" s="130">
        <f t="shared" si="495"/>
        <v>170</v>
      </c>
      <c r="BF1551" s="195">
        <f t="shared" si="496"/>
        <v>56.470588235294116</v>
      </c>
      <c r="BG1551" s="373">
        <f t="shared" si="497"/>
        <v>74</v>
      </c>
    </row>
    <row r="1552" spans="1:59" s="46" customFormat="1" ht="15.95" customHeight="1">
      <c r="A1552" s="176">
        <v>40</v>
      </c>
      <c r="B1552" s="31" t="s">
        <v>819</v>
      </c>
      <c r="C1552" s="34" t="s">
        <v>1074</v>
      </c>
      <c r="D1552" s="292"/>
      <c r="E1552" s="292"/>
      <c r="F1552" s="292"/>
      <c r="G1552" s="292"/>
      <c r="H1552" s="292"/>
      <c r="I1552" s="292"/>
      <c r="J1552" s="292"/>
      <c r="K1552" s="292"/>
      <c r="L1552" s="292"/>
      <c r="M1552" s="292"/>
      <c r="N1552" s="292"/>
      <c r="O1552" s="292"/>
      <c r="P1552" s="292"/>
      <c r="Q1552" s="292"/>
      <c r="R1552" s="292"/>
      <c r="S1552" s="292"/>
      <c r="T1552" s="292"/>
      <c r="U1552" s="292"/>
      <c r="V1552" s="292"/>
      <c r="W1552" s="292"/>
      <c r="X1552" s="292"/>
      <c r="Y1552" s="292"/>
      <c r="Z1552" s="292"/>
      <c r="AA1552" s="292"/>
      <c r="AB1552" s="22">
        <f t="shared" si="492"/>
        <v>0</v>
      </c>
      <c r="AC1552" s="23">
        <v>0</v>
      </c>
      <c r="AD1552" s="35"/>
      <c r="AE1552" s="35"/>
      <c r="AF1552" s="35"/>
      <c r="AG1552" s="35"/>
      <c r="AH1552" s="35"/>
      <c r="AI1552" s="35"/>
      <c r="AJ1552" s="35"/>
      <c r="AK1552" s="35"/>
      <c r="AL1552" s="35">
        <v>2</v>
      </c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22">
        <f t="shared" si="493"/>
        <v>2</v>
      </c>
      <c r="BC1552" s="23">
        <v>7</v>
      </c>
      <c r="BD1552" s="130">
        <f t="shared" si="494"/>
        <v>2</v>
      </c>
      <c r="BE1552" s="130">
        <f t="shared" si="495"/>
        <v>7</v>
      </c>
      <c r="BF1552" s="195">
        <f t="shared" si="496"/>
        <v>28.571428571428569</v>
      </c>
      <c r="BG1552" s="373">
        <f t="shared" si="497"/>
        <v>5</v>
      </c>
    </row>
    <row r="1553" spans="1:59" s="46" customFormat="1" ht="15.95" customHeight="1">
      <c r="A1553" s="176">
        <v>41</v>
      </c>
      <c r="B1553" s="31" t="s">
        <v>1004</v>
      </c>
      <c r="C1553" s="34" t="s">
        <v>1005</v>
      </c>
      <c r="D1553" s="231"/>
      <c r="E1553" s="231"/>
      <c r="F1553" s="231"/>
      <c r="G1553" s="231"/>
      <c r="H1553" s="231"/>
      <c r="I1553" s="231"/>
      <c r="J1553" s="231"/>
      <c r="K1553" s="231"/>
      <c r="L1553" s="231"/>
      <c r="M1553" s="231"/>
      <c r="N1553" s="231"/>
      <c r="O1553" s="231"/>
      <c r="P1553" s="231"/>
      <c r="Q1553" s="231"/>
      <c r="R1553" s="231"/>
      <c r="S1553" s="231"/>
      <c r="T1553" s="231"/>
      <c r="U1553" s="231"/>
      <c r="V1553" s="231"/>
      <c r="W1553" s="231"/>
      <c r="X1553" s="231"/>
      <c r="Y1553" s="231"/>
      <c r="Z1553" s="231"/>
      <c r="AA1553" s="231"/>
      <c r="AB1553" s="22">
        <f t="shared" si="492"/>
        <v>0</v>
      </c>
      <c r="AC1553" s="23">
        <v>0</v>
      </c>
      <c r="AD1553" s="35">
        <v>1</v>
      </c>
      <c r="AE1553" s="35"/>
      <c r="AF1553" s="35"/>
      <c r="AG1553" s="35"/>
      <c r="AH1553" s="35">
        <v>29</v>
      </c>
      <c r="AI1553" s="35"/>
      <c r="AJ1553" s="35"/>
      <c r="AK1553" s="35"/>
      <c r="AL1553" s="35">
        <v>210</v>
      </c>
      <c r="AM1553" s="35"/>
      <c r="AN1553" s="35"/>
      <c r="AO1553" s="35"/>
      <c r="AP1553" s="35">
        <f>206+2</f>
        <v>208</v>
      </c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22">
        <f t="shared" si="493"/>
        <v>448</v>
      </c>
      <c r="BC1553" s="23">
        <v>1870</v>
      </c>
      <c r="BD1553" s="130">
        <f t="shared" si="494"/>
        <v>448</v>
      </c>
      <c r="BE1553" s="130">
        <f t="shared" si="495"/>
        <v>1870</v>
      </c>
      <c r="BF1553" s="195">
        <f t="shared" si="496"/>
        <v>23.957219251336898</v>
      </c>
      <c r="BG1553" s="373">
        <f t="shared" si="497"/>
        <v>1422</v>
      </c>
    </row>
    <row r="1554" spans="1:59" s="46" customFormat="1" ht="15.95" customHeight="1">
      <c r="A1554" s="176">
        <v>42</v>
      </c>
      <c r="B1554" s="40" t="s">
        <v>821</v>
      </c>
      <c r="C1554" s="41" t="s">
        <v>822</v>
      </c>
      <c r="D1554" s="366"/>
      <c r="E1554" s="366"/>
      <c r="F1554" s="366"/>
      <c r="G1554" s="366"/>
      <c r="H1554" s="366"/>
      <c r="I1554" s="366"/>
      <c r="J1554" s="366"/>
      <c r="K1554" s="366"/>
      <c r="L1554" s="366"/>
      <c r="M1554" s="366"/>
      <c r="N1554" s="366"/>
      <c r="O1554" s="366"/>
      <c r="P1554" s="366"/>
      <c r="Q1554" s="366"/>
      <c r="R1554" s="366"/>
      <c r="S1554" s="366"/>
      <c r="T1554" s="366"/>
      <c r="U1554" s="366"/>
      <c r="V1554" s="366"/>
      <c r="W1554" s="366"/>
      <c r="X1554" s="366"/>
      <c r="Y1554" s="366"/>
      <c r="Z1554" s="366"/>
      <c r="AA1554" s="366"/>
      <c r="AB1554" s="22">
        <f t="shared" si="492"/>
        <v>0</v>
      </c>
      <c r="AC1554" s="23">
        <v>0</v>
      </c>
      <c r="AD1554" s="35"/>
      <c r="AE1554" s="35"/>
      <c r="AF1554" s="35"/>
      <c r="AG1554" s="35"/>
      <c r="AH1554" s="35"/>
      <c r="AI1554" s="35"/>
      <c r="AJ1554" s="35"/>
      <c r="AK1554" s="35"/>
      <c r="AL1554" s="35">
        <v>2</v>
      </c>
      <c r="AM1554" s="35"/>
      <c r="AN1554" s="35"/>
      <c r="AO1554" s="35"/>
      <c r="AP1554" s="35">
        <v>4</v>
      </c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22">
        <f t="shared" si="493"/>
        <v>6</v>
      </c>
      <c r="BC1554" s="23">
        <v>5</v>
      </c>
      <c r="BD1554" s="130">
        <f t="shared" si="494"/>
        <v>6</v>
      </c>
      <c r="BE1554" s="130">
        <f t="shared" si="495"/>
        <v>5</v>
      </c>
      <c r="BF1554" s="195">
        <f t="shared" si="496"/>
        <v>120</v>
      </c>
      <c r="BG1554" s="373">
        <f t="shared" si="497"/>
        <v>-1</v>
      </c>
    </row>
    <row r="1555" spans="1:59" s="46" customFormat="1" ht="15.95" customHeight="1">
      <c r="A1555" s="176">
        <v>43</v>
      </c>
      <c r="B1555" s="40" t="s">
        <v>1010</v>
      </c>
      <c r="C1555" s="41" t="s">
        <v>2418</v>
      </c>
      <c r="D1555" s="366"/>
      <c r="E1555" s="366"/>
      <c r="F1555" s="366"/>
      <c r="G1555" s="366"/>
      <c r="H1555" s="366"/>
      <c r="I1555" s="366"/>
      <c r="J1555" s="366"/>
      <c r="K1555" s="366"/>
      <c r="L1555" s="366"/>
      <c r="M1555" s="366"/>
      <c r="N1555" s="366"/>
      <c r="O1555" s="366"/>
      <c r="P1555" s="366"/>
      <c r="Q1555" s="366"/>
      <c r="R1555" s="366"/>
      <c r="S1555" s="366"/>
      <c r="T1555" s="366"/>
      <c r="U1555" s="366"/>
      <c r="V1555" s="366"/>
      <c r="W1555" s="366"/>
      <c r="X1555" s="366"/>
      <c r="Y1555" s="366"/>
      <c r="Z1555" s="366"/>
      <c r="AA1555" s="366"/>
      <c r="AB1555" s="22">
        <f t="shared" si="492"/>
        <v>0</v>
      </c>
      <c r="AC1555" s="23">
        <v>0</v>
      </c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22">
        <f t="shared" si="493"/>
        <v>0</v>
      </c>
      <c r="BC1555" s="23">
        <v>1</v>
      </c>
      <c r="BD1555" s="130">
        <f t="shared" si="494"/>
        <v>0</v>
      </c>
      <c r="BE1555" s="130">
        <f t="shared" si="495"/>
        <v>1</v>
      </c>
      <c r="BF1555" s="195">
        <f t="shared" si="496"/>
        <v>0</v>
      </c>
      <c r="BG1555" s="373">
        <f t="shared" si="497"/>
        <v>1</v>
      </c>
    </row>
    <row r="1556" spans="1:59" s="46" customFormat="1" ht="15.95" customHeight="1">
      <c r="A1556" s="176">
        <v>44</v>
      </c>
      <c r="B1556" s="31" t="s">
        <v>1669</v>
      </c>
      <c r="C1556" s="32" t="s">
        <v>2101</v>
      </c>
      <c r="D1556" s="366"/>
      <c r="E1556" s="366"/>
      <c r="F1556" s="366"/>
      <c r="G1556" s="366"/>
      <c r="H1556" s="366"/>
      <c r="I1556" s="366"/>
      <c r="J1556" s="366"/>
      <c r="K1556" s="366"/>
      <c r="L1556" s="366"/>
      <c r="M1556" s="366"/>
      <c r="N1556" s="366"/>
      <c r="O1556" s="366"/>
      <c r="P1556" s="366"/>
      <c r="Q1556" s="366"/>
      <c r="R1556" s="366"/>
      <c r="S1556" s="366"/>
      <c r="T1556" s="366"/>
      <c r="U1556" s="366"/>
      <c r="V1556" s="366"/>
      <c r="W1556" s="366"/>
      <c r="X1556" s="366"/>
      <c r="Y1556" s="366"/>
      <c r="Z1556" s="366"/>
      <c r="AA1556" s="366"/>
      <c r="AB1556" s="22">
        <f t="shared" si="492"/>
        <v>0</v>
      </c>
      <c r="AC1556" s="23">
        <v>0</v>
      </c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22">
        <f t="shared" si="493"/>
        <v>0</v>
      </c>
      <c r="BC1556" s="23">
        <v>1</v>
      </c>
      <c r="BD1556" s="130">
        <f t="shared" si="494"/>
        <v>0</v>
      </c>
      <c r="BE1556" s="130">
        <f t="shared" si="495"/>
        <v>1</v>
      </c>
      <c r="BF1556" s="195">
        <f t="shared" si="496"/>
        <v>0</v>
      </c>
      <c r="BG1556" s="373">
        <f t="shared" si="497"/>
        <v>1</v>
      </c>
    </row>
    <row r="1557" spans="1:59" s="46" customFormat="1" ht="15.95" customHeight="1">
      <c r="A1557" s="176">
        <v>45</v>
      </c>
      <c r="B1557" s="31" t="s">
        <v>823</v>
      </c>
      <c r="C1557" s="34" t="s">
        <v>824</v>
      </c>
      <c r="D1557" s="366"/>
      <c r="E1557" s="366"/>
      <c r="F1557" s="366"/>
      <c r="G1557" s="366"/>
      <c r="H1557" s="366"/>
      <c r="I1557" s="366"/>
      <c r="J1557" s="366"/>
      <c r="K1557" s="366"/>
      <c r="L1557" s="366"/>
      <c r="M1557" s="366"/>
      <c r="N1557" s="366"/>
      <c r="O1557" s="366"/>
      <c r="P1557" s="366"/>
      <c r="Q1557" s="366"/>
      <c r="R1557" s="366"/>
      <c r="S1557" s="366"/>
      <c r="T1557" s="366"/>
      <c r="U1557" s="366"/>
      <c r="V1557" s="366"/>
      <c r="W1557" s="366"/>
      <c r="X1557" s="366"/>
      <c r="Y1557" s="366"/>
      <c r="Z1557" s="366"/>
      <c r="AA1557" s="366"/>
      <c r="AB1557" s="22">
        <f t="shared" si="492"/>
        <v>0</v>
      </c>
      <c r="AC1557" s="23">
        <v>0</v>
      </c>
      <c r="AD1557" s="35"/>
      <c r="AE1557" s="35"/>
      <c r="AF1557" s="35"/>
      <c r="AG1557" s="35"/>
      <c r="AH1557" s="35"/>
      <c r="AI1557" s="35"/>
      <c r="AJ1557" s="35"/>
      <c r="AK1557" s="35"/>
      <c r="AL1557" s="35">
        <v>10</v>
      </c>
      <c r="AM1557" s="35"/>
      <c r="AN1557" s="35"/>
      <c r="AO1557" s="35"/>
      <c r="AP1557" s="35">
        <v>3</v>
      </c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22">
        <f t="shared" si="493"/>
        <v>13</v>
      </c>
      <c r="BC1557" s="23">
        <v>52</v>
      </c>
      <c r="BD1557" s="130">
        <f t="shared" si="494"/>
        <v>13</v>
      </c>
      <c r="BE1557" s="130">
        <f t="shared" si="495"/>
        <v>52</v>
      </c>
      <c r="BF1557" s="195">
        <f t="shared" si="496"/>
        <v>25</v>
      </c>
      <c r="BG1557" s="373">
        <f t="shared" si="497"/>
        <v>39</v>
      </c>
    </row>
    <row r="1558" spans="1:59" s="46" customFormat="1" ht="15.95" customHeight="1">
      <c r="A1558" s="176">
        <v>46</v>
      </c>
      <c r="B1558" s="31" t="s">
        <v>825</v>
      </c>
      <c r="C1558" s="32" t="s">
        <v>907</v>
      </c>
      <c r="D1558" s="366"/>
      <c r="E1558" s="366"/>
      <c r="F1558" s="366"/>
      <c r="G1558" s="366"/>
      <c r="H1558" s="366"/>
      <c r="I1558" s="366"/>
      <c r="J1558" s="366"/>
      <c r="K1558" s="366"/>
      <c r="L1558" s="366"/>
      <c r="M1558" s="366"/>
      <c r="N1558" s="366"/>
      <c r="O1558" s="366"/>
      <c r="P1558" s="366"/>
      <c r="Q1558" s="366"/>
      <c r="R1558" s="366"/>
      <c r="S1558" s="366"/>
      <c r="T1558" s="366"/>
      <c r="U1558" s="366"/>
      <c r="V1558" s="366"/>
      <c r="W1558" s="366"/>
      <c r="X1558" s="366"/>
      <c r="Y1558" s="366"/>
      <c r="Z1558" s="366"/>
      <c r="AA1558" s="366"/>
      <c r="AB1558" s="22">
        <f t="shared" si="492"/>
        <v>0</v>
      </c>
      <c r="AC1558" s="23">
        <v>0</v>
      </c>
      <c r="AD1558" s="35"/>
      <c r="AE1558" s="35"/>
      <c r="AF1558" s="35"/>
      <c r="AG1558" s="35"/>
      <c r="AH1558" s="35">
        <v>15</v>
      </c>
      <c r="AI1558" s="35"/>
      <c r="AJ1558" s="35"/>
      <c r="AK1558" s="35"/>
      <c r="AL1558" s="35">
        <v>44</v>
      </c>
      <c r="AM1558" s="35"/>
      <c r="AN1558" s="35"/>
      <c r="AO1558" s="35"/>
      <c r="AP1558" s="35">
        <v>21</v>
      </c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22">
        <f t="shared" si="493"/>
        <v>80</v>
      </c>
      <c r="BC1558" s="23">
        <v>290</v>
      </c>
      <c r="BD1558" s="130">
        <f t="shared" si="494"/>
        <v>80</v>
      </c>
      <c r="BE1558" s="130">
        <f t="shared" si="495"/>
        <v>290</v>
      </c>
      <c r="BF1558" s="195">
        <f t="shared" si="496"/>
        <v>27.586206896551722</v>
      </c>
      <c r="BG1558" s="373">
        <f t="shared" si="497"/>
        <v>210</v>
      </c>
    </row>
    <row r="1559" spans="1:59" s="46" customFormat="1" ht="15.95" customHeight="1">
      <c r="A1559" s="176">
        <v>47</v>
      </c>
      <c r="B1559" s="31" t="s">
        <v>827</v>
      </c>
      <c r="C1559" s="32" t="s">
        <v>828</v>
      </c>
      <c r="D1559" s="366"/>
      <c r="E1559" s="366"/>
      <c r="F1559" s="366"/>
      <c r="G1559" s="366"/>
      <c r="H1559" s="366"/>
      <c r="I1559" s="366"/>
      <c r="J1559" s="366"/>
      <c r="K1559" s="366"/>
      <c r="L1559" s="366"/>
      <c r="M1559" s="366"/>
      <c r="N1559" s="366"/>
      <c r="O1559" s="366"/>
      <c r="P1559" s="366"/>
      <c r="Q1559" s="366"/>
      <c r="R1559" s="366"/>
      <c r="S1559" s="366"/>
      <c r="T1559" s="366"/>
      <c r="U1559" s="366"/>
      <c r="V1559" s="366"/>
      <c r="W1559" s="366"/>
      <c r="X1559" s="366"/>
      <c r="Y1559" s="366"/>
      <c r="Z1559" s="366"/>
      <c r="AA1559" s="366"/>
      <c r="AB1559" s="22">
        <f t="shared" si="492"/>
        <v>0</v>
      </c>
      <c r="AC1559" s="23">
        <v>0</v>
      </c>
      <c r="AD1559" s="35"/>
      <c r="AE1559" s="35"/>
      <c r="AF1559" s="35"/>
      <c r="AG1559" s="35"/>
      <c r="AH1559" s="35">
        <v>1</v>
      </c>
      <c r="AI1559" s="35"/>
      <c r="AJ1559" s="35"/>
      <c r="AK1559" s="35"/>
      <c r="AL1559" s="35">
        <v>4</v>
      </c>
      <c r="AM1559" s="35"/>
      <c r="AN1559" s="35"/>
      <c r="AO1559" s="35"/>
      <c r="AP1559" s="35">
        <v>6</v>
      </c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22">
        <f t="shared" si="493"/>
        <v>11</v>
      </c>
      <c r="BC1559" s="23">
        <v>8</v>
      </c>
      <c r="BD1559" s="130">
        <f t="shared" si="494"/>
        <v>11</v>
      </c>
      <c r="BE1559" s="130">
        <f t="shared" si="495"/>
        <v>8</v>
      </c>
      <c r="BF1559" s="195">
        <f t="shared" si="496"/>
        <v>137.5</v>
      </c>
      <c r="BG1559" s="373">
        <f t="shared" si="497"/>
        <v>-3</v>
      </c>
    </row>
    <row r="1560" spans="1:59" s="46" customFormat="1" ht="15.95" customHeight="1">
      <c r="A1560" s="176">
        <v>48</v>
      </c>
      <c r="B1560" s="31" t="s">
        <v>835</v>
      </c>
      <c r="C1560" s="32" t="s">
        <v>947</v>
      </c>
      <c r="D1560" s="231"/>
      <c r="E1560" s="231"/>
      <c r="F1560" s="231"/>
      <c r="G1560" s="231"/>
      <c r="H1560" s="231"/>
      <c r="I1560" s="231"/>
      <c r="J1560" s="231"/>
      <c r="K1560" s="231"/>
      <c r="L1560" s="231"/>
      <c r="M1560" s="231"/>
      <c r="N1560" s="231"/>
      <c r="O1560" s="231"/>
      <c r="P1560" s="231"/>
      <c r="Q1560" s="231"/>
      <c r="R1560" s="231"/>
      <c r="S1560" s="231"/>
      <c r="T1560" s="231"/>
      <c r="U1560" s="231"/>
      <c r="V1560" s="231"/>
      <c r="W1560" s="231"/>
      <c r="X1560" s="231"/>
      <c r="Y1560" s="231"/>
      <c r="Z1560" s="231"/>
      <c r="AA1560" s="231"/>
      <c r="AB1560" s="22">
        <f t="shared" si="492"/>
        <v>0</v>
      </c>
      <c r="AC1560" s="23">
        <v>0</v>
      </c>
      <c r="AD1560" s="35"/>
      <c r="AE1560" s="35"/>
      <c r="AF1560" s="35"/>
      <c r="AG1560" s="35"/>
      <c r="AH1560" s="35"/>
      <c r="AI1560" s="35"/>
      <c r="AJ1560" s="35"/>
      <c r="AK1560" s="35"/>
      <c r="AL1560" s="35">
        <v>3</v>
      </c>
      <c r="AM1560" s="35"/>
      <c r="AN1560" s="35"/>
      <c r="AO1560" s="35"/>
      <c r="AP1560" s="35">
        <v>2</v>
      </c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22">
        <f t="shared" si="493"/>
        <v>5</v>
      </c>
      <c r="BC1560" s="23">
        <v>9</v>
      </c>
      <c r="BD1560" s="130">
        <f t="shared" si="494"/>
        <v>5</v>
      </c>
      <c r="BE1560" s="130">
        <f t="shared" si="495"/>
        <v>9</v>
      </c>
      <c r="BF1560" s="195">
        <f t="shared" si="496"/>
        <v>55.555555555555557</v>
      </c>
      <c r="BG1560" s="373">
        <f t="shared" si="497"/>
        <v>4</v>
      </c>
    </row>
    <row r="1561" spans="1:59" s="46" customFormat="1" ht="15.95" customHeight="1">
      <c r="A1561" s="176">
        <v>49</v>
      </c>
      <c r="B1561" s="31" t="s">
        <v>1013</v>
      </c>
      <c r="C1561" s="32" t="s">
        <v>1014</v>
      </c>
      <c r="D1561" s="231"/>
      <c r="E1561" s="231"/>
      <c r="F1561" s="231"/>
      <c r="G1561" s="231"/>
      <c r="H1561" s="231"/>
      <c r="I1561" s="231"/>
      <c r="J1561" s="231"/>
      <c r="K1561" s="231"/>
      <c r="L1561" s="231"/>
      <c r="M1561" s="231"/>
      <c r="N1561" s="231"/>
      <c r="O1561" s="231"/>
      <c r="P1561" s="231"/>
      <c r="Q1561" s="231"/>
      <c r="R1561" s="231"/>
      <c r="S1561" s="231"/>
      <c r="T1561" s="231"/>
      <c r="U1561" s="231"/>
      <c r="V1561" s="231"/>
      <c r="W1561" s="231"/>
      <c r="X1561" s="231"/>
      <c r="Y1561" s="231"/>
      <c r="Z1561" s="231"/>
      <c r="AA1561" s="231"/>
      <c r="AB1561" s="22">
        <f t="shared" si="492"/>
        <v>0</v>
      </c>
      <c r="AC1561" s="23">
        <v>0</v>
      </c>
      <c r="AD1561" s="35"/>
      <c r="AE1561" s="35"/>
      <c r="AF1561" s="35"/>
      <c r="AG1561" s="35"/>
      <c r="AH1561" s="35"/>
      <c r="AI1561" s="35"/>
      <c r="AJ1561" s="35"/>
      <c r="AK1561" s="35"/>
      <c r="AL1561" s="35">
        <v>1</v>
      </c>
      <c r="AM1561" s="35"/>
      <c r="AN1561" s="35"/>
      <c r="AO1561" s="35"/>
      <c r="AP1561" s="35">
        <f>1+11</f>
        <v>12</v>
      </c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22">
        <f t="shared" si="493"/>
        <v>13</v>
      </c>
      <c r="BC1561" s="23">
        <v>12</v>
      </c>
      <c r="BD1561" s="130">
        <f t="shared" si="494"/>
        <v>13</v>
      </c>
      <c r="BE1561" s="130">
        <f t="shared" si="495"/>
        <v>12</v>
      </c>
      <c r="BF1561" s="195">
        <f t="shared" si="496"/>
        <v>108.33333333333333</v>
      </c>
      <c r="BG1561" s="373">
        <f t="shared" si="497"/>
        <v>-1</v>
      </c>
    </row>
    <row r="1562" spans="1:59" s="46" customFormat="1" ht="15.95" customHeight="1">
      <c r="A1562" s="176">
        <v>50</v>
      </c>
      <c r="B1562" s="31" t="s">
        <v>837</v>
      </c>
      <c r="C1562" s="32" t="s">
        <v>908</v>
      </c>
      <c r="D1562" s="231"/>
      <c r="E1562" s="231"/>
      <c r="F1562" s="231"/>
      <c r="G1562" s="231"/>
      <c r="H1562" s="231"/>
      <c r="I1562" s="231"/>
      <c r="J1562" s="231"/>
      <c r="K1562" s="231"/>
      <c r="L1562" s="231"/>
      <c r="M1562" s="231"/>
      <c r="N1562" s="231"/>
      <c r="O1562" s="231"/>
      <c r="P1562" s="231"/>
      <c r="Q1562" s="231"/>
      <c r="R1562" s="231"/>
      <c r="S1562" s="231"/>
      <c r="T1562" s="231"/>
      <c r="U1562" s="231"/>
      <c r="V1562" s="231"/>
      <c r="W1562" s="231"/>
      <c r="X1562" s="231"/>
      <c r="Y1562" s="231"/>
      <c r="Z1562" s="231"/>
      <c r="AA1562" s="231"/>
      <c r="AB1562" s="22">
        <f t="shared" si="492"/>
        <v>0</v>
      </c>
      <c r="AC1562" s="23">
        <v>0</v>
      </c>
      <c r="AD1562" s="35"/>
      <c r="AE1562" s="35"/>
      <c r="AF1562" s="35"/>
      <c r="AG1562" s="35"/>
      <c r="AH1562" s="35">
        <v>28</v>
      </c>
      <c r="AI1562" s="35"/>
      <c r="AJ1562" s="35"/>
      <c r="AK1562" s="35"/>
      <c r="AL1562" s="35">
        <v>123</v>
      </c>
      <c r="AM1562" s="35"/>
      <c r="AN1562" s="35"/>
      <c r="AO1562" s="35"/>
      <c r="AP1562" s="35">
        <v>108</v>
      </c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22">
        <f t="shared" si="493"/>
        <v>259</v>
      </c>
      <c r="BC1562" s="23">
        <v>214</v>
      </c>
      <c r="BD1562" s="130">
        <f t="shared" si="494"/>
        <v>259</v>
      </c>
      <c r="BE1562" s="130">
        <f t="shared" si="495"/>
        <v>214</v>
      </c>
      <c r="BF1562" s="195">
        <f t="shared" si="496"/>
        <v>121.02803738317758</v>
      </c>
      <c r="BG1562" s="373">
        <f t="shared" si="497"/>
        <v>-45</v>
      </c>
    </row>
    <row r="1563" spans="1:59" s="46" customFormat="1" ht="15.95" customHeight="1">
      <c r="A1563" s="176">
        <v>51</v>
      </c>
      <c r="B1563" s="31" t="s">
        <v>911</v>
      </c>
      <c r="C1563" s="32" t="s">
        <v>1127</v>
      </c>
      <c r="D1563" s="231"/>
      <c r="E1563" s="231"/>
      <c r="F1563" s="231"/>
      <c r="G1563" s="231"/>
      <c r="H1563" s="231"/>
      <c r="I1563" s="231"/>
      <c r="J1563" s="231"/>
      <c r="K1563" s="231"/>
      <c r="L1563" s="231"/>
      <c r="M1563" s="231"/>
      <c r="N1563" s="231"/>
      <c r="O1563" s="231"/>
      <c r="P1563" s="231"/>
      <c r="Q1563" s="231"/>
      <c r="R1563" s="231"/>
      <c r="S1563" s="231"/>
      <c r="T1563" s="231"/>
      <c r="U1563" s="231"/>
      <c r="V1563" s="231"/>
      <c r="W1563" s="231"/>
      <c r="X1563" s="231"/>
      <c r="Y1563" s="231"/>
      <c r="Z1563" s="231"/>
      <c r="AA1563" s="231"/>
      <c r="AB1563" s="22">
        <f t="shared" si="492"/>
        <v>0</v>
      </c>
      <c r="AC1563" s="23">
        <v>0</v>
      </c>
      <c r="AD1563" s="35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22">
        <f t="shared" si="493"/>
        <v>0</v>
      </c>
      <c r="BC1563" s="23">
        <v>2</v>
      </c>
      <c r="BD1563" s="130">
        <f t="shared" si="494"/>
        <v>0</v>
      </c>
      <c r="BE1563" s="130">
        <f t="shared" si="495"/>
        <v>2</v>
      </c>
      <c r="BF1563" s="195">
        <f t="shared" si="496"/>
        <v>0</v>
      </c>
      <c r="BG1563" s="373">
        <f t="shared" si="497"/>
        <v>2</v>
      </c>
    </row>
    <row r="1564" spans="1:59" s="46" customFormat="1" ht="15.95" customHeight="1">
      <c r="A1564" s="176">
        <v>52</v>
      </c>
      <c r="B1564" s="31" t="s">
        <v>843</v>
      </c>
      <c r="C1564" s="32" t="s">
        <v>2158</v>
      </c>
      <c r="D1564" s="231"/>
      <c r="E1564" s="231"/>
      <c r="F1564" s="231"/>
      <c r="G1564" s="231"/>
      <c r="H1564" s="231"/>
      <c r="I1564" s="231"/>
      <c r="J1564" s="231"/>
      <c r="K1564" s="231"/>
      <c r="L1564" s="231"/>
      <c r="M1564" s="231"/>
      <c r="N1564" s="231"/>
      <c r="O1564" s="231"/>
      <c r="P1564" s="231"/>
      <c r="Q1564" s="231"/>
      <c r="R1564" s="231"/>
      <c r="S1564" s="231"/>
      <c r="T1564" s="231"/>
      <c r="U1564" s="231"/>
      <c r="V1564" s="231"/>
      <c r="W1564" s="231"/>
      <c r="X1564" s="231"/>
      <c r="Y1564" s="231"/>
      <c r="Z1564" s="231"/>
      <c r="AA1564" s="231"/>
      <c r="AB1564" s="22">
        <f t="shared" si="492"/>
        <v>0</v>
      </c>
      <c r="AC1564" s="23">
        <v>0</v>
      </c>
      <c r="AD1564" s="35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22">
        <f t="shared" si="493"/>
        <v>0</v>
      </c>
      <c r="BC1564" s="23">
        <v>1</v>
      </c>
      <c r="BD1564" s="130">
        <f t="shared" si="494"/>
        <v>0</v>
      </c>
      <c r="BE1564" s="130">
        <f t="shared" si="495"/>
        <v>1</v>
      </c>
      <c r="BF1564" s="195">
        <f t="shared" si="496"/>
        <v>0</v>
      </c>
      <c r="BG1564" s="373">
        <f t="shared" si="497"/>
        <v>1</v>
      </c>
    </row>
    <row r="1565" spans="1:59" s="46" customFormat="1" ht="15.95" customHeight="1">
      <c r="A1565" s="176">
        <v>53</v>
      </c>
      <c r="B1565" s="31" t="s">
        <v>912</v>
      </c>
      <c r="C1565" s="32" t="s">
        <v>3468</v>
      </c>
      <c r="D1565" s="323"/>
      <c r="E1565" s="323"/>
      <c r="F1565" s="323"/>
      <c r="G1565" s="323"/>
      <c r="H1565" s="323"/>
      <c r="I1565" s="323"/>
      <c r="J1565" s="323"/>
      <c r="K1565" s="323"/>
      <c r="L1565" s="323"/>
      <c r="M1565" s="323"/>
      <c r="N1565" s="323"/>
      <c r="O1565" s="323"/>
      <c r="P1565" s="323"/>
      <c r="Q1565" s="323"/>
      <c r="R1565" s="323"/>
      <c r="S1565" s="323"/>
      <c r="T1565" s="323"/>
      <c r="U1565" s="323"/>
      <c r="V1565" s="323"/>
      <c r="W1565" s="323"/>
      <c r="X1565" s="323"/>
      <c r="Y1565" s="323"/>
      <c r="Z1565" s="323"/>
      <c r="AA1565" s="323"/>
      <c r="AB1565" s="22">
        <f t="shared" si="492"/>
        <v>0</v>
      </c>
      <c r="AC1565" s="23">
        <v>0</v>
      </c>
      <c r="AD1565" s="35"/>
      <c r="AE1565" s="35"/>
      <c r="AF1565" s="35"/>
      <c r="AG1565" s="35"/>
      <c r="AH1565" s="35"/>
      <c r="AI1565" s="35"/>
      <c r="AJ1565" s="35"/>
      <c r="AK1565" s="35"/>
      <c r="AL1565" s="35">
        <v>1</v>
      </c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22">
        <f t="shared" si="493"/>
        <v>1</v>
      </c>
      <c r="BC1565" s="23">
        <v>2</v>
      </c>
      <c r="BD1565" s="130">
        <f t="shared" si="494"/>
        <v>1</v>
      </c>
      <c r="BE1565" s="130">
        <f t="shared" si="495"/>
        <v>2</v>
      </c>
      <c r="BF1565" s="195">
        <f t="shared" si="496"/>
        <v>50</v>
      </c>
      <c r="BG1565" s="373">
        <f t="shared" si="497"/>
        <v>1</v>
      </c>
    </row>
    <row r="1566" spans="1:59" s="46" customFormat="1" ht="15.95" customHeight="1">
      <c r="A1566" s="176">
        <v>54</v>
      </c>
      <c r="B1566" s="31" t="s">
        <v>913</v>
      </c>
      <c r="C1566" s="32" t="s">
        <v>3182</v>
      </c>
      <c r="D1566" s="231"/>
      <c r="E1566" s="231"/>
      <c r="F1566" s="231"/>
      <c r="G1566" s="231"/>
      <c r="H1566" s="231"/>
      <c r="I1566" s="231"/>
      <c r="J1566" s="231"/>
      <c r="K1566" s="231"/>
      <c r="L1566" s="231"/>
      <c r="M1566" s="231"/>
      <c r="N1566" s="231"/>
      <c r="O1566" s="231"/>
      <c r="P1566" s="231"/>
      <c r="Q1566" s="231"/>
      <c r="R1566" s="231"/>
      <c r="S1566" s="231"/>
      <c r="T1566" s="231"/>
      <c r="U1566" s="231"/>
      <c r="V1566" s="231"/>
      <c r="W1566" s="231"/>
      <c r="X1566" s="231"/>
      <c r="Y1566" s="231"/>
      <c r="Z1566" s="231"/>
      <c r="AA1566" s="231"/>
      <c r="AB1566" s="22">
        <f t="shared" si="492"/>
        <v>0</v>
      </c>
      <c r="AC1566" s="23">
        <v>0</v>
      </c>
      <c r="AD1566" s="35"/>
      <c r="AE1566" s="35"/>
      <c r="AF1566" s="35"/>
      <c r="AG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22">
        <f t="shared" si="493"/>
        <v>0</v>
      </c>
      <c r="BC1566" s="23">
        <v>1</v>
      </c>
      <c r="BD1566" s="130">
        <f t="shared" si="494"/>
        <v>0</v>
      </c>
      <c r="BE1566" s="130">
        <f t="shared" si="495"/>
        <v>1</v>
      </c>
      <c r="BF1566" s="195">
        <f t="shared" si="496"/>
        <v>0</v>
      </c>
      <c r="BG1566" s="373">
        <f t="shared" si="497"/>
        <v>1</v>
      </c>
    </row>
    <row r="1567" spans="1:59" s="46" customFormat="1" ht="15.95" customHeight="1">
      <c r="A1567" s="176">
        <v>55</v>
      </c>
      <c r="B1567" s="31" t="s">
        <v>845</v>
      </c>
      <c r="C1567" s="32" t="s">
        <v>948</v>
      </c>
      <c r="D1567" s="231"/>
      <c r="E1567" s="231"/>
      <c r="F1567" s="231"/>
      <c r="G1567" s="231"/>
      <c r="H1567" s="231"/>
      <c r="I1567" s="231"/>
      <c r="J1567" s="231"/>
      <c r="K1567" s="231"/>
      <c r="L1567" s="231"/>
      <c r="M1567" s="231"/>
      <c r="N1567" s="231"/>
      <c r="O1567" s="231"/>
      <c r="P1567" s="231"/>
      <c r="Q1567" s="231"/>
      <c r="R1567" s="231"/>
      <c r="S1567" s="231"/>
      <c r="T1567" s="231"/>
      <c r="U1567" s="231"/>
      <c r="V1567" s="231"/>
      <c r="W1567" s="231"/>
      <c r="X1567" s="231"/>
      <c r="Y1567" s="231"/>
      <c r="Z1567" s="231"/>
      <c r="AA1567" s="231"/>
      <c r="AB1567" s="22">
        <f t="shared" si="492"/>
        <v>0</v>
      </c>
      <c r="AC1567" s="23">
        <v>0</v>
      </c>
      <c r="AD1567" s="35"/>
      <c r="AE1567" s="35"/>
      <c r="AF1567" s="35"/>
      <c r="AG1567" s="35"/>
      <c r="AH1567" s="35"/>
      <c r="AI1567" s="35"/>
      <c r="AJ1567" s="35"/>
      <c r="AK1567" s="35"/>
      <c r="AL1567" s="35">
        <v>1</v>
      </c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22">
        <f t="shared" si="493"/>
        <v>1</v>
      </c>
      <c r="BC1567" s="23">
        <v>5</v>
      </c>
      <c r="BD1567" s="130">
        <f t="shared" si="494"/>
        <v>1</v>
      </c>
      <c r="BE1567" s="130">
        <f t="shared" si="495"/>
        <v>5</v>
      </c>
      <c r="BF1567" s="195">
        <f t="shared" si="496"/>
        <v>20</v>
      </c>
      <c r="BG1567" s="373">
        <f t="shared" si="497"/>
        <v>4</v>
      </c>
    </row>
    <row r="1568" spans="1:59" s="46" customFormat="1" ht="15.95" customHeight="1">
      <c r="A1568" s="176">
        <v>56</v>
      </c>
      <c r="B1568" s="31" t="s">
        <v>1075</v>
      </c>
      <c r="C1568" s="32" t="s">
        <v>1076</v>
      </c>
      <c r="D1568" s="231"/>
      <c r="E1568" s="231"/>
      <c r="F1568" s="231"/>
      <c r="G1568" s="231"/>
      <c r="H1568" s="231"/>
      <c r="I1568" s="231"/>
      <c r="J1568" s="231"/>
      <c r="K1568" s="231"/>
      <c r="L1568" s="231"/>
      <c r="M1568" s="231"/>
      <c r="N1568" s="231"/>
      <c r="O1568" s="231"/>
      <c r="P1568" s="231"/>
      <c r="Q1568" s="231"/>
      <c r="R1568" s="231"/>
      <c r="S1568" s="231"/>
      <c r="T1568" s="231"/>
      <c r="U1568" s="231"/>
      <c r="V1568" s="231"/>
      <c r="W1568" s="231"/>
      <c r="X1568" s="231"/>
      <c r="Y1568" s="231"/>
      <c r="Z1568" s="231"/>
      <c r="AA1568" s="231"/>
      <c r="AB1568" s="22">
        <f t="shared" si="492"/>
        <v>0</v>
      </c>
      <c r="AC1568" s="23">
        <v>0</v>
      </c>
      <c r="AD1568" s="35"/>
      <c r="AE1568" s="35"/>
      <c r="AF1568" s="35"/>
      <c r="AG1568" s="35"/>
      <c r="AH1568" s="35"/>
      <c r="AI1568" s="35"/>
      <c r="AJ1568" s="35"/>
      <c r="AK1568" s="35"/>
      <c r="AL1568" s="35">
        <v>4</v>
      </c>
      <c r="AM1568" s="35"/>
      <c r="AN1568" s="35"/>
      <c r="AO1568" s="35"/>
      <c r="AP1568" s="35">
        <v>9</v>
      </c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22">
        <f t="shared" si="493"/>
        <v>13</v>
      </c>
      <c r="BC1568" s="23">
        <v>16</v>
      </c>
      <c r="BD1568" s="130">
        <f t="shared" si="494"/>
        <v>13</v>
      </c>
      <c r="BE1568" s="130">
        <f t="shared" si="495"/>
        <v>16</v>
      </c>
      <c r="BF1568" s="195">
        <f t="shared" si="496"/>
        <v>81.25</v>
      </c>
      <c r="BG1568" s="373">
        <f t="shared" si="497"/>
        <v>3</v>
      </c>
    </row>
    <row r="1569" spans="1:59" s="46" customFormat="1" ht="15.95" customHeight="1">
      <c r="A1569" s="176">
        <v>57</v>
      </c>
      <c r="B1569" s="31" t="s">
        <v>915</v>
      </c>
      <c r="C1569" s="32" t="s">
        <v>1015</v>
      </c>
      <c r="D1569" s="323"/>
      <c r="E1569" s="323"/>
      <c r="F1569" s="323"/>
      <c r="G1569" s="323"/>
      <c r="H1569" s="323"/>
      <c r="I1569" s="323"/>
      <c r="J1569" s="323"/>
      <c r="K1569" s="323"/>
      <c r="L1569" s="323"/>
      <c r="M1569" s="323"/>
      <c r="N1569" s="323"/>
      <c r="O1569" s="323"/>
      <c r="P1569" s="323"/>
      <c r="Q1569" s="323"/>
      <c r="R1569" s="323"/>
      <c r="S1569" s="323"/>
      <c r="T1569" s="323"/>
      <c r="U1569" s="323"/>
      <c r="V1569" s="323"/>
      <c r="W1569" s="323"/>
      <c r="X1569" s="323"/>
      <c r="Y1569" s="323"/>
      <c r="Z1569" s="323"/>
      <c r="AA1569" s="323"/>
      <c r="AB1569" s="22">
        <f t="shared" si="492"/>
        <v>0</v>
      </c>
      <c r="AC1569" s="23">
        <v>0</v>
      </c>
      <c r="AD1569" s="35"/>
      <c r="AE1569" s="35"/>
      <c r="AF1569" s="35"/>
      <c r="AG1569" s="35"/>
      <c r="AH1569" s="35">
        <v>2</v>
      </c>
      <c r="AI1569" s="35"/>
      <c r="AJ1569" s="35"/>
      <c r="AK1569" s="35"/>
      <c r="AL1569" s="35">
        <v>1</v>
      </c>
      <c r="AM1569" s="35"/>
      <c r="AN1569" s="35"/>
      <c r="AO1569" s="35"/>
      <c r="AP1569" s="35">
        <v>2</v>
      </c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22">
        <f t="shared" si="493"/>
        <v>5</v>
      </c>
      <c r="BC1569" s="23">
        <v>9</v>
      </c>
      <c r="BD1569" s="130">
        <f t="shared" si="494"/>
        <v>5</v>
      </c>
      <c r="BE1569" s="130">
        <f t="shared" si="495"/>
        <v>9</v>
      </c>
      <c r="BF1569" s="195">
        <f t="shared" si="496"/>
        <v>55.555555555555557</v>
      </c>
      <c r="BG1569" s="373">
        <f t="shared" si="497"/>
        <v>4</v>
      </c>
    </row>
    <row r="1570" spans="1:59" s="46" customFormat="1" ht="15.95" customHeight="1">
      <c r="A1570" s="176">
        <v>58</v>
      </c>
      <c r="B1570" s="31" t="s">
        <v>1082</v>
      </c>
      <c r="C1570" s="32" t="s">
        <v>1083</v>
      </c>
      <c r="D1570" s="231"/>
      <c r="E1570" s="231"/>
      <c r="F1570" s="231"/>
      <c r="G1570" s="231"/>
      <c r="H1570" s="231"/>
      <c r="I1570" s="231"/>
      <c r="J1570" s="231"/>
      <c r="K1570" s="231"/>
      <c r="L1570" s="231"/>
      <c r="M1570" s="231"/>
      <c r="N1570" s="231"/>
      <c r="O1570" s="231"/>
      <c r="P1570" s="231"/>
      <c r="Q1570" s="231"/>
      <c r="R1570" s="231"/>
      <c r="S1570" s="231"/>
      <c r="T1570" s="231"/>
      <c r="U1570" s="231"/>
      <c r="V1570" s="231"/>
      <c r="W1570" s="231"/>
      <c r="X1570" s="231"/>
      <c r="Y1570" s="231"/>
      <c r="Z1570" s="231"/>
      <c r="AA1570" s="231"/>
      <c r="AB1570" s="22">
        <f t="shared" si="492"/>
        <v>0</v>
      </c>
      <c r="AC1570" s="23">
        <v>0</v>
      </c>
      <c r="AD1570" s="35"/>
      <c r="AE1570" s="35"/>
      <c r="AF1570" s="35"/>
      <c r="AG1570" s="35"/>
      <c r="AH1570" s="35"/>
      <c r="AI1570" s="35"/>
      <c r="AJ1570" s="35"/>
      <c r="AK1570" s="35"/>
      <c r="AL1570" s="35">
        <v>3</v>
      </c>
      <c r="AM1570" s="35"/>
      <c r="AN1570" s="35"/>
      <c r="AO1570" s="35"/>
      <c r="AP1570" s="35">
        <v>9</v>
      </c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22">
        <f t="shared" si="493"/>
        <v>12</v>
      </c>
      <c r="BC1570" s="23">
        <v>12</v>
      </c>
      <c r="BD1570" s="130">
        <f t="shared" si="494"/>
        <v>12</v>
      </c>
      <c r="BE1570" s="130">
        <f t="shared" si="495"/>
        <v>12</v>
      </c>
      <c r="BF1570" s="195">
        <f t="shared" si="496"/>
        <v>100</v>
      </c>
      <c r="BG1570" s="373">
        <f t="shared" si="497"/>
        <v>0</v>
      </c>
    </row>
    <row r="1571" spans="1:59" s="46" customFormat="1" ht="15.95" customHeight="1">
      <c r="A1571" s="176">
        <v>59</v>
      </c>
      <c r="B1571" s="31" t="s">
        <v>2298</v>
      </c>
      <c r="C1571" s="32" t="s">
        <v>2299</v>
      </c>
      <c r="D1571" s="231"/>
      <c r="E1571" s="231"/>
      <c r="F1571" s="231"/>
      <c r="G1571" s="231"/>
      <c r="H1571" s="231"/>
      <c r="I1571" s="231"/>
      <c r="J1571" s="231"/>
      <c r="K1571" s="231"/>
      <c r="L1571" s="231"/>
      <c r="M1571" s="231"/>
      <c r="N1571" s="231"/>
      <c r="O1571" s="231"/>
      <c r="P1571" s="231"/>
      <c r="Q1571" s="231"/>
      <c r="R1571" s="231"/>
      <c r="S1571" s="231"/>
      <c r="T1571" s="231"/>
      <c r="U1571" s="231"/>
      <c r="V1571" s="231"/>
      <c r="W1571" s="231"/>
      <c r="X1571" s="231"/>
      <c r="Y1571" s="231"/>
      <c r="Z1571" s="231"/>
      <c r="AA1571" s="231"/>
      <c r="AB1571" s="22">
        <f t="shared" si="492"/>
        <v>0</v>
      </c>
      <c r="AC1571" s="23">
        <v>0</v>
      </c>
      <c r="AD1571" s="35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22">
        <f t="shared" si="493"/>
        <v>0</v>
      </c>
      <c r="BC1571" s="23">
        <v>1</v>
      </c>
      <c r="BD1571" s="130">
        <f t="shared" si="494"/>
        <v>0</v>
      </c>
      <c r="BE1571" s="130">
        <f t="shared" si="495"/>
        <v>1</v>
      </c>
      <c r="BF1571" s="195">
        <f t="shared" si="496"/>
        <v>0</v>
      </c>
      <c r="BG1571" s="373">
        <f t="shared" si="497"/>
        <v>1</v>
      </c>
    </row>
    <row r="1572" spans="1:59" s="46" customFormat="1" ht="15.95" customHeight="1">
      <c r="A1572" s="176">
        <v>60</v>
      </c>
      <c r="B1572" s="31" t="s">
        <v>1016</v>
      </c>
      <c r="C1572" s="32" t="s">
        <v>1017</v>
      </c>
      <c r="D1572" s="231"/>
      <c r="E1572" s="231"/>
      <c r="F1572" s="231"/>
      <c r="G1572" s="231"/>
      <c r="H1572" s="231"/>
      <c r="I1572" s="231"/>
      <c r="J1572" s="231"/>
      <c r="K1572" s="231"/>
      <c r="L1572" s="231"/>
      <c r="M1572" s="231"/>
      <c r="N1572" s="231"/>
      <c r="O1572" s="231"/>
      <c r="P1572" s="231"/>
      <c r="Q1572" s="231"/>
      <c r="R1572" s="231"/>
      <c r="S1572" s="231"/>
      <c r="T1572" s="231"/>
      <c r="U1572" s="231"/>
      <c r="V1572" s="231"/>
      <c r="W1572" s="231"/>
      <c r="X1572" s="231"/>
      <c r="Y1572" s="231"/>
      <c r="Z1572" s="231"/>
      <c r="AA1572" s="231"/>
      <c r="AB1572" s="22">
        <f t="shared" si="492"/>
        <v>0</v>
      </c>
      <c r="AC1572" s="23">
        <v>0</v>
      </c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22">
        <f t="shared" si="493"/>
        <v>0</v>
      </c>
      <c r="BC1572" s="23">
        <v>1</v>
      </c>
      <c r="BD1572" s="130">
        <f t="shared" si="494"/>
        <v>0</v>
      </c>
      <c r="BE1572" s="130">
        <f t="shared" si="495"/>
        <v>1</v>
      </c>
      <c r="BF1572" s="195">
        <f t="shared" si="496"/>
        <v>0</v>
      </c>
      <c r="BG1572" s="373">
        <f t="shared" si="497"/>
        <v>1</v>
      </c>
    </row>
    <row r="1573" spans="1:59" s="46" customFormat="1" ht="15.95" customHeight="1">
      <c r="A1573" s="176">
        <v>61</v>
      </c>
      <c r="B1573" s="31" t="s">
        <v>950</v>
      </c>
      <c r="C1573" s="32" t="s">
        <v>951</v>
      </c>
      <c r="D1573" s="231"/>
      <c r="E1573" s="231"/>
      <c r="F1573" s="231"/>
      <c r="G1573" s="231"/>
      <c r="H1573" s="231"/>
      <c r="I1573" s="231"/>
      <c r="J1573" s="231"/>
      <c r="K1573" s="231"/>
      <c r="L1573" s="231"/>
      <c r="M1573" s="231"/>
      <c r="N1573" s="231"/>
      <c r="O1573" s="231"/>
      <c r="P1573" s="231"/>
      <c r="Q1573" s="231"/>
      <c r="R1573" s="231"/>
      <c r="S1573" s="231"/>
      <c r="T1573" s="231"/>
      <c r="U1573" s="231"/>
      <c r="V1573" s="231"/>
      <c r="W1573" s="231"/>
      <c r="X1573" s="231"/>
      <c r="Y1573" s="231"/>
      <c r="Z1573" s="231"/>
      <c r="AA1573" s="231"/>
      <c r="AB1573" s="22">
        <f t="shared" si="492"/>
        <v>0</v>
      </c>
      <c r="AC1573" s="23">
        <v>0</v>
      </c>
      <c r="AD1573" s="35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22">
        <f t="shared" si="493"/>
        <v>0</v>
      </c>
      <c r="BC1573" s="23">
        <v>1</v>
      </c>
      <c r="BD1573" s="130">
        <f t="shared" si="494"/>
        <v>0</v>
      </c>
      <c r="BE1573" s="130">
        <f t="shared" si="495"/>
        <v>1</v>
      </c>
      <c r="BF1573" s="195">
        <f t="shared" si="496"/>
        <v>0</v>
      </c>
      <c r="BG1573" s="373">
        <f t="shared" si="497"/>
        <v>1</v>
      </c>
    </row>
    <row r="1574" spans="1:59" s="46" customFormat="1" ht="15.95" customHeight="1">
      <c r="A1574" s="176">
        <v>62</v>
      </c>
      <c r="B1574" s="31" t="s">
        <v>957</v>
      </c>
      <c r="C1574" s="32" t="s">
        <v>958</v>
      </c>
      <c r="D1574" s="231"/>
      <c r="E1574" s="231"/>
      <c r="F1574" s="231"/>
      <c r="G1574" s="231"/>
      <c r="H1574" s="231"/>
      <c r="I1574" s="231"/>
      <c r="J1574" s="231"/>
      <c r="K1574" s="231"/>
      <c r="L1574" s="231"/>
      <c r="M1574" s="231"/>
      <c r="N1574" s="231"/>
      <c r="O1574" s="231"/>
      <c r="P1574" s="231"/>
      <c r="Q1574" s="231"/>
      <c r="R1574" s="231"/>
      <c r="S1574" s="231"/>
      <c r="T1574" s="231"/>
      <c r="U1574" s="231"/>
      <c r="V1574" s="231"/>
      <c r="W1574" s="231"/>
      <c r="X1574" s="231"/>
      <c r="Y1574" s="231"/>
      <c r="Z1574" s="231"/>
      <c r="AA1574" s="231"/>
      <c r="AB1574" s="22">
        <f t="shared" si="492"/>
        <v>0</v>
      </c>
      <c r="AC1574" s="23">
        <v>0</v>
      </c>
      <c r="AD1574" s="35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22">
        <f t="shared" si="493"/>
        <v>0</v>
      </c>
      <c r="BC1574" s="23">
        <v>1</v>
      </c>
      <c r="BD1574" s="130">
        <f t="shared" si="494"/>
        <v>0</v>
      </c>
      <c r="BE1574" s="130">
        <f t="shared" si="495"/>
        <v>1</v>
      </c>
      <c r="BF1574" s="195">
        <f t="shared" si="496"/>
        <v>0</v>
      </c>
      <c r="BG1574" s="373">
        <f t="shared" si="497"/>
        <v>1</v>
      </c>
    </row>
    <row r="1575" spans="1:59" s="46" customFormat="1" ht="15.95" customHeight="1">
      <c r="A1575" s="176">
        <v>63</v>
      </c>
      <c r="B1575" s="31" t="s">
        <v>961</v>
      </c>
      <c r="C1575" s="32" t="s">
        <v>962</v>
      </c>
      <c r="D1575" s="550"/>
      <c r="E1575" s="550"/>
      <c r="F1575" s="550"/>
      <c r="G1575" s="550"/>
      <c r="H1575" s="550"/>
      <c r="I1575" s="550"/>
      <c r="J1575" s="550"/>
      <c r="K1575" s="550"/>
      <c r="L1575" s="550"/>
      <c r="M1575" s="550"/>
      <c r="N1575" s="550"/>
      <c r="O1575" s="550"/>
      <c r="P1575" s="550"/>
      <c r="Q1575" s="550"/>
      <c r="R1575" s="550"/>
      <c r="S1575" s="550"/>
      <c r="T1575" s="550"/>
      <c r="U1575" s="550"/>
      <c r="V1575" s="550"/>
      <c r="W1575" s="550"/>
      <c r="X1575" s="550"/>
      <c r="Y1575" s="550"/>
      <c r="Z1575" s="550"/>
      <c r="AA1575" s="550"/>
      <c r="AB1575" s="22">
        <f t="shared" si="492"/>
        <v>0</v>
      </c>
      <c r="AC1575" s="23">
        <v>0</v>
      </c>
      <c r="AD1575" s="35"/>
      <c r="AE1575" s="35"/>
      <c r="AF1575" s="35"/>
      <c r="AG1575" s="35"/>
      <c r="AH1575" s="35"/>
      <c r="AI1575" s="35"/>
      <c r="AJ1575" s="35"/>
      <c r="AK1575" s="35"/>
      <c r="AL1575" s="35">
        <v>1</v>
      </c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22">
        <f t="shared" si="493"/>
        <v>1</v>
      </c>
      <c r="BC1575" s="23">
        <v>0</v>
      </c>
      <c r="BD1575" s="130">
        <f t="shared" si="494"/>
        <v>1</v>
      </c>
      <c r="BE1575" s="130">
        <f t="shared" si="495"/>
        <v>0</v>
      </c>
      <c r="BF1575" s="195" t="e">
        <f t="shared" si="496"/>
        <v>#DIV/0!</v>
      </c>
      <c r="BG1575" s="373"/>
    </row>
    <row r="1576" spans="1:59" s="46" customFormat="1" ht="15.95" customHeight="1">
      <c r="A1576" s="176">
        <v>64</v>
      </c>
      <c r="B1576" s="31" t="s">
        <v>1355</v>
      </c>
      <c r="C1576" s="32" t="s">
        <v>1400</v>
      </c>
      <c r="D1576" s="550"/>
      <c r="E1576" s="550"/>
      <c r="F1576" s="550"/>
      <c r="G1576" s="550"/>
      <c r="H1576" s="550"/>
      <c r="I1576" s="550"/>
      <c r="J1576" s="550"/>
      <c r="K1576" s="550"/>
      <c r="L1576" s="550"/>
      <c r="M1576" s="550"/>
      <c r="N1576" s="550"/>
      <c r="O1576" s="550"/>
      <c r="P1576" s="550"/>
      <c r="Q1576" s="550"/>
      <c r="R1576" s="550"/>
      <c r="S1576" s="550"/>
      <c r="T1576" s="550"/>
      <c r="U1576" s="550"/>
      <c r="V1576" s="550"/>
      <c r="W1576" s="550"/>
      <c r="X1576" s="550"/>
      <c r="Y1576" s="550"/>
      <c r="Z1576" s="550"/>
      <c r="AA1576" s="550"/>
      <c r="AB1576" s="22">
        <f t="shared" si="492"/>
        <v>0</v>
      </c>
      <c r="AC1576" s="23">
        <v>0</v>
      </c>
      <c r="AD1576" s="35"/>
      <c r="AE1576" s="35"/>
      <c r="AF1576" s="35"/>
      <c r="AG1576" s="35"/>
      <c r="AH1576" s="35"/>
      <c r="AI1576" s="35"/>
      <c r="AJ1576" s="35"/>
      <c r="AK1576" s="35"/>
      <c r="AL1576" s="35">
        <v>1</v>
      </c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22">
        <f t="shared" si="493"/>
        <v>1</v>
      </c>
      <c r="BC1576" s="23">
        <v>0</v>
      </c>
      <c r="BD1576" s="130">
        <f t="shared" si="494"/>
        <v>1</v>
      </c>
      <c r="BE1576" s="130">
        <f t="shared" si="495"/>
        <v>0</v>
      </c>
      <c r="BF1576" s="195" t="e">
        <f t="shared" si="496"/>
        <v>#DIV/0!</v>
      </c>
      <c r="BG1576" s="373"/>
    </row>
    <row r="1577" spans="1:59" s="46" customFormat="1" ht="15.95" customHeight="1">
      <c r="A1577" s="176">
        <v>65</v>
      </c>
      <c r="B1577" s="31" t="s">
        <v>963</v>
      </c>
      <c r="C1577" s="32" t="s">
        <v>964</v>
      </c>
      <c r="D1577" s="271"/>
      <c r="E1577" s="271"/>
      <c r="F1577" s="271"/>
      <c r="G1577" s="271"/>
      <c r="H1577" s="271"/>
      <c r="I1577" s="271"/>
      <c r="J1577" s="271"/>
      <c r="K1577" s="271"/>
      <c r="L1577" s="271"/>
      <c r="M1577" s="271"/>
      <c r="N1577" s="271"/>
      <c r="O1577" s="271"/>
      <c r="P1577" s="271"/>
      <c r="Q1577" s="271"/>
      <c r="R1577" s="271"/>
      <c r="S1577" s="271"/>
      <c r="T1577" s="271"/>
      <c r="U1577" s="271"/>
      <c r="V1577" s="271"/>
      <c r="W1577" s="271"/>
      <c r="X1577" s="271"/>
      <c r="Y1577" s="271"/>
      <c r="Z1577" s="271"/>
      <c r="AA1577" s="271"/>
      <c r="AB1577" s="22">
        <f t="shared" ref="AB1577:AB1608" si="498">SUM(D1577:AA1577)</f>
        <v>0</v>
      </c>
      <c r="AC1577" s="23">
        <v>0</v>
      </c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22">
        <f t="shared" ref="BB1577:BB1608" si="499">SUM(AD1577:BA1577)</f>
        <v>0</v>
      </c>
      <c r="BC1577" s="23">
        <v>2</v>
      </c>
      <c r="BD1577" s="130">
        <f t="shared" ref="BD1577:BD1608" si="500">AB1577+BB1577</f>
        <v>0</v>
      </c>
      <c r="BE1577" s="130">
        <f t="shared" ref="BE1577:BE1608" si="501">AC1577+BC1577</f>
        <v>2</v>
      </c>
      <c r="BF1577" s="195">
        <f t="shared" ref="BF1577:BF1608" si="502">BD1577/BE1577*100</f>
        <v>0</v>
      </c>
      <c r="BG1577" s="373">
        <f t="shared" ref="BG1577:BG1586" si="503">BE1577-BD1577</f>
        <v>2</v>
      </c>
    </row>
    <row r="1578" spans="1:59" s="46" customFormat="1" ht="15.95" customHeight="1">
      <c r="A1578" s="176">
        <v>66</v>
      </c>
      <c r="B1578" s="31" t="s">
        <v>965</v>
      </c>
      <c r="C1578" s="32" t="s">
        <v>1401</v>
      </c>
      <c r="D1578" s="231"/>
      <c r="E1578" s="231"/>
      <c r="F1578" s="231"/>
      <c r="G1578" s="231"/>
      <c r="H1578" s="231"/>
      <c r="I1578" s="231"/>
      <c r="J1578" s="231"/>
      <c r="K1578" s="231"/>
      <c r="L1578" s="231"/>
      <c r="M1578" s="231"/>
      <c r="N1578" s="231"/>
      <c r="O1578" s="231"/>
      <c r="P1578" s="231"/>
      <c r="Q1578" s="231"/>
      <c r="R1578" s="231"/>
      <c r="S1578" s="231"/>
      <c r="T1578" s="231"/>
      <c r="U1578" s="231"/>
      <c r="V1578" s="231"/>
      <c r="W1578" s="231"/>
      <c r="X1578" s="231"/>
      <c r="Y1578" s="231"/>
      <c r="Z1578" s="231"/>
      <c r="AA1578" s="231"/>
      <c r="AB1578" s="22">
        <f t="shared" si="498"/>
        <v>0</v>
      </c>
      <c r="AC1578" s="23">
        <v>0</v>
      </c>
      <c r="AD1578" s="35"/>
      <c r="AE1578" s="35"/>
      <c r="AF1578" s="35"/>
      <c r="AG1578" s="35"/>
      <c r="AH1578" s="35"/>
      <c r="AI1578" s="35"/>
      <c r="AJ1578" s="35"/>
      <c r="AK1578" s="35"/>
      <c r="AL1578" s="35">
        <v>1</v>
      </c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22">
        <f t="shared" si="499"/>
        <v>1</v>
      </c>
      <c r="BC1578" s="23">
        <v>10</v>
      </c>
      <c r="BD1578" s="130">
        <f t="shared" si="500"/>
        <v>1</v>
      </c>
      <c r="BE1578" s="130">
        <f t="shared" si="501"/>
        <v>10</v>
      </c>
      <c r="BF1578" s="195">
        <f t="shared" si="502"/>
        <v>10</v>
      </c>
      <c r="BG1578" s="373">
        <f t="shared" si="503"/>
        <v>9</v>
      </c>
    </row>
    <row r="1579" spans="1:59" s="46" customFormat="1" ht="15.95" customHeight="1">
      <c r="A1579" s="176">
        <v>67</v>
      </c>
      <c r="B1579" s="31" t="s">
        <v>1049</v>
      </c>
      <c r="C1579" s="32" t="s">
        <v>2212</v>
      </c>
      <c r="D1579" s="231"/>
      <c r="E1579" s="231"/>
      <c r="F1579" s="231"/>
      <c r="G1579" s="231"/>
      <c r="H1579" s="231"/>
      <c r="I1579" s="231"/>
      <c r="J1579" s="231"/>
      <c r="K1579" s="231"/>
      <c r="L1579" s="231"/>
      <c r="M1579" s="231"/>
      <c r="N1579" s="231"/>
      <c r="O1579" s="231"/>
      <c r="P1579" s="231"/>
      <c r="Q1579" s="231"/>
      <c r="R1579" s="231"/>
      <c r="S1579" s="231"/>
      <c r="T1579" s="231"/>
      <c r="U1579" s="231"/>
      <c r="V1579" s="231"/>
      <c r="W1579" s="231"/>
      <c r="X1579" s="231"/>
      <c r="Y1579" s="231"/>
      <c r="Z1579" s="231"/>
      <c r="AA1579" s="231"/>
      <c r="AB1579" s="22">
        <f t="shared" si="498"/>
        <v>0</v>
      </c>
      <c r="AC1579" s="23">
        <v>0</v>
      </c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22">
        <f t="shared" si="499"/>
        <v>0</v>
      </c>
      <c r="BC1579" s="23">
        <v>1</v>
      </c>
      <c r="BD1579" s="130">
        <f t="shared" si="500"/>
        <v>0</v>
      </c>
      <c r="BE1579" s="130">
        <f t="shared" si="501"/>
        <v>1</v>
      </c>
      <c r="BF1579" s="195">
        <f t="shared" si="502"/>
        <v>0</v>
      </c>
      <c r="BG1579" s="373">
        <f t="shared" si="503"/>
        <v>1</v>
      </c>
    </row>
    <row r="1580" spans="1:59" s="46" customFormat="1" ht="15.95" customHeight="1">
      <c r="A1580" s="176">
        <v>68</v>
      </c>
      <c r="B1580" s="31" t="s">
        <v>851</v>
      </c>
      <c r="C1580" s="32" t="s">
        <v>1359</v>
      </c>
      <c r="D1580" s="231"/>
      <c r="E1580" s="231"/>
      <c r="F1580" s="231"/>
      <c r="G1580" s="231"/>
      <c r="H1580" s="231"/>
      <c r="I1580" s="231"/>
      <c r="J1580" s="231"/>
      <c r="K1580" s="231"/>
      <c r="L1580" s="231"/>
      <c r="M1580" s="231"/>
      <c r="N1580" s="231"/>
      <c r="O1580" s="231"/>
      <c r="P1580" s="231"/>
      <c r="Q1580" s="231"/>
      <c r="R1580" s="231"/>
      <c r="S1580" s="231"/>
      <c r="T1580" s="231"/>
      <c r="U1580" s="231"/>
      <c r="V1580" s="231"/>
      <c r="W1580" s="231"/>
      <c r="X1580" s="231"/>
      <c r="Y1580" s="231"/>
      <c r="Z1580" s="231"/>
      <c r="AA1580" s="231"/>
      <c r="AB1580" s="22">
        <f t="shared" si="498"/>
        <v>0</v>
      </c>
      <c r="AC1580" s="23">
        <v>0</v>
      </c>
      <c r="AD1580" s="35"/>
      <c r="AE1580" s="35"/>
      <c r="AF1580" s="35"/>
      <c r="AG1580" s="35"/>
      <c r="AH1580" s="35">
        <v>2</v>
      </c>
      <c r="AI1580" s="35"/>
      <c r="AJ1580" s="35"/>
      <c r="AK1580" s="35"/>
      <c r="AL1580" s="35"/>
      <c r="AM1580" s="35"/>
      <c r="AN1580" s="35"/>
      <c r="AO1580" s="35"/>
      <c r="AP1580" s="35">
        <v>1</v>
      </c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22">
        <f t="shared" si="499"/>
        <v>3</v>
      </c>
      <c r="BC1580" s="23">
        <v>40</v>
      </c>
      <c r="BD1580" s="130">
        <f t="shared" si="500"/>
        <v>3</v>
      </c>
      <c r="BE1580" s="130">
        <f t="shared" si="501"/>
        <v>40</v>
      </c>
      <c r="BF1580" s="195">
        <f t="shared" si="502"/>
        <v>7.5</v>
      </c>
      <c r="BG1580" s="373">
        <f t="shared" si="503"/>
        <v>37</v>
      </c>
    </row>
    <row r="1581" spans="1:59" s="46" customFormat="1" ht="15.95" customHeight="1">
      <c r="A1581" s="176">
        <v>69</v>
      </c>
      <c r="B1581" s="31" t="s">
        <v>1088</v>
      </c>
      <c r="C1581" s="32" t="s">
        <v>2084</v>
      </c>
      <c r="D1581" s="231"/>
      <c r="E1581" s="231"/>
      <c r="F1581" s="231"/>
      <c r="G1581" s="231"/>
      <c r="H1581" s="231"/>
      <c r="I1581" s="231"/>
      <c r="J1581" s="231"/>
      <c r="K1581" s="231"/>
      <c r="L1581" s="231"/>
      <c r="M1581" s="231"/>
      <c r="N1581" s="231"/>
      <c r="O1581" s="231"/>
      <c r="P1581" s="231"/>
      <c r="Q1581" s="231"/>
      <c r="R1581" s="231"/>
      <c r="S1581" s="231"/>
      <c r="T1581" s="231"/>
      <c r="U1581" s="231"/>
      <c r="V1581" s="231"/>
      <c r="W1581" s="231"/>
      <c r="X1581" s="231"/>
      <c r="Y1581" s="231"/>
      <c r="Z1581" s="231"/>
      <c r="AA1581" s="231"/>
      <c r="AB1581" s="22">
        <f t="shared" si="498"/>
        <v>0</v>
      </c>
      <c r="AC1581" s="23">
        <v>0</v>
      </c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22">
        <f t="shared" si="499"/>
        <v>0</v>
      </c>
      <c r="BC1581" s="23">
        <v>4</v>
      </c>
      <c r="BD1581" s="130">
        <f t="shared" si="500"/>
        <v>0</v>
      </c>
      <c r="BE1581" s="130">
        <f t="shared" si="501"/>
        <v>4</v>
      </c>
      <c r="BF1581" s="195">
        <f t="shared" si="502"/>
        <v>0</v>
      </c>
      <c r="BG1581" s="373">
        <f t="shared" si="503"/>
        <v>4</v>
      </c>
    </row>
    <row r="1582" spans="1:59" s="46" customFormat="1" ht="15.95" customHeight="1">
      <c r="A1582" s="176">
        <v>70</v>
      </c>
      <c r="B1582" s="31" t="s">
        <v>1773</v>
      </c>
      <c r="C1582" s="32" t="s">
        <v>3465</v>
      </c>
      <c r="D1582" s="231"/>
      <c r="E1582" s="231"/>
      <c r="F1582" s="231"/>
      <c r="G1582" s="231"/>
      <c r="H1582" s="231"/>
      <c r="I1582" s="231"/>
      <c r="J1582" s="231"/>
      <c r="K1582" s="231"/>
      <c r="L1582" s="231"/>
      <c r="M1582" s="231"/>
      <c r="N1582" s="231"/>
      <c r="O1582" s="231"/>
      <c r="P1582" s="231"/>
      <c r="Q1582" s="231"/>
      <c r="R1582" s="231"/>
      <c r="S1582" s="231"/>
      <c r="T1582" s="231"/>
      <c r="U1582" s="231"/>
      <c r="V1582" s="231"/>
      <c r="W1582" s="231"/>
      <c r="X1582" s="231"/>
      <c r="Y1582" s="231"/>
      <c r="Z1582" s="231"/>
      <c r="AA1582" s="231"/>
      <c r="AB1582" s="22">
        <f t="shared" si="498"/>
        <v>0</v>
      </c>
      <c r="AC1582" s="23">
        <v>0</v>
      </c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22">
        <f t="shared" si="499"/>
        <v>0</v>
      </c>
      <c r="BC1582" s="23">
        <v>5</v>
      </c>
      <c r="BD1582" s="130">
        <f t="shared" si="500"/>
        <v>0</v>
      </c>
      <c r="BE1582" s="130">
        <f t="shared" si="501"/>
        <v>5</v>
      </c>
      <c r="BF1582" s="195">
        <f t="shared" si="502"/>
        <v>0</v>
      </c>
      <c r="BG1582" s="373">
        <f t="shared" si="503"/>
        <v>5</v>
      </c>
    </row>
    <row r="1583" spans="1:59" s="46" customFormat="1" ht="15.95" customHeight="1">
      <c r="A1583" s="176">
        <v>71</v>
      </c>
      <c r="B1583" s="31" t="s">
        <v>1018</v>
      </c>
      <c r="C1583" s="32" t="s">
        <v>1019</v>
      </c>
      <c r="D1583" s="231"/>
      <c r="E1583" s="231"/>
      <c r="F1583" s="231"/>
      <c r="G1583" s="231"/>
      <c r="H1583" s="231"/>
      <c r="I1583" s="231"/>
      <c r="J1583" s="231"/>
      <c r="K1583" s="231"/>
      <c r="L1583" s="231"/>
      <c r="M1583" s="231"/>
      <c r="N1583" s="231"/>
      <c r="O1583" s="231"/>
      <c r="P1583" s="231"/>
      <c r="Q1583" s="231"/>
      <c r="R1583" s="231"/>
      <c r="S1583" s="231"/>
      <c r="T1583" s="231"/>
      <c r="U1583" s="231"/>
      <c r="V1583" s="231"/>
      <c r="W1583" s="231"/>
      <c r="X1583" s="231"/>
      <c r="Y1583" s="231"/>
      <c r="Z1583" s="231"/>
      <c r="AA1583" s="231"/>
      <c r="AB1583" s="22">
        <f t="shared" si="498"/>
        <v>0</v>
      </c>
      <c r="AC1583" s="23">
        <v>0</v>
      </c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22">
        <f t="shared" si="499"/>
        <v>0</v>
      </c>
      <c r="BC1583" s="23">
        <v>4</v>
      </c>
      <c r="BD1583" s="130">
        <f t="shared" si="500"/>
        <v>0</v>
      </c>
      <c r="BE1583" s="130">
        <f t="shared" si="501"/>
        <v>4</v>
      </c>
      <c r="BF1583" s="195">
        <f t="shared" si="502"/>
        <v>0</v>
      </c>
      <c r="BG1583" s="373">
        <f t="shared" si="503"/>
        <v>4</v>
      </c>
    </row>
    <row r="1584" spans="1:59" s="46" customFormat="1" ht="15.95" customHeight="1">
      <c r="A1584" s="176">
        <v>72</v>
      </c>
      <c r="B1584" s="31" t="s">
        <v>854</v>
      </c>
      <c r="C1584" s="34" t="s">
        <v>855</v>
      </c>
      <c r="D1584" s="231"/>
      <c r="E1584" s="231"/>
      <c r="F1584" s="231"/>
      <c r="G1584" s="231"/>
      <c r="H1584" s="231"/>
      <c r="I1584" s="231"/>
      <c r="J1584" s="231"/>
      <c r="K1584" s="231"/>
      <c r="L1584" s="231"/>
      <c r="M1584" s="231"/>
      <c r="N1584" s="231"/>
      <c r="O1584" s="231"/>
      <c r="P1584" s="231"/>
      <c r="Q1584" s="231"/>
      <c r="R1584" s="231"/>
      <c r="S1584" s="231"/>
      <c r="T1584" s="231"/>
      <c r="U1584" s="231"/>
      <c r="V1584" s="231"/>
      <c r="W1584" s="231"/>
      <c r="X1584" s="231"/>
      <c r="Y1584" s="231"/>
      <c r="Z1584" s="231"/>
      <c r="AA1584" s="231"/>
      <c r="AB1584" s="22">
        <f t="shared" si="498"/>
        <v>0</v>
      </c>
      <c r="AC1584" s="23">
        <v>0</v>
      </c>
      <c r="AD1584" s="35"/>
      <c r="AE1584" s="35"/>
      <c r="AF1584" s="35"/>
      <c r="AG1584" s="35"/>
      <c r="AH1584" s="35">
        <v>8</v>
      </c>
      <c r="AI1584" s="35"/>
      <c r="AJ1584" s="35"/>
      <c r="AK1584" s="35"/>
      <c r="AL1584" s="35">
        <v>39</v>
      </c>
      <c r="AM1584" s="35"/>
      <c r="AN1584" s="35"/>
      <c r="AO1584" s="35"/>
      <c r="AP1584" s="35">
        <f>4+71</f>
        <v>75</v>
      </c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22">
        <f t="shared" si="499"/>
        <v>122</v>
      </c>
      <c r="BC1584" s="23">
        <v>139</v>
      </c>
      <c r="BD1584" s="130">
        <f t="shared" si="500"/>
        <v>122</v>
      </c>
      <c r="BE1584" s="130">
        <f t="shared" si="501"/>
        <v>139</v>
      </c>
      <c r="BF1584" s="195">
        <f t="shared" si="502"/>
        <v>87.769784172661872</v>
      </c>
      <c r="BG1584" s="373">
        <f t="shared" si="503"/>
        <v>17</v>
      </c>
    </row>
    <row r="1585" spans="1:59" s="46" customFormat="1" ht="15.95" customHeight="1">
      <c r="A1585" s="176">
        <v>73</v>
      </c>
      <c r="B1585" s="31" t="s">
        <v>2300</v>
      </c>
      <c r="C1585" s="34" t="s">
        <v>2301</v>
      </c>
      <c r="D1585" s="231"/>
      <c r="E1585" s="231"/>
      <c r="F1585" s="231"/>
      <c r="G1585" s="231"/>
      <c r="H1585" s="231"/>
      <c r="I1585" s="231"/>
      <c r="J1585" s="231"/>
      <c r="K1585" s="231"/>
      <c r="L1585" s="231"/>
      <c r="M1585" s="231"/>
      <c r="N1585" s="231"/>
      <c r="O1585" s="231"/>
      <c r="P1585" s="231"/>
      <c r="Q1585" s="231"/>
      <c r="R1585" s="231"/>
      <c r="S1585" s="231"/>
      <c r="T1585" s="231"/>
      <c r="U1585" s="231"/>
      <c r="V1585" s="231"/>
      <c r="W1585" s="231"/>
      <c r="X1585" s="231"/>
      <c r="Y1585" s="231"/>
      <c r="Z1585" s="231"/>
      <c r="AA1585" s="231"/>
      <c r="AB1585" s="22">
        <f t="shared" si="498"/>
        <v>0</v>
      </c>
      <c r="AC1585" s="23">
        <v>0</v>
      </c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22">
        <f t="shared" si="499"/>
        <v>0</v>
      </c>
      <c r="BC1585" s="23">
        <v>15</v>
      </c>
      <c r="BD1585" s="130">
        <f t="shared" si="500"/>
        <v>0</v>
      </c>
      <c r="BE1585" s="130">
        <f t="shared" si="501"/>
        <v>15</v>
      </c>
      <c r="BF1585" s="195">
        <f t="shared" si="502"/>
        <v>0</v>
      </c>
      <c r="BG1585" s="373">
        <f t="shared" si="503"/>
        <v>15</v>
      </c>
    </row>
    <row r="1586" spans="1:59" s="46" customFormat="1" ht="15.95" customHeight="1">
      <c r="A1586" s="176">
        <v>74</v>
      </c>
      <c r="B1586" s="31" t="s">
        <v>974</v>
      </c>
      <c r="C1586" s="34" t="s">
        <v>1020</v>
      </c>
      <c r="D1586" s="231"/>
      <c r="E1586" s="231"/>
      <c r="F1586" s="231"/>
      <c r="G1586" s="231"/>
      <c r="H1586" s="231"/>
      <c r="I1586" s="231"/>
      <c r="J1586" s="231"/>
      <c r="K1586" s="231"/>
      <c r="L1586" s="231"/>
      <c r="M1586" s="231"/>
      <c r="N1586" s="231"/>
      <c r="O1586" s="231"/>
      <c r="P1586" s="231"/>
      <c r="Q1586" s="231"/>
      <c r="R1586" s="231"/>
      <c r="S1586" s="231"/>
      <c r="T1586" s="231"/>
      <c r="U1586" s="231"/>
      <c r="V1586" s="231"/>
      <c r="W1586" s="231"/>
      <c r="X1586" s="231"/>
      <c r="Y1586" s="231"/>
      <c r="Z1586" s="231"/>
      <c r="AA1586" s="231"/>
      <c r="AB1586" s="22">
        <f t="shared" si="498"/>
        <v>0</v>
      </c>
      <c r="AC1586" s="23">
        <v>0</v>
      </c>
      <c r="AD1586" s="35"/>
      <c r="AE1586" s="35"/>
      <c r="AF1586" s="35"/>
      <c r="AG1586" s="35"/>
      <c r="AH1586" s="35">
        <v>1</v>
      </c>
      <c r="AI1586" s="35"/>
      <c r="AJ1586" s="35"/>
      <c r="AK1586" s="35"/>
      <c r="AL1586" s="35">
        <f>3+42</f>
        <v>45</v>
      </c>
      <c r="AM1586" s="35"/>
      <c r="AN1586" s="35"/>
      <c r="AO1586" s="35"/>
      <c r="AP1586" s="35">
        <f>7+46</f>
        <v>53</v>
      </c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22">
        <f t="shared" si="499"/>
        <v>99</v>
      </c>
      <c r="BC1586" s="23">
        <v>464</v>
      </c>
      <c r="BD1586" s="130">
        <f t="shared" si="500"/>
        <v>99</v>
      </c>
      <c r="BE1586" s="130">
        <f t="shared" si="501"/>
        <v>464</v>
      </c>
      <c r="BF1586" s="195">
        <f t="shared" si="502"/>
        <v>21.336206896551722</v>
      </c>
      <c r="BG1586" s="373">
        <f t="shared" si="503"/>
        <v>365</v>
      </c>
    </row>
    <row r="1587" spans="1:59" s="46" customFormat="1" ht="15.95" customHeight="1">
      <c r="A1587" s="176">
        <v>75</v>
      </c>
      <c r="B1587" s="31" t="s">
        <v>1056</v>
      </c>
      <c r="C1587" s="34" t="s">
        <v>3807</v>
      </c>
      <c r="D1587" s="521"/>
      <c r="E1587" s="521"/>
      <c r="F1587" s="521"/>
      <c r="G1587" s="521"/>
      <c r="H1587" s="521"/>
      <c r="I1587" s="521"/>
      <c r="J1587" s="521"/>
      <c r="K1587" s="521"/>
      <c r="L1587" s="521"/>
      <c r="M1587" s="521"/>
      <c r="N1587" s="521"/>
      <c r="O1587" s="521"/>
      <c r="P1587" s="521"/>
      <c r="Q1587" s="521"/>
      <c r="R1587" s="521"/>
      <c r="S1587" s="521"/>
      <c r="T1587" s="521"/>
      <c r="U1587" s="521"/>
      <c r="V1587" s="521"/>
      <c r="W1587" s="521"/>
      <c r="X1587" s="521"/>
      <c r="Y1587" s="521"/>
      <c r="Z1587" s="521"/>
      <c r="AA1587" s="521"/>
      <c r="AB1587" s="22">
        <f t="shared" si="498"/>
        <v>0</v>
      </c>
      <c r="AC1587" s="23">
        <v>0</v>
      </c>
      <c r="AD1587" s="35"/>
      <c r="AE1587" s="35"/>
      <c r="AF1587" s="35"/>
      <c r="AG1587" s="35"/>
      <c r="AH1587" s="35">
        <v>1</v>
      </c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22">
        <f t="shared" si="499"/>
        <v>1</v>
      </c>
      <c r="BC1587" s="23">
        <v>0</v>
      </c>
      <c r="BD1587" s="130">
        <f t="shared" si="500"/>
        <v>1</v>
      </c>
      <c r="BE1587" s="130">
        <f t="shared" si="501"/>
        <v>0</v>
      </c>
      <c r="BF1587" s="195" t="e">
        <f t="shared" si="502"/>
        <v>#DIV/0!</v>
      </c>
      <c r="BG1587" s="373"/>
    </row>
    <row r="1588" spans="1:59" s="46" customFormat="1" ht="15.95" customHeight="1">
      <c r="A1588" s="176">
        <v>76</v>
      </c>
      <c r="B1588" s="31" t="s">
        <v>856</v>
      </c>
      <c r="C1588" s="34" t="s">
        <v>1021</v>
      </c>
      <c r="D1588" s="231"/>
      <c r="E1588" s="231"/>
      <c r="F1588" s="231"/>
      <c r="G1588" s="231"/>
      <c r="H1588" s="231"/>
      <c r="I1588" s="231"/>
      <c r="J1588" s="231"/>
      <c r="K1588" s="231"/>
      <c r="L1588" s="231"/>
      <c r="M1588" s="231"/>
      <c r="N1588" s="231"/>
      <c r="O1588" s="231"/>
      <c r="P1588" s="231"/>
      <c r="Q1588" s="231"/>
      <c r="R1588" s="231"/>
      <c r="S1588" s="231"/>
      <c r="T1588" s="231"/>
      <c r="U1588" s="231"/>
      <c r="V1588" s="231"/>
      <c r="W1588" s="231"/>
      <c r="X1588" s="231"/>
      <c r="Y1588" s="231"/>
      <c r="Z1588" s="231"/>
      <c r="AA1588" s="231"/>
      <c r="AB1588" s="22">
        <f t="shared" si="498"/>
        <v>0</v>
      </c>
      <c r="AC1588" s="23">
        <v>0</v>
      </c>
      <c r="AD1588" s="35"/>
      <c r="AE1588" s="35"/>
      <c r="AF1588" s="35"/>
      <c r="AG1588" s="35"/>
      <c r="AH1588" s="35">
        <v>95</v>
      </c>
      <c r="AI1588" s="35"/>
      <c r="AJ1588" s="35"/>
      <c r="AK1588" s="35"/>
      <c r="AL1588" s="35">
        <v>503</v>
      </c>
      <c r="AM1588" s="35"/>
      <c r="AN1588" s="35"/>
      <c r="AO1588" s="35"/>
      <c r="AP1588" s="35">
        <v>348</v>
      </c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22">
        <f t="shared" si="499"/>
        <v>946</v>
      </c>
      <c r="BC1588" s="23">
        <v>1632</v>
      </c>
      <c r="BD1588" s="130">
        <f t="shared" si="500"/>
        <v>946</v>
      </c>
      <c r="BE1588" s="130">
        <f t="shared" si="501"/>
        <v>1632</v>
      </c>
      <c r="BF1588" s="195">
        <f t="shared" si="502"/>
        <v>57.965686274509807</v>
      </c>
      <c r="BG1588" s="373">
        <f t="shared" ref="BG1588:BG1602" si="504">BE1588-BD1588</f>
        <v>686</v>
      </c>
    </row>
    <row r="1589" spans="1:59" s="46" customFormat="1" ht="15.95" customHeight="1">
      <c r="A1589" s="176">
        <v>77</v>
      </c>
      <c r="B1589" s="31" t="s">
        <v>1022</v>
      </c>
      <c r="C1589" s="34" t="s">
        <v>1023</v>
      </c>
      <c r="D1589" s="231"/>
      <c r="E1589" s="231"/>
      <c r="F1589" s="231"/>
      <c r="G1589" s="231"/>
      <c r="H1589" s="231"/>
      <c r="I1589" s="231"/>
      <c r="J1589" s="231"/>
      <c r="K1589" s="231"/>
      <c r="L1589" s="231"/>
      <c r="M1589" s="231"/>
      <c r="N1589" s="231"/>
      <c r="O1589" s="231"/>
      <c r="P1589" s="231"/>
      <c r="Q1589" s="231"/>
      <c r="R1589" s="231"/>
      <c r="S1589" s="231"/>
      <c r="T1589" s="231"/>
      <c r="U1589" s="231"/>
      <c r="V1589" s="231"/>
      <c r="W1589" s="231"/>
      <c r="X1589" s="231"/>
      <c r="Y1589" s="231"/>
      <c r="Z1589" s="231"/>
      <c r="AA1589" s="231"/>
      <c r="AB1589" s="22">
        <f t="shared" si="498"/>
        <v>0</v>
      </c>
      <c r="AC1589" s="23">
        <v>0</v>
      </c>
      <c r="AD1589" s="35"/>
      <c r="AE1589" s="35"/>
      <c r="AF1589" s="35"/>
      <c r="AG1589" s="35"/>
      <c r="AH1589" s="35">
        <v>39</v>
      </c>
      <c r="AI1589" s="35"/>
      <c r="AJ1589" s="35"/>
      <c r="AK1589" s="35"/>
      <c r="AL1589" s="35">
        <v>4</v>
      </c>
      <c r="AM1589" s="35"/>
      <c r="AN1589" s="35"/>
      <c r="AO1589" s="35"/>
      <c r="AP1589" s="35">
        <f>14+210</f>
        <v>224</v>
      </c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22">
        <f t="shared" si="499"/>
        <v>267</v>
      </c>
      <c r="BC1589" s="23">
        <v>944</v>
      </c>
      <c r="BD1589" s="130">
        <f t="shared" si="500"/>
        <v>267</v>
      </c>
      <c r="BE1589" s="130">
        <f t="shared" si="501"/>
        <v>944</v>
      </c>
      <c r="BF1589" s="195">
        <f t="shared" si="502"/>
        <v>28.283898305084747</v>
      </c>
      <c r="BG1589" s="373">
        <f t="shared" si="504"/>
        <v>677</v>
      </c>
    </row>
    <row r="1590" spans="1:59" s="46" customFormat="1" ht="15.95" customHeight="1">
      <c r="A1590" s="176">
        <v>78</v>
      </c>
      <c r="B1590" s="31" t="s">
        <v>1024</v>
      </c>
      <c r="C1590" s="34" t="s">
        <v>1025</v>
      </c>
      <c r="D1590" s="231"/>
      <c r="E1590" s="231"/>
      <c r="F1590" s="231"/>
      <c r="G1590" s="231"/>
      <c r="H1590" s="231"/>
      <c r="I1590" s="231"/>
      <c r="J1590" s="231"/>
      <c r="K1590" s="231"/>
      <c r="L1590" s="231"/>
      <c r="M1590" s="231"/>
      <c r="N1590" s="231"/>
      <c r="O1590" s="231"/>
      <c r="P1590" s="231"/>
      <c r="Q1590" s="231"/>
      <c r="R1590" s="231"/>
      <c r="S1590" s="231"/>
      <c r="T1590" s="231"/>
      <c r="U1590" s="231"/>
      <c r="V1590" s="231"/>
      <c r="W1590" s="231"/>
      <c r="X1590" s="231"/>
      <c r="Y1590" s="231"/>
      <c r="Z1590" s="231"/>
      <c r="AA1590" s="231"/>
      <c r="AB1590" s="22">
        <f t="shared" si="498"/>
        <v>0</v>
      </c>
      <c r="AC1590" s="23">
        <v>0</v>
      </c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22">
        <f t="shared" si="499"/>
        <v>0</v>
      </c>
      <c r="BC1590" s="23">
        <v>3</v>
      </c>
      <c r="BD1590" s="130">
        <f t="shared" si="500"/>
        <v>0</v>
      </c>
      <c r="BE1590" s="130">
        <f t="shared" si="501"/>
        <v>3</v>
      </c>
      <c r="BF1590" s="195">
        <f t="shared" si="502"/>
        <v>0</v>
      </c>
      <c r="BG1590" s="373">
        <f t="shared" si="504"/>
        <v>3</v>
      </c>
    </row>
    <row r="1591" spans="1:59" s="46" customFormat="1" ht="15.95" customHeight="1">
      <c r="A1591" s="176">
        <v>79</v>
      </c>
      <c r="B1591" s="31" t="s">
        <v>1059</v>
      </c>
      <c r="C1591" s="34" t="s">
        <v>1998</v>
      </c>
      <c r="D1591" s="231"/>
      <c r="E1591" s="231"/>
      <c r="F1591" s="231"/>
      <c r="G1591" s="231"/>
      <c r="H1591" s="231"/>
      <c r="I1591" s="231"/>
      <c r="J1591" s="231"/>
      <c r="K1591" s="231"/>
      <c r="L1591" s="231"/>
      <c r="M1591" s="231"/>
      <c r="N1591" s="231"/>
      <c r="O1591" s="231"/>
      <c r="P1591" s="231"/>
      <c r="Q1591" s="231"/>
      <c r="R1591" s="231"/>
      <c r="S1591" s="231"/>
      <c r="T1591" s="231"/>
      <c r="U1591" s="231"/>
      <c r="V1591" s="231"/>
      <c r="W1591" s="231"/>
      <c r="X1591" s="231"/>
      <c r="Y1591" s="231"/>
      <c r="Z1591" s="231"/>
      <c r="AA1591" s="231"/>
      <c r="AB1591" s="22">
        <f t="shared" si="498"/>
        <v>0</v>
      </c>
      <c r="AC1591" s="23">
        <v>0</v>
      </c>
      <c r="AD1591" s="35"/>
      <c r="AE1591" s="35"/>
      <c r="AF1591" s="35"/>
      <c r="AG1591" s="35"/>
      <c r="AH1591" s="35">
        <v>2</v>
      </c>
      <c r="AI1591" s="35"/>
      <c r="AJ1591" s="35"/>
      <c r="AK1591" s="35"/>
      <c r="AL1591" s="35">
        <v>5</v>
      </c>
      <c r="AM1591" s="35"/>
      <c r="AN1591" s="35"/>
      <c r="AO1591" s="35"/>
      <c r="AP1591" s="35">
        <v>13</v>
      </c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22">
        <f t="shared" si="499"/>
        <v>20</v>
      </c>
      <c r="BC1591" s="23">
        <v>43</v>
      </c>
      <c r="BD1591" s="130">
        <f t="shared" si="500"/>
        <v>20</v>
      </c>
      <c r="BE1591" s="130">
        <f t="shared" si="501"/>
        <v>43</v>
      </c>
      <c r="BF1591" s="195">
        <f t="shared" si="502"/>
        <v>46.511627906976742</v>
      </c>
      <c r="BG1591" s="373">
        <f t="shared" si="504"/>
        <v>23</v>
      </c>
    </row>
    <row r="1592" spans="1:59" s="46" customFormat="1" ht="15.95" customHeight="1">
      <c r="A1592" s="176">
        <v>80</v>
      </c>
      <c r="B1592" s="31" t="s">
        <v>858</v>
      </c>
      <c r="C1592" s="32" t="s">
        <v>859</v>
      </c>
      <c r="D1592" s="231"/>
      <c r="E1592" s="231"/>
      <c r="F1592" s="231"/>
      <c r="G1592" s="231"/>
      <c r="H1592" s="231"/>
      <c r="I1592" s="231"/>
      <c r="J1592" s="231"/>
      <c r="K1592" s="231"/>
      <c r="L1592" s="231"/>
      <c r="M1592" s="231"/>
      <c r="N1592" s="231"/>
      <c r="O1592" s="231"/>
      <c r="P1592" s="231"/>
      <c r="Q1592" s="231"/>
      <c r="R1592" s="231"/>
      <c r="S1592" s="231"/>
      <c r="T1592" s="231"/>
      <c r="U1592" s="231"/>
      <c r="V1592" s="231"/>
      <c r="W1592" s="231"/>
      <c r="X1592" s="231"/>
      <c r="Y1592" s="231"/>
      <c r="Z1592" s="231"/>
      <c r="AA1592" s="231"/>
      <c r="AB1592" s="22">
        <f t="shared" si="498"/>
        <v>0</v>
      </c>
      <c r="AC1592" s="23">
        <v>0</v>
      </c>
      <c r="AD1592" s="35"/>
      <c r="AE1592" s="35"/>
      <c r="AF1592" s="35"/>
      <c r="AG1592" s="35"/>
      <c r="AH1592" s="35">
        <v>48</v>
      </c>
      <c r="AI1592" s="35"/>
      <c r="AJ1592" s="35"/>
      <c r="AK1592" s="35"/>
      <c r="AL1592" s="35">
        <v>214</v>
      </c>
      <c r="AM1592" s="35"/>
      <c r="AN1592" s="35"/>
      <c r="AO1592" s="35"/>
      <c r="AP1592" s="35">
        <v>100</v>
      </c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22">
        <f t="shared" si="499"/>
        <v>362</v>
      </c>
      <c r="BC1592" s="23">
        <v>505</v>
      </c>
      <c r="BD1592" s="130">
        <f t="shared" si="500"/>
        <v>362</v>
      </c>
      <c r="BE1592" s="130">
        <f t="shared" si="501"/>
        <v>505</v>
      </c>
      <c r="BF1592" s="195">
        <f t="shared" si="502"/>
        <v>71.683168316831683</v>
      </c>
      <c r="BG1592" s="373">
        <f t="shared" si="504"/>
        <v>143</v>
      </c>
    </row>
    <row r="1593" spans="1:59" s="46" customFormat="1" ht="15.95" customHeight="1">
      <c r="A1593" s="176">
        <v>81</v>
      </c>
      <c r="B1593" s="31" t="s">
        <v>860</v>
      </c>
      <c r="C1593" s="34" t="s">
        <v>861</v>
      </c>
      <c r="D1593" s="231"/>
      <c r="E1593" s="231"/>
      <c r="F1593" s="231"/>
      <c r="G1593" s="231"/>
      <c r="H1593" s="231"/>
      <c r="I1593" s="231"/>
      <c r="J1593" s="231"/>
      <c r="K1593" s="231"/>
      <c r="L1593" s="231"/>
      <c r="M1593" s="231"/>
      <c r="N1593" s="231"/>
      <c r="O1593" s="231"/>
      <c r="P1593" s="231"/>
      <c r="Q1593" s="231"/>
      <c r="R1593" s="231"/>
      <c r="S1593" s="231"/>
      <c r="T1593" s="231"/>
      <c r="U1593" s="231"/>
      <c r="V1593" s="231"/>
      <c r="W1593" s="231"/>
      <c r="X1593" s="231"/>
      <c r="Y1593" s="231"/>
      <c r="Z1593" s="231"/>
      <c r="AA1593" s="231"/>
      <c r="AB1593" s="22">
        <f t="shared" si="498"/>
        <v>0</v>
      </c>
      <c r="AC1593" s="23">
        <v>0</v>
      </c>
      <c r="AD1593" s="35"/>
      <c r="AE1593" s="35"/>
      <c r="AF1593" s="35"/>
      <c r="AG1593" s="35"/>
      <c r="AH1593" s="35">
        <f>20+104</f>
        <v>124</v>
      </c>
      <c r="AI1593" s="35"/>
      <c r="AJ1593" s="35"/>
      <c r="AK1593" s="35"/>
      <c r="AL1593" s="35">
        <f>87+648</f>
        <v>735</v>
      </c>
      <c r="AM1593" s="35"/>
      <c r="AN1593" s="35"/>
      <c r="AO1593" s="35"/>
      <c r="AP1593" s="35">
        <f>65+509</f>
        <v>574</v>
      </c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22">
        <f t="shared" si="499"/>
        <v>1433</v>
      </c>
      <c r="BC1593" s="23">
        <v>3462</v>
      </c>
      <c r="BD1593" s="130">
        <f t="shared" si="500"/>
        <v>1433</v>
      </c>
      <c r="BE1593" s="130">
        <f t="shared" si="501"/>
        <v>3462</v>
      </c>
      <c r="BF1593" s="195">
        <f t="shared" si="502"/>
        <v>41.392258809936457</v>
      </c>
      <c r="BG1593" s="373">
        <f t="shared" si="504"/>
        <v>2029</v>
      </c>
    </row>
    <row r="1594" spans="1:59" s="46" customFormat="1" ht="15.95" customHeight="1">
      <c r="A1594" s="176">
        <v>82</v>
      </c>
      <c r="B1594" s="31" t="s">
        <v>1026</v>
      </c>
      <c r="C1594" s="34" t="s">
        <v>2626</v>
      </c>
      <c r="D1594" s="231"/>
      <c r="E1594" s="231"/>
      <c r="F1594" s="231"/>
      <c r="G1594" s="231"/>
      <c r="H1594" s="231"/>
      <c r="I1594" s="231"/>
      <c r="J1594" s="231"/>
      <c r="K1594" s="231"/>
      <c r="L1594" s="231"/>
      <c r="M1594" s="231"/>
      <c r="N1594" s="231"/>
      <c r="O1594" s="231"/>
      <c r="P1594" s="231"/>
      <c r="Q1594" s="231"/>
      <c r="R1594" s="231"/>
      <c r="S1594" s="231"/>
      <c r="T1594" s="231"/>
      <c r="U1594" s="231"/>
      <c r="V1594" s="231"/>
      <c r="W1594" s="231"/>
      <c r="X1594" s="231"/>
      <c r="Y1594" s="231"/>
      <c r="Z1594" s="231"/>
      <c r="AA1594" s="231"/>
      <c r="AB1594" s="22">
        <f t="shared" si="498"/>
        <v>0</v>
      </c>
      <c r="AC1594" s="23">
        <v>0</v>
      </c>
      <c r="AD1594" s="35"/>
      <c r="AE1594" s="35"/>
      <c r="AF1594" s="35"/>
      <c r="AG1594" s="35"/>
      <c r="AH1594" s="35"/>
      <c r="AI1594" s="35"/>
      <c r="AJ1594" s="35"/>
      <c r="AK1594" s="35"/>
      <c r="AL1594" s="35">
        <f>15+5</f>
        <v>20</v>
      </c>
      <c r="AM1594" s="35"/>
      <c r="AN1594" s="35"/>
      <c r="AO1594" s="35"/>
      <c r="AP1594" s="35">
        <f>19+8</f>
        <v>27</v>
      </c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22">
        <f t="shared" si="499"/>
        <v>47</v>
      </c>
      <c r="BC1594" s="23">
        <v>50</v>
      </c>
      <c r="BD1594" s="130">
        <f t="shared" si="500"/>
        <v>47</v>
      </c>
      <c r="BE1594" s="130">
        <f t="shared" si="501"/>
        <v>50</v>
      </c>
      <c r="BF1594" s="195">
        <f t="shared" si="502"/>
        <v>94</v>
      </c>
      <c r="BG1594" s="373">
        <f t="shared" si="504"/>
        <v>3</v>
      </c>
    </row>
    <row r="1595" spans="1:59" s="46" customFormat="1" ht="15.95" customHeight="1">
      <c r="A1595" s="176">
        <v>83</v>
      </c>
      <c r="B1595" s="31" t="s">
        <v>862</v>
      </c>
      <c r="C1595" s="34" t="s">
        <v>1515</v>
      </c>
      <c r="D1595" s="231"/>
      <c r="E1595" s="231"/>
      <c r="F1595" s="231"/>
      <c r="G1595" s="231"/>
      <c r="H1595" s="231"/>
      <c r="I1595" s="231"/>
      <c r="J1595" s="231"/>
      <c r="K1595" s="231"/>
      <c r="L1595" s="231"/>
      <c r="M1595" s="231"/>
      <c r="N1595" s="231"/>
      <c r="O1595" s="231"/>
      <c r="P1595" s="231"/>
      <c r="Q1595" s="231"/>
      <c r="R1595" s="231"/>
      <c r="S1595" s="231"/>
      <c r="T1595" s="231"/>
      <c r="U1595" s="231"/>
      <c r="V1595" s="231"/>
      <c r="W1595" s="231"/>
      <c r="X1595" s="231"/>
      <c r="Y1595" s="231"/>
      <c r="Z1595" s="231"/>
      <c r="AA1595" s="231"/>
      <c r="AB1595" s="22">
        <f t="shared" si="498"/>
        <v>0</v>
      </c>
      <c r="AC1595" s="23">
        <v>0</v>
      </c>
      <c r="AD1595" s="35"/>
      <c r="AE1595" s="35"/>
      <c r="AF1595" s="35"/>
      <c r="AG1595" s="35"/>
      <c r="AH1595" s="35">
        <v>3</v>
      </c>
      <c r="AI1595" s="35"/>
      <c r="AJ1595" s="35"/>
      <c r="AK1595" s="35"/>
      <c r="AL1595" s="35">
        <v>8</v>
      </c>
      <c r="AM1595" s="35"/>
      <c r="AN1595" s="35"/>
      <c r="AO1595" s="35"/>
      <c r="AP1595" s="35">
        <v>4</v>
      </c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22">
        <f t="shared" si="499"/>
        <v>15</v>
      </c>
      <c r="BC1595" s="23">
        <v>82</v>
      </c>
      <c r="BD1595" s="130">
        <f t="shared" si="500"/>
        <v>15</v>
      </c>
      <c r="BE1595" s="130">
        <f t="shared" si="501"/>
        <v>82</v>
      </c>
      <c r="BF1595" s="195">
        <f t="shared" si="502"/>
        <v>18.292682926829269</v>
      </c>
      <c r="BG1595" s="373">
        <f t="shared" si="504"/>
        <v>67</v>
      </c>
    </row>
    <row r="1596" spans="1:59" s="46" customFormat="1" ht="15.95" customHeight="1">
      <c r="A1596" s="176">
        <v>84</v>
      </c>
      <c r="B1596" s="31" t="s">
        <v>1254</v>
      </c>
      <c r="C1596" s="32" t="s">
        <v>3469</v>
      </c>
      <c r="D1596" s="231"/>
      <c r="E1596" s="231"/>
      <c r="F1596" s="231"/>
      <c r="G1596" s="231"/>
      <c r="H1596" s="231"/>
      <c r="I1596" s="231"/>
      <c r="J1596" s="231"/>
      <c r="K1596" s="231"/>
      <c r="L1596" s="231"/>
      <c r="M1596" s="231"/>
      <c r="N1596" s="231"/>
      <c r="O1596" s="231"/>
      <c r="P1596" s="231"/>
      <c r="Q1596" s="231"/>
      <c r="R1596" s="231"/>
      <c r="S1596" s="231"/>
      <c r="T1596" s="231"/>
      <c r="U1596" s="231"/>
      <c r="V1596" s="231"/>
      <c r="W1596" s="231"/>
      <c r="X1596" s="231"/>
      <c r="Y1596" s="231"/>
      <c r="Z1596" s="231"/>
      <c r="AA1596" s="231"/>
      <c r="AB1596" s="22">
        <f t="shared" si="498"/>
        <v>0</v>
      </c>
      <c r="AC1596" s="23">
        <v>0</v>
      </c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22">
        <f t="shared" si="499"/>
        <v>0</v>
      </c>
      <c r="BC1596" s="23">
        <v>1</v>
      </c>
      <c r="BD1596" s="130">
        <f t="shared" si="500"/>
        <v>0</v>
      </c>
      <c r="BE1596" s="130">
        <f t="shared" si="501"/>
        <v>1</v>
      </c>
      <c r="BF1596" s="195">
        <f t="shared" si="502"/>
        <v>0</v>
      </c>
      <c r="BG1596" s="373">
        <f t="shared" si="504"/>
        <v>1</v>
      </c>
    </row>
    <row r="1597" spans="1:59" s="46" customFormat="1" ht="15.95" customHeight="1">
      <c r="A1597" s="176">
        <v>85</v>
      </c>
      <c r="B1597" s="31" t="s">
        <v>1989</v>
      </c>
      <c r="C1597" s="34" t="s">
        <v>1999</v>
      </c>
      <c r="D1597" s="231"/>
      <c r="E1597" s="231"/>
      <c r="F1597" s="231"/>
      <c r="G1597" s="231"/>
      <c r="H1597" s="231"/>
      <c r="I1597" s="231"/>
      <c r="J1597" s="231"/>
      <c r="K1597" s="231"/>
      <c r="L1597" s="231"/>
      <c r="M1597" s="231"/>
      <c r="N1597" s="231"/>
      <c r="O1597" s="231"/>
      <c r="P1597" s="231"/>
      <c r="Q1597" s="231"/>
      <c r="R1597" s="231"/>
      <c r="S1597" s="231"/>
      <c r="T1597" s="231"/>
      <c r="U1597" s="231"/>
      <c r="V1597" s="231"/>
      <c r="W1597" s="231"/>
      <c r="X1597" s="231"/>
      <c r="Y1597" s="231"/>
      <c r="Z1597" s="231"/>
      <c r="AA1597" s="231"/>
      <c r="AB1597" s="22">
        <f t="shared" si="498"/>
        <v>0</v>
      </c>
      <c r="AC1597" s="23">
        <v>0</v>
      </c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22">
        <f t="shared" si="499"/>
        <v>0</v>
      </c>
      <c r="BC1597" s="23">
        <v>1</v>
      </c>
      <c r="BD1597" s="130">
        <f t="shared" si="500"/>
        <v>0</v>
      </c>
      <c r="BE1597" s="130">
        <f t="shared" si="501"/>
        <v>1</v>
      </c>
      <c r="BF1597" s="195">
        <f t="shared" si="502"/>
        <v>0</v>
      </c>
      <c r="BG1597" s="373">
        <f t="shared" si="504"/>
        <v>1</v>
      </c>
    </row>
    <row r="1598" spans="1:59" s="46" customFormat="1" ht="15.95" customHeight="1">
      <c r="A1598" s="176">
        <v>86</v>
      </c>
      <c r="B1598" s="31" t="s">
        <v>864</v>
      </c>
      <c r="C1598" s="34" t="s">
        <v>2000</v>
      </c>
      <c r="D1598" s="231"/>
      <c r="E1598" s="231"/>
      <c r="F1598" s="231"/>
      <c r="G1598" s="231"/>
      <c r="H1598" s="231"/>
      <c r="I1598" s="231"/>
      <c r="J1598" s="231"/>
      <c r="K1598" s="231"/>
      <c r="L1598" s="231"/>
      <c r="M1598" s="231"/>
      <c r="N1598" s="231"/>
      <c r="O1598" s="231"/>
      <c r="P1598" s="231"/>
      <c r="Q1598" s="231"/>
      <c r="R1598" s="231"/>
      <c r="S1598" s="231"/>
      <c r="T1598" s="231"/>
      <c r="U1598" s="231"/>
      <c r="V1598" s="231"/>
      <c r="W1598" s="231"/>
      <c r="X1598" s="231"/>
      <c r="Y1598" s="231"/>
      <c r="Z1598" s="231"/>
      <c r="AA1598" s="231"/>
      <c r="AB1598" s="22">
        <f t="shared" si="498"/>
        <v>0</v>
      </c>
      <c r="AC1598" s="23">
        <v>0</v>
      </c>
      <c r="AD1598" s="35"/>
      <c r="AE1598" s="35"/>
      <c r="AF1598" s="35"/>
      <c r="AG1598" s="35"/>
      <c r="AH1598" s="35">
        <v>6</v>
      </c>
      <c r="AI1598" s="35"/>
      <c r="AJ1598" s="35"/>
      <c r="AK1598" s="35"/>
      <c r="AL1598" s="35">
        <v>15</v>
      </c>
      <c r="AM1598" s="35"/>
      <c r="AN1598" s="35"/>
      <c r="AO1598" s="35"/>
      <c r="AP1598" s="35">
        <v>43</v>
      </c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22">
        <f t="shared" si="499"/>
        <v>64</v>
      </c>
      <c r="BC1598" s="23">
        <v>203</v>
      </c>
      <c r="BD1598" s="130">
        <f t="shared" si="500"/>
        <v>64</v>
      </c>
      <c r="BE1598" s="130">
        <f t="shared" si="501"/>
        <v>203</v>
      </c>
      <c r="BF1598" s="195">
        <f t="shared" si="502"/>
        <v>31.527093596059114</v>
      </c>
      <c r="BG1598" s="373">
        <f t="shared" si="504"/>
        <v>139</v>
      </c>
    </row>
    <row r="1599" spans="1:59" s="46" customFormat="1" ht="15.95" customHeight="1">
      <c r="A1599" s="176">
        <v>87</v>
      </c>
      <c r="B1599" s="31" t="s">
        <v>1672</v>
      </c>
      <c r="C1599" s="34" t="s">
        <v>2732</v>
      </c>
      <c r="D1599" s="231"/>
      <c r="E1599" s="231"/>
      <c r="F1599" s="231"/>
      <c r="G1599" s="231"/>
      <c r="H1599" s="231"/>
      <c r="I1599" s="231"/>
      <c r="J1599" s="231"/>
      <c r="K1599" s="231"/>
      <c r="L1599" s="231"/>
      <c r="M1599" s="231"/>
      <c r="N1599" s="231"/>
      <c r="O1599" s="231"/>
      <c r="P1599" s="231"/>
      <c r="Q1599" s="231"/>
      <c r="R1599" s="231"/>
      <c r="S1599" s="231"/>
      <c r="T1599" s="231"/>
      <c r="U1599" s="231"/>
      <c r="V1599" s="231"/>
      <c r="W1599" s="231"/>
      <c r="X1599" s="231"/>
      <c r="Y1599" s="231"/>
      <c r="Z1599" s="231"/>
      <c r="AA1599" s="231"/>
      <c r="AB1599" s="22">
        <f t="shared" si="498"/>
        <v>0</v>
      </c>
      <c r="AC1599" s="23">
        <v>0</v>
      </c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22">
        <f t="shared" si="499"/>
        <v>0</v>
      </c>
      <c r="BC1599" s="23">
        <v>1</v>
      </c>
      <c r="BD1599" s="130">
        <f t="shared" si="500"/>
        <v>0</v>
      </c>
      <c r="BE1599" s="130">
        <f t="shared" si="501"/>
        <v>1</v>
      </c>
      <c r="BF1599" s="195">
        <f t="shared" si="502"/>
        <v>0</v>
      </c>
      <c r="BG1599" s="373">
        <f t="shared" si="504"/>
        <v>1</v>
      </c>
    </row>
    <row r="1600" spans="1:59" s="46" customFormat="1" ht="15.95" customHeight="1">
      <c r="A1600" s="176">
        <v>88</v>
      </c>
      <c r="B1600" s="31" t="s">
        <v>865</v>
      </c>
      <c r="C1600" s="34" t="s">
        <v>863</v>
      </c>
      <c r="D1600" s="231"/>
      <c r="E1600" s="231"/>
      <c r="F1600" s="231"/>
      <c r="G1600" s="231"/>
      <c r="H1600" s="231"/>
      <c r="I1600" s="231"/>
      <c r="J1600" s="231"/>
      <c r="K1600" s="231"/>
      <c r="L1600" s="231"/>
      <c r="M1600" s="231"/>
      <c r="N1600" s="231"/>
      <c r="O1600" s="231"/>
      <c r="P1600" s="231"/>
      <c r="Q1600" s="231"/>
      <c r="R1600" s="231"/>
      <c r="S1600" s="231"/>
      <c r="T1600" s="231"/>
      <c r="U1600" s="231"/>
      <c r="V1600" s="231"/>
      <c r="W1600" s="231"/>
      <c r="X1600" s="231"/>
      <c r="Y1600" s="231"/>
      <c r="Z1600" s="231"/>
      <c r="AA1600" s="231"/>
      <c r="AB1600" s="22">
        <f t="shared" si="498"/>
        <v>0</v>
      </c>
      <c r="AC1600" s="23">
        <v>0</v>
      </c>
      <c r="AD1600" s="35"/>
      <c r="AE1600" s="35"/>
      <c r="AF1600" s="35"/>
      <c r="AG1600" s="35"/>
      <c r="AH1600" s="35">
        <f>2+83</f>
        <v>85</v>
      </c>
      <c r="AI1600" s="35"/>
      <c r="AJ1600" s="35"/>
      <c r="AK1600" s="35"/>
      <c r="AL1600" s="35">
        <f>6+445</f>
        <v>451</v>
      </c>
      <c r="AM1600" s="35"/>
      <c r="AN1600" s="35"/>
      <c r="AO1600" s="35"/>
      <c r="AP1600" s="35">
        <f>18+344</f>
        <v>362</v>
      </c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22">
        <f t="shared" si="499"/>
        <v>898</v>
      </c>
      <c r="BC1600" s="23">
        <v>965</v>
      </c>
      <c r="BD1600" s="130">
        <f t="shared" si="500"/>
        <v>898</v>
      </c>
      <c r="BE1600" s="130">
        <f t="shared" si="501"/>
        <v>965</v>
      </c>
      <c r="BF1600" s="195">
        <f t="shared" si="502"/>
        <v>93.056994818652853</v>
      </c>
      <c r="BG1600" s="373">
        <f t="shared" si="504"/>
        <v>67</v>
      </c>
    </row>
    <row r="1601" spans="1:59" s="46" customFormat="1" ht="15.95" customHeight="1">
      <c r="A1601" s="176">
        <v>89</v>
      </c>
      <c r="B1601" s="31" t="s">
        <v>2815</v>
      </c>
      <c r="C1601" s="34" t="s">
        <v>2816</v>
      </c>
      <c r="D1601" s="253"/>
      <c r="E1601" s="253"/>
      <c r="F1601" s="253"/>
      <c r="G1601" s="253"/>
      <c r="H1601" s="253"/>
      <c r="I1601" s="253"/>
      <c r="J1601" s="253"/>
      <c r="K1601" s="253"/>
      <c r="L1601" s="253"/>
      <c r="M1601" s="253"/>
      <c r="N1601" s="253"/>
      <c r="O1601" s="253"/>
      <c r="P1601" s="253"/>
      <c r="Q1601" s="253"/>
      <c r="R1601" s="253"/>
      <c r="S1601" s="253"/>
      <c r="T1601" s="253"/>
      <c r="U1601" s="253"/>
      <c r="V1601" s="253"/>
      <c r="W1601" s="253"/>
      <c r="X1601" s="253"/>
      <c r="Y1601" s="253"/>
      <c r="Z1601" s="253"/>
      <c r="AA1601" s="253"/>
      <c r="AB1601" s="22">
        <f t="shared" si="498"/>
        <v>0</v>
      </c>
      <c r="AC1601" s="23">
        <v>0</v>
      </c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22">
        <f t="shared" si="499"/>
        <v>0</v>
      </c>
      <c r="BC1601" s="23">
        <v>1</v>
      </c>
      <c r="BD1601" s="130">
        <f t="shared" si="500"/>
        <v>0</v>
      </c>
      <c r="BE1601" s="130">
        <f t="shared" si="501"/>
        <v>1</v>
      </c>
      <c r="BF1601" s="195">
        <f t="shared" si="502"/>
        <v>0</v>
      </c>
      <c r="BG1601" s="373">
        <f t="shared" si="504"/>
        <v>1</v>
      </c>
    </row>
    <row r="1602" spans="1:59" s="46" customFormat="1" ht="15.95" customHeight="1">
      <c r="A1602" s="176">
        <v>90</v>
      </c>
      <c r="B1602" s="31" t="s">
        <v>2576</v>
      </c>
      <c r="C1602" s="34" t="s">
        <v>2817</v>
      </c>
      <c r="D1602" s="231"/>
      <c r="E1602" s="231"/>
      <c r="F1602" s="231"/>
      <c r="G1602" s="231"/>
      <c r="H1602" s="231"/>
      <c r="I1602" s="231"/>
      <c r="J1602" s="231"/>
      <c r="K1602" s="231"/>
      <c r="L1602" s="231"/>
      <c r="M1602" s="231"/>
      <c r="N1602" s="231"/>
      <c r="O1602" s="231"/>
      <c r="P1602" s="231"/>
      <c r="Q1602" s="231"/>
      <c r="R1602" s="231"/>
      <c r="S1602" s="231"/>
      <c r="T1602" s="231"/>
      <c r="U1602" s="231"/>
      <c r="V1602" s="231"/>
      <c r="W1602" s="231"/>
      <c r="X1602" s="231"/>
      <c r="Y1602" s="231"/>
      <c r="Z1602" s="231"/>
      <c r="AA1602" s="231"/>
      <c r="AB1602" s="22">
        <f t="shared" si="498"/>
        <v>0</v>
      </c>
      <c r="AC1602" s="23">
        <v>0</v>
      </c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22">
        <f t="shared" si="499"/>
        <v>0</v>
      </c>
      <c r="BC1602" s="23">
        <v>1</v>
      </c>
      <c r="BD1602" s="130">
        <f t="shared" si="500"/>
        <v>0</v>
      </c>
      <c r="BE1602" s="130">
        <f t="shared" si="501"/>
        <v>1</v>
      </c>
      <c r="BF1602" s="195">
        <f t="shared" si="502"/>
        <v>0</v>
      </c>
      <c r="BG1602" s="373">
        <f t="shared" si="504"/>
        <v>1</v>
      </c>
    </row>
    <row r="1603" spans="1:59" s="46" customFormat="1" ht="15.95" customHeight="1">
      <c r="A1603" s="176">
        <v>91</v>
      </c>
      <c r="B1603" s="31" t="s">
        <v>1028</v>
      </c>
      <c r="C1603" s="34" t="s">
        <v>2580</v>
      </c>
      <c r="D1603" s="550"/>
      <c r="E1603" s="550"/>
      <c r="F1603" s="550"/>
      <c r="G1603" s="550"/>
      <c r="H1603" s="550"/>
      <c r="I1603" s="550"/>
      <c r="J1603" s="550"/>
      <c r="K1603" s="550"/>
      <c r="L1603" s="550"/>
      <c r="M1603" s="550"/>
      <c r="N1603" s="550"/>
      <c r="O1603" s="550"/>
      <c r="P1603" s="550"/>
      <c r="Q1603" s="550"/>
      <c r="R1603" s="550"/>
      <c r="S1603" s="550"/>
      <c r="T1603" s="550"/>
      <c r="U1603" s="550"/>
      <c r="V1603" s="550"/>
      <c r="W1603" s="550"/>
      <c r="X1603" s="550"/>
      <c r="Y1603" s="550"/>
      <c r="Z1603" s="550"/>
      <c r="AA1603" s="550"/>
      <c r="AB1603" s="22">
        <f t="shared" si="498"/>
        <v>0</v>
      </c>
      <c r="AC1603" s="23">
        <v>0</v>
      </c>
      <c r="AD1603" s="35"/>
      <c r="AE1603" s="35"/>
      <c r="AF1603" s="35"/>
      <c r="AG1603" s="35"/>
      <c r="AH1603" s="35"/>
      <c r="AI1603" s="35"/>
      <c r="AJ1603" s="35"/>
      <c r="AK1603" s="35"/>
      <c r="AL1603" s="35">
        <v>4</v>
      </c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22">
        <f t="shared" si="499"/>
        <v>4</v>
      </c>
      <c r="BC1603" s="23">
        <v>0</v>
      </c>
      <c r="BD1603" s="130">
        <f t="shared" si="500"/>
        <v>4</v>
      </c>
      <c r="BE1603" s="130">
        <f t="shared" si="501"/>
        <v>0</v>
      </c>
      <c r="BF1603" s="195" t="e">
        <f t="shared" si="502"/>
        <v>#DIV/0!</v>
      </c>
      <c r="BG1603" s="373"/>
    </row>
    <row r="1604" spans="1:59" s="46" customFormat="1" ht="15.95" customHeight="1">
      <c r="A1604" s="176">
        <v>92</v>
      </c>
      <c r="B1604" s="31" t="s">
        <v>922</v>
      </c>
      <c r="C1604" s="34" t="s">
        <v>923</v>
      </c>
      <c r="D1604" s="271"/>
      <c r="E1604" s="271"/>
      <c r="F1604" s="271"/>
      <c r="G1604" s="271"/>
      <c r="H1604" s="271"/>
      <c r="I1604" s="271"/>
      <c r="J1604" s="271"/>
      <c r="K1604" s="271"/>
      <c r="L1604" s="271"/>
      <c r="M1604" s="271"/>
      <c r="N1604" s="271"/>
      <c r="O1604" s="271"/>
      <c r="P1604" s="271"/>
      <c r="Q1604" s="271"/>
      <c r="R1604" s="271"/>
      <c r="S1604" s="271"/>
      <c r="T1604" s="271"/>
      <c r="U1604" s="271"/>
      <c r="V1604" s="271"/>
      <c r="W1604" s="271"/>
      <c r="X1604" s="271"/>
      <c r="Y1604" s="271"/>
      <c r="Z1604" s="271"/>
      <c r="AA1604" s="271"/>
      <c r="AB1604" s="22">
        <f t="shared" si="498"/>
        <v>0</v>
      </c>
      <c r="AC1604" s="23">
        <v>0</v>
      </c>
      <c r="AD1604" s="35"/>
      <c r="AE1604" s="35"/>
      <c r="AF1604" s="35"/>
      <c r="AG1604" s="35"/>
      <c r="AH1604" s="35">
        <v>1</v>
      </c>
      <c r="AI1604" s="35"/>
      <c r="AJ1604" s="35"/>
      <c r="AK1604" s="35"/>
      <c r="AL1604" s="35">
        <f>20+4</f>
        <v>24</v>
      </c>
      <c r="AM1604" s="35"/>
      <c r="AN1604" s="35"/>
      <c r="AO1604" s="35"/>
      <c r="AP1604" s="35">
        <f>15+2</f>
        <v>17</v>
      </c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22">
        <f t="shared" si="499"/>
        <v>42</v>
      </c>
      <c r="BC1604" s="23">
        <v>138</v>
      </c>
      <c r="BD1604" s="130">
        <f t="shared" si="500"/>
        <v>42</v>
      </c>
      <c r="BE1604" s="130">
        <f t="shared" si="501"/>
        <v>138</v>
      </c>
      <c r="BF1604" s="195">
        <f t="shared" si="502"/>
        <v>30.434782608695656</v>
      </c>
      <c r="BG1604" s="373">
        <f t="shared" ref="BG1604:BG1613" si="505">BE1604-BD1604</f>
        <v>96</v>
      </c>
    </row>
    <row r="1605" spans="1:59" s="46" customFormat="1" ht="15.95" customHeight="1">
      <c r="A1605" s="176">
        <v>93</v>
      </c>
      <c r="B1605" s="31" t="s">
        <v>1029</v>
      </c>
      <c r="C1605" s="34" t="s">
        <v>2569</v>
      </c>
      <c r="D1605" s="271"/>
      <c r="E1605" s="271"/>
      <c r="F1605" s="271"/>
      <c r="G1605" s="271"/>
      <c r="H1605" s="271"/>
      <c r="I1605" s="271"/>
      <c r="J1605" s="271"/>
      <c r="K1605" s="271"/>
      <c r="L1605" s="271"/>
      <c r="M1605" s="271"/>
      <c r="N1605" s="271"/>
      <c r="O1605" s="271"/>
      <c r="P1605" s="271"/>
      <c r="Q1605" s="271"/>
      <c r="R1605" s="271"/>
      <c r="S1605" s="271"/>
      <c r="T1605" s="271"/>
      <c r="U1605" s="271"/>
      <c r="V1605" s="271"/>
      <c r="W1605" s="271"/>
      <c r="X1605" s="271"/>
      <c r="Y1605" s="271"/>
      <c r="Z1605" s="271"/>
      <c r="AA1605" s="271"/>
      <c r="AB1605" s="22">
        <f t="shared" si="498"/>
        <v>0</v>
      </c>
      <c r="AC1605" s="23">
        <v>0</v>
      </c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22">
        <f t="shared" si="499"/>
        <v>0</v>
      </c>
      <c r="BC1605" s="23">
        <v>8</v>
      </c>
      <c r="BD1605" s="130">
        <f t="shared" si="500"/>
        <v>0</v>
      </c>
      <c r="BE1605" s="130">
        <f t="shared" si="501"/>
        <v>8</v>
      </c>
      <c r="BF1605" s="195">
        <f t="shared" si="502"/>
        <v>0</v>
      </c>
      <c r="BG1605" s="373">
        <f t="shared" si="505"/>
        <v>8</v>
      </c>
    </row>
    <row r="1606" spans="1:59" s="46" customFormat="1" ht="15.95" customHeight="1">
      <c r="A1606" s="176">
        <v>94</v>
      </c>
      <c r="B1606" s="31" t="s">
        <v>1030</v>
      </c>
      <c r="C1606" s="34" t="s">
        <v>1031</v>
      </c>
      <c r="D1606" s="231"/>
      <c r="E1606" s="231"/>
      <c r="F1606" s="231"/>
      <c r="G1606" s="231"/>
      <c r="H1606" s="231"/>
      <c r="I1606" s="231"/>
      <c r="J1606" s="231"/>
      <c r="K1606" s="231"/>
      <c r="L1606" s="231"/>
      <c r="M1606" s="231"/>
      <c r="N1606" s="231"/>
      <c r="O1606" s="231"/>
      <c r="P1606" s="231"/>
      <c r="Q1606" s="231"/>
      <c r="R1606" s="231"/>
      <c r="S1606" s="231"/>
      <c r="T1606" s="231"/>
      <c r="U1606" s="231"/>
      <c r="V1606" s="231"/>
      <c r="W1606" s="231"/>
      <c r="X1606" s="231"/>
      <c r="Y1606" s="231"/>
      <c r="Z1606" s="231"/>
      <c r="AA1606" s="231"/>
      <c r="AB1606" s="22">
        <f t="shared" si="498"/>
        <v>0</v>
      </c>
      <c r="AC1606" s="23">
        <v>0</v>
      </c>
      <c r="AD1606" s="35"/>
      <c r="AE1606" s="35"/>
      <c r="AF1606" s="35"/>
      <c r="AG1606" s="35"/>
      <c r="AH1606" s="35">
        <v>41</v>
      </c>
      <c r="AI1606" s="35"/>
      <c r="AJ1606" s="35"/>
      <c r="AK1606" s="35"/>
      <c r="AL1606" s="35">
        <f>12+231</f>
        <v>243</v>
      </c>
      <c r="AM1606" s="35"/>
      <c r="AN1606" s="35"/>
      <c r="AO1606" s="35"/>
      <c r="AP1606" s="35">
        <v>150</v>
      </c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22">
        <f t="shared" si="499"/>
        <v>434</v>
      </c>
      <c r="BC1606" s="23">
        <v>500</v>
      </c>
      <c r="BD1606" s="130">
        <f t="shared" si="500"/>
        <v>434</v>
      </c>
      <c r="BE1606" s="130">
        <f t="shared" si="501"/>
        <v>500</v>
      </c>
      <c r="BF1606" s="195">
        <f t="shared" si="502"/>
        <v>86.8</v>
      </c>
      <c r="BG1606" s="373">
        <f t="shared" si="505"/>
        <v>66</v>
      </c>
    </row>
    <row r="1607" spans="1:59" s="46" customFormat="1" ht="15.95" customHeight="1">
      <c r="A1607" s="176">
        <v>95</v>
      </c>
      <c r="B1607" s="31" t="s">
        <v>1032</v>
      </c>
      <c r="C1607" s="34" t="s">
        <v>1033</v>
      </c>
      <c r="D1607" s="231"/>
      <c r="E1607" s="231"/>
      <c r="F1607" s="231"/>
      <c r="G1607" s="231"/>
      <c r="H1607" s="231"/>
      <c r="I1607" s="231"/>
      <c r="J1607" s="231"/>
      <c r="K1607" s="231"/>
      <c r="L1607" s="231"/>
      <c r="M1607" s="231"/>
      <c r="N1607" s="231"/>
      <c r="O1607" s="231"/>
      <c r="P1607" s="231"/>
      <c r="Q1607" s="231"/>
      <c r="R1607" s="231"/>
      <c r="S1607" s="231"/>
      <c r="T1607" s="231"/>
      <c r="U1607" s="231"/>
      <c r="V1607" s="231"/>
      <c r="W1607" s="231"/>
      <c r="X1607" s="231"/>
      <c r="Y1607" s="231"/>
      <c r="Z1607" s="231"/>
      <c r="AA1607" s="231"/>
      <c r="AB1607" s="22">
        <f t="shared" si="498"/>
        <v>0</v>
      </c>
      <c r="AC1607" s="23">
        <v>0</v>
      </c>
      <c r="AD1607" s="35"/>
      <c r="AE1607" s="35"/>
      <c r="AF1607" s="35"/>
      <c r="AG1607" s="35"/>
      <c r="AH1607" s="35">
        <v>12</v>
      </c>
      <c r="AI1607" s="35"/>
      <c r="AJ1607" s="35"/>
      <c r="AK1607" s="35"/>
      <c r="AL1607" s="35">
        <v>74</v>
      </c>
      <c r="AM1607" s="35"/>
      <c r="AN1607" s="35"/>
      <c r="AO1607" s="35"/>
      <c r="AP1607" s="35">
        <f>2+113</f>
        <v>115</v>
      </c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22">
        <f t="shared" si="499"/>
        <v>201</v>
      </c>
      <c r="BC1607" s="23">
        <v>528</v>
      </c>
      <c r="BD1607" s="130">
        <f t="shared" si="500"/>
        <v>201</v>
      </c>
      <c r="BE1607" s="130">
        <f t="shared" si="501"/>
        <v>528</v>
      </c>
      <c r="BF1607" s="195">
        <f t="shared" si="502"/>
        <v>38.06818181818182</v>
      </c>
      <c r="BG1607" s="373">
        <f t="shared" si="505"/>
        <v>327</v>
      </c>
    </row>
    <row r="1608" spans="1:59" s="46" customFormat="1" ht="15.95" customHeight="1">
      <c r="A1608" s="176">
        <v>96</v>
      </c>
      <c r="B1608" s="31" t="s">
        <v>1654</v>
      </c>
      <c r="C1608" s="34" t="s">
        <v>1983</v>
      </c>
      <c r="D1608" s="231"/>
      <c r="E1608" s="231"/>
      <c r="F1608" s="231"/>
      <c r="G1608" s="231"/>
      <c r="H1608" s="231"/>
      <c r="I1608" s="231"/>
      <c r="J1608" s="231"/>
      <c r="K1608" s="231"/>
      <c r="L1608" s="231"/>
      <c r="M1608" s="231"/>
      <c r="N1608" s="231"/>
      <c r="O1608" s="231"/>
      <c r="P1608" s="231"/>
      <c r="Q1608" s="231"/>
      <c r="R1608" s="231"/>
      <c r="S1608" s="231"/>
      <c r="T1608" s="231"/>
      <c r="U1608" s="231"/>
      <c r="V1608" s="231"/>
      <c r="W1608" s="231"/>
      <c r="X1608" s="231"/>
      <c r="Y1608" s="231"/>
      <c r="Z1608" s="231"/>
      <c r="AA1608" s="231"/>
      <c r="AB1608" s="22">
        <f t="shared" si="498"/>
        <v>0</v>
      </c>
      <c r="AC1608" s="23">
        <v>0</v>
      </c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>
        <v>5</v>
      </c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22">
        <f t="shared" si="499"/>
        <v>5</v>
      </c>
      <c r="BC1608" s="23">
        <v>16</v>
      </c>
      <c r="BD1608" s="130">
        <f t="shared" si="500"/>
        <v>5</v>
      </c>
      <c r="BE1608" s="130">
        <f t="shared" si="501"/>
        <v>16</v>
      </c>
      <c r="BF1608" s="195">
        <f t="shared" si="502"/>
        <v>31.25</v>
      </c>
      <c r="BG1608" s="373">
        <f t="shared" si="505"/>
        <v>11</v>
      </c>
    </row>
    <row r="1609" spans="1:59" s="46" customFormat="1" ht="15.95" customHeight="1">
      <c r="A1609" s="176">
        <v>97</v>
      </c>
      <c r="B1609" s="31" t="s">
        <v>1656</v>
      </c>
      <c r="C1609" s="34" t="s">
        <v>2210</v>
      </c>
      <c r="D1609" s="231"/>
      <c r="E1609" s="231"/>
      <c r="F1609" s="231"/>
      <c r="G1609" s="231"/>
      <c r="H1609" s="231"/>
      <c r="I1609" s="231"/>
      <c r="J1609" s="231"/>
      <c r="K1609" s="231"/>
      <c r="L1609" s="231"/>
      <c r="M1609" s="231"/>
      <c r="N1609" s="231"/>
      <c r="O1609" s="231"/>
      <c r="P1609" s="231"/>
      <c r="Q1609" s="231"/>
      <c r="R1609" s="231"/>
      <c r="S1609" s="231"/>
      <c r="T1609" s="231"/>
      <c r="U1609" s="231"/>
      <c r="V1609" s="231"/>
      <c r="W1609" s="231"/>
      <c r="X1609" s="231"/>
      <c r="Y1609" s="231"/>
      <c r="Z1609" s="231"/>
      <c r="AA1609" s="231"/>
      <c r="AB1609" s="22">
        <f t="shared" ref="AB1609:AB1619" si="506">SUM(D1609:AA1609)</f>
        <v>0</v>
      </c>
      <c r="AC1609" s="23">
        <v>0</v>
      </c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22">
        <f t="shared" ref="BB1609:BB1619" si="507">SUM(AD1609:BA1609)</f>
        <v>0</v>
      </c>
      <c r="BC1609" s="23">
        <v>5</v>
      </c>
      <c r="BD1609" s="130">
        <f t="shared" ref="BD1609:BD1619" si="508">AB1609+BB1609</f>
        <v>0</v>
      </c>
      <c r="BE1609" s="130">
        <f t="shared" ref="BE1609:BE1619" si="509">AC1609+BC1609</f>
        <v>5</v>
      </c>
      <c r="BF1609" s="195">
        <f t="shared" ref="BF1609:BF1619" si="510">BD1609/BE1609*100</f>
        <v>0</v>
      </c>
      <c r="BG1609" s="373">
        <f t="shared" si="505"/>
        <v>5</v>
      </c>
    </row>
    <row r="1610" spans="1:59" s="46" customFormat="1" ht="15.95" customHeight="1">
      <c r="A1610" s="176">
        <v>98</v>
      </c>
      <c r="B1610" s="31" t="s">
        <v>1658</v>
      </c>
      <c r="C1610" s="32" t="s">
        <v>2255</v>
      </c>
      <c r="D1610" s="231"/>
      <c r="E1610" s="231"/>
      <c r="F1610" s="231"/>
      <c r="G1610" s="231"/>
      <c r="H1610" s="231"/>
      <c r="I1610" s="231"/>
      <c r="J1610" s="231"/>
      <c r="K1610" s="231"/>
      <c r="L1610" s="231"/>
      <c r="M1610" s="231"/>
      <c r="N1610" s="231"/>
      <c r="O1610" s="231"/>
      <c r="P1610" s="231"/>
      <c r="Q1610" s="231"/>
      <c r="R1610" s="231"/>
      <c r="S1610" s="231"/>
      <c r="T1610" s="231"/>
      <c r="U1610" s="231"/>
      <c r="V1610" s="231"/>
      <c r="W1610" s="231"/>
      <c r="X1610" s="231"/>
      <c r="Y1610" s="231"/>
      <c r="Z1610" s="231"/>
      <c r="AA1610" s="231"/>
      <c r="AB1610" s="22">
        <f t="shared" si="506"/>
        <v>0</v>
      </c>
      <c r="AC1610" s="23">
        <v>0</v>
      </c>
      <c r="AD1610" s="35"/>
      <c r="AE1610" s="35"/>
      <c r="AF1610" s="35"/>
      <c r="AG1610" s="35"/>
      <c r="AH1610" s="35"/>
      <c r="AI1610" s="35"/>
      <c r="AJ1610" s="35"/>
      <c r="AK1610" s="35"/>
      <c r="AL1610" s="35">
        <v>22</v>
      </c>
      <c r="AM1610" s="35"/>
      <c r="AN1610" s="35"/>
      <c r="AO1610" s="35"/>
      <c r="AP1610" s="35">
        <v>41</v>
      </c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22">
        <f t="shared" si="507"/>
        <v>63</v>
      </c>
      <c r="BC1610" s="23">
        <v>66</v>
      </c>
      <c r="BD1610" s="130">
        <f t="shared" si="508"/>
        <v>63</v>
      </c>
      <c r="BE1610" s="130">
        <f t="shared" si="509"/>
        <v>66</v>
      </c>
      <c r="BF1610" s="195">
        <f t="shared" si="510"/>
        <v>95.454545454545453</v>
      </c>
      <c r="BG1610" s="373">
        <f t="shared" si="505"/>
        <v>3</v>
      </c>
    </row>
    <row r="1611" spans="1:59" s="46" customFormat="1" ht="15.95" customHeight="1">
      <c r="A1611" s="176">
        <v>99</v>
      </c>
      <c r="B1611" s="31" t="s">
        <v>1034</v>
      </c>
      <c r="C1611" s="34" t="s">
        <v>1033</v>
      </c>
      <c r="D1611" s="231"/>
      <c r="E1611" s="231"/>
      <c r="F1611" s="231"/>
      <c r="G1611" s="231"/>
      <c r="H1611" s="231"/>
      <c r="I1611" s="231"/>
      <c r="J1611" s="231"/>
      <c r="K1611" s="231"/>
      <c r="L1611" s="231"/>
      <c r="M1611" s="231"/>
      <c r="N1611" s="231"/>
      <c r="O1611" s="231"/>
      <c r="P1611" s="231"/>
      <c r="Q1611" s="231"/>
      <c r="R1611" s="231"/>
      <c r="S1611" s="231"/>
      <c r="T1611" s="231"/>
      <c r="U1611" s="231"/>
      <c r="V1611" s="231"/>
      <c r="W1611" s="231"/>
      <c r="X1611" s="231"/>
      <c r="Y1611" s="231"/>
      <c r="Z1611" s="231"/>
      <c r="AA1611" s="231"/>
      <c r="AB1611" s="22">
        <f t="shared" si="506"/>
        <v>0</v>
      </c>
      <c r="AC1611" s="23">
        <v>0</v>
      </c>
      <c r="AD1611" s="35"/>
      <c r="AE1611" s="35"/>
      <c r="AF1611" s="35"/>
      <c r="AG1611" s="35"/>
      <c r="AH1611" s="35">
        <v>119</v>
      </c>
      <c r="AI1611" s="35"/>
      <c r="AJ1611" s="35"/>
      <c r="AK1611" s="35"/>
      <c r="AL1611" s="35">
        <f>1+717</f>
        <v>718</v>
      </c>
      <c r="AM1611" s="35"/>
      <c r="AN1611" s="35"/>
      <c r="AO1611" s="35"/>
      <c r="AP1611" s="35">
        <f>2+680</f>
        <v>682</v>
      </c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22">
        <f t="shared" si="507"/>
        <v>1519</v>
      </c>
      <c r="BC1611" s="23">
        <v>3088</v>
      </c>
      <c r="BD1611" s="130">
        <f t="shared" si="508"/>
        <v>1519</v>
      </c>
      <c r="BE1611" s="130">
        <f t="shared" si="509"/>
        <v>3088</v>
      </c>
      <c r="BF1611" s="195">
        <f t="shared" si="510"/>
        <v>49.190414507772026</v>
      </c>
      <c r="BG1611" s="373">
        <f t="shared" si="505"/>
        <v>1569</v>
      </c>
    </row>
    <row r="1612" spans="1:59" s="46" customFormat="1" ht="15.95" customHeight="1">
      <c r="A1612" s="176">
        <v>100</v>
      </c>
      <c r="B1612" s="31" t="s">
        <v>2421</v>
      </c>
      <c r="C1612" s="34" t="s">
        <v>2423</v>
      </c>
      <c r="D1612" s="231"/>
      <c r="E1612" s="231"/>
      <c r="F1612" s="231"/>
      <c r="G1612" s="231"/>
      <c r="H1612" s="231"/>
      <c r="I1612" s="231"/>
      <c r="J1612" s="231"/>
      <c r="K1612" s="231"/>
      <c r="L1612" s="231"/>
      <c r="M1612" s="231"/>
      <c r="N1612" s="231"/>
      <c r="O1612" s="231"/>
      <c r="P1612" s="231"/>
      <c r="Q1612" s="231"/>
      <c r="R1612" s="231"/>
      <c r="S1612" s="231"/>
      <c r="T1612" s="231"/>
      <c r="U1612" s="231"/>
      <c r="V1612" s="231"/>
      <c r="W1612" s="231"/>
      <c r="X1612" s="231"/>
      <c r="Y1612" s="231"/>
      <c r="Z1612" s="231"/>
      <c r="AA1612" s="231"/>
      <c r="AB1612" s="22">
        <f t="shared" si="506"/>
        <v>0</v>
      </c>
      <c r="AC1612" s="23">
        <v>0</v>
      </c>
      <c r="AD1612" s="35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22">
        <f t="shared" si="507"/>
        <v>0</v>
      </c>
      <c r="BC1612" s="23">
        <v>1</v>
      </c>
      <c r="BD1612" s="130">
        <f t="shared" si="508"/>
        <v>0</v>
      </c>
      <c r="BE1612" s="130">
        <f t="shared" si="509"/>
        <v>1</v>
      </c>
      <c r="BF1612" s="195">
        <f t="shared" si="510"/>
        <v>0</v>
      </c>
      <c r="BG1612" s="373">
        <f t="shared" si="505"/>
        <v>1</v>
      </c>
    </row>
    <row r="1613" spans="1:59" s="46" customFormat="1" ht="15.95" customHeight="1">
      <c r="A1613" s="176">
        <v>101</v>
      </c>
      <c r="B1613" s="31" t="s">
        <v>977</v>
      </c>
      <c r="C1613" s="34" t="s">
        <v>1036</v>
      </c>
      <c r="D1613" s="231"/>
      <c r="E1613" s="231"/>
      <c r="F1613" s="231"/>
      <c r="G1613" s="231"/>
      <c r="H1613" s="231"/>
      <c r="I1613" s="231"/>
      <c r="J1613" s="231"/>
      <c r="K1613" s="231"/>
      <c r="L1613" s="231"/>
      <c r="M1613" s="231"/>
      <c r="N1613" s="231"/>
      <c r="O1613" s="231"/>
      <c r="P1613" s="231"/>
      <c r="Q1613" s="231"/>
      <c r="R1613" s="231"/>
      <c r="S1613" s="231"/>
      <c r="T1613" s="231"/>
      <c r="U1613" s="231"/>
      <c r="V1613" s="231"/>
      <c r="W1613" s="231"/>
      <c r="X1613" s="231"/>
      <c r="Y1613" s="231"/>
      <c r="Z1613" s="231"/>
      <c r="AA1613" s="231"/>
      <c r="AB1613" s="22">
        <f t="shared" si="506"/>
        <v>0</v>
      </c>
      <c r="AC1613" s="23">
        <v>0</v>
      </c>
      <c r="AD1613" s="35"/>
      <c r="AE1613" s="35"/>
      <c r="AF1613" s="35"/>
      <c r="AG1613" s="35"/>
      <c r="AH1613" s="35"/>
      <c r="AI1613" s="35"/>
      <c r="AJ1613" s="35"/>
      <c r="AK1613" s="35"/>
      <c r="AL1613" s="35">
        <v>3</v>
      </c>
      <c r="AM1613" s="35"/>
      <c r="AN1613" s="35"/>
      <c r="AO1613" s="35"/>
      <c r="AP1613" s="35">
        <f>1+1</f>
        <v>2</v>
      </c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22">
        <f t="shared" si="507"/>
        <v>5</v>
      </c>
      <c r="BC1613" s="23">
        <v>53</v>
      </c>
      <c r="BD1613" s="130">
        <f t="shared" si="508"/>
        <v>5</v>
      </c>
      <c r="BE1613" s="130">
        <f t="shared" si="509"/>
        <v>53</v>
      </c>
      <c r="BF1613" s="195">
        <f t="shared" si="510"/>
        <v>9.433962264150944</v>
      </c>
      <c r="BG1613" s="373">
        <f t="shared" si="505"/>
        <v>48</v>
      </c>
    </row>
    <row r="1614" spans="1:59" s="46" customFormat="1" ht="15.95" customHeight="1">
      <c r="A1614" s="176">
        <v>102</v>
      </c>
      <c r="B1614" s="31" t="s">
        <v>4156</v>
      </c>
      <c r="C1614" s="34" t="s">
        <v>4157</v>
      </c>
      <c r="D1614" s="572"/>
      <c r="E1614" s="572"/>
      <c r="F1614" s="572"/>
      <c r="G1614" s="572"/>
      <c r="H1614" s="572"/>
      <c r="I1614" s="572"/>
      <c r="J1614" s="572"/>
      <c r="K1614" s="572"/>
      <c r="L1614" s="572"/>
      <c r="M1614" s="572"/>
      <c r="N1614" s="572"/>
      <c r="O1614" s="572"/>
      <c r="P1614" s="572"/>
      <c r="Q1614" s="572"/>
      <c r="R1614" s="572"/>
      <c r="S1614" s="572"/>
      <c r="T1614" s="572"/>
      <c r="U1614" s="572"/>
      <c r="V1614" s="572"/>
      <c r="W1614" s="572"/>
      <c r="X1614" s="572"/>
      <c r="Y1614" s="572"/>
      <c r="Z1614" s="572"/>
      <c r="AA1614" s="572"/>
      <c r="AB1614" s="22">
        <f t="shared" si="506"/>
        <v>0</v>
      </c>
      <c r="AC1614" s="23">
        <v>0</v>
      </c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>
        <v>1</v>
      </c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22">
        <f t="shared" si="507"/>
        <v>1</v>
      </c>
      <c r="BC1614" s="23">
        <v>0</v>
      </c>
      <c r="BD1614" s="130">
        <f t="shared" si="508"/>
        <v>1</v>
      </c>
      <c r="BE1614" s="130">
        <f t="shared" si="509"/>
        <v>0</v>
      </c>
      <c r="BF1614" s="195" t="e">
        <f t="shared" si="510"/>
        <v>#DIV/0!</v>
      </c>
      <c r="BG1614" s="373"/>
    </row>
    <row r="1615" spans="1:59" s="46" customFormat="1" ht="15.95" customHeight="1">
      <c r="A1615" s="176">
        <v>103</v>
      </c>
      <c r="B1615" s="31" t="s">
        <v>1091</v>
      </c>
      <c r="C1615" s="34" t="s">
        <v>1092</v>
      </c>
      <c r="D1615" s="271"/>
      <c r="E1615" s="271"/>
      <c r="F1615" s="271"/>
      <c r="G1615" s="271"/>
      <c r="H1615" s="271"/>
      <c r="I1615" s="271"/>
      <c r="J1615" s="271"/>
      <c r="K1615" s="271"/>
      <c r="L1615" s="271"/>
      <c r="M1615" s="271"/>
      <c r="N1615" s="271"/>
      <c r="O1615" s="271"/>
      <c r="P1615" s="271"/>
      <c r="Q1615" s="271"/>
      <c r="R1615" s="271"/>
      <c r="S1615" s="271"/>
      <c r="T1615" s="271"/>
      <c r="U1615" s="271"/>
      <c r="V1615" s="271"/>
      <c r="W1615" s="271"/>
      <c r="X1615" s="271"/>
      <c r="Y1615" s="271"/>
      <c r="Z1615" s="271"/>
      <c r="AA1615" s="271"/>
      <c r="AB1615" s="22">
        <f t="shared" si="506"/>
        <v>0</v>
      </c>
      <c r="AC1615" s="23">
        <v>0</v>
      </c>
      <c r="AD1615" s="35"/>
      <c r="AE1615" s="35"/>
      <c r="AF1615" s="35"/>
      <c r="AG1615" s="35"/>
      <c r="AH1615" s="35">
        <v>7</v>
      </c>
      <c r="AI1615" s="35"/>
      <c r="AJ1615" s="35"/>
      <c r="AK1615" s="35"/>
      <c r="AL1615" s="35">
        <f>2+25</f>
        <v>27</v>
      </c>
      <c r="AM1615" s="35"/>
      <c r="AN1615" s="35"/>
      <c r="AO1615" s="35"/>
      <c r="AP1615" s="35">
        <f>7+27</f>
        <v>34</v>
      </c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22">
        <f t="shared" si="507"/>
        <v>68</v>
      </c>
      <c r="BC1615" s="23">
        <v>43</v>
      </c>
      <c r="BD1615" s="130">
        <f t="shared" si="508"/>
        <v>68</v>
      </c>
      <c r="BE1615" s="130">
        <f t="shared" si="509"/>
        <v>43</v>
      </c>
      <c r="BF1615" s="195">
        <f t="shared" si="510"/>
        <v>158.13953488372093</v>
      </c>
      <c r="BG1615" s="373">
        <f>BE1615-BD1615</f>
        <v>-25</v>
      </c>
    </row>
    <row r="1616" spans="1:59" s="46" customFormat="1" ht="15.95" customHeight="1">
      <c r="A1616" s="176">
        <v>104</v>
      </c>
      <c r="B1616" s="31" t="s">
        <v>866</v>
      </c>
      <c r="C1616" s="34" t="s">
        <v>867</v>
      </c>
      <c r="D1616" s="231"/>
      <c r="E1616" s="231"/>
      <c r="F1616" s="231"/>
      <c r="G1616" s="231"/>
      <c r="H1616" s="231"/>
      <c r="I1616" s="231"/>
      <c r="J1616" s="231"/>
      <c r="K1616" s="231"/>
      <c r="L1616" s="231"/>
      <c r="M1616" s="231"/>
      <c r="N1616" s="231"/>
      <c r="O1616" s="231"/>
      <c r="P1616" s="231"/>
      <c r="Q1616" s="231"/>
      <c r="R1616" s="231"/>
      <c r="S1616" s="231"/>
      <c r="T1616" s="231"/>
      <c r="U1616" s="231"/>
      <c r="V1616" s="231"/>
      <c r="W1616" s="231"/>
      <c r="X1616" s="231"/>
      <c r="Y1616" s="231"/>
      <c r="Z1616" s="231"/>
      <c r="AA1616" s="231"/>
      <c r="AB1616" s="22">
        <f t="shared" si="506"/>
        <v>0</v>
      </c>
      <c r="AC1616" s="23">
        <v>0</v>
      </c>
      <c r="AD1616" s="35"/>
      <c r="AE1616" s="35"/>
      <c r="AF1616" s="35"/>
      <c r="AG1616" s="35"/>
      <c r="AH1616" s="35"/>
      <c r="AI1616" s="35"/>
      <c r="AJ1616" s="35"/>
      <c r="AK1616" s="35"/>
      <c r="AL1616" s="35">
        <v>40</v>
      </c>
      <c r="AM1616" s="35"/>
      <c r="AN1616" s="35"/>
      <c r="AO1616" s="35"/>
      <c r="AP1616" s="35">
        <f>2+43</f>
        <v>45</v>
      </c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22">
        <f t="shared" si="507"/>
        <v>85</v>
      </c>
      <c r="BC1616" s="23">
        <v>325</v>
      </c>
      <c r="BD1616" s="130">
        <f t="shared" si="508"/>
        <v>85</v>
      </c>
      <c r="BE1616" s="130">
        <f t="shared" si="509"/>
        <v>325</v>
      </c>
      <c r="BF1616" s="195">
        <f t="shared" si="510"/>
        <v>26.153846153846157</v>
      </c>
      <c r="BG1616" s="373">
        <f>BE1616-BD1616</f>
        <v>240</v>
      </c>
    </row>
    <row r="1617" spans="1:61" s="46" customFormat="1" ht="15.95" customHeight="1">
      <c r="A1617" s="176">
        <v>105</v>
      </c>
      <c r="B1617" s="31" t="s">
        <v>868</v>
      </c>
      <c r="C1617" s="34" t="s">
        <v>1037</v>
      </c>
      <c r="D1617" s="231"/>
      <c r="E1617" s="231"/>
      <c r="F1617" s="231"/>
      <c r="G1617" s="231"/>
      <c r="H1617" s="231"/>
      <c r="I1617" s="231"/>
      <c r="J1617" s="231"/>
      <c r="K1617" s="231"/>
      <c r="L1617" s="231"/>
      <c r="M1617" s="231"/>
      <c r="N1617" s="231"/>
      <c r="O1617" s="231"/>
      <c r="P1617" s="231"/>
      <c r="Q1617" s="231"/>
      <c r="R1617" s="231"/>
      <c r="S1617" s="231"/>
      <c r="T1617" s="231"/>
      <c r="U1617" s="231"/>
      <c r="V1617" s="231"/>
      <c r="W1617" s="231"/>
      <c r="X1617" s="231"/>
      <c r="Y1617" s="231"/>
      <c r="Z1617" s="231"/>
      <c r="AA1617" s="231"/>
      <c r="AB1617" s="22">
        <f t="shared" si="506"/>
        <v>0</v>
      </c>
      <c r="AC1617" s="23">
        <v>0</v>
      </c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22">
        <f t="shared" si="507"/>
        <v>0</v>
      </c>
      <c r="BC1617" s="23">
        <v>22</v>
      </c>
      <c r="BD1617" s="130">
        <f t="shared" si="508"/>
        <v>0</v>
      </c>
      <c r="BE1617" s="130">
        <f t="shared" si="509"/>
        <v>22</v>
      </c>
      <c r="BF1617" s="195">
        <f t="shared" si="510"/>
        <v>0</v>
      </c>
      <c r="BG1617" s="373">
        <f>BE1617-BD1617</f>
        <v>22</v>
      </c>
    </row>
    <row r="1618" spans="1:61" s="46" customFormat="1" ht="15.95" customHeight="1">
      <c r="A1618" s="176">
        <v>106</v>
      </c>
      <c r="B1618" s="31" t="s">
        <v>3052</v>
      </c>
      <c r="C1618" s="32" t="s">
        <v>818</v>
      </c>
      <c r="D1618" s="231"/>
      <c r="E1618" s="231"/>
      <c r="F1618" s="231"/>
      <c r="G1618" s="231"/>
      <c r="H1618" s="231"/>
      <c r="I1618" s="231"/>
      <c r="J1618" s="231"/>
      <c r="K1618" s="231"/>
      <c r="L1618" s="231"/>
      <c r="M1618" s="231"/>
      <c r="N1618" s="231"/>
      <c r="O1618" s="231"/>
      <c r="P1618" s="231"/>
      <c r="Q1618" s="231"/>
      <c r="R1618" s="231"/>
      <c r="S1618" s="231"/>
      <c r="T1618" s="231"/>
      <c r="U1618" s="231"/>
      <c r="V1618" s="231"/>
      <c r="W1618" s="231"/>
      <c r="X1618" s="231"/>
      <c r="Y1618" s="231"/>
      <c r="Z1618" s="231"/>
      <c r="AA1618" s="231"/>
      <c r="AB1618" s="22">
        <f t="shared" si="506"/>
        <v>0</v>
      </c>
      <c r="AC1618" s="23">
        <v>2</v>
      </c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22">
        <f t="shared" si="507"/>
        <v>0</v>
      </c>
      <c r="BC1618" s="23">
        <v>0</v>
      </c>
      <c r="BD1618" s="130">
        <f t="shared" si="508"/>
        <v>0</v>
      </c>
      <c r="BE1618" s="130">
        <f t="shared" si="509"/>
        <v>2</v>
      </c>
      <c r="BF1618" s="195">
        <f t="shared" si="510"/>
        <v>0</v>
      </c>
      <c r="BG1618" s="373">
        <f>BE1618-BD1618</f>
        <v>2</v>
      </c>
    </row>
    <row r="1619" spans="1:61" s="46" customFormat="1" ht="19.5" customHeight="1">
      <c r="A1619" s="176">
        <v>107</v>
      </c>
      <c r="B1619" s="437" t="s">
        <v>3047</v>
      </c>
      <c r="C1619" s="447" t="s">
        <v>3048</v>
      </c>
      <c r="D1619" s="336"/>
      <c r="E1619" s="336"/>
      <c r="F1619" s="336"/>
      <c r="G1619" s="336"/>
      <c r="H1619" s="336"/>
      <c r="I1619" s="336"/>
      <c r="J1619" s="336"/>
      <c r="K1619" s="336"/>
      <c r="L1619" s="336"/>
      <c r="M1619" s="336"/>
      <c r="N1619" s="336"/>
      <c r="O1619" s="336"/>
      <c r="P1619" s="336"/>
      <c r="Q1619" s="336"/>
      <c r="R1619" s="336"/>
      <c r="S1619" s="336"/>
      <c r="T1619" s="336"/>
      <c r="U1619" s="336"/>
      <c r="V1619" s="336"/>
      <c r="W1619" s="336"/>
      <c r="X1619" s="336"/>
      <c r="Y1619" s="336"/>
      <c r="Z1619" s="336"/>
      <c r="AA1619" s="336"/>
      <c r="AB1619" s="22">
        <f t="shared" si="506"/>
        <v>0</v>
      </c>
      <c r="AC1619" s="23">
        <v>56</v>
      </c>
      <c r="AD1619" s="35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>
        <v>6</v>
      </c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22">
        <f t="shared" si="507"/>
        <v>6</v>
      </c>
      <c r="BC1619" s="23">
        <v>0</v>
      </c>
      <c r="BD1619" s="130">
        <f t="shared" si="508"/>
        <v>6</v>
      </c>
      <c r="BE1619" s="130">
        <f t="shared" si="509"/>
        <v>56</v>
      </c>
      <c r="BF1619" s="195">
        <f t="shared" si="510"/>
        <v>10.714285714285714</v>
      </c>
      <c r="BG1619" s="373">
        <f>BE1619-BD1619</f>
        <v>50</v>
      </c>
    </row>
    <row r="1620" spans="1:61" s="46" customFormat="1" ht="15.95" customHeight="1">
      <c r="A1620" s="636" t="s">
        <v>1038</v>
      </c>
      <c r="B1620" s="637"/>
      <c r="C1620" s="637"/>
      <c r="D1620" s="98">
        <f t="shared" ref="D1620:AI1620" si="511">SUM(D1621:D1697)</f>
        <v>1</v>
      </c>
      <c r="E1620" s="98">
        <f t="shared" si="511"/>
        <v>0</v>
      </c>
      <c r="F1620" s="98">
        <f t="shared" si="511"/>
        <v>0</v>
      </c>
      <c r="G1620" s="98">
        <f t="shared" si="511"/>
        <v>687</v>
      </c>
      <c r="H1620" s="98">
        <f t="shared" si="511"/>
        <v>0</v>
      </c>
      <c r="I1620" s="98">
        <f t="shared" si="511"/>
        <v>0</v>
      </c>
      <c r="J1620" s="98">
        <f t="shared" si="511"/>
        <v>0</v>
      </c>
      <c r="K1620" s="98">
        <f t="shared" si="511"/>
        <v>1212</v>
      </c>
      <c r="L1620" s="98">
        <f t="shared" si="511"/>
        <v>1</v>
      </c>
      <c r="M1620" s="98">
        <f t="shared" si="511"/>
        <v>0</v>
      </c>
      <c r="N1620" s="98">
        <f t="shared" si="511"/>
        <v>0</v>
      </c>
      <c r="O1620" s="98">
        <f t="shared" si="511"/>
        <v>2078</v>
      </c>
      <c r="P1620" s="98">
        <f t="shared" si="511"/>
        <v>0</v>
      </c>
      <c r="Q1620" s="98">
        <f t="shared" si="511"/>
        <v>0</v>
      </c>
      <c r="R1620" s="98">
        <f t="shared" si="511"/>
        <v>0</v>
      </c>
      <c r="S1620" s="98">
        <f t="shared" si="511"/>
        <v>2562</v>
      </c>
      <c r="T1620" s="98">
        <f t="shared" si="511"/>
        <v>0</v>
      </c>
      <c r="U1620" s="98">
        <f t="shared" si="511"/>
        <v>0</v>
      </c>
      <c r="V1620" s="98">
        <f t="shared" si="511"/>
        <v>0</v>
      </c>
      <c r="W1620" s="98">
        <f t="shared" si="511"/>
        <v>0</v>
      </c>
      <c r="X1620" s="98">
        <f t="shared" si="511"/>
        <v>0</v>
      </c>
      <c r="Y1620" s="98">
        <f t="shared" si="511"/>
        <v>0</v>
      </c>
      <c r="Z1620" s="98">
        <f t="shared" si="511"/>
        <v>0</v>
      </c>
      <c r="AA1620" s="98">
        <f t="shared" si="511"/>
        <v>0</v>
      </c>
      <c r="AB1620" s="98">
        <f t="shared" si="511"/>
        <v>6541</v>
      </c>
      <c r="AC1620" s="161">
        <f t="shared" si="511"/>
        <v>2736</v>
      </c>
      <c r="AD1620" s="130">
        <f t="shared" si="511"/>
        <v>0</v>
      </c>
      <c r="AE1620" s="130">
        <f t="shared" si="511"/>
        <v>0</v>
      </c>
      <c r="AF1620" s="130">
        <f t="shared" si="511"/>
        <v>0</v>
      </c>
      <c r="AG1620" s="130">
        <f t="shared" si="511"/>
        <v>0</v>
      </c>
      <c r="AH1620" s="130">
        <f t="shared" si="511"/>
        <v>1455</v>
      </c>
      <c r="AI1620" s="130">
        <f t="shared" si="511"/>
        <v>0</v>
      </c>
      <c r="AJ1620" s="130">
        <f t="shared" ref="AJ1620:BC1620" si="512">SUM(AJ1621:AJ1697)</f>
        <v>0</v>
      </c>
      <c r="AK1620" s="130">
        <f t="shared" si="512"/>
        <v>0</v>
      </c>
      <c r="AL1620" s="130">
        <f t="shared" si="512"/>
        <v>8377</v>
      </c>
      <c r="AM1620" s="130">
        <f t="shared" si="512"/>
        <v>0</v>
      </c>
      <c r="AN1620" s="130">
        <f t="shared" si="512"/>
        <v>0</v>
      </c>
      <c r="AO1620" s="130">
        <f t="shared" si="512"/>
        <v>0</v>
      </c>
      <c r="AP1620" s="130">
        <f t="shared" si="512"/>
        <v>4857</v>
      </c>
      <c r="AQ1620" s="130">
        <f t="shared" si="512"/>
        <v>0</v>
      </c>
      <c r="AR1620" s="130">
        <f t="shared" si="512"/>
        <v>0</v>
      </c>
      <c r="AS1620" s="130">
        <f t="shared" si="512"/>
        <v>0</v>
      </c>
      <c r="AT1620" s="130">
        <f t="shared" si="512"/>
        <v>0</v>
      </c>
      <c r="AU1620" s="130">
        <f t="shared" si="512"/>
        <v>0</v>
      </c>
      <c r="AV1620" s="130">
        <f t="shared" si="512"/>
        <v>0</v>
      </c>
      <c r="AW1620" s="130">
        <f t="shared" si="512"/>
        <v>0</v>
      </c>
      <c r="AX1620" s="130">
        <f t="shared" si="512"/>
        <v>0</v>
      </c>
      <c r="AY1620" s="130">
        <f t="shared" si="512"/>
        <v>0</v>
      </c>
      <c r="AZ1620" s="130">
        <f t="shared" si="512"/>
        <v>0</v>
      </c>
      <c r="BA1620" s="130">
        <f t="shared" si="512"/>
        <v>0</v>
      </c>
      <c r="BB1620" s="130">
        <f t="shared" si="512"/>
        <v>14689</v>
      </c>
      <c r="BC1620" s="103">
        <f t="shared" si="512"/>
        <v>39731</v>
      </c>
      <c r="BD1620" s="130">
        <f t="shared" ref="BD1620" si="513">AB1620+BB1620</f>
        <v>21230</v>
      </c>
      <c r="BE1620" s="130">
        <f t="shared" ref="BE1620" si="514">AC1620+BC1620</f>
        <v>42467</v>
      </c>
      <c r="BF1620" s="195">
        <f t="shared" ref="BF1620" si="515">BD1620/BE1620*100</f>
        <v>49.991758306449711</v>
      </c>
      <c r="BG1620" s="374">
        <f t="shared" ref="BG1620" si="516">BE1620-BD1620</f>
        <v>21237</v>
      </c>
    </row>
    <row r="1621" spans="1:61" s="46" customFormat="1" ht="21" customHeight="1">
      <c r="A1621" s="417">
        <v>1</v>
      </c>
      <c r="B1621" s="418" t="s">
        <v>1266</v>
      </c>
      <c r="C1621" s="423" t="s">
        <v>1267</v>
      </c>
      <c r="D1621" s="231"/>
      <c r="E1621" s="231"/>
      <c r="F1621" s="231"/>
      <c r="G1621" s="231"/>
      <c r="H1621" s="231"/>
      <c r="I1621" s="231"/>
      <c r="J1621" s="231"/>
      <c r="K1621" s="231">
        <v>35</v>
      </c>
      <c r="L1621" s="231"/>
      <c r="M1621" s="231"/>
      <c r="N1621" s="231"/>
      <c r="O1621" s="231">
        <f>3+230</f>
        <v>233</v>
      </c>
      <c r="P1621" s="231"/>
      <c r="Q1621" s="231"/>
      <c r="R1621" s="231"/>
      <c r="S1621" s="231">
        <v>86</v>
      </c>
      <c r="T1621" s="231"/>
      <c r="U1621" s="231"/>
      <c r="V1621" s="231"/>
      <c r="W1621" s="231"/>
      <c r="X1621" s="231"/>
      <c r="Y1621" s="231"/>
      <c r="Z1621" s="231"/>
      <c r="AA1621" s="231"/>
      <c r="AB1621" s="22">
        <f t="shared" ref="AB1621:AB1652" si="517">SUM(D1621:AA1621)</f>
        <v>354</v>
      </c>
      <c r="AC1621" s="23">
        <f>159+826</f>
        <v>985</v>
      </c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22">
        <f t="shared" ref="BB1621:BB1652" si="518">SUM(AD1621:BA1621)</f>
        <v>0</v>
      </c>
      <c r="BC1621" s="23">
        <v>0</v>
      </c>
      <c r="BD1621" s="130">
        <f t="shared" ref="BD1621:BD1652" si="519">AB1621+BB1621</f>
        <v>354</v>
      </c>
      <c r="BE1621" s="130">
        <f t="shared" ref="BE1621:BE1652" si="520">AC1621+BC1621</f>
        <v>985</v>
      </c>
      <c r="BF1621" s="195">
        <f t="shared" ref="BF1621:BF1652" si="521">BD1621/BE1621*100</f>
        <v>35.939086294416242</v>
      </c>
      <c r="BG1621" s="373">
        <f>BE1621-BD1621</f>
        <v>631</v>
      </c>
      <c r="BH1621" s="426" t="s">
        <v>3675</v>
      </c>
      <c r="BI1621" s="421"/>
    </row>
    <row r="1622" spans="1:61" s="46" customFormat="1" ht="21" customHeight="1">
      <c r="A1622" s="417">
        <v>2</v>
      </c>
      <c r="B1622" s="418" t="s">
        <v>2218</v>
      </c>
      <c r="C1622" s="423" t="s">
        <v>2220</v>
      </c>
      <c r="D1622" s="231"/>
      <c r="E1622" s="231"/>
      <c r="F1622" s="231"/>
      <c r="G1622" s="231"/>
      <c r="H1622" s="231"/>
      <c r="I1622" s="231"/>
      <c r="J1622" s="231"/>
      <c r="K1622" s="231">
        <v>92</v>
      </c>
      <c r="L1622" s="231"/>
      <c r="M1622" s="231"/>
      <c r="N1622" s="231"/>
      <c r="O1622" s="231">
        <v>143</v>
      </c>
      <c r="P1622" s="231"/>
      <c r="Q1622" s="231"/>
      <c r="R1622" s="231"/>
      <c r="S1622" s="231">
        <f>1+110</f>
        <v>111</v>
      </c>
      <c r="T1622" s="231"/>
      <c r="U1622" s="231"/>
      <c r="V1622" s="231"/>
      <c r="W1622" s="231"/>
      <c r="X1622" s="231"/>
      <c r="Y1622" s="231"/>
      <c r="Z1622" s="231"/>
      <c r="AA1622" s="231"/>
      <c r="AB1622" s="22">
        <f t="shared" si="517"/>
        <v>346</v>
      </c>
      <c r="AC1622" s="23">
        <f>295+647</f>
        <v>942</v>
      </c>
      <c r="AD1622" s="35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22">
        <f t="shared" si="518"/>
        <v>0</v>
      </c>
      <c r="BC1622" s="23">
        <v>0</v>
      </c>
      <c r="BD1622" s="130">
        <f t="shared" si="519"/>
        <v>346</v>
      </c>
      <c r="BE1622" s="130">
        <f t="shared" si="520"/>
        <v>942</v>
      </c>
      <c r="BF1622" s="195">
        <f t="shared" si="521"/>
        <v>36.730360934182585</v>
      </c>
      <c r="BG1622" s="373">
        <f>BE1622-BD1622</f>
        <v>596</v>
      </c>
      <c r="BH1622" s="426" t="s">
        <v>3675</v>
      </c>
      <c r="BI1622" s="421"/>
    </row>
    <row r="1623" spans="1:61" s="46" customFormat="1" ht="21" customHeight="1">
      <c r="A1623" s="417">
        <v>3</v>
      </c>
      <c r="B1623" s="418" t="s">
        <v>2246</v>
      </c>
      <c r="C1623" s="419" t="s">
        <v>2247</v>
      </c>
      <c r="D1623" s="381"/>
      <c r="E1623" s="381"/>
      <c r="F1623" s="381"/>
      <c r="G1623" s="381">
        <v>687</v>
      </c>
      <c r="H1623" s="381"/>
      <c r="I1623" s="381"/>
      <c r="J1623" s="381"/>
      <c r="K1623" s="381">
        <v>1085</v>
      </c>
      <c r="L1623" s="381"/>
      <c r="M1623" s="381"/>
      <c r="N1623" s="381"/>
      <c r="O1623" s="381">
        <v>1702</v>
      </c>
      <c r="P1623" s="381"/>
      <c r="Q1623" s="381"/>
      <c r="R1623" s="381"/>
      <c r="S1623" s="381">
        <f>1344+1021</f>
        <v>2365</v>
      </c>
      <c r="T1623" s="381"/>
      <c r="U1623" s="381"/>
      <c r="V1623" s="381"/>
      <c r="W1623" s="381"/>
      <c r="X1623" s="381"/>
      <c r="Y1623" s="381"/>
      <c r="Z1623" s="381"/>
      <c r="AA1623" s="381"/>
      <c r="AB1623" s="22">
        <f t="shared" si="517"/>
        <v>5839</v>
      </c>
      <c r="AC1623" s="23">
        <v>734</v>
      </c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22">
        <f t="shared" si="518"/>
        <v>0</v>
      </c>
      <c r="BC1623" s="23">
        <v>0</v>
      </c>
      <c r="BD1623" s="130">
        <f t="shared" si="519"/>
        <v>5839</v>
      </c>
      <c r="BE1623" s="130">
        <f t="shared" si="520"/>
        <v>734</v>
      </c>
      <c r="BF1623" s="195">
        <f t="shared" si="521"/>
        <v>795.50408719346046</v>
      </c>
      <c r="BG1623" s="373">
        <f>BE1623-BD1623</f>
        <v>-5105</v>
      </c>
      <c r="BH1623" s="426" t="s">
        <v>3675</v>
      </c>
      <c r="BI1623" s="421"/>
    </row>
    <row r="1624" spans="1:61" s="46" customFormat="1" ht="15.95" customHeight="1">
      <c r="A1624" s="176">
        <v>4</v>
      </c>
      <c r="B1624" s="31" t="s">
        <v>738</v>
      </c>
      <c r="C1624" s="32" t="s">
        <v>739</v>
      </c>
      <c r="D1624" s="231"/>
      <c r="E1624" s="231"/>
      <c r="F1624" s="231"/>
      <c r="G1624" s="231"/>
      <c r="H1624" s="231"/>
      <c r="I1624" s="231"/>
      <c r="J1624" s="231"/>
      <c r="K1624" s="231"/>
      <c r="L1624" s="231"/>
      <c r="M1624" s="231"/>
      <c r="N1624" s="231"/>
      <c r="O1624" s="231"/>
      <c r="P1624" s="231"/>
      <c r="Q1624" s="231"/>
      <c r="R1624" s="231"/>
      <c r="S1624" s="231"/>
      <c r="T1624" s="231"/>
      <c r="U1624" s="231"/>
      <c r="V1624" s="231"/>
      <c r="W1624" s="231"/>
      <c r="X1624" s="231"/>
      <c r="Y1624" s="231"/>
      <c r="Z1624" s="231"/>
      <c r="AA1624" s="231"/>
      <c r="AB1624" s="22">
        <f t="shared" si="517"/>
        <v>0</v>
      </c>
      <c r="AC1624" s="23">
        <v>0</v>
      </c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>
        <v>1</v>
      </c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22">
        <f t="shared" si="518"/>
        <v>1</v>
      </c>
      <c r="BC1624" s="23">
        <v>0</v>
      </c>
      <c r="BD1624" s="130">
        <f t="shared" si="519"/>
        <v>1</v>
      </c>
      <c r="BE1624" s="130">
        <f t="shared" si="520"/>
        <v>0</v>
      </c>
      <c r="BF1624" s="195" t="e">
        <f t="shared" si="521"/>
        <v>#DIV/0!</v>
      </c>
      <c r="BG1624" s="373"/>
    </row>
    <row r="1625" spans="1:61" s="46" customFormat="1" ht="15.95" customHeight="1">
      <c r="A1625" s="176">
        <v>5</v>
      </c>
      <c r="B1625" s="31" t="s">
        <v>746</v>
      </c>
      <c r="C1625" s="32" t="s">
        <v>747</v>
      </c>
      <c r="D1625" s="571"/>
      <c r="E1625" s="571"/>
      <c r="F1625" s="571"/>
      <c r="G1625" s="571"/>
      <c r="H1625" s="571"/>
      <c r="I1625" s="571"/>
      <c r="J1625" s="571"/>
      <c r="K1625" s="571"/>
      <c r="L1625" s="571"/>
      <c r="M1625" s="571"/>
      <c r="N1625" s="571"/>
      <c r="O1625" s="571"/>
      <c r="P1625" s="571"/>
      <c r="Q1625" s="571"/>
      <c r="R1625" s="571"/>
      <c r="S1625" s="571"/>
      <c r="T1625" s="571"/>
      <c r="U1625" s="571"/>
      <c r="V1625" s="571"/>
      <c r="W1625" s="571"/>
      <c r="X1625" s="571"/>
      <c r="Y1625" s="571"/>
      <c r="Z1625" s="571"/>
      <c r="AA1625" s="571"/>
      <c r="AB1625" s="22">
        <f t="shared" si="517"/>
        <v>0</v>
      </c>
      <c r="AC1625" s="23">
        <v>0</v>
      </c>
      <c r="AD1625" s="35"/>
      <c r="AE1625" s="35"/>
      <c r="AF1625" s="35"/>
      <c r="AG1625" s="35"/>
      <c r="AH1625" s="35">
        <v>43</v>
      </c>
      <c r="AI1625" s="35"/>
      <c r="AJ1625" s="35"/>
      <c r="AK1625" s="35"/>
      <c r="AL1625" s="35">
        <f>3+146</f>
        <v>149</v>
      </c>
      <c r="AM1625" s="35"/>
      <c r="AN1625" s="35"/>
      <c r="AO1625" s="35"/>
      <c r="AP1625" s="35">
        <f>2+106</f>
        <v>108</v>
      </c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22">
        <f t="shared" si="518"/>
        <v>300</v>
      </c>
      <c r="BC1625" s="23">
        <v>592</v>
      </c>
      <c r="BD1625" s="130">
        <f t="shared" si="519"/>
        <v>300</v>
      </c>
      <c r="BE1625" s="130">
        <f t="shared" si="520"/>
        <v>592</v>
      </c>
      <c r="BF1625" s="195">
        <f t="shared" si="521"/>
        <v>50.675675675675677</v>
      </c>
      <c r="BG1625" s="373">
        <f>BE1625-BD1625</f>
        <v>292</v>
      </c>
    </row>
    <row r="1626" spans="1:61" s="46" customFormat="1" ht="15.95" customHeight="1">
      <c r="A1626" s="176">
        <v>6</v>
      </c>
      <c r="B1626" s="31" t="s">
        <v>881</v>
      </c>
      <c r="C1626" s="32" t="s">
        <v>882</v>
      </c>
      <c r="D1626" s="231"/>
      <c r="E1626" s="231"/>
      <c r="F1626" s="231"/>
      <c r="G1626" s="231"/>
      <c r="H1626" s="231"/>
      <c r="I1626" s="231"/>
      <c r="J1626" s="231"/>
      <c r="K1626" s="231"/>
      <c r="L1626" s="231"/>
      <c r="M1626" s="231"/>
      <c r="N1626" s="231"/>
      <c r="O1626" s="231"/>
      <c r="P1626" s="231"/>
      <c r="Q1626" s="231"/>
      <c r="R1626" s="231"/>
      <c r="S1626" s="231"/>
      <c r="T1626" s="231"/>
      <c r="U1626" s="231"/>
      <c r="V1626" s="231"/>
      <c r="W1626" s="231"/>
      <c r="X1626" s="231"/>
      <c r="Y1626" s="231"/>
      <c r="Z1626" s="231"/>
      <c r="AA1626" s="231"/>
      <c r="AB1626" s="22">
        <f t="shared" si="517"/>
        <v>0</v>
      </c>
      <c r="AC1626" s="23">
        <v>0</v>
      </c>
      <c r="AD1626" s="35"/>
      <c r="AE1626" s="35"/>
      <c r="AF1626" s="35"/>
      <c r="AG1626" s="35"/>
      <c r="AH1626" s="35">
        <v>52</v>
      </c>
      <c r="AI1626" s="35"/>
      <c r="AJ1626" s="35"/>
      <c r="AK1626" s="35"/>
      <c r="AL1626" s="35">
        <v>403</v>
      </c>
      <c r="AM1626" s="35"/>
      <c r="AN1626" s="35"/>
      <c r="AO1626" s="35"/>
      <c r="AP1626" s="35">
        <v>205</v>
      </c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22">
        <f t="shared" si="518"/>
        <v>660</v>
      </c>
      <c r="BC1626" s="23">
        <v>1090</v>
      </c>
      <c r="BD1626" s="130">
        <f t="shared" si="519"/>
        <v>660</v>
      </c>
      <c r="BE1626" s="130">
        <f t="shared" si="520"/>
        <v>1090</v>
      </c>
      <c r="BF1626" s="195">
        <f t="shared" si="521"/>
        <v>60.550458715596335</v>
      </c>
      <c r="BG1626" s="373">
        <f>BE1626-BD1626</f>
        <v>430</v>
      </c>
    </row>
    <row r="1627" spans="1:61" s="46" customFormat="1" ht="15.95" customHeight="1">
      <c r="A1627" s="176">
        <v>7</v>
      </c>
      <c r="B1627" s="31" t="s">
        <v>884</v>
      </c>
      <c r="C1627" s="32" t="s">
        <v>885</v>
      </c>
      <c r="D1627" s="550"/>
      <c r="E1627" s="550"/>
      <c r="F1627" s="550"/>
      <c r="G1627" s="550"/>
      <c r="H1627" s="550"/>
      <c r="I1627" s="550"/>
      <c r="J1627" s="550"/>
      <c r="K1627" s="550"/>
      <c r="L1627" s="550"/>
      <c r="M1627" s="550"/>
      <c r="N1627" s="550"/>
      <c r="O1627" s="550"/>
      <c r="P1627" s="550"/>
      <c r="Q1627" s="550"/>
      <c r="R1627" s="550"/>
      <c r="S1627" s="550"/>
      <c r="T1627" s="550"/>
      <c r="U1627" s="550"/>
      <c r="V1627" s="550"/>
      <c r="W1627" s="550"/>
      <c r="X1627" s="550"/>
      <c r="Y1627" s="550"/>
      <c r="Z1627" s="550"/>
      <c r="AA1627" s="550"/>
      <c r="AB1627" s="22">
        <f t="shared" si="517"/>
        <v>0</v>
      </c>
      <c r="AC1627" s="23">
        <v>0</v>
      </c>
      <c r="AD1627" s="35"/>
      <c r="AE1627" s="35"/>
      <c r="AF1627" s="35"/>
      <c r="AG1627" s="35"/>
      <c r="AH1627" s="35"/>
      <c r="AI1627" s="35"/>
      <c r="AJ1627" s="35"/>
      <c r="AK1627" s="35"/>
      <c r="AL1627" s="35">
        <v>1</v>
      </c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22">
        <f t="shared" si="518"/>
        <v>1</v>
      </c>
      <c r="BC1627" s="23">
        <v>0</v>
      </c>
      <c r="BD1627" s="130">
        <f t="shared" si="519"/>
        <v>1</v>
      </c>
      <c r="BE1627" s="130">
        <f t="shared" si="520"/>
        <v>0</v>
      </c>
      <c r="BF1627" s="195" t="e">
        <f t="shared" si="521"/>
        <v>#DIV/0!</v>
      </c>
      <c r="BG1627" s="373"/>
    </row>
    <row r="1628" spans="1:61" s="46" customFormat="1" ht="15.95" customHeight="1">
      <c r="A1628" s="176">
        <v>8</v>
      </c>
      <c r="B1628" s="31" t="s">
        <v>748</v>
      </c>
      <c r="C1628" s="32" t="s">
        <v>749</v>
      </c>
      <c r="D1628" s="231"/>
      <c r="E1628" s="231"/>
      <c r="F1628" s="231"/>
      <c r="G1628" s="231"/>
      <c r="H1628" s="231"/>
      <c r="I1628" s="231"/>
      <c r="J1628" s="231"/>
      <c r="K1628" s="231"/>
      <c r="L1628" s="231"/>
      <c r="M1628" s="231"/>
      <c r="N1628" s="231"/>
      <c r="O1628" s="231"/>
      <c r="P1628" s="231"/>
      <c r="Q1628" s="231"/>
      <c r="R1628" s="231"/>
      <c r="S1628" s="231"/>
      <c r="T1628" s="231"/>
      <c r="U1628" s="231"/>
      <c r="V1628" s="231"/>
      <c r="W1628" s="231"/>
      <c r="X1628" s="231"/>
      <c r="Y1628" s="231"/>
      <c r="Z1628" s="231"/>
      <c r="AA1628" s="231"/>
      <c r="AB1628" s="22">
        <f t="shared" si="517"/>
        <v>0</v>
      </c>
      <c r="AC1628" s="23">
        <v>0</v>
      </c>
      <c r="AD1628" s="35"/>
      <c r="AE1628" s="35"/>
      <c r="AF1628" s="35"/>
      <c r="AG1628" s="35"/>
      <c r="AH1628" s="35">
        <v>1</v>
      </c>
      <c r="AI1628" s="35"/>
      <c r="AJ1628" s="35"/>
      <c r="AK1628" s="35"/>
      <c r="AL1628" s="35">
        <v>1</v>
      </c>
      <c r="AM1628" s="35"/>
      <c r="AN1628" s="35"/>
      <c r="AO1628" s="35"/>
      <c r="AP1628" s="35">
        <v>1</v>
      </c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22">
        <f t="shared" si="518"/>
        <v>3</v>
      </c>
      <c r="BC1628" s="23">
        <v>7</v>
      </c>
      <c r="BD1628" s="130">
        <f t="shared" si="519"/>
        <v>3</v>
      </c>
      <c r="BE1628" s="130">
        <f t="shared" si="520"/>
        <v>7</v>
      </c>
      <c r="BF1628" s="195">
        <f t="shared" si="521"/>
        <v>42.857142857142854</v>
      </c>
      <c r="BG1628" s="373">
        <f t="shared" ref="BG1628:BG1642" si="522">BE1628-BD1628</f>
        <v>4</v>
      </c>
    </row>
    <row r="1629" spans="1:61" s="46" customFormat="1" ht="15.95" customHeight="1">
      <c r="A1629" s="176">
        <v>9</v>
      </c>
      <c r="B1629" s="31" t="s">
        <v>750</v>
      </c>
      <c r="C1629" s="32" t="s">
        <v>981</v>
      </c>
      <c r="D1629" s="231"/>
      <c r="E1629" s="231"/>
      <c r="F1629" s="231"/>
      <c r="G1629" s="231"/>
      <c r="H1629" s="231"/>
      <c r="I1629" s="231"/>
      <c r="J1629" s="231"/>
      <c r="K1629" s="231"/>
      <c r="L1629" s="231"/>
      <c r="M1629" s="231"/>
      <c r="N1629" s="231"/>
      <c r="O1629" s="231"/>
      <c r="P1629" s="231"/>
      <c r="Q1629" s="231"/>
      <c r="R1629" s="231"/>
      <c r="S1629" s="231"/>
      <c r="T1629" s="231"/>
      <c r="U1629" s="231"/>
      <c r="V1629" s="231"/>
      <c r="W1629" s="231"/>
      <c r="X1629" s="231"/>
      <c r="Y1629" s="231"/>
      <c r="Z1629" s="231"/>
      <c r="AA1629" s="231"/>
      <c r="AB1629" s="22">
        <f t="shared" si="517"/>
        <v>0</v>
      </c>
      <c r="AC1629" s="23">
        <v>0</v>
      </c>
      <c r="AD1629" s="35"/>
      <c r="AE1629" s="35"/>
      <c r="AF1629" s="35"/>
      <c r="AG1629" s="35"/>
      <c r="AH1629" s="35">
        <v>4</v>
      </c>
      <c r="AI1629" s="35"/>
      <c r="AJ1629" s="35"/>
      <c r="AK1629" s="35"/>
      <c r="AL1629" s="35">
        <v>10</v>
      </c>
      <c r="AM1629" s="35"/>
      <c r="AN1629" s="35"/>
      <c r="AO1629" s="35"/>
      <c r="AP1629" s="35">
        <v>13</v>
      </c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22">
        <f t="shared" si="518"/>
        <v>27</v>
      </c>
      <c r="BC1629" s="23">
        <v>31</v>
      </c>
      <c r="BD1629" s="130">
        <f t="shared" si="519"/>
        <v>27</v>
      </c>
      <c r="BE1629" s="130">
        <f t="shared" si="520"/>
        <v>31</v>
      </c>
      <c r="BF1629" s="195">
        <f t="shared" si="521"/>
        <v>87.096774193548384</v>
      </c>
      <c r="BG1629" s="373">
        <f t="shared" si="522"/>
        <v>4</v>
      </c>
    </row>
    <row r="1630" spans="1:61" s="46" customFormat="1" ht="15.95" customHeight="1">
      <c r="A1630" s="176">
        <v>10</v>
      </c>
      <c r="B1630" s="37" t="s">
        <v>932</v>
      </c>
      <c r="C1630" s="132" t="s">
        <v>933</v>
      </c>
      <c r="D1630" s="231"/>
      <c r="E1630" s="231"/>
      <c r="F1630" s="231"/>
      <c r="G1630" s="231"/>
      <c r="H1630" s="231"/>
      <c r="I1630" s="231"/>
      <c r="J1630" s="231"/>
      <c r="K1630" s="231"/>
      <c r="L1630" s="231"/>
      <c r="M1630" s="231"/>
      <c r="N1630" s="231"/>
      <c r="O1630" s="231"/>
      <c r="P1630" s="231"/>
      <c r="Q1630" s="231"/>
      <c r="R1630" s="231"/>
      <c r="S1630" s="231"/>
      <c r="T1630" s="231"/>
      <c r="U1630" s="231"/>
      <c r="V1630" s="231"/>
      <c r="W1630" s="231"/>
      <c r="X1630" s="231"/>
      <c r="Y1630" s="231"/>
      <c r="Z1630" s="231"/>
      <c r="AA1630" s="231"/>
      <c r="AB1630" s="22">
        <f t="shared" si="517"/>
        <v>0</v>
      </c>
      <c r="AC1630" s="23">
        <v>0</v>
      </c>
      <c r="AD1630" s="35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22">
        <f t="shared" si="518"/>
        <v>0</v>
      </c>
      <c r="BC1630" s="23">
        <v>2</v>
      </c>
      <c r="BD1630" s="130">
        <f t="shared" si="519"/>
        <v>0</v>
      </c>
      <c r="BE1630" s="130">
        <f t="shared" si="520"/>
        <v>2</v>
      </c>
      <c r="BF1630" s="195">
        <f t="shared" si="521"/>
        <v>0</v>
      </c>
      <c r="BG1630" s="373">
        <f t="shared" si="522"/>
        <v>2</v>
      </c>
    </row>
    <row r="1631" spans="1:61" s="46" customFormat="1" ht="15.95" customHeight="1">
      <c r="A1631" s="176">
        <v>11</v>
      </c>
      <c r="B1631" s="37" t="s">
        <v>754</v>
      </c>
      <c r="C1631" s="38" t="s">
        <v>889</v>
      </c>
      <c r="D1631" s="252"/>
      <c r="E1631" s="252"/>
      <c r="F1631" s="252"/>
      <c r="G1631" s="252"/>
      <c r="H1631" s="252"/>
      <c r="I1631" s="252"/>
      <c r="J1631" s="252"/>
      <c r="K1631" s="252"/>
      <c r="L1631" s="252"/>
      <c r="M1631" s="252"/>
      <c r="N1631" s="252"/>
      <c r="O1631" s="252"/>
      <c r="P1631" s="252"/>
      <c r="Q1631" s="252"/>
      <c r="R1631" s="252"/>
      <c r="S1631" s="252"/>
      <c r="T1631" s="252"/>
      <c r="U1631" s="252"/>
      <c r="V1631" s="252"/>
      <c r="W1631" s="252"/>
      <c r="X1631" s="252"/>
      <c r="Y1631" s="252"/>
      <c r="Z1631" s="252"/>
      <c r="AA1631" s="252"/>
      <c r="AB1631" s="22">
        <f t="shared" si="517"/>
        <v>0</v>
      </c>
      <c r="AC1631" s="23">
        <v>0</v>
      </c>
      <c r="AD1631" s="35"/>
      <c r="AE1631" s="35"/>
      <c r="AF1631" s="35"/>
      <c r="AG1631" s="35"/>
      <c r="AH1631" s="35"/>
      <c r="AI1631" s="35"/>
      <c r="AJ1631" s="35"/>
      <c r="AK1631" s="35"/>
      <c r="AL1631" s="35">
        <v>2</v>
      </c>
      <c r="AM1631" s="35"/>
      <c r="AN1631" s="35"/>
      <c r="AO1631" s="35"/>
      <c r="AP1631" s="35">
        <v>3</v>
      </c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22">
        <f t="shared" si="518"/>
        <v>5</v>
      </c>
      <c r="BC1631" s="23">
        <v>16</v>
      </c>
      <c r="BD1631" s="130">
        <f t="shared" si="519"/>
        <v>5</v>
      </c>
      <c r="BE1631" s="130">
        <f t="shared" si="520"/>
        <v>16</v>
      </c>
      <c r="BF1631" s="195">
        <f t="shared" si="521"/>
        <v>31.25</v>
      </c>
      <c r="BG1631" s="373">
        <f t="shared" si="522"/>
        <v>11</v>
      </c>
    </row>
    <row r="1632" spans="1:61" s="46" customFormat="1" ht="15.95" customHeight="1">
      <c r="A1632" s="176">
        <v>12</v>
      </c>
      <c r="B1632" s="31" t="s">
        <v>756</v>
      </c>
      <c r="C1632" s="34" t="s">
        <v>757</v>
      </c>
      <c r="D1632" s="231"/>
      <c r="E1632" s="231"/>
      <c r="F1632" s="231"/>
      <c r="G1632" s="231"/>
      <c r="H1632" s="231"/>
      <c r="I1632" s="231"/>
      <c r="J1632" s="231"/>
      <c r="K1632" s="231"/>
      <c r="L1632" s="231"/>
      <c r="M1632" s="231"/>
      <c r="N1632" s="231"/>
      <c r="O1632" s="231"/>
      <c r="P1632" s="231"/>
      <c r="Q1632" s="231"/>
      <c r="R1632" s="231"/>
      <c r="S1632" s="231"/>
      <c r="T1632" s="231"/>
      <c r="U1632" s="231"/>
      <c r="V1632" s="231"/>
      <c r="W1632" s="231"/>
      <c r="X1632" s="231"/>
      <c r="Y1632" s="231"/>
      <c r="Z1632" s="231"/>
      <c r="AA1632" s="231"/>
      <c r="AB1632" s="22">
        <f t="shared" si="517"/>
        <v>0</v>
      </c>
      <c r="AC1632" s="23">
        <v>0</v>
      </c>
      <c r="AD1632" s="35"/>
      <c r="AE1632" s="35"/>
      <c r="AF1632" s="35"/>
      <c r="AG1632" s="35"/>
      <c r="AH1632" s="35">
        <f>7+476</f>
        <v>483</v>
      </c>
      <c r="AI1632" s="35"/>
      <c r="AJ1632" s="35"/>
      <c r="AK1632" s="35"/>
      <c r="AL1632" s="35">
        <f>120+2170</f>
        <v>2290</v>
      </c>
      <c r="AM1632" s="35"/>
      <c r="AN1632" s="35"/>
      <c r="AO1632" s="35"/>
      <c r="AP1632" s="35">
        <f>7+995</f>
        <v>1002</v>
      </c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22">
        <f t="shared" si="518"/>
        <v>3775</v>
      </c>
      <c r="BC1632" s="23">
        <v>10742</v>
      </c>
      <c r="BD1632" s="130">
        <f t="shared" si="519"/>
        <v>3775</v>
      </c>
      <c r="BE1632" s="130">
        <f t="shared" si="520"/>
        <v>10742</v>
      </c>
      <c r="BF1632" s="195">
        <f t="shared" si="521"/>
        <v>35.142431576987526</v>
      </c>
      <c r="BG1632" s="373">
        <f t="shared" si="522"/>
        <v>6967</v>
      </c>
    </row>
    <row r="1633" spans="1:59" s="46" customFormat="1" ht="15.95" customHeight="1">
      <c r="A1633" s="176">
        <v>13</v>
      </c>
      <c r="B1633" s="31" t="s">
        <v>758</v>
      </c>
      <c r="C1633" s="34" t="s">
        <v>759</v>
      </c>
      <c r="D1633" s="231"/>
      <c r="E1633" s="231"/>
      <c r="F1633" s="231"/>
      <c r="G1633" s="231"/>
      <c r="H1633" s="231"/>
      <c r="I1633" s="231"/>
      <c r="J1633" s="231"/>
      <c r="K1633" s="231"/>
      <c r="L1633" s="231"/>
      <c r="M1633" s="231"/>
      <c r="N1633" s="231"/>
      <c r="O1633" s="231"/>
      <c r="P1633" s="231"/>
      <c r="Q1633" s="231"/>
      <c r="R1633" s="231"/>
      <c r="S1633" s="231"/>
      <c r="T1633" s="231"/>
      <c r="U1633" s="231"/>
      <c r="V1633" s="231"/>
      <c r="W1633" s="231"/>
      <c r="X1633" s="231"/>
      <c r="Y1633" s="231"/>
      <c r="Z1633" s="231"/>
      <c r="AA1633" s="231"/>
      <c r="AB1633" s="22">
        <f t="shared" si="517"/>
        <v>0</v>
      </c>
      <c r="AC1633" s="23">
        <v>0</v>
      </c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22">
        <f t="shared" si="518"/>
        <v>0</v>
      </c>
      <c r="BC1633" s="23">
        <v>57</v>
      </c>
      <c r="BD1633" s="130">
        <f t="shared" si="519"/>
        <v>0</v>
      </c>
      <c r="BE1633" s="130">
        <f t="shared" si="520"/>
        <v>57</v>
      </c>
      <c r="BF1633" s="195">
        <f t="shared" si="521"/>
        <v>0</v>
      </c>
      <c r="BG1633" s="373">
        <f t="shared" si="522"/>
        <v>57</v>
      </c>
    </row>
    <row r="1634" spans="1:59" s="46" customFormat="1" ht="15.95" customHeight="1">
      <c r="A1634" s="176">
        <v>14</v>
      </c>
      <c r="B1634" s="31" t="s">
        <v>760</v>
      </c>
      <c r="C1634" s="34" t="s">
        <v>2277</v>
      </c>
      <c r="D1634" s="321"/>
      <c r="E1634" s="321"/>
      <c r="F1634" s="321"/>
      <c r="G1634" s="321"/>
      <c r="H1634" s="321"/>
      <c r="I1634" s="321"/>
      <c r="J1634" s="321"/>
      <c r="K1634" s="321"/>
      <c r="L1634" s="321"/>
      <c r="M1634" s="321"/>
      <c r="N1634" s="321"/>
      <c r="O1634" s="321"/>
      <c r="P1634" s="321"/>
      <c r="Q1634" s="321"/>
      <c r="R1634" s="321"/>
      <c r="S1634" s="321"/>
      <c r="T1634" s="321"/>
      <c r="U1634" s="321"/>
      <c r="V1634" s="321"/>
      <c r="W1634" s="321"/>
      <c r="X1634" s="321"/>
      <c r="Y1634" s="321"/>
      <c r="Z1634" s="321"/>
      <c r="AA1634" s="321"/>
      <c r="AB1634" s="22">
        <f t="shared" si="517"/>
        <v>0</v>
      </c>
      <c r="AC1634" s="23">
        <v>0</v>
      </c>
      <c r="AD1634" s="35"/>
      <c r="AE1634" s="35"/>
      <c r="AF1634" s="35"/>
      <c r="AG1634" s="35"/>
      <c r="AH1634" s="35"/>
      <c r="AI1634" s="35"/>
      <c r="AJ1634" s="35"/>
      <c r="AK1634" s="35"/>
      <c r="AL1634" s="35">
        <v>1</v>
      </c>
      <c r="AM1634" s="35"/>
      <c r="AN1634" s="35"/>
      <c r="AO1634" s="35"/>
      <c r="AP1634" s="35">
        <v>1</v>
      </c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22">
        <f t="shared" si="518"/>
        <v>2</v>
      </c>
      <c r="BC1634" s="23">
        <v>2</v>
      </c>
      <c r="BD1634" s="130">
        <f t="shared" si="519"/>
        <v>2</v>
      </c>
      <c r="BE1634" s="130">
        <f t="shared" si="520"/>
        <v>2</v>
      </c>
      <c r="BF1634" s="195">
        <f t="shared" si="521"/>
        <v>100</v>
      </c>
      <c r="BG1634" s="373">
        <f t="shared" si="522"/>
        <v>0</v>
      </c>
    </row>
    <row r="1635" spans="1:59" s="46" customFormat="1" ht="15.95" customHeight="1">
      <c r="A1635" s="176">
        <v>15</v>
      </c>
      <c r="B1635" s="31" t="s">
        <v>762</v>
      </c>
      <c r="C1635" s="34" t="s">
        <v>2811</v>
      </c>
      <c r="D1635" s="231"/>
      <c r="E1635" s="231"/>
      <c r="F1635" s="231"/>
      <c r="G1635" s="231"/>
      <c r="H1635" s="231"/>
      <c r="I1635" s="231"/>
      <c r="J1635" s="231"/>
      <c r="K1635" s="231"/>
      <c r="L1635" s="231"/>
      <c r="M1635" s="231"/>
      <c r="N1635" s="231"/>
      <c r="O1635" s="231"/>
      <c r="P1635" s="231"/>
      <c r="Q1635" s="231"/>
      <c r="R1635" s="231"/>
      <c r="S1635" s="231"/>
      <c r="T1635" s="231"/>
      <c r="U1635" s="231"/>
      <c r="V1635" s="231"/>
      <c r="W1635" s="231"/>
      <c r="X1635" s="231"/>
      <c r="Y1635" s="231"/>
      <c r="Z1635" s="231"/>
      <c r="AA1635" s="231"/>
      <c r="AB1635" s="22">
        <f t="shared" si="517"/>
        <v>0</v>
      </c>
      <c r="AC1635" s="23">
        <v>0</v>
      </c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22">
        <f t="shared" si="518"/>
        <v>0</v>
      </c>
      <c r="BC1635" s="23">
        <v>1</v>
      </c>
      <c r="BD1635" s="130">
        <f t="shared" si="519"/>
        <v>0</v>
      </c>
      <c r="BE1635" s="130">
        <f t="shared" si="520"/>
        <v>1</v>
      </c>
      <c r="BF1635" s="195">
        <f t="shared" si="521"/>
        <v>0</v>
      </c>
      <c r="BG1635" s="373">
        <f t="shared" si="522"/>
        <v>1</v>
      </c>
    </row>
    <row r="1636" spans="1:59" s="46" customFormat="1" ht="15.95" customHeight="1">
      <c r="A1636" s="176">
        <v>16</v>
      </c>
      <c r="B1636" s="31" t="s">
        <v>763</v>
      </c>
      <c r="C1636" s="34" t="s">
        <v>2414</v>
      </c>
      <c r="D1636" s="268"/>
      <c r="E1636" s="268"/>
      <c r="F1636" s="268"/>
      <c r="G1636" s="268"/>
      <c r="H1636" s="268"/>
      <c r="I1636" s="268"/>
      <c r="J1636" s="268"/>
      <c r="K1636" s="268"/>
      <c r="L1636" s="268"/>
      <c r="M1636" s="268"/>
      <c r="N1636" s="268"/>
      <c r="O1636" s="268"/>
      <c r="P1636" s="268"/>
      <c r="Q1636" s="268"/>
      <c r="R1636" s="268"/>
      <c r="S1636" s="268"/>
      <c r="T1636" s="268"/>
      <c r="U1636" s="268"/>
      <c r="V1636" s="268"/>
      <c r="W1636" s="268"/>
      <c r="X1636" s="268"/>
      <c r="Y1636" s="268"/>
      <c r="Z1636" s="268"/>
      <c r="AA1636" s="268"/>
      <c r="AB1636" s="22">
        <f t="shared" si="517"/>
        <v>0</v>
      </c>
      <c r="AC1636" s="23">
        <v>0</v>
      </c>
      <c r="AD1636" s="35"/>
      <c r="AE1636" s="35"/>
      <c r="AF1636" s="35"/>
      <c r="AG1636" s="35"/>
      <c r="AH1636" s="35">
        <v>1</v>
      </c>
      <c r="AI1636" s="35"/>
      <c r="AJ1636" s="35"/>
      <c r="AK1636" s="35"/>
      <c r="AL1636" s="35"/>
      <c r="AM1636" s="35"/>
      <c r="AN1636" s="35"/>
      <c r="AO1636" s="35"/>
      <c r="AP1636" s="35">
        <v>2</v>
      </c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22">
        <f t="shared" si="518"/>
        <v>3</v>
      </c>
      <c r="BC1636" s="23">
        <v>10</v>
      </c>
      <c r="BD1636" s="130">
        <f t="shared" si="519"/>
        <v>3</v>
      </c>
      <c r="BE1636" s="130">
        <f t="shared" si="520"/>
        <v>10</v>
      </c>
      <c r="BF1636" s="195">
        <f t="shared" si="521"/>
        <v>30</v>
      </c>
      <c r="BG1636" s="373">
        <f t="shared" si="522"/>
        <v>7</v>
      </c>
    </row>
    <row r="1637" spans="1:59" s="46" customFormat="1" ht="23.25" customHeight="1">
      <c r="A1637" s="176">
        <v>17</v>
      </c>
      <c r="B1637" s="31" t="s">
        <v>768</v>
      </c>
      <c r="C1637" s="32" t="s">
        <v>769</v>
      </c>
      <c r="D1637" s="231"/>
      <c r="E1637" s="231"/>
      <c r="F1637" s="231"/>
      <c r="G1637" s="231"/>
      <c r="H1637" s="231"/>
      <c r="I1637" s="231"/>
      <c r="J1637" s="231"/>
      <c r="K1637" s="231"/>
      <c r="L1637" s="231"/>
      <c r="M1637" s="231"/>
      <c r="N1637" s="231"/>
      <c r="O1637" s="231"/>
      <c r="P1637" s="231"/>
      <c r="Q1637" s="231"/>
      <c r="R1637" s="231"/>
      <c r="S1637" s="231"/>
      <c r="T1637" s="231"/>
      <c r="U1637" s="231"/>
      <c r="V1637" s="231"/>
      <c r="W1637" s="231"/>
      <c r="X1637" s="231"/>
      <c r="Y1637" s="231"/>
      <c r="Z1637" s="231"/>
      <c r="AA1637" s="231"/>
      <c r="AB1637" s="22">
        <f t="shared" si="517"/>
        <v>0</v>
      </c>
      <c r="AC1637" s="23">
        <v>0</v>
      </c>
      <c r="AD1637" s="35"/>
      <c r="AE1637" s="35"/>
      <c r="AF1637" s="35"/>
      <c r="AG1637" s="35"/>
      <c r="AH1637" s="35">
        <v>1</v>
      </c>
      <c r="AI1637" s="35"/>
      <c r="AJ1637" s="35"/>
      <c r="AK1637" s="35"/>
      <c r="AL1637" s="35"/>
      <c r="AM1637" s="35"/>
      <c r="AN1637" s="35"/>
      <c r="AO1637" s="35"/>
      <c r="AP1637" s="35">
        <v>2</v>
      </c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22">
        <f t="shared" si="518"/>
        <v>3</v>
      </c>
      <c r="BC1637" s="23">
        <v>15</v>
      </c>
      <c r="BD1637" s="130">
        <f t="shared" si="519"/>
        <v>3</v>
      </c>
      <c r="BE1637" s="130">
        <f t="shared" si="520"/>
        <v>15</v>
      </c>
      <c r="BF1637" s="195">
        <f t="shared" si="521"/>
        <v>20</v>
      </c>
      <c r="BG1637" s="373">
        <f t="shared" si="522"/>
        <v>12</v>
      </c>
    </row>
    <row r="1638" spans="1:59" s="46" customFormat="1" ht="15.95" customHeight="1">
      <c r="A1638" s="176">
        <v>18</v>
      </c>
      <c r="B1638" s="31" t="s">
        <v>770</v>
      </c>
      <c r="C1638" s="32" t="s">
        <v>1040</v>
      </c>
      <c r="D1638" s="231"/>
      <c r="E1638" s="231"/>
      <c r="F1638" s="231"/>
      <c r="G1638" s="231"/>
      <c r="H1638" s="231"/>
      <c r="I1638" s="231"/>
      <c r="J1638" s="231"/>
      <c r="K1638" s="231"/>
      <c r="L1638" s="231"/>
      <c r="M1638" s="231"/>
      <c r="N1638" s="231"/>
      <c r="O1638" s="231"/>
      <c r="P1638" s="231"/>
      <c r="Q1638" s="231"/>
      <c r="R1638" s="231"/>
      <c r="S1638" s="231"/>
      <c r="T1638" s="231"/>
      <c r="U1638" s="231"/>
      <c r="V1638" s="231"/>
      <c r="W1638" s="231"/>
      <c r="X1638" s="231"/>
      <c r="Y1638" s="231"/>
      <c r="Z1638" s="231"/>
      <c r="AA1638" s="231"/>
      <c r="AB1638" s="22">
        <f t="shared" si="517"/>
        <v>0</v>
      </c>
      <c r="AC1638" s="23">
        <v>0</v>
      </c>
      <c r="AD1638" s="35"/>
      <c r="AE1638" s="35"/>
      <c r="AF1638" s="35"/>
      <c r="AG1638" s="35"/>
      <c r="AH1638" s="35">
        <v>6</v>
      </c>
      <c r="AI1638" s="35"/>
      <c r="AJ1638" s="35"/>
      <c r="AK1638" s="35"/>
      <c r="AL1638" s="35"/>
      <c r="AM1638" s="35"/>
      <c r="AN1638" s="35"/>
      <c r="AO1638" s="35"/>
      <c r="AP1638" s="35">
        <v>22</v>
      </c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22">
        <f t="shared" si="518"/>
        <v>28</v>
      </c>
      <c r="BC1638" s="23">
        <v>48</v>
      </c>
      <c r="BD1638" s="130">
        <f t="shared" si="519"/>
        <v>28</v>
      </c>
      <c r="BE1638" s="130">
        <f t="shared" si="520"/>
        <v>48</v>
      </c>
      <c r="BF1638" s="195">
        <f t="shared" si="521"/>
        <v>58.333333333333336</v>
      </c>
      <c r="BG1638" s="373">
        <f t="shared" si="522"/>
        <v>20</v>
      </c>
    </row>
    <row r="1639" spans="1:59" s="46" customFormat="1" ht="15.95" customHeight="1">
      <c r="A1639" s="176">
        <v>19</v>
      </c>
      <c r="B1639" s="31" t="s">
        <v>1523</v>
      </c>
      <c r="C1639" s="32" t="s">
        <v>3172</v>
      </c>
      <c r="D1639" s="231"/>
      <c r="E1639" s="231"/>
      <c r="F1639" s="231"/>
      <c r="G1639" s="231"/>
      <c r="H1639" s="231"/>
      <c r="I1639" s="231"/>
      <c r="J1639" s="231"/>
      <c r="K1639" s="231"/>
      <c r="L1639" s="231"/>
      <c r="M1639" s="231"/>
      <c r="N1639" s="231"/>
      <c r="O1639" s="231"/>
      <c r="P1639" s="231"/>
      <c r="Q1639" s="231"/>
      <c r="R1639" s="231"/>
      <c r="S1639" s="231"/>
      <c r="T1639" s="231"/>
      <c r="U1639" s="231"/>
      <c r="V1639" s="231"/>
      <c r="W1639" s="231"/>
      <c r="X1639" s="231"/>
      <c r="Y1639" s="231"/>
      <c r="Z1639" s="231"/>
      <c r="AA1639" s="231"/>
      <c r="AB1639" s="22">
        <f t="shared" si="517"/>
        <v>0</v>
      </c>
      <c r="AC1639" s="23">
        <v>0</v>
      </c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22">
        <f t="shared" si="518"/>
        <v>0</v>
      </c>
      <c r="BC1639" s="23">
        <v>1</v>
      </c>
      <c r="BD1639" s="130">
        <f t="shared" si="519"/>
        <v>0</v>
      </c>
      <c r="BE1639" s="130">
        <f t="shared" si="520"/>
        <v>1</v>
      </c>
      <c r="BF1639" s="195">
        <f t="shared" si="521"/>
        <v>0</v>
      </c>
      <c r="BG1639" s="373">
        <f t="shared" si="522"/>
        <v>1</v>
      </c>
    </row>
    <row r="1640" spans="1:59" s="46" customFormat="1" ht="15.95" customHeight="1">
      <c r="A1640" s="176">
        <v>20</v>
      </c>
      <c r="B1640" s="31" t="s">
        <v>772</v>
      </c>
      <c r="C1640" s="32" t="s">
        <v>773</v>
      </c>
      <c r="D1640" s="321"/>
      <c r="E1640" s="321"/>
      <c r="F1640" s="321"/>
      <c r="G1640" s="321"/>
      <c r="H1640" s="321"/>
      <c r="I1640" s="321"/>
      <c r="J1640" s="321"/>
      <c r="K1640" s="321"/>
      <c r="L1640" s="321"/>
      <c r="M1640" s="321"/>
      <c r="N1640" s="321"/>
      <c r="O1640" s="321"/>
      <c r="P1640" s="321"/>
      <c r="Q1640" s="321"/>
      <c r="R1640" s="321"/>
      <c r="S1640" s="321"/>
      <c r="T1640" s="321"/>
      <c r="U1640" s="321"/>
      <c r="V1640" s="321"/>
      <c r="W1640" s="321"/>
      <c r="X1640" s="321"/>
      <c r="Y1640" s="321"/>
      <c r="Z1640" s="321"/>
      <c r="AA1640" s="321"/>
      <c r="AB1640" s="22">
        <f t="shared" si="517"/>
        <v>0</v>
      </c>
      <c r="AC1640" s="23">
        <v>0</v>
      </c>
      <c r="AD1640" s="35"/>
      <c r="AE1640" s="35"/>
      <c r="AF1640" s="35"/>
      <c r="AG1640" s="35"/>
      <c r="AH1640" s="35"/>
      <c r="AI1640" s="35"/>
      <c r="AJ1640" s="35"/>
      <c r="AK1640" s="35"/>
      <c r="AL1640" s="35">
        <v>76</v>
      </c>
      <c r="AM1640" s="35"/>
      <c r="AN1640" s="35"/>
      <c r="AO1640" s="35"/>
      <c r="AP1640" s="35">
        <v>5</v>
      </c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22">
        <f t="shared" si="518"/>
        <v>81</v>
      </c>
      <c r="BC1640" s="23">
        <v>97</v>
      </c>
      <c r="BD1640" s="130">
        <f t="shared" si="519"/>
        <v>81</v>
      </c>
      <c r="BE1640" s="130">
        <f t="shared" si="520"/>
        <v>97</v>
      </c>
      <c r="BF1640" s="195">
        <f t="shared" si="521"/>
        <v>83.505154639175259</v>
      </c>
      <c r="BG1640" s="373">
        <f t="shared" si="522"/>
        <v>16</v>
      </c>
    </row>
    <row r="1641" spans="1:59" s="46" customFormat="1" ht="15.95" customHeight="1">
      <c r="A1641" s="176">
        <v>21</v>
      </c>
      <c r="B1641" s="31" t="s">
        <v>2075</v>
      </c>
      <c r="C1641" s="32" t="s">
        <v>2076</v>
      </c>
      <c r="D1641" s="231"/>
      <c r="E1641" s="231"/>
      <c r="F1641" s="231"/>
      <c r="G1641" s="231"/>
      <c r="H1641" s="231"/>
      <c r="I1641" s="231"/>
      <c r="J1641" s="231"/>
      <c r="K1641" s="231"/>
      <c r="L1641" s="231"/>
      <c r="M1641" s="231"/>
      <c r="N1641" s="231"/>
      <c r="O1641" s="231"/>
      <c r="P1641" s="231"/>
      <c r="Q1641" s="231"/>
      <c r="R1641" s="231"/>
      <c r="S1641" s="231"/>
      <c r="T1641" s="231"/>
      <c r="U1641" s="231"/>
      <c r="V1641" s="231"/>
      <c r="W1641" s="231"/>
      <c r="X1641" s="231"/>
      <c r="Y1641" s="231"/>
      <c r="Z1641" s="231"/>
      <c r="AA1641" s="231"/>
      <c r="AB1641" s="22">
        <f t="shared" si="517"/>
        <v>0</v>
      </c>
      <c r="AC1641" s="23">
        <v>2</v>
      </c>
      <c r="AD1641" s="35"/>
      <c r="AE1641" s="35"/>
      <c r="AF1641" s="35"/>
      <c r="AG1641" s="35"/>
      <c r="AH1641" s="35">
        <v>6</v>
      </c>
      <c r="AI1641" s="35"/>
      <c r="AJ1641" s="35"/>
      <c r="AK1641" s="35"/>
      <c r="AL1641" s="35">
        <f>52+4+2</f>
        <v>58</v>
      </c>
      <c r="AM1641" s="35"/>
      <c r="AN1641" s="35"/>
      <c r="AO1641" s="35"/>
      <c r="AP1641" s="35">
        <f>32+4</f>
        <v>36</v>
      </c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22">
        <f t="shared" si="518"/>
        <v>100</v>
      </c>
      <c r="BC1641" s="23">
        <v>241</v>
      </c>
      <c r="BD1641" s="130">
        <f t="shared" si="519"/>
        <v>100</v>
      </c>
      <c r="BE1641" s="130">
        <f t="shared" si="520"/>
        <v>243</v>
      </c>
      <c r="BF1641" s="195">
        <f t="shared" si="521"/>
        <v>41.152263374485599</v>
      </c>
      <c r="BG1641" s="373">
        <f t="shared" si="522"/>
        <v>143</v>
      </c>
    </row>
    <row r="1642" spans="1:59" s="46" customFormat="1" ht="15.95" customHeight="1">
      <c r="A1642" s="176">
        <v>22</v>
      </c>
      <c r="B1642" s="31" t="s">
        <v>780</v>
      </c>
      <c r="C1642" s="32" t="s">
        <v>991</v>
      </c>
      <c r="D1642" s="231"/>
      <c r="E1642" s="231"/>
      <c r="F1642" s="231"/>
      <c r="G1642" s="231"/>
      <c r="H1642" s="231"/>
      <c r="I1642" s="231"/>
      <c r="J1642" s="231"/>
      <c r="K1642" s="231"/>
      <c r="L1642" s="231"/>
      <c r="M1642" s="231"/>
      <c r="N1642" s="231"/>
      <c r="O1642" s="231"/>
      <c r="P1642" s="231"/>
      <c r="Q1642" s="231"/>
      <c r="R1642" s="231"/>
      <c r="S1642" s="231"/>
      <c r="T1642" s="231"/>
      <c r="U1642" s="231"/>
      <c r="V1642" s="231"/>
      <c r="W1642" s="231"/>
      <c r="X1642" s="231"/>
      <c r="Y1642" s="231"/>
      <c r="Z1642" s="231"/>
      <c r="AA1642" s="231"/>
      <c r="AB1642" s="22">
        <f t="shared" si="517"/>
        <v>0</v>
      </c>
      <c r="AC1642" s="23">
        <v>0</v>
      </c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22">
        <f t="shared" si="518"/>
        <v>0</v>
      </c>
      <c r="BC1642" s="23">
        <v>1</v>
      </c>
      <c r="BD1642" s="130">
        <f t="shared" si="519"/>
        <v>0</v>
      </c>
      <c r="BE1642" s="130">
        <f t="shared" si="520"/>
        <v>1</v>
      </c>
      <c r="BF1642" s="195">
        <f t="shared" si="521"/>
        <v>0</v>
      </c>
      <c r="BG1642" s="373">
        <f t="shared" si="522"/>
        <v>1</v>
      </c>
    </row>
    <row r="1643" spans="1:59" s="46" customFormat="1" ht="15.95" customHeight="1">
      <c r="A1643" s="176">
        <v>23</v>
      </c>
      <c r="B1643" s="31" t="s">
        <v>1143</v>
      </c>
      <c r="C1643" s="32" t="s">
        <v>1144</v>
      </c>
      <c r="D1643" s="571"/>
      <c r="E1643" s="571"/>
      <c r="F1643" s="571"/>
      <c r="G1643" s="571"/>
      <c r="H1643" s="571"/>
      <c r="I1643" s="571"/>
      <c r="J1643" s="571"/>
      <c r="K1643" s="571"/>
      <c r="L1643" s="571"/>
      <c r="M1643" s="571"/>
      <c r="N1643" s="571"/>
      <c r="O1643" s="571"/>
      <c r="P1643" s="571"/>
      <c r="Q1643" s="571"/>
      <c r="R1643" s="571"/>
      <c r="S1643" s="571"/>
      <c r="T1643" s="571"/>
      <c r="U1643" s="571"/>
      <c r="V1643" s="571"/>
      <c r="W1643" s="571"/>
      <c r="X1643" s="571"/>
      <c r="Y1643" s="571"/>
      <c r="Z1643" s="571"/>
      <c r="AA1643" s="571"/>
      <c r="AB1643" s="22">
        <f t="shared" si="517"/>
        <v>0</v>
      </c>
      <c r="AC1643" s="23">
        <v>0</v>
      </c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>
        <v>2</v>
      </c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22">
        <f t="shared" si="518"/>
        <v>2</v>
      </c>
      <c r="BC1643" s="23">
        <v>0</v>
      </c>
      <c r="BD1643" s="130">
        <f t="shared" si="519"/>
        <v>2</v>
      </c>
      <c r="BE1643" s="130">
        <f t="shared" si="520"/>
        <v>0</v>
      </c>
      <c r="BF1643" s="195" t="e">
        <f t="shared" si="521"/>
        <v>#DIV/0!</v>
      </c>
      <c r="BG1643" s="373"/>
    </row>
    <row r="1644" spans="1:59" s="46" customFormat="1" ht="15.95" customHeight="1">
      <c r="A1644" s="176">
        <v>24</v>
      </c>
      <c r="B1644" s="31" t="s">
        <v>2564</v>
      </c>
      <c r="C1644" s="32" t="s">
        <v>3251</v>
      </c>
      <c r="D1644" s="268"/>
      <c r="E1644" s="268"/>
      <c r="F1644" s="268"/>
      <c r="G1644" s="268"/>
      <c r="H1644" s="268"/>
      <c r="I1644" s="268"/>
      <c r="J1644" s="268"/>
      <c r="K1644" s="268"/>
      <c r="L1644" s="268"/>
      <c r="M1644" s="268"/>
      <c r="N1644" s="268"/>
      <c r="O1644" s="268"/>
      <c r="P1644" s="268"/>
      <c r="Q1644" s="268"/>
      <c r="R1644" s="268"/>
      <c r="S1644" s="268"/>
      <c r="T1644" s="268"/>
      <c r="U1644" s="268"/>
      <c r="V1644" s="268"/>
      <c r="W1644" s="268"/>
      <c r="X1644" s="268"/>
      <c r="Y1644" s="268"/>
      <c r="Z1644" s="268"/>
      <c r="AA1644" s="268"/>
      <c r="AB1644" s="22">
        <f t="shared" si="517"/>
        <v>0</v>
      </c>
      <c r="AC1644" s="23">
        <v>0</v>
      </c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22">
        <f t="shared" si="518"/>
        <v>0</v>
      </c>
      <c r="BC1644" s="23">
        <v>2</v>
      </c>
      <c r="BD1644" s="130">
        <f t="shared" si="519"/>
        <v>0</v>
      </c>
      <c r="BE1644" s="130">
        <f t="shared" si="520"/>
        <v>2</v>
      </c>
      <c r="BF1644" s="195">
        <f t="shared" si="521"/>
        <v>0</v>
      </c>
      <c r="BG1644" s="373">
        <f t="shared" ref="BG1644:BG1655" si="523">BE1644-BD1644</f>
        <v>2</v>
      </c>
    </row>
    <row r="1645" spans="1:59" s="46" customFormat="1" ht="15.95" customHeight="1">
      <c r="A1645" s="176">
        <v>25</v>
      </c>
      <c r="B1645" s="31" t="s">
        <v>783</v>
      </c>
      <c r="C1645" s="32" t="s">
        <v>1041</v>
      </c>
      <c r="D1645" s="334"/>
      <c r="E1645" s="334"/>
      <c r="F1645" s="334"/>
      <c r="G1645" s="334"/>
      <c r="H1645" s="334"/>
      <c r="I1645" s="334"/>
      <c r="J1645" s="334"/>
      <c r="K1645" s="334"/>
      <c r="L1645" s="334"/>
      <c r="M1645" s="334"/>
      <c r="N1645" s="334"/>
      <c r="O1645" s="334"/>
      <c r="P1645" s="334"/>
      <c r="Q1645" s="334"/>
      <c r="R1645" s="334"/>
      <c r="S1645" s="334"/>
      <c r="T1645" s="334"/>
      <c r="U1645" s="334"/>
      <c r="V1645" s="334"/>
      <c r="W1645" s="334"/>
      <c r="X1645" s="334"/>
      <c r="Y1645" s="334"/>
      <c r="Z1645" s="334"/>
      <c r="AA1645" s="334"/>
      <c r="AB1645" s="22">
        <f t="shared" si="517"/>
        <v>0</v>
      </c>
      <c r="AC1645" s="23">
        <v>0</v>
      </c>
      <c r="AD1645" s="35"/>
      <c r="AE1645" s="35"/>
      <c r="AF1645" s="35"/>
      <c r="AG1645" s="35"/>
      <c r="AH1645" s="35">
        <v>2</v>
      </c>
      <c r="AI1645" s="35"/>
      <c r="AJ1645" s="35"/>
      <c r="AK1645" s="35"/>
      <c r="AL1645" s="35">
        <v>23</v>
      </c>
      <c r="AM1645" s="35"/>
      <c r="AN1645" s="35"/>
      <c r="AO1645" s="35"/>
      <c r="AP1645" s="35">
        <v>25</v>
      </c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22">
        <f t="shared" si="518"/>
        <v>50</v>
      </c>
      <c r="BC1645" s="23">
        <v>112</v>
      </c>
      <c r="BD1645" s="130">
        <f t="shared" si="519"/>
        <v>50</v>
      </c>
      <c r="BE1645" s="130">
        <f t="shared" si="520"/>
        <v>112</v>
      </c>
      <c r="BF1645" s="195">
        <f t="shared" si="521"/>
        <v>44.642857142857146</v>
      </c>
      <c r="BG1645" s="373">
        <f t="shared" si="523"/>
        <v>62</v>
      </c>
    </row>
    <row r="1646" spans="1:59" s="46" customFormat="1" ht="15.95" customHeight="1">
      <c r="A1646" s="176">
        <v>26</v>
      </c>
      <c r="B1646" s="31" t="s">
        <v>814</v>
      </c>
      <c r="C1646" s="34" t="s">
        <v>1043</v>
      </c>
      <c r="D1646" s="366"/>
      <c r="E1646" s="366"/>
      <c r="F1646" s="366"/>
      <c r="G1646" s="366"/>
      <c r="H1646" s="366"/>
      <c r="I1646" s="366"/>
      <c r="J1646" s="366"/>
      <c r="K1646" s="366"/>
      <c r="L1646" s="366"/>
      <c r="M1646" s="366"/>
      <c r="N1646" s="366"/>
      <c r="O1646" s="366"/>
      <c r="P1646" s="366"/>
      <c r="Q1646" s="366"/>
      <c r="R1646" s="366"/>
      <c r="S1646" s="366"/>
      <c r="T1646" s="366"/>
      <c r="U1646" s="366"/>
      <c r="V1646" s="366"/>
      <c r="W1646" s="366"/>
      <c r="X1646" s="366"/>
      <c r="Y1646" s="366"/>
      <c r="Z1646" s="366"/>
      <c r="AA1646" s="366"/>
      <c r="AB1646" s="22">
        <f t="shared" si="517"/>
        <v>0</v>
      </c>
      <c r="AC1646" s="23">
        <v>0</v>
      </c>
      <c r="AD1646" s="35"/>
      <c r="AE1646" s="35"/>
      <c r="AF1646" s="35"/>
      <c r="AG1646" s="35"/>
      <c r="AH1646" s="35"/>
      <c r="AI1646" s="35"/>
      <c r="AJ1646" s="35"/>
      <c r="AK1646" s="35"/>
      <c r="AL1646" s="35">
        <v>15</v>
      </c>
      <c r="AM1646" s="35"/>
      <c r="AN1646" s="35"/>
      <c r="AO1646" s="35"/>
      <c r="AP1646" s="35">
        <v>10</v>
      </c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22">
        <f t="shared" si="518"/>
        <v>25</v>
      </c>
      <c r="BC1646" s="23">
        <v>221</v>
      </c>
      <c r="BD1646" s="130">
        <f t="shared" si="519"/>
        <v>25</v>
      </c>
      <c r="BE1646" s="130">
        <f t="shared" si="520"/>
        <v>221</v>
      </c>
      <c r="BF1646" s="195">
        <f t="shared" si="521"/>
        <v>11.312217194570136</v>
      </c>
      <c r="BG1646" s="373">
        <f t="shared" si="523"/>
        <v>196</v>
      </c>
    </row>
    <row r="1647" spans="1:59" s="46" customFormat="1" ht="15.95" customHeight="1">
      <c r="A1647" s="176">
        <v>27</v>
      </c>
      <c r="B1647" s="31" t="s">
        <v>819</v>
      </c>
      <c r="C1647" s="34" t="s">
        <v>820</v>
      </c>
      <c r="D1647" s="366"/>
      <c r="E1647" s="366"/>
      <c r="F1647" s="366"/>
      <c r="G1647" s="366"/>
      <c r="H1647" s="366"/>
      <c r="I1647" s="366"/>
      <c r="J1647" s="366"/>
      <c r="K1647" s="366"/>
      <c r="L1647" s="366"/>
      <c r="M1647" s="366"/>
      <c r="N1647" s="366"/>
      <c r="O1647" s="366"/>
      <c r="P1647" s="366"/>
      <c r="Q1647" s="366"/>
      <c r="R1647" s="366"/>
      <c r="S1647" s="366"/>
      <c r="T1647" s="366"/>
      <c r="U1647" s="366"/>
      <c r="V1647" s="366"/>
      <c r="W1647" s="366"/>
      <c r="X1647" s="366"/>
      <c r="Y1647" s="366"/>
      <c r="Z1647" s="366"/>
      <c r="AA1647" s="366"/>
      <c r="AB1647" s="22">
        <f t="shared" si="517"/>
        <v>0</v>
      </c>
      <c r="AC1647" s="23">
        <v>0</v>
      </c>
      <c r="AD1647" s="35"/>
      <c r="AE1647" s="35"/>
      <c r="AF1647" s="35"/>
      <c r="AG1647" s="35"/>
      <c r="AH1647" s="35">
        <v>13</v>
      </c>
      <c r="AI1647" s="35"/>
      <c r="AJ1647" s="35"/>
      <c r="AK1647" s="35"/>
      <c r="AL1647" s="35">
        <f>5+137</f>
        <v>142</v>
      </c>
      <c r="AM1647" s="35"/>
      <c r="AN1647" s="35"/>
      <c r="AO1647" s="35"/>
      <c r="AP1647" s="35">
        <f>2+84</f>
        <v>86</v>
      </c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22">
        <f t="shared" si="518"/>
        <v>241</v>
      </c>
      <c r="BC1647" s="23">
        <v>305</v>
      </c>
      <c r="BD1647" s="130">
        <f t="shared" si="519"/>
        <v>241</v>
      </c>
      <c r="BE1647" s="130">
        <f t="shared" si="520"/>
        <v>305</v>
      </c>
      <c r="BF1647" s="195">
        <f t="shared" si="521"/>
        <v>79.016393442622942</v>
      </c>
      <c r="BG1647" s="373">
        <f t="shared" si="523"/>
        <v>64</v>
      </c>
    </row>
    <row r="1648" spans="1:59" s="46" customFormat="1" ht="15.95" customHeight="1">
      <c r="A1648" s="176">
        <v>28</v>
      </c>
      <c r="B1648" s="31" t="s">
        <v>821</v>
      </c>
      <c r="C1648" s="32" t="s">
        <v>822</v>
      </c>
      <c r="D1648" s="366"/>
      <c r="E1648" s="366"/>
      <c r="F1648" s="366"/>
      <c r="G1648" s="366"/>
      <c r="H1648" s="366"/>
      <c r="I1648" s="366"/>
      <c r="J1648" s="366"/>
      <c r="K1648" s="366"/>
      <c r="L1648" s="366"/>
      <c r="M1648" s="366"/>
      <c r="N1648" s="366"/>
      <c r="O1648" s="366"/>
      <c r="P1648" s="366"/>
      <c r="Q1648" s="366"/>
      <c r="R1648" s="366"/>
      <c r="S1648" s="366"/>
      <c r="T1648" s="366"/>
      <c r="U1648" s="366"/>
      <c r="V1648" s="366"/>
      <c r="W1648" s="366"/>
      <c r="X1648" s="366"/>
      <c r="Y1648" s="366"/>
      <c r="Z1648" s="366"/>
      <c r="AA1648" s="366"/>
      <c r="AB1648" s="22">
        <f t="shared" si="517"/>
        <v>0</v>
      </c>
      <c r="AC1648" s="23">
        <v>0</v>
      </c>
      <c r="AD1648" s="35"/>
      <c r="AE1648" s="35"/>
      <c r="AF1648" s="35"/>
      <c r="AG1648" s="35"/>
      <c r="AH1648" s="35"/>
      <c r="AI1648" s="35"/>
      <c r="AJ1648" s="35"/>
      <c r="AK1648" s="35"/>
      <c r="AL1648" s="35">
        <v>1</v>
      </c>
      <c r="AM1648" s="35"/>
      <c r="AN1648" s="35"/>
      <c r="AO1648" s="35"/>
      <c r="AP1648" s="35">
        <v>5</v>
      </c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22">
        <f t="shared" si="518"/>
        <v>6</v>
      </c>
      <c r="BC1648" s="23">
        <v>17</v>
      </c>
      <c r="BD1648" s="130">
        <f t="shared" si="519"/>
        <v>6</v>
      </c>
      <c r="BE1648" s="130">
        <f t="shared" si="520"/>
        <v>17</v>
      </c>
      <c r="BF1648" s="195">
        <f t="shared" si="521"/>
        <v>35.294117647058826</v>
      </c>
      <c r="BG1648" s="373">
        <f t="shared" si="523"/>
        <v>11</v>
      </c>
    </row>
    <row r="1649" spans="1:59" s="46" customFormat="1" ht="15.95" customHeight="1">
      <c r="A1649" s="176">
        <v>29</v>
      </c>
      <c r="B1649" s="31" t="s">
        <v>823</v>
      </c>
      <c r="C1649" s="32" t="s">
        <v>824</v>
      </c>
      <c r="D1649" s="366"/>
      <c r="E1649" s="366"/>
      <c r="F1649" s="366"/>
      <c r="G1649" s="366"/>
      <c r="H1649" s="366"/>
      <c r="I1649" s="366"/>
      <c r="J1649" s="366"/>
      <c r="K1649" s="366"/>
      <c r="L1649" s="366"/>
      <c r="M1649" s="366"/>
      <c r="N1649" s="366"/>
      <c r="O1649" s="366"/>
      <c r="P1649" s="366"/>
      <c r="Q1649" s="366"/>
      <c r="R1649" s="366"/>
      <c r="S1649" s="366"/>
      <c r="T1649" s="366"/>
      <c r="U1649" s="366"/>
      <c r="V1649" s="366"/>
      <c r="W1649" s="366"/>
      <c r="X1649" s="366"/>
      <c r="Y1649" s="366"/>
      <c r="Z1649" s="366"/>
      <c r="AA1649" s="366"/>
      <c r="AB1649" s="22">
        <f t="shared" si="517"/>
        <v>0</v>
      </c>
      <c r="AC1649" s="23">
        <v>0</v>
      </c>
      <c r="AD1649" s="35"/>
      <c r="AE1649" s="35"/>
      <c r="AF1649" s="35"/>
      <c r="AG1649" s="35"/>
      <c r="AH1649" s="35">
        <v>1</v>
      </c>
      <c r="AI1649" s="35"/>
      <c r="AJ1649" s="35"/>
      <c r="AK1649" s="35"/>
      <c r="AL1649" s="35">
        <v>8</v>
      </c>
      <c r="AM1649" s="35"/>
      <c r="AN1649" s="35"/>
      <c r="AO1649" s="35"/>
      <c r="AP1649" s="35">
        <v>11</v>
      </c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22">
        <f t="shared" si="518"/>
        <v>20</v>
      </c>
      <c r="BC1649" s="23">
        <v>201</v>
      </c>
      <c r="BD1649" s="130">
        <f t="shared" si="519"/>
        <v>20</v>
      </c>
      <c r="BE1649" s="130">
        <f t="shared" si="520"/>
        <v>201</v>
      </c>
      <c r="BF1649" s="195">
        <f t="shared" si="521"/>
        <v>9.9502487562189064</v>
      </c>
      <c r="BG1649" s="373">
        <f t="shared" si="523"/>
        <v>181</v>
      </c>
    </row>
    <row r="1650" spans="1:59" s="46" customFormat="1" ht="15.95" customHeight="1">
      <c r="A1650" s="176">
        <v>30</v>
      </c>
      <c r="B1650" s="31" t="s">
        <v>825</v>
      </c>
      <c r="C1650" s="32" t="s">
        <v>907</v>
      </c>
      <c r="D1650" s="366"/>
      <c r="E1650" s="366"/>
      <c r="F1650" s="366"/>
      <c r="G1650" s="366"/>
      <c r="H1650" s="366"/>
      <c r="I1650" s="366"/>
      <c r="J1650" s="366"/>
      <c r="K1650" s="366"/>
      <c r="L1650" s="366"/>
      <c r="M1650" s="366"/>
      <c r="N1650" s="366"/>
      <c r="O1650" s="366"/>
      <c r="P1650" s="366"/>
      <c r="Q1650" s="366"/>
      <c r="R1650" s="366"/>
      <c r="S1650" s="366"/>
      <c r="T1650" s="366"/>
      <c r="U1650" s="366"/>
      <c r="V1650" s="366"/>
      <c r="W1650" s="366"/>
      <c r="X1650" s="366"/>
      <c r="Y1650" s="366"/>
      <c r="Z1650" s="366"/>
      <c r="AA1650" s="366"/>
      <c r="AB1650" s="22">
        <f t="shared" si="517"/>
        <v>0</v>
      </c>
      <c r="AC1650" s="23">
        <v>0</v>
      </c>
      <c r="AD1650" s="35"/>
      <c r="AE1650" s="35"/>
      <c r="AF1650" s="35"/>
      <c r="AG1650" s="35"/>
      <c r="AH1650" s="35">
        <v>8</v>
      </c>
      <c r="AI1650" s="35"/>
      <c r="AJ1650" s="35"/>
      <c r="AK1650" s="35"/>
      <c r="AL1650" s="35">
        <v>3</v>
      </c>
      <c r="AM1650" s="35"/>
      <c r="AN1650" s="35"/>
      <c r="AO1650" s="35"/>
      <c r="AP1650" s="35">
        <v>27</v>
      </c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22">
        <f t="shared" si="518"/>
        <v>38</v>
      </c>
      <c r="BC1650" s="23">
        <v>179</v>
      </c>
      <c r="BD1650" s="130">
        <f t="shared" si="519"/>
        <v>38</v>
      </c>
      <c r="BE1650" s="130">
        <f t="shared" si="520"/>
        <v>179</v>
      </c>
      <c r="BF1650" s="195">
        <f t="shared" si="521"/>
        <v>21.229050279329609</v>
      </c>
      <c r="BG1650" s="373">
        <f t="shared" si="523"/>
        <v>141</v>
      </c>
    </row>
    <row r="1651" spans="1:59" s="46" customFormat="1" ht="15.95" customHeight="1">
      <c r="A1651" s="176">
        <v>31</v>
      </c>
      <c r="B1651" s="31" t="s">
        <v>827</v>
      </c>
      <c r="C1651" s="32" t="s">
        <v>1453</v>
      </c>
      <c r="D1651" s="366"/>
      <c r="E1651" s="366"/>
      <c r="F1651" s="366"/>
      <c r="G1651" s="366"/>
      <c r="H1651" s="366"/>
      <c r="I1651" s="366"/>
      <c r="J1651" s="366"/>
      <c r="K1651" s="366"/>
      <c r="L1651" s="366"/>
      <c r="M1651" s="366"/>
      <c r="N1651" s="366"/>
      <c r="O1651" s="366"/>
      <c r="P1651" s="366"/>
      <c r="Q1651" s="366"/>
      <c r="R1651" s="366"/>
      <c r="S1651" s="366"/>
      <c r="T1651" s="366"/>
      <c r="U1651" s="366"/>
      <c r="V1651" s="366"/>
      <c r="W1651" s="366"/>
      <c r="X1651" s="366"/>
      <c r="Y1651" s="366"/>
      <c r="Z1651" s="366"/>
      <c r="AA1651" s="366"/>
      <c r="AB1651" s="22">
        <f t="shared" si="517"/>
        <v>0</v>
      </c>
      <c r="AC1651" s="23">
        <v>0</v>
      </c>
      <c r="AD1651" s="35"/>
      <c r="AE1651" s="35"/>
      <c r="AF1651" s="35"/>
      <c r="AG1651" s="35"/>
      <c r="AH1651" s="35">
        <v>1</v>
      </c>
      <c r="AI1651" s="35"/>
      <c r="AJ1651" s="35"/>
      <c r="AK1651" s="35"/>
      <c r="AL1651" s="35">
        <v>3</v>
      </c>
      <c r="AM1651" s="35"/>
      <c r="AN1651" s="35"/>
      <c r="AO1651" s="35"/>
      <c r="AP1651" s="35">
        <v>1</v>
      </c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22">
        <f t="shared" si="518"/>
        <v>5</v>
      </c>
      <c r="BC1651" s="23">
        <v>11</v>
      </c>
      <c r="BD1651" s="130">
        <f t="shared" si="519"/>
        <v>5</v>
      </c>
      <c r="BE1651" s="130">
        <f t="shared" si="520"/>
        <v>11</v>
      </c>
      <c r="BF1651" s="195">
        <f t="shared" si="521"/>
        <v>45.454545454545453</v>
      </c>
      <c r="BG1651" s="373">
        <f t="shared" si="523"/>
        <v>6</v>
      </c>
    </row>
    <row r="1652" spans="1:59" s="46" customFormat="1" ht="15.95" customHeight="1">
      <c r="A1652" s="176">
        <v>32</v>
      </c>
      <c r="B1652" s="31" t="s">
        <v>835</v>
      </c>
      <c r="C1652" s="32" t="s">
        <v>3470</v>
      </c>
      <c r="D1652" s="231"/>
      <c r="E1652" s="231"/>
      <c r="F1652" s="231"/>
      <c r="G1652" s="231"/>
      <c r="H1652" s="231"/>
      <c r="I1652" s="231"/>
      <c r="J1652" s="231"/>
      <c r="K1652" s="231"/>
      <c r="L1652" s="231"/>
      <c r="M1652" s="231"/>
      <c r="N1652" s="231"/>
      <c r="O1652" s="231"/>
      <c r="P1652" s="231"/>
      <c r="Q1652" s="231"/>
      <c r="R1652" s="231"/>
      <c r="S1652" s="231"/>
      <c r="T1652" s="231"/>
      <c r="U1652" s="231"/>
      <c r="V1652" s="231"/>
      <c r="W1652" s="231"/>
      <c r="X1652" s="231"/>
      <c r="Y1652" s="231"/>
      <c r="Z1652" s="231"/>
      <c r="AA1652" s="231"/>
      <c r="AB1652" s="22">
        <f t="shared" si="517"/>
        <v>0</v>
      </c>
      <c r="AC1652" s="23">
        <v>0</v>
      </c>
      <c r="AD1652" s="35"/>
      <c r="AE1652" s="35"/>
      <c r="AF1652" s="35"/>
      <c r="AG1652" s="35"/>
      <c r="AH1652" s="35">
        <v>1</v>
      </c>
      <c r="AI1652" s="35"/>
      <c r="AJ1652" s="35"/>
      <c r="AK1652" s="35"/>
      <c r="AL1652" s="35"/>
      <c r="AM1652" s="35"/>
      <c r="AN1652" s="35"/>
      <c r="AO1652" s="35"/>
      <c r="AP1652" s="35">
        <v>16</v>
      </c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22">
        <f t="shared" si="518"/>
        <v>17</v>
      </c>
      <c r="BC1652" s="23">
        <v>4</v>
      </c>
      <c r="BD1652" s="130">
        <f t="shared" si="519"/>
        <v>17</v>
      </c>
      <c r="BE1652" s="130">
        <f t="shared" si="520"/>
        <v>4</v>
      </c>
      <c r="BF1652" s="195">
        <f t="shared" si="521"/>
        <v>425</v>
      </c>
      <c r="BG1652" s="373">
        <f t="shared" si="523"/>
        <v>-13</v>
      </c>
    </row>
    <row r="1653" spans="1:59" s="46" customFormat="1" ht="15.95" customHeight="1">
      <c r="A1653" s="176">
        <v>33</v>
      </c>
      <c r="B1653" s="31" t="s">
        <v>837</v>
      </c>
      <c r="C1653" s="32" t="s">
        <v>908</v>
      </c>
      <c r="D1653" s="231"/>
      <c r="E1653" s="231"/>
      <c r="F1653" s="231"/>
      <c r="G1653" s="231"/>
      <c r="H1653" s="231"/>
      <c r="I1653" s="231"/>
      <c r="J1653" s="231"/>
      <c r="K1653" s="231"/>
      <c r="L1653" s="231"/>
      <c r="M1653" s="231"/>
      <c r="N1653" s="231"/>
      <c r="O1653" s="231"/>
      <c r="P1653" s="231"/>
      <c r="Q1653" s="231"/>
      <c r="R1653" s="231"/>
      <c r="S1653" s="231"/>
      <c r="T1653" s="231"/>
      <c r="U1653" s="231"/>
      <c r="V1653" s="231"/>
      <c r="W1653" s="231"/>
      <c r="X1653" s="231"/>
      <c r="Y1653" s="231"/>
      <c r="Z1653" s="231"/>
      <c r="AA1653" s="231"/>
      <c r="AB1653" s="22">
        <f t="shared" ref="AB1653:AB1684" si="524">SUM(D1653:AA1653)</f>
        <v>0</v>
      </c>
      <c r="AC1653" s="23">
        <v>0</v>
      </c>
      <c r="AD1653" s="35"/>
      <c r="AE1653" s="35"/>
      <c r="AF1653" s="35"/>
      <c r="AG1653" s="35"/>
      <c r="AH1653" s="35">
        <v>4</v>
      </c>
      <c r="AI1653" s="35"/>
      <c r="AJ1653" s="35"/>
      <c r="AK1653" s="35"/>
      <c r="AL1653" s="35">
        <v>4</v>
      </c>
      <c r="AM1653" s="35"/>
      <c r="AN1653" s="35"/>
      <c r="AO1653" s="35"/>
      <c r="AP1653" s="35">
        <v>22</v>
      </c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22">
        <f t="shared" ref="BB1653:BB1684" si="525">SUM(AD1653:BA1653)</f>
        <v>30</v>
      </c>
      <c r="BC1653" s="23">
        <v>118</v>
      </c>
      <c r="BD1653" s="130">
        <f t="shared" ref="BD1653:BD1684" si="526">AB1653+BB1653</f>
        <v>30</v>
      </c>
      <c r="BE1653" s="130">
        <f t="shared" ref="BE1653:BE1684" si="527">AC1653+BC1653</f>
        <v>118</v>
      </c>
      <c r="BF1653" s="195">
        <f t="shared" ref="BF1653:BF1684" si="528">BD1653/BE1653*100</f>
        <v>25.423728813559322</v>
      </c>
      <c r="BG1653" s="373">
        <f t="shared" si="523"/>
        <v>88</v>
      </c>
    </row>
    <row r="1654" spans="1:59" s="46" customFormat="1" ht="15.95" customHeight="1">
      <c r="A1654" s="176">
        <v>34</v>
      </c>
      <c r="B1654" s="31" t="s">
        <v>909</v>
      </c>
      <c r="C1654" s="32" t="s">
        <v>910</v>
      </c>
      <c r="D1654" s="231"/>
      <c r="E1654" s="231"/>
      <c r="F1654" s="231"/>
      <c r="G1654" s="231"/>
      <c r="H1654" s="231"/>
      <c r="I1654" s="231"/>
      <c r="J1654" s="231"/>
      <c r="K1654" s="231"/>
      <c r="L1654" s="231"/>
      <c r="M1654" s="231"/>
      <c r="N1654" s="231"/>
      <c r="O1654" s="231"/>
      <c r="P1654" s="231"/>
      <c r="Q1654" s="231"/>
      <c r="R1654" s="231"/>
      <c r="S1654" s="231"/>
      <c r="T1654" s="231"/>
      <c r="U1654" s="231"/>
      <c r="V1654" s="231"/>
      <c r="W1654" s="231"/>
      <c r="X1654" s="231"/>
      <c r="Y1654" s="231"/>
      <c r="Z1654" s="231"/>
      <c r="AA1654" s="231"/>
      <c r="AB1654" s="22">
        <f t="shared" si="524"/>
        <v>0</v>
      </c>
      <c r="AC1654" s="23">
        <v>0</v>
      </c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22">
        <f t="shared" si="525"/>
        <v>0</v>
      </c>
      <c r="BC1654" s="23">
        <v>2</v>
      </c>
      <c r="BD1654" s="130">
        <f t="shared" si="526"/>
        <v>0</v>
      </c>
      <c r="BE1654" s="130">
        <f t="shared" si="527"/>
        <v>2</v>
      </c>
      <c r="BF1654" s="195">
        <f t="shared" si="528"/>
        <v>0</v>
      </c>
      <c r="BG1654" s="373">
        <f t="shared" si="523"/>
        <v>2</v>
      </c>
    </row>
    <row r="1655" spans="1:59" s="46" customFormat="1" ht="15.95" customHeight="1">
      <c r="A1655" s="176">
        <v>35</v>
      </c>
      <c r="B1655" s="31" t="s">
        <v>911</v>
      </c>
      <c r="C1655" s="32" t="s">
        <v>3345</v>
      </c>
      <c r="D1655" s="231"/>
      <c r="E1655" s="231"/>
      <c r="F1655" s="231"/>
      <c r="G1655" s="231"/>
      <c r="H1655" s="231"/>
      <c r="I1655" s="231"/>
      <c r="J1655" s="231"/>
      <c r="K1655" s="231"/>
      <c r="L1655" s="231"/>
      <c r="M1655" s="231"/>
      <c r="N1655" s="231"/>
      <c r="O1655" s="231"/>
      <c r="P1655" s="231"/>
      <c r="Q1655" s="231"/>
      <c r="R1655" s="231"/>
      <c r="S1655" s="231"/>
      <c r="T1655" s="231"/>
      <c r="U1655" s="231"/>
      <c r="V1655" s="231"/>
      <c r="W1655" s="231"/>
      <c r="X1655" s="231"/>
      <c r="Y1655" s="231"/>
      <c r="Z1655" s="231"/>
      <c r="AA1655" s="231"/>
      <c r="AB1655" s="22">
        <f t="shared" si="524"/>
        <v>0</v>
      </c>
      <c r="AC1655" s="23">
        <v>0</v>
      </c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22">
        <f t="shared" si="525"/>
        <v>0</v>
      </c>
      <c r="BC1655" s="23">
        <v>1</v>
      </c>
      <c r="BD1655" s="130">
        <f t="shared" si="526"/>
        <v>0</v>
      </c>
      <c r="BE1655" s="130">
        <f t="shared" si="527"/>
        <v>1</v>
      </c>
      <c r="BF1655" s="195">
        <f t="shared" si="528"/>
        <v>0</v>
      </c>
      <c r="BG1655" s="373">
        <f t="shared" si="523"/>
        <v>1</v>
      </c>
    </row>
    <row r="1656" spans="1:59" s="46" customFormat="1" ht="15.95" customHeight="1">
      <c r="A1656" s="176">
        <v>36</v>
      </c>
      <c r="B1656" s="31" t="s">
        <v>843</v>
      </c>
      <c r="C1656" s="32" t="s">
        <v>4152</v>
      </c>
      <c r="D1656" s="571"/>
      <c r="E1656" s="571"/>
      <c r="F1656" s="571"/>
      <c r="G1656" s="571"/>
      <c r="H1656" s="571"/>
      <c r="I1656" s="571"/>
      <c r="J1656" s="571"/>
      <c r="K1656" s="571"/>
      <c r="L1656" s="571"/>
      <c r="M1656" s="571"/>
      <c r="N1656" s="571"/>
      <c r="O1656" s="571"/>
      <c r="P1656" s="571"/>
      <c r="Q1656" s="571"/>
      <c r="R1656" s="571"/>
      <c r="S1656" s="571"/>
      <c r="T1656" s="571"/>
      <c r="U1656" s="571"/>
      <c r="V1656" s="571"/>
      <c r="W1656" s="571"/>
      <c r="X1656" s="571"/>
      <c r="Y1656" s="571"/>
      <c r="Z1656" s="571"/>
      <c r="AA1656" s="571"/>
      <c r="AB1656" s="22">
        <f t="shared" si="524"/>
        <v>0</v>
      </c>
      <c r="AC1656" s="23">
        <v>0</v>
      </c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>
        <v>1</v>
      </c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22">
        <f t="shared" si="525"/>
        <v>1</v>
      </c>
      <c r="BC1656" s="23">
        <v>0</v>
      </c>
      <c r="BD1656" s="130">
        <f t="shared" si="526"/>
        <v>1</v>
      </c>
      <c r="BE1656" s="130">
        <f t="shared" si="527"/>
        <v>0</v>
      </c>
      <c r="BF1656" s="195" t="e">
        <f t="shared" si="528"/>
        <v>#DIV/0!</v>
      </c>
      <c r="BG1656" s="373"/>
    </row>
    <row r="1657" spans="1:59" s="46" customFormat="1" ht="15.95" customHeight="1">
      <c r="A1657" s="176">
        <v>37</v>
      </c>
      <c r="B1657" s="31" t="s">
        <v>912</v>
      </c>
      <c r="C1657" s="32" t="s">
        <v>2211</v>
      </c>
      <c r="D1657" s="231"/>
      <c r="E1657" s="231"/>
      <c r="F1657" s="231"/>
      <c r="G1657" s="231"/>
      <c r="H1657" s="231"/>
      <c r="I1657" s="231"/>
      <c r="J1657" s="231"/>
      <c r="K1657" s="231"/>
      <c r="L1657" s="231"/>
      <c r="M1657" s="231"/>
      <c r="N1657" s="231"/>
      <c r="O1657" s="231"/>
      <c r="P1657" s="231"/>
      <c r="Q1657" s="231"/>
      <c r="R1657" s="231"/>
      <c r="S1657" s="231"/>
      <c r="T1657" s="231"/>
      <c r="U1657" s="231"/>
      <c r="V1657" s="231"/>
      <c r="W1657" s="231"/>
      <c r="X1657" s="231"/>
      <c r="Y1657" s="231"/>
      <c r="Z1657" s="231"/>
      <c r="AA1657" s="231"/>
      <c r="AB1657" s="22">
        <f t="shared" si="524"/>
        <v>0</v>
      </c>
      <c r="AC1657" s="23">
        <v>0</v>
      </c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22">
        <f t="shared" si="525"/>
        <v>0</v>
      </c>
      <c r="BC1657" s="23">
        <v>2</v>
      </c>
      <c r="BD1657" s="130">
        <f t="shared" si="526"/>
        <v>0</v>
      </c>
      <c r="BE1657" s="130">
        <f t="shared" si="527"/>
        <v>2</v>
      </c>
      <c r="BF1657" s="195">
        <f t="shared" si="528"/>
        <v>0</v>
      </c>
      <c r="BG1657" s="373">
        <f t="shared" ref="BG1657:BG1668" si="529">BE1657-BD1657</f>
        <v>2</v>
      </c>
    </row>
    <row r="1658" spans="1:59" s="46" customFormat="1" ht="15.95" customHeight="1">
      <c r="A1658" s="176">
        <v>38</v>
      </c>
      <c r="B1658" s="31" t="s">
        <v>913</v>
      </c>
      <c r="C1658" s="32" t="s">
        <v>2729</v>
      </c>
      <c r="D1658" s="231"/>
      <c r="E1658" s="231"/>
      <c r="F1658" s="231"/>
      <c r="G1658" s="231"/>
      <c r="H1658" s="231"/>
      <c r="I1658" s="231"/>
      <c r="J1658" s="231"/>
      <c r="K1658" s="231"/>
      <c r="L1658" s="231"/>
      <c r="M1658" s="231"/>
      <c r="N1658" s="231"/>
      <c r="O1658" s="231"/>
      <c r="P1658" s="231"/>
      <c r="Q1658" s="231"/>
      <c r="R1658" s="231"/>
      <c r="S1658" s="231"/>
      <c r="T1658" s="231"/>
      <c r="U1658" s="231"/>
      <c r="V1658" s="231"/>
      <c r="W1658" s="231"/>
      <c r="X1658" s="231"/>
      <c r="Y1658" s="231"/>
      <c r="Z1658" s="231"/>
      <c r="AA1658" s="231"/>
      <c r="AB1658" s="22">
        <f t="shared" si="524"/>
        <v>0</v>
      </c>
      <c r="AC1658" s="23">
        <v>0</v>
      </c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22">
        <f t="shared" si="525"/>
        <v>0</v>
      </c>
      <c r="BC1658" s="23">
        <v>3</v>
      </c>
      <c r="BD1658" s="130">
        <f t="shared" si="526"/>
        <v>0</v>
      </c>
      <c r="BE1658" s="130">
        <f t="shared" si="527"/>
        <v>3</v>
      </c>
      <c r="BF1658" s="195">
        <f t="shared" si="528"/>
        <v>0</v>
      </c>
      <c r="BG1658" s="373">
        <f t="shared" si="529"/>
        <v>3</v>
      </c>
    </row>
    <row r="1659" spans="1:59" s="46" customFormat="1" ht="15.95" customHeight="1">
      <c r="A1659" s="176">
        <v>39</v>
      </c>
      <c r="B1659" s="31" t="s">
        <v>845</v>
      </c>
      <c r="C1659" s="32" t="s">
        <v>948</v>
      </c>
      <c r="D1659" s="338"/>
      <c r="E1659" s="338"/>
      <c r="F1659" s="338"/>
      <c r="G1659" s="338"/>
      <c r="H1659" s="338"/>
      <c r="I1659" s="338"/>
      <c r="J1659" s="338"/>
      <c r="K1659" s="338"/>
      <c r="L1659" s="338"/>
      <c r="M1659" s="338"/>
      <c r="N1659" s="338"/>
      <c r="O1659" s="338"/>
      <c r="P1659" s="338"/>
      <c r="Q1659" s="338"/>
      <c r="R1659" s="338"/>
      <c r="S1659" s="338"/>
      <c r="T1659" s="338"/>
      <c r="U1659" s="338"/>
      <c r="V1659" s="338"/>
      <c r="W1659" s="338"/>
      <c r="X1659" s="338"/>
      <c r="Y1659" s="338"/>
      <c r="Z1659" s="338"/>
      <c r="AA1659" s="338"/>
      <c r="AB1659" s="22">
        <f t="shared" si="524"/>
        <v>0</v>
      </c>
      <c r="AC1659" s="23">
        <v>0</v>
      </c>
      <c r="AD1659" s="35"/>
      <c r="AE1659" s="35"/>
      <c r="AF1659" s="35"/>
      <c r="AG1659" s="35"/>
      <c r="AH1659" s="35"/>
      <c r="AI1659" s="35"/>
      <c r="AJ1659" s="35"/>
      <c r="AK1659" s="35"/>
      <c r="AL1659" s="35">
        <v>2</v>
      </c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22">
        <f t="shared" si="525"/>
        <v>2</v>
      </c>
      <c r="BC1659" s="23">
        <v>6</v>
      </c>
      <c r="BD1659" s="130">
        <f t="shared" si="526"/>
        <v>2</v>
      </c>
      <c r="BE1659" s="130">
        <f t="shared" si="527"/>
        <v>6</v>
      </c>
      <c r="BF1659" s="195">
        <f t="shared" si="528"/>
        <v>33.333333333333329</v>
      </c>
      <c r="BG1659" s="373">
        <f t="shared" si="529"/>
        <v>4</v>
      </c>
    </row>
    <row r="1660" spans="1:59" s="46" customFormat="1" ht="15.95" customHeight="1">
      <c r="A1660" s="176">
        <v>40</v>
      </c>
      <c r="B1660" s="31" t="s">
        <v>1075</v>
      </c>
      <c r="C1660" s="32" t="s">
        <v>1076</v>
      </c>
      <c r="D1660" s="231"/>
      <c r="E1660" s="231"/>
      <c r="F1660" s="231"/>
      <c r="G1660" s="231"/>
      <c r="H1660" s="231"/>
      <c r="I1660" s="231"/>
      <c r="J1660" s="231"/>
      <c r="K1660" s="231"/>
      <c r="L1660" s="231"/>
      <c r="M1660" s="231"/>
      <c r="N1660" s="231"/>
      <c r="O1660" s="231"/>
      <c r="P1660" s="231"/>
      <c r="Q1660" s="231"/>
      <c r="R1660" s="231"/>
      <c r="S1660" s="231"/>
      <c r="T1660" s="231"/>
      <c r="U1660" s="231"/>
      <c r="V1660" s="231"/>
      <c r="W1660" s="231"/>
      <c r="X1660" s="231"/>
      <c r="Y1660" s="231"/>
      <c r="Z1660" s="231"/>
      <c r="AA1660" s="231"/>
      <c r="AB1660" s="22">
        <f t="shared" si="524"/>
        <v>0</v>
      </c>
      <c r="AC1660" s="23">
        <v>0</v>
      </c>
      <c r="AD1660" s="35"/>
      <c r="AE1660" s="35"/>
      <c r="AF1660" s="35"/>
      <c r="AG1660" s="35"/>
      <c r="AH1660" s="35"/>
      <c r="AI1660" s="35"/>
      <c r="AJ1660" s="35"/>
      <c r="AK1660" s="35"/>
      <c r="AL1660" s="35">
        <v>1</v>
      </c>
      <c r="AM1660" s="35"/>
      <c r="AN1660" s="35"/>
      <c r="AO1660" s="35"/>
      <c r="AP1660" s="35">
        <v>1</v>
      </c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22">
        <f t="shared" si="525"/>
        <v>2</v>
      </c>
      <c r="BC1660" s="23">
        <v>10</v>
      </c>
      <c r="BD1660" s="130">
        <f t="shared" si="526"/>
        <v>2</v>
      </c>
      <c r="BE1660" s="130">
        <f t="shared" si="527"/>
        <v>10</v>
      </c>
      <c r="BF1660" s="195">
        <f t="shared" si="528"/>
        <v>20</v>
      </c>
      <c r="BG1660" s="373">
        <f t="shared" si="529"/>
        <v>8</v>
      </c>
    </row>
    <row r="1661" spans="1:59" s="46" customFormat="1" ht="15.95" customHeight="1">
      <c r="A1661" s="176">
        <v>41</v>
      </c>
      <c r="B1661" s="31" t="s">
        <v>915</v>
      </c>
      <c r="C1661" s="32" t="s">
        <v>1015</v>
      </c>
      <c r="D1661" s="252"/>
      <c r="E1661" s="252"/>
      <c r="F1661" s="252"/>
      <c r="G1661" s="252"/>
      <c r="H1661" s="252"/>
      <c r="I1661" s="252"/>
      <c r="J1661" s="252"/>
      <c r="K1661" s="252"/>
      <c r="L1661" s="252"/>
      <c r="M1661" s="252"/>
      <c r="N1661" s="252"/>
      <c r="O1661" s="252"/>
      <c r="P1661" s="252"/>
      <c r="Q1661" s="252"/>
      <c r="R1661" s="252"/>
      <c r="S1661" s="252"/>
      <c r="T1661" s="252"/>
      <c r="U1661" s="252"/>
      <c r="V1661" s="252"/>
      <c r="W1661" s="252"/>
      <c r="X1661" s="252"/>
      <c r="Y1661" s="252"/>
      <c r="Z1661" s="252"/>
      <c r="AA1661" s="252"/>
      <c r="AB1661" s="22">
        <f t="shared" si="524"/>
        <v>0</v>
      </c>
      <c r="AC1661" s="23">
        <v>0</v>
      </c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22">
        <f t="shared" si="525"/>
        <v>0</v>
      </c>
      <c r="BC1661" s="23">
        <v>13</v>
      </c>
      <c r="BD1661" s="130">
        <f t="shared" si="526"/>
        <v>0</v>
      </c>
      <c r="BE1661" s="130">
        <f t="shared" si="527"/>
        <v>13</v>
      </c>
      <c r="BF1661" s="195">
        <f t="shared" si="528"/>
        <v>0</v>
      </c>
      <c r="BG1661" s="373">
        <f t="shared" si="529"/>
        <v>13</v>
      </c>
    </row>
    <row r="1662" spans="1:59" s="46" customFormat="1" ht="15.95" customHeight="1">
      <c r="A1662" s="176">
        <v>42</v>
      </c>
      <c r="B1662" s="31" t="s">
        <v>1082</v>
      </c>
      <c r="C1662" s="32" t="s">
        <v>2278</v>
      </c>
      <c r="D1662" s="231"/>
      <c r="E1662" s="231"/>
      <c r="F1662" s="231"/>
      <c r="G1662" s="231"/>
      <c r="H1662" s="231"/>
      <c r="I1662" s="231"/>
      <c r="J1662" s="231"/>
      <c r="K1662" s="231"/>
      <c r="L1662" s="231"/>
      <c r="M1662" s="231"/>
      <c r="N1662" s="231"/>
      <c r="O1662" s="231"/>
      <c r="P1662" s="231"/>
      <c r="Q1662" s="231"/>
      <c r="R1662" s="231"/>
      <c r="S1662" s="231"/>
      <c r="T1662" s="231"/>
      <c r="U1662" s="231"/>
      <c r="V1662" s="231"/>
      <c r="W1662" s="231"/>
      <c r="X1662" s="231"/>
      <c r="Y1662" s="231"/>
      <c r="Z1662" s="231"/>
      <c r="AA1662" s="231"/>
      <c r="AB1662" s="22">
        <f t="shared" si="524"/>
        <v>0</v>
      </c>
      <c r="AC1662" s="23">
        <v>0</v>
      </c>
      <c r="AD1662" s="35"/>
      <c r="AE1662" s="35"/>
      <c r="AF1662" s="35"/>
      <c r="AG1662" s="35"/>
      <c r="AH1662" s="35"/>
      <c r="AI1662" s="35"/>
      <c r="AJ1662" s="35"/>
      <c r="AK1662" s="35"/>
      <c r="AL1662" s="35">
        <v>1</v>
      </c>
      <c r="AM1662" s="35"/>
      <c r="AN1662" s="35"/>
      <c r="AO1662" s="35"/>
      <c r="AP1662" s="35">
        <v>1</v>
      </c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22">
        <f t="shared" si="525"/>
        <v>2</v>
      </c>
      <c r="BC1662" s="23">
        <v>8</v>
      </c>
      <c r="BD1662" s="130">
        <f t="shared" si="526"/>
        <v>2</v>
      </c>
      <c r="BE1662" s="130">
        <f t="shared" si="527"/>
        <v>8</v>
      </c>
      <c r="BF1662" s="195">
        <f t="shared" si="528"/>
        <v>25</v>
      </c>
      <c r="BG1662" s="373">
        <f t="shared" si="529"/>
        <v>6</v>
      </c>
    </row>
    <row r="1663" spans="1:59" s="46" customFormat="1" ht="15.95" customHeight="1">
      <c r="A1663" s="176">
        <v>43</v>
      </c>
      <c r="B1663" s="31" t="s">
        <v>1016</v>
      </c>
      <c r="C1663" s="32" t="s">
        <v>2471</v>
      </c>
      <c r="D1663" s="231"/>
      <c r="E1663" s="231"/>
      <c r="F1663" s="231"/>
      <c r="G1663" s="231"/>
      <c r="H1663" s="231"/>
      <c r="I1663" s="231"/>
      <c r="J1663" s="231"/>
      <c r="K1663" s="231"/>
      <c r="L1663" s="231"/>
      <c r="M1663" s="231"/>
      <c r="N1663" s="231"/>
      <c r="O1663" s="231"/>
      <c r="P1663" s="231"/>
      <c r="Q1663" s="231"/>
      <c r="R1663" s="231"/>
      <c r="S1663" s="231"/>
      <c r="T1663" s="231"/>
      <c r="U1663" s="231"/>
      <c r="V1663" s="231"/>
      <c r="W1663" s="231"/>
      <c r="X1663" s="231"/>
      <c r="Y1663" s="231"/>
      <c r="Z1663" s="231"/>
      <c r="AA1663" s="231"/>
      <c r="AB1663" s="22">
        <f t="shared" si="524"/>
        <v>0</v>
      </c>
      <c r="AC1663" s="23">
        <v>0</v>
      </c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22">
        <f t="shared" si="525"/>
        <v>0</v>
      </c>
      <c r="BC1663" s="23">
        <v>1</v>
      </c>
      <c r="BD1663" s="130">
        <f t="shared" si="526"/>
        <v>0</v>
      </c>
      <c r="BE1663" s="130">
        <f t="shared" si="527"/>
        <v>1</v>
      </c>
      <c r="BF1663" s="195">
        <f t="shared" si="528"/>
        <v>0</v>
      </c>
      <c r="BG1663" s="373">
        <f t="shared" si="529"/>
        <v>1</v>
      </c>
    </row>
    <row r="1664" spans="1:59" s="46" customFormat="1" ht="15.95" customHeight="1">
      <c r="A1664" s="176">
        <v>44</v>
      </c>
      <c r="B1664" s="31" t="s">
        <v>950</v>
      </c>
      <c r="C1664" s="32" t="s">
        <v>1510</v>
      </c>
      <c r="D1664" s="288"/>
      <c r="E1664" s="288"/>
      <c r="F1664" s="288"/>
      <c r="G1664" s="288"/>
      <c r="H1664" s="288"/>
      <c r="I1664" s="288"/>
      <c r="J1664" s="288"/>
      <c r="K1664" s="288"/>
      <c r="L1664" s="288"/>
      <c r="M1664" s="288"/>
      <c r="N1664" s="288"/>
      <c r="O1664" s="288"/>
      <c r="P1664" s="288"/>
      <c r="Q1664" s="288"/>
      <c r="R1664" s="288"/>
      <c r="S1664" s="288"/>
      <c r="T1664" s="288"/>
      <c r="U1664" s="288"/>
      <c r="V1664" s="288"/>
      <c r="W1664" s="288"/>
      <c r="X1664" s="288"/>
      <c r="Y1664" s="288"/>
      <c r="Z1664" s="288"/>
      <c r="AA1664" s="288"/>
      <c r="AB1664" s="22">
        <f t="shared" si="524"/>
        <v>0</v>
      </c>
      <c r="AC1664" s="23">
        <v>0</v>
      </c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22">
        <f t="shared" si="525"/>
        <v>0</v>
      </c>
      <c r="BC1664" s="23">
        <v>1</v>
      </c>
      <c r="BD1664" s="130">
        <f t="shared" si="526"/>
        <v>0</v>
      </c>
      <c r="BE1664" s="130">
        <f t="shared" si="527"/>
        <v>1</v>
      </c>
      <c r="BF1664" s="195">
        <f t="shared" si="528"/>
        <v>0</v>
      </c>
      <c r="BG1664" s="373">
        <f t="shared" si="529"/>
        <v>1</v>
      </c>
    </row>
    <row r="1665" spans="1:59" s="46" customFormat="1" ht="15.95" customHeight="1">
      <c r="A1665" s="176">
        <v>45</v>
      </c>
      <c r="B1665" s="31" t="s">
        <v>959</v>
      </c>
      <c r="C1665" s="32" t="s">
        <v>2151</v>
      </c>
      <c r="D1665" s="231"/>
      <c r="E1665" s="231"/>
      <c r="F1665" s="231"/>
      <c r="G1665" s="231"/>
      <c r="H1665" s="231"/>
      <c r="I1665" s="231"/>
      <c r="J1665" s="231"/>
      <c r="K1665" s="231"/>
      <c r="L1665" s="231"/>
      <c r="M1665" s="231"/>
      <c r="N1665" s="231"/>
      <c r="O1665" s="231"/>
      <c r="P1665" s="231"/>
      <c r="Q1665" s="231"/>
      <c r="R1665" s="231"/>
      <c r="S1665" s="231"/>
      <c r="T1665" s="231"/>
      <c r="U1665" s="231"/>
      <c r="V1665" s="231"/>
      <c r="W1665" s="231"/>
      <c r="X1665" s="231"/>
      <c r="Y1665" s="231"/>
      <c r="Z1665" s="231"/>
      <c r="AA1665" s="231"/>
      <c r="AB1665" s="22">
        <f t="shared" si="524"/>
        <v>0</v>
      </c>
      <c r="AC1665" s="23">
        <v>0</v>
      </c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22">
        <f t="shared" si="525"/>
        <v>0</v>
      </c>
      <c r="BC1665" s="23">
        <v>1</v>
      </c>
      <c r="BD1665" s="130">
        <f t="shared" si="526"/>
        <v>0</v>
      </c>
      <c r="BE1665" s="130">
        <f t="shared" si="527"/>
        <v>1</v>
      </c>
      <c r="BF1665" s="195">
        <f t="shared" si="528"/>
        <v>0</v>
      </c>
      <c r="BG1665" s="373">
        <f t="shared" si="529"/>
        <v>1</v>
      </c>
    </row>
    <row r="1666" spans="1:59" s="46" customFormat="1" ht="15.95" customHeight="1">
      <c r="A1666" s="176">
        <v>46</v>
      </c>
      <c r="B1666" s="31" t="s">
        <v>961</v>
      </c>
      <c r="C1666" s="32" t="s">
        <v>1599</v>
      </c>
      <c r="D1666" s="231"/>
      <c r="E1666" s="231"/>
      <c r="F1666" s="231"/>
      <c r="G1666" s="231"/>
      <c r="H1666" s="231"/>
      <c r="I1666" s="231"/>
      <c r="J1666" s="231"/>
      <c r="K1666" s="231"/>
      <c r="L1666" s="231"/>
      <c r="M1666" s="231"/>
      <c r="N1666" s="231"/>
      <c r="O1666" s="231"/>
      <c r="P1666" s="231"/>
      <c r="Q1666" s="231"/>
      <c r="R1666" s="231"/>
      <c r="S1666" s="231"/>
      <c r="T1666" s="231"/>
      <c r="U1666" s="231"/>
      <c r="V1666" s="231"/>
      <c r="W1666" s="231"/>
      <c r="X1666" s="231"/>
      <c r="Y1666" s="231"/>
      <c r="Z1666" s="231"/>
      <c r="AA1666" s="231"/>
      <c r="AB1666" s="22">
        <f t="shared" si="524"/>
        <v>0</v>
      </c>
      <c r="AC1666" s="23">
        <v>0</v>
      </c>
      <c r="AD1666" s="35"/>
      <c r="AE1666" s="35"/>
      <c r="AF1666" s="35"/>
      <c r="AG1666" s="35"/>
      <c r="AH1666" s="35"/>
      <c r="AI1666" s="35"/>
      <c r="AJ1666" s="35"/>
      <c r="AK1666" s="35"/>
      <c r="AL1666" s="35">
        <v>1</v>
      </c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22">
        <f t="shared" si="525"/>
        <v>1</v>
      </c>
      <c r="BC1666" s="23">
        <v>1</v>
      </c>
      <c r="BD1666" s="130">
        <f t="shared" si="526"/>
        <v>1</v>
      </c>
      <c r="BE1666" s="130">
        <f t="shared" si="527"/>
        <v>1</v>
      </c>
      <c r="BF1666" s="195">
        <f t="shared" si="528"/>
        <v>100</v>
      </c>
      <c r="BG1666" s="373">
        <f t="shared" si="529"/>
        <v>0</v>
      </c>
    </row>
    <row r="1667" spans="1:59" s="46" customFormat="1" ht="15.95" customHeight="1">
      <c r="A1667" s="176">
        <v>47</v>
      </c>
      <c r="B1667" s="31" t="s">
        <v>963</v>
      </c>
      <c r="C1667" s="32" t="s">
        <v>964</v>
      </c>
      <c r="D1667" s="338"/>
      <c r="E1667" s="338"/>
      <c r="F1667" s="338"/>
      <c r="G1667" s="338"/>
      <c r="H1667" s="338"/>
      <c r="I1667" s="338"/>
      <c r="J1667" s="338"/>
      <c r="K1667" s="338"/>
      <c r="L1667" s="338"/>
      <c r="M1667" s="338"/>
      <c r="N1667" s="338"/>
      <c r="O1667" s="338"/>
      <c r="P1667" s="338"/>
      <c r="Q1667" s="338"/>
      <c r="R1667" s="338"/>
      <c r="S1667" s="338"/>
      <c r="T1667" s="338"/>
      <c r="U1667" s="338"/>
      <c r="V1667" s="338"/>
      <c r="W1667" s="338"/>
      <c r="X1667" s="338"/>
      <c r="Y1667" s="338"/>
      <c r="Z1667" s="338"/>
      <c r="AA1667" s="338"/>
      <c r="AB1667" s="22">
        <f t="shared" si="524"/>
        <v>0</v>
      </c>
      <c r="AC1667" s="23">
        <v>0</v>
      </c>
      <c r="AD1667" s="35"/>
      <c r="AE1667" s="35"/>
      <c r="AF1667" s="35"/>
      <c r="AG1667" s="35"/>
      <c r="AH1667" s="35"/>
      <c r="AI1667" s="35"/>
      <c r="AJ1667" s="35"/>
      <c r="AK1667" s="35"/>
      <c r="AL1667" s="35">
        <v>1</v>
      </c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22">
        <f t="shared" si="525"/>
        <v>1</v>
      </c>
      <c r="BC1667" s="23">
        <v>3</v>
      </c>
      <c r="BD1667" s="130">
        <f t="shared" si="526"/>
        <v>1</v>
      </c>
      <c r="BE1667" s="130">
        <f t="shared" si="527"/>
        <v>3</v>
      </c>
      <c r="BF1667" s="195">
        <f t="shared" si="528"/>
        <v>33.333333333333329</v>
      </c>
      <c r="BG1667" s="373">
        <f t="shared" si="529"/>
        <v>2</v>
      </c>
    </row>
    <row r="1668" spans="1:59" s="46" customFormat="1" ht="15.95" customHeight="1">
      <c r="A1668" s="176">
        <v>48</v>
      </c>
      <c r="B1668" s="31" t="s">
        <v>965</v>
      </c>
      <c r="C1668" s="32" t="s">
        <v>1401</v>
      </c>
      <c r="D1668" s="231"/>
      <c r="E1668" s="231"/>
      <c r="F1668" s="231"/>
      <c r="G1668" s="231"/>
      <c r="H1668" s="231"/>
      <c r="I1668" s="231"/>
      <c r="J1668" s="231"/>
      <c r="K1668" s="231"/>
      <c r="L1668" s="231"/>
      <c r="M1668" s="231"/>
      <c r="N1668" s="231"/>
      <c r="O1668" s="231"/>
      <c r="P1668" s="231"/>
      <c r="Q1668" s="231"/>
      <c r="R1668" s="231"/>
      <c r="S1668" s="231"/>
      <c r="T1668" s="231"/>
      <c r="U1668" s="231"/>
      <c r="V1668" s="231"/>
      <c r="W1668" s="231"/>
      <c r="X1668" s="231"/>
      <c r="Y1668" s="231"/>
      <c r="Z1668" s="231"/>
      <c r="AA1668" s="231"/>
      <c r="AB1668" s="22">
        <f t="shared" si="524"/>
        <v>0</v>
      </c>
      <c r="AC1668" s="23">
        <v>0</v>
      </c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>
        <v>11</v>
      </c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22">
        <f t="shared" si="525"/>
        <v>11</v>
      </c>
      <c r="BC1668" s="23">
        <v>10</v>
      </c>
      <c r="BD1668" s="130">
        <f t="shared" si="526"/>
        <v>11</v>
      </c>
      <c r="BE1668" s="130">
        <f t="shared" si="527"/>
        <v>10</v>
      </c>
      <c r="BF1668" s="195">
        <f t="shared" si="528"/>
        <v>110.00000000000001</v>
      </c>
      <c r="BG1668" s="373">
        <f t="shared" si="529"/>
        <v>-1</v>
      </c>
    </row>
    <row r="1669" spans="1:59" s="46" customFormat="1" ht="15.95" customHeight="1">
      <c r="A1669" s="176">
        <v>49</v>
      </c>
      <c r="B1669" s="31" t="s">
        <v>1049</v>
      </c>
      <c r="C1669" s="32" t="s">
        <v>1050</v>
      </c>
      <c r="D1669" s="521"/>
      <c r="E1669" s="521"/>
      <c r="F1669" s="521"/>
      <c r="G1669" s="521"/>
      <c r="H1669" s="521"/>
      <c r="I1669" s="521"/>
      <c r="J1669" s="521"/>
      <c r="K1669" s="521"/>
      <c r="L1669" s="521"/>
      <c r="M1669" s="521"/>
      <c r="N1669" s="521"/>
      <c r="O1669" s="521"/>
      <c r="P1669" s="521"/>
      <c r="Q1669" s="521"/>
      <c r="R1669" s="521"/>
      <c r="S1669" s="521"/>
      <c r="T1669" s="521"/>
      <c r="U1669" s="521"/>
      <c r="V1669" s="521"/>
      <c r="W1669" s="521"/>
      <c r="X1669" s="521"/>
      <c r="Y1669" s="521"/>
      <c r="Z1669" s="521"/>
      <c r="AA1669" s="521"/>
      <c r="AB1669" s="22">
        <f t="shared" si="524"/>
        <v>0</v>
      </c>
      <c r="AC1669" s="23">
        <v>0</v>
      </c>
      <c r="AD1669" s="35"/>
      <c r="AE1669" s="35"/>
      <c r="AF1669" s="35"/>
      <c r="AG1669" s="35"/>
      <c r="AH1669" s="35">
        <v>80</v>
      </c>
      <c r="AI1669" s="35"/>
      <c r="AJ1669" s="35"/>
      <c r="AK1669" s="35"/>
      <c r="AL1669" s="35">
        <v>52</v>
      </c>
      <c r="AM1669" s="35"/>
      <c r="AN1669" s="35"/>
      <c r="AO1669" s="35"/>
      <c r="AP1669" s="35">
        <v>74</v>
      </c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22">
        <f t="shared" si="525"/>
        <v>206</v>
      </c>
      <c r="BC1669" s="23">
        <v>0</v>
      </c>
      <c r="BD1669" s="130">
        <f t="shared" si="526"/>
        <v>206</v>
      </c>
      <c r="BE1669" s="130">
        <f t="shared" si="527"/>
        <v>0</v>
      </c>
      <c r="BF1669" s="195" t="e">
        <f t="shared" si="528"/>
        <v>#DIV/0!</v>
      </c>
      <c r="BG1669" s="373"/>
    </row>
    <row r="1670" spans="1:59" s="46" customFormat="1" ht="15.95" customHeight="1">
      <c r="A1670" s="176">
        <v>50</v>
      </c>
      <c r="B1670" s="31" t="s">
        <v>3804</v>
      </c>
      <c r="C1670" s="32" t="s">
        <v>3805</v>
      </c>
      <c r="D1670" s="521"/>
      <c r="E1670" s="521"/>
      <c r="F1670" s="521"/>
      <c r="G1670" s="521"/>
      <c r="H1670" s="521"/>
      <c r="I1670" s="521"/>
      <c r="J1670" s="521"/>
      <c r="K1670" s="521"/>
      <c r="L1670" s="521"/>
      <c r="M1670" s="521"/>
      <c r="N1670" s="521"/>
      <c r="O1670" s="521"/>
      <c r="P1670" s="521"/>
      <c r="Q1670" s="521"/>
      <c r="R1670" s="521"/>
      <c r="S1670" s="521"/>
      <c r="T1670" s="521"/>
      <c r="U1670" s="521"/>
      <c r="V1670" s="521"/>
      <c r="W1670" s="521"/>
      <c r="X1670" s="521"/>
      <c r="Y1670" s="521"/>
      <c r="Z1670" s="521"/>
      <c r="AA1670" s="521"/>
      <c r="AB1670" s="22">
        <f t="shared" si="524"/>
        <v>0</v>
      </c>
      <c r="AC1670" s="23">
        <v>0</v>
      </c>
      <c r="AD1670" s="35"/>
      <c r="AE1670" s="35"/>
      <c r="AF1670" s="35"/>
      <c r="AG1670" s="35"/>
      <c r="AH1670" s="35">
        <v>1</v>
      </c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22">
        <f t="shared" si="525"/>
        <v>1</v>
      </c>
      <c r="BC1670" s="23">
        <v>0</v>
      </c>
      <c r="BD1670" s="130">
        <f t="shared" si="526"/>
        <v>1</v>
      </c>
      <c r="BE1670" s="130">
        <f t="shared" si="527"/>
        <v>0</v>
      </c>
      <c r="BF1670" s="195" t="e">
        <f t="shared" si="528"/>
        <v>#DIV/0!</v>
      </c>
      <c r="BG1670" s="373"/>
    </row>
    <row r="1671" spans="1:59" s="46" customFormat="1" ht="15.95" customHeight="1">
      <c r="A1671" s="176">
        <v>51</v>
      </c>
      <c r="B1671" s="31" t="s">
        <v>851</v>
      </c>
      <c r="C1671" s="32" t="s">
        <v>1359</v>
      </c>
      <c r="D1671" s="231"/>
      <c r="E1671" s="231"/>
      <c r="F1671" s="231"/>
      <c r="G1671" s="231"/>
      <c r="H1671" s="231"/>
      <c r="I1671" s="231"/>
      <c r="J1671" s="231"/>
      <c r="K1671" s="231"/>
      <c r="L1671" s="231"/>
      <c r="M1671" s="231"/>
      <c r="N1671" s="231"/>
      <c r="O1671" s="231"/>
      <c r="P1671" s="231"/>
      <c r="Q1671" s="231"/>
      <c r="R1671" s="231"/>
      <c r="S1671" s="231"/>
      <c r="T1671" s="231"/>
      <c r="U1671" s="231"/>
      <c r="V1671" s="231"/>
      <c r="W1671" s="231"/>
      <c r="X1671" s="231"/>
      <c r="Y1671" s="231"/>
      <c r="Z1671" s="231"/>
      <c r="AA1671" s="231"/>
      <c r="AB1671" s="22">
        <f t="shared" si="524"/>
        <v>0</v>
      </c>
      <c r="AC1671" s="23">
        <v>0</v>
      </c>
      <c r="AD1671" s="35"/>
      <c r="AE1671" s="35"/>
      <c r="AF1671" s="35"/>
      <c r="AG1671" s="35"/>
      <c r="AH1671" s="35"/>
      <c r="AI1671" s="35"/>
      <c r="AJ1671" s="35"/>
      <c r="AK1671" s="35"/>
      <c r="AL1671" s="35">
        <v>2</v>
      </c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22">
        <f t="shared" si="525"/>
        <v>2</v>
      </c>
      <c r="BC1671" s="23">
        <v>12</v>
      </c>
      <c r="BD1671" s="130">
        <f t="shared" si="526"/>
        <v>2</v>
      </c>
      <c r="BE1671" s="130">
        <f t="shared" si="527"/>
        <v>12</v>
      </c>
      <c r="BF1671" s="195">
        <f t="shared" si="528"/>
        <v>16.666666666666664</v>
      </c>
      <c r="BG1671" s="373">
        <f>BE1671-BD1671</f>
        <v>10</v>
      </c>
    </row>
    <row r="1672" spans="1:59" s="46" customFormat="1" ht="15.95" customHeight="1">
      <c r="A1672" s="176">
        <v>52</v>
      </c>
      <c r="B1672" s="31" t="s">
        <v>1088</v>
      </c>
      <c r="C1672" s="32" t="s">
        <v>2084</v>
      </c>
      <c r="D1672" s="231"/>
      <c r="E1672" s="231"/>
      <c r="F1672" s="231"/>
      <c r="G1672" s="231"/>
      <c r="H1672" s="231"/>
      <c r="I1672" s="231"/>
      <c r="J1672" s="231"/>
      <c r="K1672" s="231"/>
      <c r="L1672" s="231"/>
      <c r="M1672" s="231"/>
      <c r="N1672" s="231"/>
      <c r="O1672" s="231"/>
      <c r="P1672" s="231"/>
      <c r="Q1672" s="231"/>
      <c r="R1672" s="231"/>
      <c r="S1672" s="231"/>
      <c r="T1672" s="231"/>
      <c r="U1672" s="231"/>
      <c r="V1672" s="231"/>
      <c r="W1672" s="231"/>
      <c r="X1672" s="231"/>
      <c r="Y1672" s="231"/>
      <c r="Z1672" s="231"/>
      <c r="AA1672" s="231"/>
      <c r="AB1672" s="22">
        <f t="shared" si="524"/>
        <v>0</v>
      </c>
      <c r="AC1672" s="23">
        <v>0</v>
      </c>
      <c r="AD1672" s="35"/>
      <c r="AE1672" s="35"/>
      <c r="AF1672" s="35"/>
      <c r="AG1672" s="35"/>
      <c r="AH1672" s="35"/>
      <c r="AI1672" s="35"/>
      <c r="AJ1672" s="35"/>
      <c r="AK1672" s="35"/>
      <c r="AL1672" s="35">
        <v>1</v>
      </c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22">
        <f t="shared" si="525"/>
        <v>1</v>
      </c>
      <c r="BC1672" s="23">
        <v>3</v>
      </c>
      <c r="BD1672" s="130">
        <f t="shared" si="526"/>
        <v>1</v>
      </c>
      <c r="BE1672" s="130">
        <f t="shared" si="527"/>
        <v>3</v>
      </c>
      <c r="BF1672" s="195">
        <f t="shared" si="528"/>
        <v>33.333333333333329</v>
      </c>
      <c r="BG1672" s="373">
        <f>BE1672-BD1672</f>
        <v>2</v>
      </c>
    </row>
    <row r="1673" spans="1:59" s="46" customFormat="1" ht="15.95" customHeight="1">
      <c r="A1673" s="176">
        <v>53</v>
      </c>
      <c r="B1673" s="31" t="s">
        <v>1773</v>
      </c>
      <c r="C1673" s="32" t="s">
        <v>3465</v>
      </c>
      <c r="D1673" s="550"/>
      <c r="E1673" s="550"/>
      <c r="F1673" s="550"/>
      <c r="G1673" s="550"/>
      <c r="H1673" s="550"/>
      <c r="I1673" s="550"/>
      <c r="J1673" s="550"/>
      <c r="K1673" s="550"/>
      <c r="L1673" s="550"/>
      <c r="M1673" s="550"/>
      <c r="N1673" s="550"/>
      <c r="O1673" s="550"/>
      <c r="P1673" s="550"/>
      <c r="Q1673" s="550"/>
      <c r="R1673" s="550"/>
      <c r="S1673" s="550"/>
      <c r="T1673" s="550"/>
      <c r="U1673" s="550"/>
      <c r="V1673" s="550"/>
      <c r="W1673" s="550"/>
      <c r="X1673" s="550"/>
      <c r="Y1673" s="550"/>
      <c r="Z1673" s="550"/>
      <c r="AA1673" s="550"/>
      <c r="AB1673" s="22">
        <f t="shared" si="524"/>
        <v>0</v>
      </c>
      <c r="AC1673" s="23">
        <v>0</v>
      </c>
      <c r="AD1673" s="35"/>
      <c r="AE1673" s="35"/>
      <c r="AF1673" s="35"/>
      <c r="AG1673" s="35"/>
      <c r="AH1673" s="35"/>
      <c r="AI1673" s="35"/>
      <c r="AJ1673" s="35"/>
      <c r="AK1673" s="35"/>
      <c r="AL1673" s="35">
        <v>2</v>
      </c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22">
        <f t="shared" si="525"/>
        <v>2</v>
      </c>
      <c r="BC1673" s="23">
        <v>0</v>
      </c>
      <c r="BD1673" s="130">
        <f t="shared" si="526"/>
        <v>2</v>
      </c>
      <c r="BE1673" s="130">
        <f t="shared" si="527"/>
        <v>0</v>
      </c>
      <c r="BF1673" s="195" t="e">
        <f t="shared" si="528"/>
        <v>#DIV/0!</v>
      </c>
      <c r="BG1673" s="373"/>
    </row>
    <row r="1674" spans="1:59" s="46" customFormat="1" ht="15.95" customHeight="1">
      <c r="A1674" s="176">
        <v>54</v>
      </c>
      <c r="B1674" s="31" t="s">
        <v>2603</v>
      </c>
      <c r="C1674" s="32" t="s">
        <v>2627</v>
      </c>
      <c r="D1674" s="231"/>
      <c r="E1674" s="231"/>
      <c r="F1674" s="231"/>
      <c r="G1674" s="231"/>
      <c r="H1674" s="231"/>
      <c r="I1674" s="231"/>
      <c r="J1674" s="231"/>
      <c r="K1674" s="231"/>
      <c r="L1674" s="231"/>
      <c r="M1674" s="231"/>
      <c r="N1674" s="231"/>
      <c r="O1674" s="231"/>
      <c r="P1674" s="231"/>
      <c r="Q1674" s="231"/>
      <c r="R1674" s="231"/>
      <c r="S1674" s="231"/>
      <c r="T1674" s="231"/>
      <c r="U1674" s="231"/>
      <c r="V1674" s="231"/>
      <c r="W1674" s="231"/>
      <c r="X1674" s="231"/>
      <c r="Y1674" s="231"/>
      <c r="Z1674" s="231"/>
      <c r="AA1674" s="231"/>
      <c r="AB1674" s="22">
        <f t="shared" si="524"/>
        <v>0</v>
      </c>
      <c r="AC1674" s="23">
        <v>0</v>
      </c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22">
        <f t="shared" si="525"/>
        <v>0</v>
      </c>
      <c r="BC1674" s="23">
        <v>1</v>
      </c>
      <c r="BD1674" s="130">
        <f t="shared" si="526"/>
        <v>0</v>
      </c>
      <c r="BE1674" s="130">
        <f t="shared" si="527"/>
        <v>1</v>
      </c>
      <c r="BF1674" s="195">
        <f t="shared" si="528"/>
        <v>0</v>
      </c>
      <c r="BG1674" s="373">
        <f t="shared" ref="BG1674:BG1697" si="530">BE1674-BD1674</f>
        <v>1</v>
      </c>
    </row>
    <row r="1675" spans="1:59" s="46" customFormat="1" ht="15.95" customHeight="1">
      <c r="A1675" s="176">
        <v>55</v>
      </c>
      <c r="B1675" s="31" t="s">
        <v>854</v>
      </c>
      <c r="C1675" s="34" t="s">
        <v>1055</v>
      </c>
      <c r="D1675" s="231">
        <v>1</v>
      </c>
      <c r="E1675" s="231"/>
      <c r="F1675" s="231"/>
      <c r="G1675" s="231"/>
      <c r="H1675" s="231"/>
      <c r="I1675" s="231"/>
      <c r="J1675" s="231"/>
      <c r="K1675" s="231"/>
      <c r="L1675" s="231">
        <v>1</v>
      </c>
      <c r="M1675" s="231"/>
      <c r="N1675" s="231"/>
      <c r="O1675" s="231"/>
      <c r="P1675" s="231"/>
      <c r="Q1675" s="231"/>
      <c r="R1675" s="231"/>
      <c r="S1675" s="231"/>
      <c r="T1675" s="231"/>
      <c r="U1675" s="231"/>
      <c r="V1675" s="231"/>
      <c r="W1675" s="231"/>
      <c r="X1675" s="231"/>
      <c r="Y1675" s="231"/>
      <c r="Z1675" s="231"/>
      <c r="AA1675" s="231"/>
      <c r="AB1675" s="22">
        <f t="shared" si="524"/>
        <v>2</v>
      </c>
      <c r="AC1675" s="23">
        <v>0</v>
      </c>
      <c r="AD1675" s="35"/>
      <c r="AE1675" s="35"/>
      <c r="AF1675" s="35"/>
      <c r="AG1675" s="35"/>
      <c r="AH1675" s="35">
        <v>2</v>
      </c>
      <c r="AI1675" s="35"/>
      <c r="AJ1675" s="35"/>
      <c r="AK1675" s="35"/>
      <c r="AL1675" s="35">
        <v>50</v>
      </c>
      <c r="AM1675" s="35"/>
      <c r="AN1675" s="35"/>
      <c r="AO1675" s="35"/>
      <c r="AP1675" s="35">
        <v>28</v>
      </c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22">
        <f t="shared" si="525"/>
        <v>80</v>
      </c>
      <c r="BC1675" s="23">
        <v>198</v>
      </c>
      <c r="BD1675" s="130">
        <f t="shared" si="526"/>
        <v>82</v>
      </c>
      <c r="BE1675" s="130">
        <f t="shared" si="527"/>
        <v>198</v>
      </c>
      <c r="BF1675" s="195">
        <f t="shared" si="528"/>
        <v>41.414141414141412</v>
      </c>
      <c r="BG1675" s="373">
        <f t="shared" si="530"/>
        <v>116</v>
      </c>
    </row>
    <row r="1676" spans="1:59" s="46" customFormat="1" ht="15.95" customHeight="1">
      <c r="A1676" s="176">
        <v>56</v>
      </c>
      <c r="B1676" s="31" t="s">
        <v>1056</v>
      </c>
      <c r="C1676" s="34" t="s">
        <v>1057</v>
      </c>
      <c r="D1676" s="231"/>
      <c r="E1676" s="231"/>
      <c r="F1676" s="231"/>
      <c r="G1676" s="231"/>
      <c r="H1676" s="231"/>
      <c r="I1676" s="231"/>
      <c r="J1676" s="231"/>
      <c r="K1676" s="231"/>
      <c r="L1676" s="231"/>
      <c r="M1676" s="231"/>
      <c r="N1676" s="231"/>
      <c r="O1676" s="231"/>
      <c r="P1676" s="231"/>
      <c r="Q1676" s="231"/>
      <c r="R1676" s="231"/>
      <c r="S1676" s="231"/>
      <c r="T1676" s="231"/>
      <c r="U1676" s="231"/>
      <c r="V1676" s="231"/>
      <c r="W1676" s="231"/>
      <c r="X1676" s="231"/>
      <c r="Y1676" s="231"/>
      <c r="Z1676" s="231"/>
      <c r="AA1676" s="231"/>
      <c r="AB1676" s="22">
        <f t="shared" si="524"/>
        <v>0</v>
      </c>
      <c r="AC1676" s="23">
        <v>0</v>
      </c>
      <c r="AD1676" s="35"/>
      <c r="AE1676" s="35"/>
      <c r="AF1676" s="35"/>
      <c r="AG1676" s="35"/>
      <c r="AH1676" s="35"/>
      <c r="AI1676" s="35"/>
      <c r="AJ1676" s="35"/>
      <c r="AK1676" s="35"/>
      <c r="AL1676" s="35">
        <v>9</v>
      </c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22">
        <f t="shared" si="525"/>
        <v>9</v>
      </c>
      <c r="BC1676" s="23">
        <v>1</v>
      </c>
      <c r="BD1676" s="130">
        <f t="shared" si="526"/>
        <v>9</v>
      </c>
      <c r="BE1676" s="130">
        <f t="shared" si="527"/>
        <v>1</v>
      </c>
      <c r="BF1676" s="195">
        <f t="shared" si="528"/>
        <v>900</v>
      </c>
      <c r="BG1676" s="373">
        <f t="shared" si="530"/>
        <v>-8</v>
      </c>
    </row>
    <row r="1677" spans="1:59" s="46" customFormat="1" ht="15.95" customHeight="1">
      <c r="A1677" s="176">
        <v>57</v>
      </c>
      <c r="B1677" s="31" t="s">
        <v>856</v>
      </c>
      <c r="C1677" s="34" t="s">
        <v>1058</v>
      </c>
      <c r="D1677" s="252"/>
      <c r="E1677" s="252"/>
      <c r="F1677" s="252"/>
      <c r="G1677" s="252"/>
      <c r="H1677" s="252"/>
      <c r="I1677" s="252"/>
      <c r="J1677" s="252"/>
      <c r="K1677" s="252"/>
      <c r="L1677" s="252"/>
      <c r="M1677" s="252"/>
      <c r="N1677" s="252"/>
      <c r="O1677" s="252"/>
      <c r="P1677" s="252"/>
      <c r="Q1677" s="252"/>
      <c r="R1677" s="252"/>
      <c r="S1677" s="252"/>
      <c r="T1677" s="252"/>
      <c r="U1677" s="252"/>
      <c r="V1677" s="252"/>
      <c r="W1677" s="252"/>
      <c r="X1677" s="252"/>
      <c r="Y1677" s="252"/>
      <c r="Z1677" s="252"/>
      <c r="AA1677" s="252"/>
      <c r="AB1677" s="22">
        <f t="shared" si="524"/>
        <v>0</v>
      </c>
      <c r="AC1677" s="23">
        <v>0</v>
      </c>
      <c r="AD1677" s="35"/>
      <c r="AE1677" s="35"/>
      <c r="AF1677" s="35"/>
      <c r="AG1677" s="35"/>
      <c r="AH1677" s="35"/>
      <c r="AI1677" s="35"/>
      <c r="AJ1677" s="35"/>
      <c r="AK1677" s="35"/>
      <c r="AL1677" s="35">
        <v>326</v>
      </c>
      <c r="AM1677" s="35"/>
      <c r="AN1677" s="35"/>
      <c r="AO1677" s="35"/>
      <c r="AP1677" s="35">
        <v>286</v>
      </c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22">
        <f t="shared" si="525"/>
        <v>612</v>
      </c>
      <c r="BC1677" s="23">
        <v>1638</v>
      </c>
      <c r="BD1677" s="130">
        <f t="shared" si="526"/>
        <v>612</v>
      </c>
      <c r="BE1677" s="130">
        <f t="shared" si="527"/>
        <v>1638</v>
      </c>
      <c r="BF1677" s="195">
        <f t="shared" si="528"/>
        <v>37.362637362637365</v>
      </c>
      <c r="BG1677" s="373">
        <f t="shared" si="530"/>
        <v>1026</v>
      </c>
    </row>
    <row r="1678" spans="1:59" s="46" customFormat="1" ht="15.95" customHeight="1">
      <c r="A1678" s="176">
        <v>58</v>
      </c>
      <c r="B1678" s="31" t="s">
        <v>1022</v>
      </c>
      <c r="C1678" s="34" t="s">
        <v>1023</v>
      </c>
      <c r="D1678" s="231"/>
      <c r="E1678" s="231"/>
      <c r="F1678" s="231"/>
      <c r="G1678" s="231"/>
      <c r="H1678" s="231"/>
      <c r="I1678" s="231"/>
      <c r="J1678" s="231"/>
      <c r="K1678" s="231"/>
      <c r="L1678" s="231"/>
      <c r="M1678" s="231"/>
      <c r="N1678" s="231"/>
      <c r="O1678" s="231"/>
      <c r="P1678" s="231"/>
      <c r="Q1678" s="231"/>
      <c r="R1678" s="231"/>
      <c r="S1678" s="231"/>
      <c r="T1678" s="231"/>
      <c r="U1678" s="231"/>
      <c r="V1678" s="231"/>
      <c r="W1678" s="231"/>
      <c r="X1678" s="231"/>
      <c r="Y1678" s="231"/>
      <c r="Z1678" s="231"/>
      <c r="AA1678" s="231"/>
      <c r="AB1678" s="22">
        <f t="shared" si="524"/>
        <v>0</v>
      </c>
      <c r="AC1678" s="23">
        <v>0</v>
      </c>
      <c r="AD1678" s="35"/>
      <c r="AE1678" s="35"/>
      <c r="AF1678" s="35"/>
      <c r="AG1678" s="35"/>
      <c r="AH1678" s="35"/>
      <c r="AI1678" s="35"/>
      <c r="AJ1678" s="35"/>
      <c r="AK1678" s="35"/>
      <c r="AL1678" s="35">
        <v>19</v>
      </c>
      <c r="AM1678" s="35"/>
      <c r="AN1678" s="35"/>
      <c r="AO1678" s="35"/>
      <c r="AP1678" s="35">
        <v>11</v>
      </c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22">
        <f t="shared" si="525"/>
        <v>30</v>
      </c>
      <c r="BC1678" s="23">
        <v>67</v>
      </c>
      <c r="BD1678" s="130">
        <f t="shared" si="526"/>
        <v>30</v>
      </c>
      <c r="BE1678" s="130">
        <f t="shared" si="527"/>
        <v>67</v>
      </c>
      <c r="BF1678" s="195">
        <f t="shared" si="528"/>
        <v>44.776119402985074</v>
      </c>
      <c r="BG1678" s="373">
        <f t="shared" si="530"/>
        <v>37</v>
      </c>
    </row>
    <row r="1679" spans="1:59" s="46" customFormat="1" ht="15.95" customHeight="1">
      <c r="A1679" s="176">
        <v>59</v>
      </c>
      <c r="B1679" s="31" t="s">
        <v>1024</v>
      </c>
      <c r="C1679" s="34" t="s">
        <v>1644</v>
      </c>
      <c r="D1679" s="231"/>
      <c r="E1679" s="231"/>
      <c r="F1679" s="231"/>
      <c r="G1679" s="231"/>
      <c r="H1679" s="231"/>
      <c r="I1679" s="231"/>
      <c r="J1679" s="231"/>
      <c r="K1679" s="231"/>
      <c r="L1679" s="231"/>
      <c r="M1679" s="231"/>
      <c r="N1679" s="231"/>
      <c r="O1679" s="231"/>
      <c r="P1679" s="231"/>
      <c r="Q1679" s="231"/>
      <c r="R1679" s="231"/>
      <c r="S1679" s="231"/>
      <c r="T1679" s="231"/>
      <c r="U1679" s="231"/>
      <c r="V1679" s="231"/>
      <c r="W1679" s="231"/>
      <c r="X1679" s="231"/>
      <c r="Y1679" s="231"/>
      <c r="Z1679" s="231"/>
      <c r="AA1679" s="231"/>
      <c r="AB1679" s="22">
        <f t="shared" si="524"/>
        <v>0</v>
      </c>
      <c r="AC1679" s="23">
        <v>0</v>
      </c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22">
        <f t="shared" si="525"/>
        <v>0</v>
      </c>
      <c r="BC1679" s="23">
        <v>2</v>
      </c>
      <c r="BD1679" s="130">
        <f t="shared" si="526"/>
        <v>0</v>
      </c>
      <c r="BE1679" s="130">
        <f t="shared" si="527"/>
        <v>2</v>
      </c>
      <c r="BF1679" s="195">
        <f t="shared" si="528"/>
        <v>0</v>
      </c>
      <c r="BG1679" s="373">
        <f t="shared" si="530"/>
        <v>2</v>
      </c>
    </row>
    <row r="1680" spans="1:59" s="46" customFormat="1" ht="15.95" customHeight="1">
      <c r="A1680" s="176">
        <v>60</v>
      </c>
      <c r="B1680" s="31" t="s">
        <v>1059</v>
      </c>
      <c r="C1680" s="34" t="s">
        <v>1060</v>
      </c>
      <c r="D1680" s="231"/>
      <c r="E1680" s="231"/>
      <c r="F1680" s="231"/>
      <c r="G1680" s="231"/>
      <c r="H1680" s="231"/>
      <c r="I1680" s="231"/>
      <c r="J1680" s="231"/>
      <c r="K1680" s="231"/>
      <c r="L1680" s="231"/>
      <c r="M1680" s="231"/>
      <c r="N1680" s="231"/>
      <c r="O1680" s="231"/>
      <c r="P1680" s="231"/>
      <c r="Q1680" s="231"/>
      <c r="R1680" s="231"/>
      <c r="S1680" s="231"/>
      <c r="T1680" s="231"/>
      <c r="U1680" s="231"/>
      <c r="V1680" s="231"/>
      <c r="W1680" s="231"/>
      <c r="X1680" s="231"/>
      <c r="Y1680" s="231"/>
      <c r="Z1680" s="231"/>
      <c r="AA1680" s="231"/>
      <c r="AB1680" s="22">
        <f t="shared" si="524"/>
        <v>0</v>
      </c>
      <c r="AC1680" s="23">
        <v>0</v>
      </c>
      <c r="AD1680" s="35"/>
      <c r="AE1680" s="35"/>
      <c r="AF1680" s="35"/>
      <c r="AG1680" s="35"/>
      <c r="AH1680" s="35">
        <v>5</v>
      </c>
      <c r="AI1680" s="35"/>
      <c r="AJ1680" s="35"/>
      <c r="AK1680" s="35"/>
      <c r="AL1680" s="35">
        <v>78</v>
      </c>
      <c r="AM1680" s="35"/>
      <c r="AN1680" s="35"/>
      <c r="AO1680" s="35"/>
      <c r="AP1680" s="35">
        <v>16</v>
      </c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22">
        <f t="shared" si="525"/>
        <v>99</v>
      </c>
      <c r="BC1680" s="23">
        <v>171</v>
      </c>
      <c r="BD1680" s="130">
        <f t="shared" si="526"/>
        <v>99</v>
      </c>
      <c r="BE1680" s="130">
        <f t="shared" si="527"/>
        <v>171</v>
      </c>
      <c r="BF1680" s="195">
        <f t="shared" si="528"/>
        <v>57.894736842105267</v>
      </c>
      <c r="BG1680" s="373">
        <f t="shared" si="530"/>
        <v>72</v>
      </c>
    </row>
    <row r="1681" spans="1:59" s="46" customFormat="1" ht="15.95" customHeight="1">
      <c r="A1681" s="176">
        <v>61</v>
      </c>
      <c r="B1681" s="31" t="s">
        <v>858</v>
      </c>
      <c r="C1681" s="32" t="s">
        <v>859</v>
      </c>
      <c r="D1681" s="231"/>
      <c r="E1681" s="231"/>
      <c r="F1681" s="231"/>
      <c r="G1681" s="231"/>
      <c r="H1681" s="231"/>
      <c r="I1681" s="231"/>
      <c r="J1681" s="231"/>
      <c r="K1681" s="231"/>
      <c r="L1681" s="231"/>
      <c r="M1681" s="231"/>
      <c r="N1681" s="231"/>
      <c r="O1681" s="231"/>
      <c r="P1681" s="231"/>
      <c r="Q1681" s="231"/>
      <c r="R1681" s="231"/>
      <c r="S1681" s="231"/>
      <c r="T1681" s="231"/>
      <c r="U1681" s="231"/>
      <c r="V1681" s="231"/>
      <c r="W1681" s="231"/>
      <c r="X1681" s="231"/>
      <c r="Y1681" s="231"/>
      <c r="Z1681" s="231"/>
      <c r="AA1681" s="231"/>
      <c r="AB1681" s="22">
        <f t="shared" si="524"/>
        <v>0</v>
      </c>
      <c r="AC1681" s="23">
        <v>0</v>
      </c>
      <c r="AD1681" s="35"/>
      <c r="AE1681" s="35"/>
      <c r="AF1681" s="35"/>
      <c r="AG1681" s="35"/>
      <c r="AH1681" s="35">
        <v>64</v>
      </c>
      <c r="AI1681" s="35"/>
      <c r="AJ1681" s="35"/>
      <c r="AK1681" s="35"/>
      <c r="AL1681" s="35">
        <f>8+649</f>
        <v>657</v>
      </c>
      <c r="AM1681" s="35"/>
      <c r="AN1681" s="35"/>
      <c r="AO1681" s="35"/>
      <c r="AP1681" s="35">
        <f>5+399</f>
        <v>404</v>
      </c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22">
        <f t="shared" si="525"/>
        <v>1125</v>
      </c>
      <c r="BC1681" s="23">
        <v>2355</v>
      </c>
      <c r="BD1681" s="130">
        <f t="shared" si="526"/>
        <v>1125</v>
      </c>
      <c r="BE1681" s="130">
        <f t="shared" si="527"/>
        <v>2355</v>
      </c>
      <c r="BF1681" s="195">
        <f t="shared" si="528"/>
        <v>47.770700636942678</v>
      </c>
      <c r="BG1681" s="373">
        <f t="shared" si="530"/>
        <v>1230</v>
      </c>
    </row>
    <row r="1682" spans="1:59" s="46" customFormat="1" ht="15.95" customHeight="1">
      <c r="A1682" s="176">
        <v>62</v>
      </c>
      <c r="B1682" s="31" t="s">
        <v>860</v>
      </c>
      <c r="C1682" s="34" t="s">
        <v>1061</v>
      </c>
      <c r="D1682" s="321"/>
      <c r="E1682" s="321"/>
      <c r="F1682" s="321"/>
      <c r="G1682" s="321"/>
      <c r="H1682" s="321"/>
      <c r="I1682" s="321"/>
      <c r="J1682" s="321"/>
      <c r="K1682" s="321"/>
      <c r="L1682" s="321"/>
      <c r="M1682" s="321"/>
      <c r="N1682" s="321"/>
      <c r="O1682" s="321"/>
      <c r="P1682" s="321"/>
      <c r="Q1682" s="321"/>
      <c r="R1682" s="321"/>
      <c r="S1682" s="321"/>
      <c r="T1682" s="321"/>
      <c r="U1682" s="321"/>
      <c r="V1682" s="321"/>
      <c r="W1682" s="321"/>
      <c r="X1682" s="321"/>
      <c r="Y1682" s="321"/>
      <c r="Z1682" s="321"/>
      <c r="AA1682" s="321"/>
      <c r="AB1682" s="22">
        <f t="shared" si="524"/>
        <v>0</v>
      </c>
      <c r="AC1682" s="23">
        <v>0</v>
      </c>
      <c r="AD1682" s="35"/>
      <c r="AE1682" s="35"/>
      <c r="AF1682" s="35"/>
      <c r="AG1682" s="35"/>
      <c r="AH1682" s="35">
        <v>51</v>
      </c>
      <c r="AI1682" s="35"/>
      <c r="AJ1682" s="35"/>
      <c r="AK1682" s="35"/>
      <c r="AL1682" s="35">
        <f>5+377</f>
        <v>382</v>
      </c>
      <c r="AM1682" s="35"/>
      <c r="AN1682" s="35"/>
      <c r="AO1682" s="35"/>
      <c r="AP1682" s="35">
        <f>1+325</f>
        <v>326</v>
      </c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22">
        <f t="shared" si="525"/>
        <v>759</v>
      </c>
      <c r="BC1682" s="23">
        <v>1568</v>
      </c>
      <c r="BD1682" s="130">
        <f t="shared" si="526"/>
        <v>759</v>
      </c>
      <c r="BE1682" s="130">
        <f t="shared" si="527"/>
        <v>1568</v>
      </c>
      <c r="BF1682" s="195">
        <f t="shared" si="528"/>
        <v>48.405612244897959</v>
      </c>
      <c r="BG1682" s="373">
        <f t="shared" si="530"/>
        <v>809</v>
      </c>
    </row>
    <row r="1683" spans="1:59" s="46" customFormat="1" ht="15.95" customHeight="1">
      <c r="A1683" s="176">
        <v>63</v>
      </c>
      <c r="B1683" s="31" t="s">
        <v>862</v>
      </c>
      <c r="C1683" s="34" t="s">
        <v>1515</v>
      </c>
      <c r="D1683" s="231"/>
      <c r="E1683" s="231"/>
      <c r="F1683" s="231"/>
      <c r="G1683" s="231"/>
      <c r="H1683" s="231"/>
      <c r="I1683" s="231"/>
      <c r="J1683" s="231"/>
      <c r="K1683" s="231"/>
      <c r="L1683" s="231"/>
      <c r="M1683" s="231"/>
      <c r="N1683" s="231"/>
      <c r="O1683" s="231"/>
      <c r="P1683" s="231"/>
      <c r="Q1683" s="231"/>
      <c r="R1683" s="231"/>
      <c r="S1683" s="231"/>
      <c r="T1683" s="231"/>
      <c r="U1683" s="231"/>
      <c r="V1683" s="231"/>
      <c r="W1683" s="231"/>
      <c r="X1683" s="231"/>
      <c r="Y1683" s="231"/>
      <c r="Z1683" s="231"/>
      <c r="AA1683" s="231"/>
      <c r="AB1683" s="22">
        <f t="shared" si="524"/>
        <v>0</v>
      </c>
      <c r="AC1683" s="23">
        <v>0</v>
      </c>
      <c r="AD1683" s="35"/>
      <c r="AE1683" s="35"/>
      <c r="AF1683" s="35"/>
      <c r="AG1683" s="35"/>
      <c r="AH1683" s="35">
        <v>9</v>
      </c>
      <c r="AI1683" s="35"/>
      <c r="AJ1683" s="35"/>
      <c r="AK1683" s="35"/>
      <c r="AL1683" s="35">
        <v>287</v>
      </c>
      <c r="AM1683" s="35"/>
      <c r="AN1683" s="35"/>
      <c r="AO1683" s="35"/>
      <c r="AP1683" s="35">
        <v>238</v>
      </c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22">
        <f t="shared" si="525"/>
        <v>534</v>
      </c>
      <c r="BC1683" s="23">
        <v>480</v>
      </c>
      <c r="BD1683" s="130">
        <f t="shared" si="526"/>
        <v>534</v>
      </c>
      <c r="BE1683" s="130">
        <f t="shared" si="527"/>
        <v>480</v>
      </c>
      <c r="BF1683" s="195">
        <f t="shared" si="528"/>
        <v>111.25</v>
      </c>
      <c r="BG1683" s="373">
        <f t="shared" si="530"/>
        <v>-54</v>
      </c>
    </row>
    <row r="1684" spans="1:59" s="46" customFormat="1" ht="15.95" customHeight="1">
      <c r="A1684" s="176">
        <v>64</v>
      </c>
      <c r="B1684" s="31" t="s">
        <v>1254</v>
      </c>
      <c r="C1684" s="34" t="s">
        <v>2567</v>
      </c>
      <c r="D1684" s="231"/>
      <c r="E1684" s="231"/>
      <c r="F1684" s="231"/>
      <c r="G1684" s="231"/>
      <c r="H1684" s="231"/>
      <c r="I1684" s="231"/>
      <c r="J1684" s="231"/>
      <c r="K1684" s="231"/>
      <c r="L1684" s="231"/>
      <c r="M1684" s="231"/>
      <c r="N1684" s="231"/>
      <c r="O1684" s="231"/>
      <c r="P1684" s="231"/>
      <c r="Q1684" s="231"/>
      <c r="R1684" s="231"/>
      <c r="S1684" s="231"/>
      <c r="T1684" s="231"/>
      <c r="U1684" s="231"/>
      <c r="V1684" s="231"/>
      <c r="W1684" s="231"/>
      <c r="X1684" s="231"/>
      <c r="Y1684" s="231"/>
      <c r="Z1684" s="231"/>
      <c r="AA1684" s="231"/>
      <c r="AB1684" s="22">
        <f t="shared" si="524"/>
        <v>0</v>
      </c>
      <c r="AC1684" s="23">
        <v>0</v>
      </c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22">
        <f t="shared" si="525"/>
        <v>0</v>
      </c>
      <c r="BC1684" s="23">
        <v>6</v>
      </c>
      <c r="BD1684" s="130">
        <f t="shared" si="526"/>
        <v>0</v>
      </c>
      <c r="BE1684" s="130">
        <f t="shared" si="527"/>
        <v>6</v>
      </c>
      <c r="BF1684" s="195">
        <f t="shared" si="528"/>
        <v>0</v>
      </c>
      <c r="BG1684" s="373">
        <f t="shared" si="530"/>
        <v>6</v>
      </c>
    </row>
    <row r="1685" spans="1:59" s="46" customFormat="1" ht="15.95" customHeight="1">
      <c r="A1685" s="176">
        <v>65</v>
      </c>
      <c r="B1685" s="31" t="s">
        <v>864</v>
      </c>
      <c r="C1685" s="34" t="s">
        <v>1516</v>
      </c>
      <c r="D1685" s="231"/>
      <c r="E1685" s="231"/>
      <c r="F1685" s="231"/>
      <c r="G1685" s="231"/>
      <c r="H1685" s="231"/>
      <c r="I1685" s="231"/>
      <c r="J1685" s="231"/>
      <c r="K1685" s="231"/>
      <c r="L1685" s="231"/>
      <c r="M1685" s="231"/>
      <c r="N1685" s="231"/>
      <c r="O1685" s="231"/>
      <c r="P1685" s="231"/>
      <c r="Q1685" s="231"/>
      <c r="R1685" s="231"/>
      <c r="S1685" s="231"/>
      <c r="T1685" s="231"/>
      <c r="U1685" s="231"/>
      <c r="V1685" s="231"/>
      <c r="W1685" s="231"/>
      <c r="X1685" s="231"/>
      <c r="Y1685" s="231"/>
      <c r="Z1685" s="231"/>
      <c r="AA1685" s="231"/>
      <c r="AB1685" s="22">
        <f t="shared" ref="AB1685:AB1697" si="531">SUM(D1685:AA1685)</f>
        <v>0</v>
      </c>
      <c r="AC1685" s="23">
        <v>0</v>
      </c>
      <c r="AD1685" s="35"/>
      <c r="AE1685" s="35"/>
      <c r="AF1685" s="35"/>
      <c r="AG1685" s="35"/>
      <c r="AH1685" s="35">
        <v>331</v>
      </c>
      <c r="AI1685" s="35"/>
      <c r="AJ1685" s="35"/>
      <c r="AK1685" s="35"/>
      <c r="AL1685" s="35">
        <v>1477</v>
      </c>
      <c r="AM1685" s="35"/>
      <c r="AN1685" s="35"/>
      <c r="AO1685" s="35"/>
      <c r="AP1685" s="35">
        <v>866</v>
      </c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22">
        <f t="shared" ref="BB1685:BB1697" si="532">SUM(AD1685:BA1685)</f>
        <v>2674</v>
      </c>
      <c r="BC1685" s="23">
        <v>8271</v>
      </c>
      <c r="BD1685" s="130">
        <f t="shared" ref="BD1685:BD1697" si="533">AB1685+BB1685</f>
        <v>2674</v>
      </c>
      <c r="BE1685" s="130">
        <f t="shared" ref="BE1685:BE1697" si="534">AC1685+BC1685</f>
        <v>8271</v>
      </c>
      <c r="BF1685" s="195">
        <f t="shared" ref="BF1685:BF1697" si="535">BD1685/BE1685*100</f>
        <v>32.32982710675855</v>
      </c>
      <c r="BG1685" s="373">
        <f t="shared" si="530"/>
        <v>5597</v>
      </c>
    </row>
    <row r="1686" spans="1:59" s="46" customFormat="1" ht="15.95" customHeight="1">
      <c r="A1686" s="176">
        <v>66</v>
      </c>
      <c r="B1686" s="31" t="s">
        <v>865</v>
      </c>
      <c r="C1686" s="34" t="s">
        <v>1647</v>
      </c>
      <c r="D1686" s="231"/>
      <c r="E1686" s="231"/>
      <c r="F1686" s="231"/>
      <c r="G1686" s="231"/>
      <c r="H1686" s="231"/>
      <c r="I1686" s="231"/>
      <c r="J1686" s="231"/>
      <c r="K1686" s="231"/>
      <c r="L1686" s="231"/>
      <c r="M1686" s="231"/>
      <c r="N1686" s="231"/>
      <c r="O1686" s="231"/>
      <c r="P1686" s="231"/>
      <c r="Q1686" s="231"/>
      <c r="R1686" s="231"/>
      <c r="S1686" s="231"/>
      <c r="T1686" s="231"/>
      <c r="U1686" s="231"/>
      <c r="V1686" s="231"/>
      <c r="W1686" s="231"/>
      <c r="X1686" s="231"/>
      <c r="Y1686" s="231"/>
      <c r="Z1686" s="231"/>
      <c r="AA1686" s="231"/>
      <c r="AB1686" s="22">
        <f t="shared" si="531"/>
        <v>0</v>
      </c>
      <c r="AC1686" s="23">
        <v>0</v>
      </c>
      <c r="AD1686" s="35"/>
      <c r="AE1686" s="35"/>
      <c r="AF1686" s="35"/>
      <c r="AG1686" s="35"/>
      <c r="AH1686" s="35">
        <v>9</v>
      </c>
      <c r="AI1686" s="35"/>
      <c r="AJ1686" s="35"/>
      <c r="AK1686" s="35"/>
      <c r="AL1686" s="35">
        <v>7</v>
      </c>
      <c r="AM1686" s="35"/>
      <c r="AN1686" s="35"/>
      <c r="AO1686" s="35"/>
      <c r="AP1686" s="35">
        <v>32</v>
      </c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22">
        <f t="shared" si="532"/>
        <v>48</v>
      </c>
      <c r="BC1686" s="23">
        <v>165</v>
      </c>
      <c r="BD1686" s="130">
        <f t="shared" si="533"/>
        <v>48</v>
      </c>
      <c r="BE1686" s="130">
        <f t="shared" si="534"/>
        <v>165</v>
      </c>
      <c r="BF1686" s="195">
        <f t="shared" si="535"/>
        <v>29.09090909090909</v>
      </c>
      <c r="BG1686" s="373">
        <f t="shared" si="530"/>
        <v>117</v>
      </c>
    </row>
    <row r="1687" spans="1:59" s="46" customFormat="1" ht="15.95" customHeight="1">
      <c r="A1687" s="176">
        <v>67</v>
      </c>
      <c r="B1687" s="31" t="s">
        <v>1029</v>
      </c>
      <c r="C1687" s="34" t="s">
        <v>1980</v>
      </c>
      <c r="D1687" s="231"/>
      <c r="E1687" s="231"/>
      <c r="F1687" s="231"/>
      <c r="G1687" s="231"/>
      <c r="H1687" s="231"/>
      <c r="I1687" s="231"/>
      <c r="J1687" s="231"/>
      <c r="K1687" s="231"/>
      <c r="L1687" s="231"/>
      <c r="M1687" s="231"/>
      <c r="N1687" s="231"/>
      <c r="O1687" s="231"/>
      <c r="P1687" s="231"/>
      <c r="Q1687" s="231"/>
      <c r="R1687" s="231"/>
      <c r="S1687" s="231"/>
      <c r="T1687" s="231"/>
      <c r="U1687" s="231"/>
      <c r="V1687" s="231"/>
      <c r="W1687" s="231"/>
      <c r="X1687" s="231"/>
      <c r="Y1687" s="231"/>
      <c r="Z1687" s="231"/>
      <c r="AA1687" s="231"/>
      <c r="AB1687" s="22">
        <f t="shared" si="531"/>
        <v>0</v>
      </c>
      <c r="AC1687" s="23">
        <v>0</v>
      </c>
      <c r="AD1687" s="35"/>
      <c r="AE1687" s="35"/>
      <c r="AF1687" s="35"/>
      <c r="AG1687" s="35"/>
      <c r="AH1687" s="35"/>
      <c r="AI1687" s="35"/>
      <c r="AJ1687" s="35"/>
      <c r="AK1687" s="35"/>
      <c r="AL1687" s="35">
        <v>38</v>
      </c>
      <c r="AM1687" s="35"/>
      <c r="AN1687" s="35"/>
      <c r="AO1687" s="35"/>
      <c r="AP1687" s="35">
        <v>20</v>
      </c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22">
        <f t="shared" si="532"/>
        <v>58</v>
      </c>
      <c r="BC1687" s="23">
        <v>232</v>
      </c>
      <c r="BD1687" s="130">
        <f t="shared" si="533"/>
        <v>58</v>
      </c>
      <c r="BE1687" s="130">
        <f t="shared" si="534"/>
        <v>232</v>
      </c>
      <c r="BF1687" s="195">
        <f t="shared" si="535"/>
        <v>25</v>
      </c>
      <c r="BG1687" s="373">
        <f t="shared" si="530"/>
        <v>174</v>
      </c>
    </row>
    <row r="1688" spans="1:59" s="46" customFormat="1" ht="15.95" customHeight="1">
      <c r="A1688" s="176">
        <v>68</v>
      </c>
      <c r="B1688" s="31" t="s">
        <v>1030</v>
      </c>
      <c r="C1688" s="34" t="s">
        <v>1981</v>
      </c>
      <c r="D1688" s="231"/>
      <c r="E1688" s="231"/>
      <c r="F1688" s="231"/>
      <c r="G1688" s="231"/>
      <c r="H1688" s="231"/>
      <c r="I1688" s="231"/>
      <c r="J1688" s="231"/>
      <c r="K1688" s="231"/>
      <c r="L1688" s="231"/>
      <c r="M1688" s="231"/>
      <c r="N1688" s="231"/>
      <c r="O1688" s="231"/>
      <c r="P1688" s="231"/>
      <c r="Q1688" s="231"/>
      <c r="R1688" s="231"/>
      <c r="S1688" s="231"/>
      <c r="T1688" s="231"/>
      <c r="U1688" s="231"/>
      <c r="V1688" s="231"/>
      <c r="W1688" s="231"/>
      <c r="X1688" s="231"/>
      <c r="Y1688" s="231"/>
      <c r="Z1688" s="231"/>
      <c r="AA1688" s="231"/>
      <c r="AB1688" s="22">
        <f t="shared" si="531"/>
        <v>0</v>
      </c>
      <c r="AC1688" s="23">
        <v>0</v>
      </c>
      <c r="AD1688" s="35"/>
      <c r="AE1688" s="35"/>
      <c r="AF1688" s="35"/>
      <c r="AG1688" s="35"/>
      <c r="AH1688" s="35">
        <v>41</v>
      </c>
      <c r="AI1688" s="35"/>
      <c r="AJ1688" s="35"/>
      <c r="AK1688" s="35"/>
      <c r="AL1688" s="35">
        <v>124</v>
      </c>
      <c r="AM1688" s="35"/>
      <c r="AN1688" s="35"/>
      <c r="AO1688" s="35"/>
      <c r="AP1688" s="35">
        <v>59</v>
      </c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22">
        <f t="shared" si="532"/>
        <v>224</v>
      </c>
      <c r="BC1688" s="23">
        <v>828</v>
      </c>
      <c r="BD1688" s="130">
        <f t="shared" si="533"/>
        <v>224</v>
      </c>
      <c r="BE1688" s="130">
        <f t="shared" si="534"/>
        <v>828</v>
      </c>
      <c r="BF1688" s="195">
        <f t="shared" si="535"/>
        <v>27.053140096618357</v>
      </c>
      <c r="BG1688" s="373">
        <f t="shared" si="530"/>
        <v>604</v>
      </c>
    </row>
    <row r="1689" spans="1:59" s="46" customFormat="1" ht="15.95" customHeight="1">
      <c r="A1689" s="176">
        <v>69</v>
      </c>
      <c r="B1689" s="31" t="s">
        <v>1032</v>
      </c>
      <c r="C1689" s="34" t="s">
        <v>1982</v>
      </c>
      <c r="D1689" s="231"/>
      <c r="E1689" s="231"/>
      <c r="F1689" s="231"/>
      <c r="G1689" s="231"/>
      <c r="H1689" s="231"/>
      <c r="I1689" s="231"/>
      <c r="J1689" s="231"/>
      <c r="K1689" s="231"/>
      <c r="L1689" s="231"/>
      <c r="M1689" s="231"/>
      <c r="N1689" s="231"/>
      <c r="O1689" s="231"/>
      <c r="P1689" s="231"/>
      <c r="Q1689" s="231"/>
      <c r="R1689" s="231"/>
      <c r="S1689" s="231"/>
      <c r="T1689" s="231"/>
      <c r="U1689" s="231"/>
      <c r="V1689" s="231"/>
      <c r="W1689" s="231"/>
      <c r="X1689" s="231"/>
      <c r="Y1689" s="231"/>
      <c r="Z1689" s="231"/>
      <c r="AA1689" s="231"/>
      <c r="AB1689" s="22">
        <f t="shared" si="531"/>
        <v>0</v>
      </c>
      <c r="AC1689" s="23">
        <v>0</v>
      </c>
      <c r="AD1689" s="35"/>
      <c r="AE1689" s="35"/>
      <c r="AF1689" s="35"/>
      <c r="AG1689" s="35"/>
      <c r="AH1689" s="35">
        <v>2</v>
      </c>
      <c r="AI1689" s="35"/>
      <c r="AJ1689" s="35"/>
      <c r="AK1689" s="35"/>
      <c r="AL1689" s="35">
        <f>1+15</f>
        <v>16</v>
      </c>
      <c r="AM1689" s="35"/>
      <c r="AN1689" s="35"/>
      <c r="AO1689" s="35"/>
      <c r="AP1689" s="35">
        <v>5</v>
      </c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22">
        <f t="shared" si="532"/>
        <v>23</v>
      </c>
      <c r="BC1689" s="23">
        <v>47</v>
      </c>
      <c r="BD1689" s="130">
        <f t="shared" si="533"/>
        <v>23</v>
      </c>
      <c r="BE1689" s="130">
        <f t="shared" si="534"/>
        <v>47</v>
      </c>
      <c r="BF1689" s="195">
        <f t="shared" si="535"/>
        <v>48.936170212765958</v>
      </c>
      <c r="BG1689" s="373">
        <f t="shared" si="530"/>
        <v>24</v>
      </c>
    </row>
    <row r="1690" spans="1:59" s="46" customFormat="1" ht="15.95" customHeight="1">
      <c r="A1690" s="176">
        <v>70</v>
      </c>
      <c r="B1690" s="31" t="s">
        <v>1654</v>
      </c>
      <c r="C1690" s="34" t="s">
        <v>1983</v>
      </c>
      <c r="D1690" s="231"/>
      <c r="E1690" s="231"/>
      <c r="F1690" s="231"/>
      <c r="G1690" s="231"/>
      <c r="H1690" s="231"/>
      <c r="I1690" s="231"/>
      <c r="J1690" s="231"/>
      <c r="K1690" s="231"/>
      <c r="L1690" s="231"/>
      <c r="M1690" s="231"/>
      <c r="N1690" s="231"/>
      <c r="O1690" s="231"/>
      <c r="P1690" s="231"/>
      <c r="Q1690" s="231"/>
      <c r="R1690" s="231"/>
      <c r="S1690" s="231"/>
      <c r="T1690" s="231"/>
      <c r="U1690" s="231"/>
      <c r="V1690" s="231"/>
      <c r="W1690" s="231"/>
      <c r="X1690" s="231"/>
      <c r="Y1690" s="231"/>
      <c r="Z1690" s="231"/>
      <c r="AA1690" s="231"/>
      <c r="AB1690" s="22">
        <f t="shared" si="531"/>
        <v>0</v>
      </c>
      <c r="AC1690" s="23">
        <v>0</v>
      </c>
      <c r="AD1690" s="35"/>
      <c r="AE1690" s="35"/>
      <c r="AF1690" s="35"/>
      <c r="AG1690" s="35"/>
      <c r="AH1690" s="35">
        <v>117</v>
      </c>
      <c r="AI1690" s="35"/>
      <c r="AJ1690" s="35"/>
      <c r="AK1690" s="35"/>
      <c r="AL1690" s="35">
        <v>625</v>
      </c>
      <c r="AM1690" s="35"/>
      <c r="AN1690" s="35"/>
      <c r="AO1690" s="35"/>
      <c r="AP1690" s="35">
        <v>216</v>
      </c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22">
        <f t="shared" si="532"/>
        <v>958</v>
      </c>
      <c r="BC1690" s="23">
        <v>3325</v>
      </c>
      <c r="BD1690" s="130">
        <f t="shared" si="533"/>
        <v>958</v>
      </c>
      <c r="BE1690" s="130">
        <f t="shared" si="534"/>
        <v>3325</v>
      </c>
      <c r="BF1690" s="195">
        <f t="shared" si="535"/>
        <v>28.812030075187973</v>
      </c>
      <c r="BG1690" s="373">
        <f t="shared" si="530"/>
        <v>2367</v>
      </c>
    </row>
    <row r="1691" spans="1:59" s="46" customFormat="1" ht="15.95" customHeight="1">
      <c r="A1691" s="176">
        <v>71</v>
      </c>
      <c r="B1691" s="31" t="s">
        <v>1656</v>
      </c>
      <c r="C1691" s="34" t="s">
        <v>2253</v>
      </c>
      <c r="D1691" s="231"/>
      <c r="E1691" s="231"/>
      <c r="F1691" s="231"/>
      <c r="G1691" s="231"/>
      <c r="H1691" s="231"/>
      <c r="I1691" s="231"/>
      <c r="J1691" s="231"/>
      <c r="K1691" s="231"/>
      <c r="L1691" s="231"/>
      <c r="M1691" s="231"/>
      <c r="N1691" s="231"/>
      <c r="O1691" s="231"/>
      <c r="P1691" s="231"/>
      <c r="Q1691" s="231"/>
      <c r="R1691" s="231"/>
      <c r="S1691" s="231"/>
      <c r="T1691" s="231"/>
      <c r="U1691" s="231"/>
      <c r="V1691" s="231"/>
      <c r="W1691" s="231"/>
      <c r="X1691" s="231"/>
      <c r="Y1691" s="231"/>
      <c r="Z1691" s="231"/>
      <c r="AA1691" s="231"/>
      <c r="AB1691" s="22">
        <f t="shared" si="531"/>
        <v>0</v>
      </c>
      <c r="AC1691" s="23">
        <v>0</v>
      </c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22">
        <f t="shared" si="532"/>
        <v>0</v>
      </c>
      <c r="BC1691" s="23">
        <v>3</v>
      </c>
      <c r="BD1691" s="130">
        <f t="shared" si="533"/>
        <v>0</v>
      </c>
      <c r="BE1691" s="130">
        <f t="shared" si="534"/>
        <v>3</v>
      </c>
      <c r="BF1691" s="195">
        <f t="shared" si="535"/>
        <v>0</v>
      </c>
      <c r="BG1691" s="373">
        <f t="shared" si="530"/>
        <v>3</v>
      </c>
    </row>
    <row r="1692" spans="1:59" s="46" customFormat="1" ht="15.95" customHeight="1">
      <c r="A1692" s="176">
        <v>72</v>
      </c>
      <c r="B1692" s="31" t="s">
        <v>1658</v>
      </c>
      <c r="C1692" s="32" t="s">
        <v>1659</v>
      </c>
      <c r="D1692" s="231"/>
      <c r="E1692" s="231"/>
      <c r="F1692" s="231"/>
      <c r="G1692" s="231"/>
      <c r="H1692" s="231"/>
      <c r="I1692" s="231"/>
      <c r="J1692" s="231"/>
      <c r="K1692" s="231"/>
      <c r="L1692" s="231"/>
      <c r="M1692" s="231"/>
      <c r="N1692" s="231"/>
      <c r="O1692" s="231"/>
      <c r="P1692" s="231"/>
      <c r="Q1692" s="231"/>
      <c r="R1692" s="231"/>
      <c r="S1692" s="231"/>
      <c r="T1692" s="231"/>
      <c r="U1692" s="231"/>
      <c r="V1692" s="231"/>
      <c r="W1692" s="231"/>
      <c r="X1692" s="231"/>
      <c r="Y1692" s="231"/>
      <c r="Z1692" s="231"/>
      <c r="AA1692" s="231"/>
      <c r="AB1692" s="22">
        <f t="shared" si="531"/>
        <v>0</v>
      </c>
      <c r="AC1692" s="23">
        <v>0</v>
      </c>
      <c r="AD1692" s="35"/>
      <c r="AE1692" s="35"/>
      <c r="AF1692" s="35"/>
      <c r="AG1692" s="35"/>
      <c r="AH1692" s="35">
        <v>5</v>
      </c>
      <c r="AI1692" s="35"/>
      <c r="AJ1692" s="35"/>
      <c r="AK1692" s="35"/>
      <c r="AL1692" s="35">
        <v>42</v>
      </c>
      <c r="AM1692" s="35"/>
      <c r="AN1692" s="35"/>
      <c r="AO1692" s="35"/>
      <c r="AP1692" s="35">
        <v>59</v>
      </c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22">
        <f t="shared" si="532"/>
        <v>106</v>
      </c>
      <c r="BC1692" s="23">
        <v>109</v>
      </c>
      <c r="BD1692" s="130">
        <f t="shared" si="533"/>
        <v>106</v>
      </c>
      <c r="BE1692" s="130">
        <f t="shared" si="534"/>
        <v>109</v>
      </c>
      <c r="BF1692" s="195">
        <f t="shared" si="535"/>
        <v>97.247706422018354</v>
      </c>
      <c r="BG1692" s="373">
        <f t="shared" si="530"/>
        <v>3</v>
      </c>
    </row>
    <row r="1693" spans="1:59" s="46" customFormat="1" ht="15.95" customHeight="1">
      <c r="A1693" s="176">
        <v>73</v>
      </c>
      <c r="B1693" s="31" t="s">
        <v>1034</v>
      </c>
      <c r="C1693" s="34" t="s">
        <v>1978</v>
      </c>
      <c r="D1693" s="231"/>
      <c r="E1693" s="231"/>
      <c r="F1693" s="231"/>
      <c r="G1693" s="231"/>
      <c r="H1693" s="231"/>
      <c r="I1693" s="231"/>
      <c r="J1693" s="231"/>
      <c r="K1693" s="231"/>
      <c r="L1693" s="231"/>
      <c r="M1693" s="231"/>
      <c r="N1693" s="231"/>
      <c r="O1693" s="231"/>
      <c r="P1693" s="231"/>
      <c r="Q1693" s="231"/>
      <c r="R1693" s="231"/>
      <c r="S1693" s="231"/>
      <c r="T1693" s="231"/>
      <c r="U1693" s="231"/>
      <c r="V1693" s="231"/>
      <c r="W1693" s="231"/>
      <c r="X1693" s="231"/>
      <c r="Y1693" s="231"/>
      <c r="Z1693" s="231"/>
      <c r="AA1693" s="231"/>
      <c r="AB1693" s="22">
        <f t="shared" si="531"/>
        <v>0</v>
      </c>
      <c r="AC1693" s="23">
        <v>0</v>
      </c>
      <c r="AD1693" s="35"/>
      <c r="AE1693" s="35"/>
      <c r="AF1693" s="35"/>
      <c r="AG1693" s="35"/>
      <c r="AH1693" s="35">
        <f>5+103</f>
        <v>108</v>
      </c>
      <c r="AI1693" s="35"/>
      <c r="AJ1693" s="35"/>
      <c r="AK1693" s="35"/>
      <c r="AL1693" s="35">
        <f>33+953</f>
        <v>986</v>
      </c>
      <c r="AM1693" s="35"/>
      <c r="AN1693" s="35"/>
      <c r="AO1693" s="35"/>
      <c r="AP1693" s="35">
        <f>1+595</f>
        <v>596</v>
      </c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22">
        <f t="shared" si="532"/>
        <v>1690</v>
      </c>
      <c r="BC1693" s="23">
        <v>6030</v>
      </c>
      <c r="BD1693" s="130">
        <f t="shared" si="533"/>
        <v>1690</v>
      </c>
      <c r="BE1693" s="130">
        <f t="shared" si="534"/>
        <v>6030</v>
      </c>
      <c r="BF1693" s="195">
        <f t="shared" si="535"/>
        <v>28.026533996683252</v>
      </c>
      <c r="BG1693" s="373">
        <f t="shared" si="530"/>
        <v>4340</v>
      </c>
    </row>
    <row r="1694" spans="1:59" s="46" customFormat="1" ht="15.95" customHeight="1">
      <c r="A1694" s="176">
        <v>74</v>
      </c>
      <c r="B1694" s="31" t="s">
        <v>977</v>
      </c>
      <c r="C1694" s="34" t="s">
        <v>2568</v>
      </c>
      <c r="D1694" s="231"/>
      <c r="E1694" s="231"/>
      <c r="F1694" s="231"/>
      <c r="G1694" s="231"/>
      <c r="H1694" s="231"/>
      <c r="I1694" s="231"/>
      <c r="J1694" s="231"/>
      <c r="K1694" s="231"/>
      <c r="L1694" s="231"/>
      <c r="M1694" s="231"/>
      <c r="N1694" s="231"/>
      <c r="O1694" s="231"/>
      <c r="P1694" s="231"/>
      <c r="Q1694" s="231"/>
      <c r="R1694" s="231"/>
      <c r="S1694" s="231"/>
      <c r="T1694" s="231"/>
      <c r="U1694" s="231"/>
      <c r="V1694" s="231"/>
      <c r="W1694" s="231"/>
      <c r="X1694" s="231"/>
      <c r="Y1694" s="231"/>
      <c r="Z1694" s="231"/>
      <c r="AA1694" s="231"/>
      <c r="AB1694" s="22">
        <f t="shared" si="531"/>
        <v>0</v>
      </c>
      <c r="AC1694" s="23">
        <v>0</v>
      </c>
      <c r="AD1694" s="35"/>
      <c r="AE1694" s="35"/>
      <c r="AF1694" s="35"/>
      <c r="AG1694" s="35"/>
      <c r="AH1694" s="35">
        <v>3</v>
      </c>
      <c r="AI1694" s="35"/>
      <c r="AJ1694" s="35"/>
      <c r="AK1694" s="35"/>
      <c r="AL1694" s="35">
        <v>1</v>
      </c>
      <c r="AM1694" s="35"/>
      <c r="AN1694" s="35"/>
      <c r="AO1694" s="35"/>
      <c r="AP1694" s="35">
        <v>1</v>
      </c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22">
        <f t="shared" si="532"/>
        <v>5</v>
      </c>
      <c r="BC1694" s="23">
        <v>34</v>
      </c>
      <c r="BD1694" s="130">
        <f t="shared" si="533"/>
        <v>5</v>
      </c>
      <c r="BE1694" s="130">
        <f t="shared" si="534"/>
        <v>34</v>
      </c>
      <c r="BF1694" s="195">
        <f t="shared" si="535"/>
        <v>14.705882352941178</v>
      </c>
      <c r="BG1694" s="373">
        <f t="shared" si="530"/>
        <v>29</v>
      </c>
    </row>
    <row r="1695" spans="1:59" s="46" customFormat="1" ht="15.95" customHeight="1">
      <c r="A1695" s="176">
        <v>75</v>
      </c>
      <c r="B1695" s="411" t="s">
        <v>3054</v>
      </c>
      <c r="C1695" s="448" t="s">
        <v>3055</v>
      </c>
      <c r="D1695" s="231"/>
      <c r="E1695" s="231"/>
      <c r="F1695" s="231"/>
      <c r="G1695" s="231"/>
      <c r="H1695" s="231"/>
      <c r="I1695" s="231"/>
      <c r="J1695" s="231"/>
      <c r="K1695" s="231"/>
      <c r="L1695" s="231"/>
      <c r="M1695" s="231"/>
      <c r="N1695" s="231"/>
      <c r="O1695" s="231"/>
      <c r="P1695" s="231"/>
      <c r="Q1695" s="231"/>
      <c r="R1695" s="231"/>
      <c r="S1695" s="231"/>
      <c r="T1695" s="231"/>
      <c r="U1695" s="231"/>
      <c r="V1695" s="231"/>
      <c r="W1695" s="231"/>
      <c r="X1695" s="231"/>
      <c r="Y1695" s="231"/>
      <c r="Z1695" s="231"/>
      <c r="AA1695" s="231"/>
      <c r="AB1695" s="22">
        <f t="shared" si="531"/>
        <v>0</v>
      </c>
      <c r="AC1695" s="23">
        <v>4</v>
      </c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22">
        <f t="shared" si="532"/>
        <v>0</v>
      </c>
      <c r="BC1695" s="23">
        <v>0</v>
      </c>
      <c r="BD1695" s="130">
        <f t="shared" si="533"/>
        <v>0</v>
      </c>
      <c r="BE1695" s="130">
        <f t="shared" si="534"/>
        <v>4</v>
      </c>
      <c r="BF1695" s="195">
        <f t="shared" si="535"/>
        <v>0</v>
      </c>
      <c r="BG1695" s="373">
        <f t="shared" si="530"/>
        <v>4</v>
      </c>
    </row>
    <row r="1696" spans="1:59" s="46" customFormat="1" ht="15.95" customHeight="1">
      <c r="A1696" s="176">
        <v>76</v>
      </c>
      <c r="B1696" s="437" t="s">
        <v>3047</v>
      </c>
      <c r="C1696" s="439" t="s">
        <v>3048</v>
      </c>
      <c r="D1696" s="231"/>
      <c r="E1696" s="231"/>
      <c r="F1696" s="231"/>
      <c r="G1696" s="231"/>
      <c r="H1696" s="231"/>
      <c r="I1696" s="231"/>
      <c r="J1696" s="231"/>
      <c r="K1696" s="231"/>
      <c r="L1696" s="231"/>
      <c r="M1696" s="231"/>
      <c r="N1696" s="231"/>
      <c r="O1696" s="231"/>
      <c r="P1696" s="231"/>
      <c r="Q1696" s="231"/>
      <c r="R1696" s="231"/>
      <c r="S1696" s="231"/>
      <c r="T1696" s="231"/>
      <c r="U1696" s="231"/>
      <c r="V1696" s="231"/>
      <c r="W1696" s="231"/>
      <c r="X1696" s="231"/>
      <c r="Y1696" s="231"/>
      <c r="Z1696" s="231"/>
      <c r="AA1696" s="231"/>
      <c r="AB1696" s="22">
        <f t="shared" si="531"/>
        <v>0</v>
      </c>
      <c r="AC1696" s="23">
        <v>61</v>
      </c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22">
        <f t="shared" si="532"/>
        <v>0</v>
      </c>
      <c r="BC1696" s="23">
        <v>0</v>
      </c>
      <c r="BD1696" s="130">
        <f t="shared" si="533"/>
        <v>0</v>
      </c>
      <c r="BE1696" s="130">
        <f t="shared" si="534"/>
        <v>61</v>
      </c>
      <c r="BF1696" s="195">
        <f t="shared" si="535"/>
        <v>0</v>
      </c>
      <c r="BG1696" s="373">
        <f t="shared" si="530"/>
        <v>61</v>
      </c>
    </row>
    <row r="1697" spans="1:61" s="46" customFormat="1" ht="15.95" customHeight="1">
      <c r="A1697" s="176">
        <v>77</v>
      </c>
      <c r="B1697" s="411" t="s">
        <v>3056</v>
      </c>
      <c r="C1697" s="448" t="s">
        <v>3057</v>
      </c>
      <c r="D1697" s="231"/>
      <c r="E1697" s="231"/>
      <c r="F1697" s="231"/>
      <c r="G1697" s="231"/>
      <c r="H1697" s="231"/>
      <c r="I1697" s="231"/>
      <c r="J1697" s="231"/>
      <c r="K1697" s="231"/>
      <c r="L1697" s="231"/>
      <c r="M1697" s="231"/>
      <c r="N1697" s="231"/>
      <c r="O1697" s="231"/>
      <c r="P1697" s="231"/>
      <c r="Q1697" s="231"/>
      <c r="R1697" s="231"/>
      <c r="S1697" s="231"/>
      <c r="T1697" s="231"/>
      <c r="U1697" s="231"/>
      <c r="V1697" s="231"/>
      <c r="W1697" s="231"/>
      <c r="X1697" s="231"/>
      <c r="Y1697" s="231"/>
      <c r="Z1697" s="231"/>
      <c r="AA1697" s="231"/>
      <c r="AB1697" s="22">
        <f t="shared" si="531"/>
        <v>0</v>
      </c>
      <c r="AC1697" s="23">
        <v>8</v>
      </c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22">
        <f t="shared" si="532"/>
        <v>0</v>
      </c>
      <c r="BC1697" s="23">
        <v>0</v>
      </c>
      <c r="BD1697" s="130">
        <f t="shared" si="533"/>
        <v>0</v>
      </c>
      <c r="BE1697" s="130">
        <f t="shared" si="534"/>
        <v>8</v>
      </c>
      <c r="BF1697" s="195">
        <f t="shared" si="535"/>
        <v>0</v>
      </c>
      <c r="BG1697" s="373">
        <f t="shared" si="530"/>
        <v>8</v>
      </c>
    </row>
    <row r="1698" spans="1:61" s="46" customFormat="1" ht="15.95" customHeight="1">
      <c r="A1698" s="177"/>
      <c r="B1698" s="637" t="s">
        <v>1062</v>
      </c>
      <c r="C1698" s="637"/>
      <c r="D1698" s="98">
        <f t="shared" ref="D1698:AI1698" si="536">SUM(D1699:D1807)</f>
        <v>101</v>
      </c>
      <c r="E1698" s="98">
        <f t="shared" si="536"/>
        <v>0</v>
      </c>
      <c r="F1698" s="98">
        <f t="shared" si="536"/>
        <v>0</v>
      </c>
      <c r="G1698" s="98">
        <f t="shared" si="536"/>
        <v>362</v>
      </c>
      <c r="H1698" s="98">
        <f t="shared" si="536"/>
        <v>197</v>
      </c>
      <c r="I1698" s="98">
        <f t="shared" si="536"/>
        <v>0</v>
      </c>
      <c r="J1698" s="98">
        <f t="shared" si="536"/>
        <v>0</v>
      </c>
      <c r="K1698" s="98">
        <f t="shared" si="536"/>
        <v>1845</v>
      </c>
      <c r="L1698" s="98">
        <f t="shared" si="536"/>
        <v>596</v>
      </c>
      <c r="M1698" s="98">
        <f t="shared" si="536"/>
        <v>0</v>
      </c>
      <c r="N1698" s="98">
        <f t="shared" si="536"/>
        <v>0</v>
      </c>
      <c r="O1698" s="98">
        <f t="shared" si="536"/>
        <v>7689</v>
      </c>
      <c r="P1698" s="98">
        <f t="shared" si="536"/>
        <v>530</v>
      </c>
      <c r="Q1698" s="98">
        <f t="shared" si="536"/>
        <v>0</v>
      </c>
      <c r="R1698" s="98">
        <f t="shared" si="536"/>
        <v>0</v>
      </c>
      <c r="S1698" s="98">
        <f t="shared" si="536"/>
        <v>5876</v>
      </c>
      <c r="T1698" s="98">
        <f t="shared" si="536"/>
        <v>0</v>
      </c>
      <c r="U1698" s="98">
        <f t="shared" si="536"/>
        <v>0</v>
      </c>
      <c r="V1698" s="98">
        <f t="shared" si="536"/>
        <v>0</v>
      </c>
      <c r="W1698" s="98">
        <f t="shared" si="536"/>
        <v>0</v>
      </c>
      <c r="X1698" s="98">
        <f t="shared" si="536"/>
        <v>0</v>
      </c>
      <c r="Y1698" s="98">
        <f t="shared" si="536"/>
        <v>0</v>
      </c>
      <c r="Z1698" s="98">
        <f t="shared" si="536"/>
        <v>0</v>
      </c>
      <c r="AA1698" s="98">
        <f t="shared" si="536"/>
        <v>0</v>
      </c>
      <c r="AB1698" s="98">
        <f t="shared" si="536"/>
        <v>17196</v>
      </c>
      <c r="AC1698" s="161">
        <f t="shared" si="536"/>
        <v>27192</v>
      </c>
      <c r="AD1698" s="130">
        <f t="shared" si="536"/>
        <v>315</v>
      </c>
      <c r="AE1698" s="130">
        <f t="shared" si="536"/>
        <v>0</v>
      </c>
      <c r="AF1698" s="130">
        <f t="shared" si="536"/>
        <v>0</v>
      </c>
      <c r="AG1698" s="130">
        <f t="shared" si="536"/>
        <v>0</v>
      </c>
      <c r="AH1698" s="130">
        <f t="shared" si="536"/>
        <v>4064</v>
      </c>
      <c r="AI1698" s="130">
        <f t="shared" si="536"/>
        <v>0</v>
      </c>
      <c r="AJ1698" s="130">
        <f t="shared" ref="AJ1698:BC1698" si="537">SUM(AJ1699:AJ1807)</f>
        <v>0</v>
      </c>
      <c r="AK1698" s="130">
        <f t="shared" si="537"/>
        <v>0</v>
      </c>
      <c r="AL1698" s="130">
        <f t="shared" si="537"/>
        <v>16598</v>
      </c>
      <c r="AM1698" s="130">
        <f t="shared" si="537"/>
        <v>0</v>
      </c>
      <c r="AN1698" s="130">
        <f t="shared" si="537"/>
        <v>0</v>
      </c>
      <c r="AO1698" s="130">
        <f t="shared" si="537"/>
        <v>0</v>
      </c>
      <c r="AP1698" s="130">
        <f t="shared" si="537"/>
        <v>11914</v>
      </c>
      <c r="AQ1698" s="130">
        <f t="shared" si="537"/>
        <v>0</v>
      </c>
      <c r="AR1698" s="130">
        <f t="shared" si="537"/>
        <v>0</v>
      </c>
      <c r="AS1698" s="130">
        <f t="shared" si="537"/>
        <v>0</v>
      </c>
      <c r="AT1698" s="130">
        <f t="shared" si="537"/>
        <v>0</v>
      </c>
      <c r="AU1698" s="130">
        <f t="shared" si="537"/>
        <v>0</v>
      </c>
      <c r="AV1698" s="130">
        <f t="shared" si="537"/>
        <v>0</v>
      </c>
      <c r="AW1698" s="130">
        <f t="shared" si="537"/>
        <v>0</v>
      </c>
      <c r="AX1698" s="130">
        <f t="shared" si="537"/>
        <v>0</v>
      </c>
      <c r="AY1698" s="130">
        <f t="shared" si="537"/>
        <v>0</v>
      </c>
      <c r="AZ1698" s="130">
        <f t="shared" si="537"/>
        <v>0</v>
      </c>
      <c r="BA1698" s="130">
        <f t="shared" si="537"/>
        <v>0</v>
      </c>
      <c r="BB1698" s="130">
        <f t="shared" si="537"/>
        <v>32891</v>
      </c>
      <c r="BC1698" s="103">
        <f t="shared" si="537"/>
        <v>67482</v>
      </c>
      <c r="BD1698" s="130">
        <f t="shared" ref="BD1698" si="538">AB1698+BB1698</f>
        <v>50087</v>
      </c>
      <c r="BE1698" s="130">
        <f t="shared" ref="BE1698" si="539">AC1698+BC1698</f>
        <v>94674</v>
      </c>
      <c r="BF1698" s="195">
        <f t="shared" ref="BF1698" si="540">BD1698/BE1698*100</f>
        <v>52.904704565139312</v>
      </c>
      <c r="BG1698" s="374">
        <f t="shared" ref="BG1698" si="541">BE1698-BD1698</f>
        <v>44587</v>
      </c>
    </row>
    <row r="1699" spans="1:61" s="46" customFormat="1" ht="21" customHeight="1">
      <c r="A1699" s="417">
        <v>1</v>
      </c>
      <c r="B1699" s="418" t="s">
        <v>731</v>
      </c>
      <c r="C1699" s="419" t="s">
        <v>2050</v>
      </c>
      <c r="D1699" s="231"/>
      <c r="E1699" s="231"/>
      <c r="F1699" s="231"/>
      <c r="G1699" s="231"/>
      <c r="H1699" s="231"/>
      <c r="I1699" s="231"/>
      <c r="J1699" s="231"/>
      <c r="K1699" s="231"/>
      <c r="L1699" s="231"/>
      <c r="M1699" s="231"/>
      <c r="N1699" s="231"/>
      <c r="O1699" s="231"/>
      <c r="P1699" s="231"/>
      <c r="Q1699" s="231"/>
      <c r="R1699" s="231"/>
      <c r="S1699" s="231"/>
      <c r="T1699" s="231"/>
      <c r="U1699" s="231"/>
      <c r="V1699" s="231"/>
      <c r="W1699" s="231"/>
      <c r="X1699" s="231"/>
      <c r="Y1699" s="231"/>
      <c r="Z1699" s="231"/>
      <c r="AA1699" s="231"/>
      <c r="AB1699" s="22">
        <f t="shared" ref="AB1699:AB1730" si="542">SUM(D1699:AA1699)</f>
        <v>0</v>
      </c>
      <c r="AC1699" s="23">
        <f>5+8</f>
        <v>13</v>
      </c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22">
        <f t="shared" ref="BB1699:BB1730" si="543">SUM(AD1699:BA1699)</f>
        <v>0</v>
      </c>
      <c r="BC1699" s="23">
        <v>0</v>
      </c>
      <c r="BD1699" s="130">
        <f t="shared" ref="BD1699:BD1730" si="544">AB1699+BB1699</f>
        <v>0</v>
      </c>
      <c r="BE1699" s="130">
        <f t="shared" ref="BE1699:BE1730" si="545">AC1699+BC1699</f>
        <v>13</v>
      </c>
      <c r="BF1699" s="195">
        <f t="shared" ref="BF1699:BF1730" si="546">BD1699/BE1699*100</f>
        <v>0</v>
      </c>
      <c r="BG1699" s="373">
        <f>BE1699-BD1699</f>
        <v>13</v>
      </c>
      <c r="BH1699" s="426" t="s">
        <v>3675</v>
      </c>
      <c r="BI1699" s="420"/>
    </row>
    <row r="1700" spans="1:61" s="46" customFormat="1" ht="21" customHeight="1">
      <c r="A1700" s="424">
        <v>2</v>
      </c>
      <c r="B1700" s="418" t="s">
        <v>926</v>
      </c>
      <c r="C1700" s="419" t="s">
        <v>927</v>
      </c>
      <c r="D1700" s="366"/>
      <c r="E1700" s="366"/>
      <c r="F1700" s="366"/>
      <c r="G1700" s="366"/>
      <c r="H1700" s="366"/>
      <c r="I1700" s="366"/>
      <c r="J1700" s="366"/>
      <c r="K1700" s="366"/>
      <c r="L1700" s="366"/>
      <c r="M1700" s="366"/>
      <c r="N1700" s="366"/>
      <c r="O1700" s="366">
        <f>23+1</f>
        <v>24</v>
      </c>
      <c r="P1700" s="366"/>
      <c r="Q1700" s="366"/>
      <c r="R1700" s="366"/>
      <c r="S1700" s="366">
        <v>31</v>
      </c>
      <c r="T1700" s="366"/>
      <c r="U1700" s="366"/>
      <c r="V1700" s="366"/>
      <c r="W1700" s="366"/>
      <c r="X1700" s="366"/>
      <c r="Y1700" s="366"/>
      <c r="Z1700" s="366"/>
      <c r="AA1700" s="366"/>
      <c r="AB1700" s="22">
        <f t="shared" si="542"/>
        <v>55</v>
      </c>
      <c r="AC1700" s="23">
        <v>0</v>
      </c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22">
        <f t="shared" si="543"/>
        <v>0</v>
      </c>
      <c r="BC1700" s="23">
        <v>0</v>
      </c>
      <c r="BD1700" s="130">
        <f t="shared" si="544"/>
        <v>55</v>
      </c>
      <c r="BE1700" s="130">
        <f t="shared" si="545"/>
        <v>0</v>
      </c>
      <c r="BF1700" s="195" t="e">
        <f t="shared" si="546"/>
        <v>#DIV/0!</v>
      </c>
      <c r="BG1700" s="373"/>
      <c r="BH1700" s="426" t="s">
        <v>3675</v>
      </c>
      <c r="BI1700" s="421"/>
    </row>
    <row r="1701" spans="1:61" s="46" customFormat="1" ht="21" customHeight="1">
      <c r="A1701" s="424">
        <v>3</v>
      </c>
      <c r="B1701" s="418" t="s">
        <v>1266</v>
      </c>
      <c r="C1701" s="419" t="s">
        <v>1267</v>
      </c>
      <c r="D1701" s="366"/>
      <c r="E1701" s="366"/>
      <c r="F1701" s="366"/>
      <c r="G1701" s="366"/>
      <c r="H1701" s="366"/>
      <c r="I1701" s="366"/>
      <c r="J1701" s="366"/>
      <c r="K1701" s="366"/>
      <c r="L1701" s="366"/>
      <c r="M1701" s="366"/>
      <c r="N1701" s="366"/>
      <c r="O1701" s="366">
        <f>39+15+1+1</f>
        <v>56</v>
      </c>
      <c r="P1701" s="366"/>
      <c r="Q1701" s="366"/>
      <c r="R1701" s="366"/>
      <c r="S1701" s="366">
        <f>53+2</f>
        <v>55</v>
      </c>
      <c r="T1701" s="366"/>
      <c r="U1701" s="366"/>
      <c r="V1701" s="366"/>
      <c r="W1701" s="366"/>
      <c r="X1701" s="366"/>
      <c r="Y1701" s="366"/>
      <c r="Z1701" s="366"/>
      <c r="AA1701" s="366"/>
      <c r="AB1701" s="22">
        <f t="shared" si="542"/>
        <v>111</v>
      </c>
      <c r="AC1701" s="23">
        <f>1+14</f>
        <v>15</v>
      </c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22">
        <f t="shared" si="543"/>
        <v>0</v>
      </c>
      <c r="BC1701" s="23">
        <v>0</v>
      </c>
      <c r="BD1701" s="130">
        <f t="shared" si="544"/>
        <v>111</v>
      </c>
      <c r="BE1701" s="130">
        <f t="shared" si="545"/>
        <v>15</v>
      </c>
      <c r="BF1701" s="195">
        <f t="shared" si="546"/>
        <v>740</v>
      </c>
      <c r="BG1701" s="373">
        <f>BE1701-BD1701</f>
        <v>-96</v>
      </c>
      <c r="BH1701" s="426" t="s">
        <v>3675</v>
      </c>
      <c r="BI1701" s="421"/>
    </row>
    <row r="1702" spans="1:61" s="46" customFormat="1" ht="21" customHeight="1">
      <c r="A1702" s="555">
        <v>4</v>
      </c>
      <c r="B1702" s="418" t="s">
        <v>2218</v>
      </c>
      <c r="C1702" s="419" t="s">
        <v>2222</v>
      </c>
      <c r="D1702" s="553"/>
      <c r="E1702" s="553"/>
      <c r="F1702" s="553"/>
      <c r="G1702" s="553">
        <f>3+214</f>
        <v>217</v>
      </c>
      <c r="H1702" s="553"/>
      <c r="I1702" s="553"/>
      <c r="J1702" s="553"/>
      <c r="K1702" s="553">
        <f>2+13+7+1517</f>
        <v>1539</v>
      </c>
      <c r="L1702" s="553"/>
      <c r="M1702" s="553"/>
      <c r="N1702" s="553"/>
      <c r="O1702" s="553">
        <f>3838+1+979+2+886+9+390+12+2+14</f>
        <v>6133</v>
      </c>
      <c r="P1702" s="553"/>
      <c r="Q1702" s="553"/>
      <c r="R1702" s="553"/>
      <c r="S1702" s="553">
        <f>3131+875+261+63+19+2</f>
        <v>4351</v>
      </c>
      <c r="T1702" s="553"/>
      <c r="U1702" s="553"/>
      <c r="V1702" s="553"/>
      <c r="W1702" s="553"/>
      <c r="X1702" s="553"/>
      <c r="Y1702" s="553"/>
      <c r="Z1702" s="553"/>
      <c r="AA1702" s="553"/>
      <c r="AB1702" s="22">
        <f t="shared" si="542"/>
        <v>12240</v>
      </c>
      <c r="AC1702" s="23">
        <f>1225+20695</f>
        <v>21920</v>
      </c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22">
        <f t="shared" si="543"/>
        <v>0</v>
      </c>
      <c r="BC1702" s="23">
        <v>0</v>
      </c>
      <c r="BD1702" s="130">
        <f t="shared" si="544"/>
        <v>12240</v>
      </c>
      <c r="BE1702" s="130">
        <f t="shared" si="545"/>
        <v>21920</v>
      </c>
      <c r="BF1702" s="195">
        <f t="shared" si="546"/>
        <v>55.839416058394164</v>
      </c>
      <c r="BG1702" s="373">
        <f>BE1702-BD1702</f>
        <v>9680</v>
      </c>
      <c r="BH1702" s="426" t="s">
        <v>3675</v>
      </c>
      <c r="BI1702" s="421"/>
    </row>
    <row r="1703" spans="1:61" s="46" customFormat="1" ht="21" customHeight="1">
      <c r="A1703" s="417">
        <v>5</v>
      </c>
      <c r="B1703" s="418" t="s">
        <v>2246</v>
      </c>
      <c r="C1703" s="419" t="s">
        <v>2247</v>
      </c>
      <c r="D1703" s="407"/>
      <c r="E1703" s="407"/>
      <c r="F1703" s="407"/>
      <c r="G1703" s="407">
        <v>145</v>
      </c>
      <c r="H1703" s="407"/>
      <c r="I1703" s="407"/>
      <c r="J1703" s="407"/>
      <c r="K1703" s="407">
        <v>306</v>
      </c>
      <c r="L1703" s="407"/>
      <c r="M1703" s="407"/>
      <c r="N1703" s="407"/>
      <c r="O1703" s="407">
        <f>671+805</f>
        <v>1476</v>
      </c>
      <c r="P1703" s="407"/>
      <c r="Q1703" s="407"/>
      <c r="R1703" s="407"/>
      <c r="S1703" s="407">
        <f>689+750</f>
        <v>1439</v>
      </c>
      <c r="T1703" s="407"/>
      <c r="U1703" s="407"/>
      <c r="V1703" s="407"/>
      <c r="W1703" s="407"/>
      <c r="X1703" s="407"/>
      <c r="Y1703" s="407"/>
      <c r="Z1703" s="407"/>
      <c r="AA1703" s="407"/>
      <c r="AB1703" s="22">
        <f t="shared" si="542"/>
        <v>3366</v>
      </c>
      <c r="AC1703" s="23">
        <v>0</v>
      </c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22">
        <f t="shared" si="543"/>
        <v>0</v>
      </c>
      <c r="BC1703" s="23">
        <v>0</v>
      </c>
      <c r="BD1703" s="130">
        <f t="shared" si="544"/>
        <v>3366</v>
      </c>
      <c r="BE1703" s="130">
        <f t="shared" si="545"/>
        <v>0</v>
      </c>
      <c r="BF1703" s="195" t="e">
        <f t="shared" si="546"/>
        <v>#DIV/0!</v>
      </c>
      <c r="BG1703" s="373"/>
      <c r="BH1703" s="426" t="s">
        <v>3675</v>
      </c>
      <c r="BI1703" s="421"/>
    </row>
    <row r="1704" spans="1:61" s="46" customFormat="1" ht="15.95" customHeight="1">
      <c r="A1704" s="367">
        <v>6</v>
      </c>
      <c r="B1704" s="31" t="s">
        <v>876</v>
      </c>
      <c r="C1704" s="32" t="s">
        <v>877</v>
      </c>
      <c r="D1704" s="366"/>
      <c r="E1704" s="366"/>
      <c r="F1704" s="366"/>
      <c r="G1704" s="366"/>
      <c r="H1704" s="366"/>
      <c r="I1704" s="366"/>
      <c r="J1704" s="366"/>
      <c r="K1704" s="366"/>
      <c r="L1704" s="366"/>
      <c r="M1704" s="366"/>
      <c r="N1704" s="366"/>
      <c r="O1704" s="366"/>
      <c r="P1704" s="366"/>
      <c r="Q1704" s="366"/>
      <c r="R1704" s="366"/>
      <c r="S1704" s="366"/>
      <c r="T1704" s="366"/>
      <c r="U1704" s="366"/>
      <c r="V1704" s="366"/>
      <c r="W1704" s="366"/>
      <c r="X1704" s="366"/>
      <c r="Y1704" s="366"/>
      <c r="Z1704" s="366"/>
      <c r="AA1704" s="366"/>
      <c r="AB1704" s="22">
        <f t="shared" si="542"/>
        <v>0</v>
      </c>
      <c r="AC1704" s="23">
        <v>0</v>
      </c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22">
        <f t="shared" si="543"/>
        <v>0</v>
      </c>
      <c r="BC1704" s="23">
        <v>3</v>
      </c>
      <c r="BD1704" s="130">
        <f t="shared" si="544"/>
        <v>0</v>
      </c>
      <c r="BE1704" s="130">
        <f t="shared" si="545"/>
        <v>3</v>
      </c>
      <c r="BF1704" s="195">
        <f t="shared" si="546"/>
        <v>0</v>
      </c>
      <c r="BG1704" s="373">
        <f>BE1704-BD1704</f>
        <v>3</v>
      </c>
    </row>
    <row r="1705" spans="1:61" s="46" customFormat="1" ht="15.95" customHeight="1">
      <c r="A1705" s="367">
        <v>7</v>
      </c>
      <c r="B1705" s="31" t="s">
        <v>736</v>
      </c>
      <c r="C1705" s="32" t="s">
        <v>737</v>
      </c>
      <c r="D1705" s="366"/>
      <c r="E1705" s="366"/>
      <c r="F1705" s="366"/>
      <c r="G1705" s="366"/>
      <c r="H1705" s="366"/>
      <c r="I1705" s="366"/>
      <c r="J1705" s="366"/>
      <c r="K1705" s="366"/>
      <c r="L1705" s="366"/>
      <c r="M1705" s="366"/>
      <c r="N1705" s="366"/>
      <c r="O1705" s="366"/>
      <c r="P1705" s="366"/>
      <c r="Q1705" s="366"/>
      <c r="R1705" s="366"/>
      <c r="S1705" s="366"/>
      <c r="T1705" s="366"/>
      <c r="U1705" s="366"/>
      <c r="V1705" s="366"/>
      <c r="W1705" s="366"/>
      <c r="X1705" s="366"/>
      <c r="Y1705" s="366"/>
      <c r="Z1705" s="366"/>
      <c r="AA1705" s="366"/>
      <c r="AB1705" s="22">
        <f t="shared" si="542"/>
        <v>0</v>
      </c>
      <c r="AC1705" s="23">
        <v>0</v>
      </c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22">
        <f t="shared" si="543"/>
        <v>0</v>
      </c>
      <c r="BC1705" s="23">
        <v>2</v>
      </c>
      <c r="BD1705" s="130">
        <f t="shared" si="544"/>
        <v>0</v>
      </c>
      <c r="BE1705" s="130">
        <f t="shared" si="545"/>
        <v>2</v>
      </c>
      <c r="BF1705" s="195">
        <f t="shared" si="546"/>
        <v>0</v>
      </c>
      <c r="BG1705" s="373">
        <f>BE1705-BD1705</f>
        <v>2</v>
      </c>
    </row>
    <row r="1706" spans="1:61" s="46" customFormat="1" ht="15.95" customHeight="1">
      <c r="A1706" s="549">
        <v>8</v>
      </c>
      <c r="B1706" s="31" t="s">
        <v>3947</v>
      </c>
      <c r="C1706" s="32" t="s">
        <v>3948</v>
      </c>
      <c r="D1706" s="542"/>
      <c r="E1706" s="542"/>
      <c r="F1706" s="542"/>
      <c r="G1706" s="542"/>
      <c r="H1706" s="542"/>
      <c r="I1706" s="542"/>
      <c r="J1706" s="542"/>
      <c r="K1706" s="542"/>
      <c r="L1706" s="542"/>
      <c r="M1706" s="542"/>
      <c r="N1706" s="542"/>
      <c r="O1706" s="542"/>
      <c r="P1706" s="542"/>
      <c r="Q1706" s="542"/>
      <c r="R1706" s="542"/>
      <c r="S1706" s="542"/>
      <c r="T1706" s="542"/>
      <c r="U1706" s="542"/>
      <c r="V1706" s="542"/>
      <c r="W1706" s="542"/>
      <c r="X1706" s="542"/>
      <c r="Y1706" s="542"/>
      <c r="Z1706" s="542"/>
      <c r="AA1706" s="542"/>
      <c r="AB1706" s="22">
        <f t="shared" si="542"/>
        <v>0</v>
      </c>
      <c r="AC1706" s="23">
        <v>0</v>
      </c>
      <c r="AD1706" s="35"/>
      <c r="AE1706" s="35"/>
      <c r="AF1706" s="35"/>
      <c r="AG1706" s="35"/>
      <c r="AH1706" s="35"/>
      <c r="AI1706" s="35"/>
      <c r="AJ1706" s="35"/>
      <c r="AK1706" s="35"/>
      <c r="AL1706" s="35">
        <v>1</v>
      </c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22">
        <f t="shared" si="543"/>
        <v>1</v>
      </c>
      <c r="BC1706" s="23">
        <v>0</v>
      </c>
      <c r="BD1706" s="130">
        <f t="shared" si="544"/>
        <v>1</v>
      </c>
      <c r="BE1706" s="130">
        <f t="shared" si="545"/>
        <v>0</v>
      </c>
      <c r="BF1706" s="195" t="e">
        <f t="shared" si="546"/>
        <v>#DIV/0!</v>
      </c>
      <c r="BG1706" s="373"/>
    </row>
    <row r="1707" spans="1:61" s="46" customFormat="1" ht="15.95" customHeight="1">
      <c r="A1707" s="176">
        <v>9</v>
      </c>
      <c r="B1707" s="31" t="s">
        <v>746</v>
      </c>
      <c r="C1707" s="32" t="s">
        <v>747</v>
      </c>
      <c r="D1707" s="366"/>
      <c r="E1707" s="366"/>
      <c r="F1707" s="366"/>
      <c r="G1707" s="366"/>
      <c r="H1707" s="366"/>
      <c r="I1707" s="366"/>
      <c r="J1707" s="366"/>
      <c r="K1707" s="366"/>
      <c r="L1707" s="366"/>
      <c r="M1707" s="366"/>
      <c r="N1707" s="366"/>
      <c r="O1707" s="366"/>
      <c r="P1707" s="366"/>
      <c r="Q1707" s="366"/>
      <c r="R1707" s="366"/>
      <c r="S1707" s="366"/>
      <c r="T1707" s="366"/>
      <c r="U1707" s="366"/>
      <c r="V1707" s="366"/>
      <c r="W1707" s="366"/>
      <c r="X1707" s="366"/>
      <c r="Y1707" s="366"/>
      <c r="Z1707" s="366"/>
      <c r="AA1707" s="366"/>
      <c r="AB1707" s="22">
        <f t="shared" si="542"/>
        <v>0</v>
      </c>
      <c r="AC1707" s="23">
        <v>0</v>
      </c>
      <c r="AD1707" s="35"/>
      <c r="AE1707" s="35"/>
      <c r="AF1707" s="35"/>
      <c r="AG1707" s="35"/>
      <c r="AH1707" s="35">
        <v>7</v>
      </c>
      <c r="AI1707" s="35"/>
      <c r="AJ1707" s="35"/>
      <c r="AK1707" s="35"/>
      <c r="AL1707" s="35">
        <v>15</v>
      </c>
      <c r="AM1707" s="35"/>
      <c r="AN1707" s="35"/>
      <c r="AO1707" s="35"/>
      <c r="AP1707" s="35">
        <v>3</v>
      </c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22">
        <f t="shared" si="543"/>
        <v>25</v>
      </c>
      <c r="BC1707" s="23">
        <v>236</v>
      </c>
      <c r="BD1707" s="130">
        <f t="shared" si="544"/>
        <v>25</v>
      </c>
      <c r="BE1707" s="130">
        <f t="shared" si="545"/>
        <v>236</v>
      </c>
      <c r="BF1707" s="195">
        <f t="shared" si="546"/>
        <v>10.59322033898305</v>
      </c>
      <c r="BG1707" s="373">
        <f>BE1707-BD1707</f>
        <v>211</v>
      </c>
    </row>
    <row r="1708" spans="1:61" s="46" customFormat="1" ht="15.95" customHeight="1">
      <c r="A1708" s="367">
        <v>10</v>
      </c>
      <c r="B1708" s="31" t="s">
        <v>881</v>
      </c>
      <c r="C1708" s="32" t="s">
        <v>882</v>
      </c>
      <c r="D1708" s="366"/>
      <c r="E1708" s="366"/>
      <c r="F1708" s="366"/>
      <c r="G1708" s="366"/>
      <c r="H1708" s="366">
        <f>13+3</f>
        <v>16</v>
      </c>
      <c r="I1708" s="366"/>
      <c r="J1708" s="366"/>
      <c r="K1708" s="366"/>
      <c r="L1708" s="366">
        <f>9+11</f>
        <v>20</v>
      </c>
      <c r="M1708" s="366"/>
      <c r="N1708" s="366"/>
      <c r="O1708" s="366"/>
      <c r="P1708" s="366">
        <f>23+14</f>
        <v>37</v>
      </c>
      <c r="Q1708" s="366"/>
      <c r="R1708" s="366"/>
      <c r="S1708" s="366"/>
      <c r="T1708" s="366"/>
      <c r="U1708" s="366"/>
      <c r="V1708" s="366"/>
      <c r="W1708" s="366"/>
      <c r="X1708" s="366"/>
      <c r="Y1708" s="366"/>
      <c r="Z1708" s="366"/>
      <c r="AA1708" s="366"/>
      <c r="AB1708" s="22">
        <f t="shared" si="542"/>
        <v>73</v>
      </c>
      <c r="AC1708" s="23">
        <v>103</v>
      </c>
      <c r="AD1708" s="35"/>
      <c r="AE1708" s="35"/>
      <c r="AF1708" s="35"/>
      <c r="AG1708" s="35"/>
      <c r="AH1708" s="35">
        <v>47</v>
      </c>
      <c r="AI1708" s="35"/>
      <c r="AJ1708" s="35"/>
      <c r="AK1708" s="35"/>
      <c r="AL1708" s="35">
        <v>216</v>
      </c>
      <c r="AM1708" s="35"/>
      <c r="AN1708" s="35"/>
      <c r="AO1708" s="35"/>
      <c r="AP1708" s="35">
        <v>214</v>
      </c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22">
        <f t="shared" si="543"/>
        <v>477</v>
      </c>
      <c r="BC1708" s="23">
        <v>1472</v>
      </c>
      <c r="BD1708" s="130">
        <f t="shared" si="544"/>
        <v>550</v>
      </c>
      <c r="BE1708" s="130">
        <f t="shared" si="545"/>
        <v>1575</v>
      </c>
      <c r="BF1708" s="195">
        <f t="shared" si="546"/>
        <v>34.920634920634917</v>
      </c>
      <c r="BG1708" s="373">
        <f>BE1708-BD1708</f>
        <v>1025</v>
      </c>
    </row>
    <row r="1709" spans="1:61" s="46" customFormat="1" ht="15.95" customHeight="1">
      <c r="A1709" s="549">
        <v>11</v>
      </c>
      <c r="B1709" s="31" t="s">
        <v>886</v>
      </c>
      <c r="C1709" s="32" t="s">
        <v>4197</v>
      </c>
      <c r="D1709" s="580"/>
      <c r="E1709" s="580"/>
      <c r="F1709" s="580"/>
      <c r="G1709" s="580"/>
      <c r="H1709" s="580"/>
      <c r="I1709" s="580"/>
      <c r="J1709" s="580"/>
      <c r="K1709" s="580"/>
      <c r="L1709" s="580"/>
      <c r="M1709" s="580"/>
      <c r="N1709" s="580"/>
      <c r="O1709" s="580"/>
      <c r="P1709" s="580">
        <v>1</v>
      </c>
      <c r="Q1709" s="580"/>
      <c r="R1709" s="580"/>
      <c r="S1709" s="580"/>
      <c r="T1709" s="580"/>
      <c r="U1709" s="580"/>
      <c r="V1709" s="580"/>
      <c r="W1709" s="580"/>
      <c r="X1709" s="580"/>
      <c r="Y1709" s="580"/>
      <c r="Z1709" s="580"/>
      <c r="AA1709" s="580"/>
      <c r="AB1709" s="22">
        <f t="shared" si="542"/>
        <v>1</v>
      </c>
      <c r="AC1709" s="23">
        <v>0</v>
      </c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22">
        <f t="shared" si="543"/>
        <v>0</v>
      </c>
      <c r="BC1709" s="23">
        <v>0</v>
      </c>
      <c r="BD1709" s="130">
        <f t="shared" si="544"/>
        <v>1</v>
      </c>
      <c r="BE1709" s="130">
        <f t="shared" si="545"/>
        <v>0</v>
      </c>
      <c r="BF1709" s="195" t="e">
        <f t="shared" si="546"/>
        <v>#DIV/0!</v>
      </c>
      <c r="BG1709" s="373"/>
    </row>
    <row r="1710" spans="1:61" s="46" customFormat="1" ht="18" customHeight="1">
      <c r="A1710" s="176">
        <v>12</v>
      </c>
      <c r="B1710" s="31" t="s">
        <v>621</v>
      </c>
      <c r="C1710" s="32" t="s">
        <v>2103</v>
      </c>
      <c r="D1710" s="366"/>
      <c r="E1710" s="366"/>
      <c r="F1710" s="366"/>
      <c r="G1710" s="366"/>
      <c r="H1710" s="366"/>
      <c r="I1710" s="366"/>
      <c r="J1710" s="366"/>
      <c r="K1710" s="366"/>
      <c r="L1710" s="366"/>
      <c r="M1710" s="366"/>
      <c r="N1710" s="366"/>
      <c r="O1710" s="366"/>
      <c r="P1710" s="366"/>
      <c r="Q1710" s="366"/>
      <c r="R1710" s="366"/>
      <c r="S1710" s="366"/>
      <c r="T1710" s="366"/>
      <c r="U1710" s="366"/>
      <c r="V1710" s="366"/>
      <c r="W1710" s="366"/>
      <c r="X1710" s="366"/>
      <c r="Y1710" s="366"/>
      <c r="Z1710" s="366"/>
      <c r="AA1710" s="366"/>
      <c r="AB1710" s="22">
        <f t="shared" si="542"/>
        <v>0</v>
      </c>
      <c r="AC1710" s="23">
        <v>0</v>
      </c>
      <c r="AD1710" s="35"/>
      <c r="AE1710" s="35"/>
      <c r="AF1710" s="35"/>
      <c r="AG1710" s="35"/>
      <c r="AH1710" s="35"/>
      <c r="AI1710" s="35"/>
      <c r="AJ1710" s="35"/>
      <c r="AK1710" s="35"/>
      <c r="AL1710" s="35">
        <v>10</v>
      </c>
      <c r="AM1710" s="35"/>
      <c r="AN1710" s="35"/>
      <c r="AO1710" s="35"/>
      <c r="AP1710" s="35">
        <v>6</v>
      </c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22">
        <f t="shared" si="543"/>
        <v>16</v>
      </c>
      <c r="BC1710" s="23">
        <v>24</v>
      </c>
      <c r="BD1710" s="130">
        <f t="shared" si="544"/>
        <v>16</v>
      </c>
      <c r="BE1710" s="130">
        <f t="shared" si="545"/>
        <v>24</v>
      </c>
      <c r="BF1710" s="195">
        <f t="shared" si="546"/>
        <v>66.666666666666657</v>
      </c>
      <c r="BG1710" s="373">
        <f>BE1710-BD1710</f>
        <v>8</v>
      </c>
    </row>
    <row r="1711" spans="1:61" s="46" customFormat="1" ht="18" customHeight="1">
      <c r="A1711" s="367">
        <v>13</v>
      </c>
      <c r="B1711" s="31" t="s">
        <v>2334</v>
      </c>
      <c r="C1711" s="32" t="s">
        <v>2335</v>
      </c>
      <c r="D1711" s="366"/>
      <c r="E1711" s="366"/>
      <c r="F1711" s="366"/>
      <c r="G1711" s="366"/>
      <c r="H1711" s="366"/>
      <c r="I1711" s="366"/>
      <c r="J1711" s="366"/>
      <c r="K1711" s="366"/>
      <c r="L1711" s="366"/>
      <c r="M1711" s="366"/>
      <c r="N1711" s="366"/>
      <c r="O1711" s="366"/>
      <c r="P1711" s="366"/>
      <c r="Q1711" s="366"/>
      <c r="R1711" s="366"/>
      <c r="S1711" s="366"/>
      <c r="T1711" s="366"/>
      <c r="U1711" s="366"/>
      <c r="V1711" s="366"/>
      <c r="W1711" s="366"/>
      <c r="X1711" s="366"/>
      <c r="Y1711" s="366"/>
      <c r="Z1711" s="366"/>
      <c r="AA1711" s="366"/>
      <c r="AB1711" s="22">
        <f t="shared" si="542"/>
        <v>0</v>
      </c>
      <c r="AC1711" s="23">
        <v>0</v>
      </c>
      <c r="AD1711" s="35"/>
      <c r="AE1711" s="35"/>
      <c r="AF1711" s="35"/>
      <c r="AG1711" s="35"/>
      <c r="AH1711" s="35"/>
      <c r="AI1711" s="35"/>
      <c r="AJ1711" s="35"/>
      <c r="AK1711" s="35"/>
      <c r="AL1711" s="35">
        <v>2</v>
      </c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22">
        <f t="shared" si="543"/>
        <v>2</v>
      </c>
      <c r="BC1711" s="23">
        <v>2</v>
      </c>
      <c r="BD1711" s="130">
        <f t="shared" si="544"/>
        <v>2</v>
      </c>
      <c r="BE1711" s="130">
        <f t="shared" si="545"/>
        <v>2</v>
      </c>
      <c r="BF1711" s="195">
        <f t="shared" si="546"/>
        <v>100</v>
      </c>
      <c r="BG1711" s="373">
        <f>BE1711-BD1711</f>
        <v>0</v>
      </c>
    </row>
    <row r="1712" spans="1:61" s="46" customFormat="1" ht="18" customHeight="1">
      <c r="A1712" s="549">
        <v>14</v>
      </c>
      <c r="B1712" s="31" t="s">
        <v>1214</v>
      </c>
      <c r="C1712" s="32" t="s">
        <v>1215</v>
      </c>
      <c r="D1712" s="552"/>
      <c r="E1712" s="552"/>
      <c r="F1712" s="552"/>
      <c r="G1712" s="552"/>
      <c r="H1712" s="552"/>
      <c r="I1712" s="552"/>
      <c r="J1712" s="552"/>
      <c r="K1712" s="552"/>
      <c r="L1712" s="552"/>
      <c r="M1712" s="552"/>
      <c r="N1712" s="552"/>
      <c r="O1712" s="552"/>
      <c r="P1712" s="552"/>
      <c r="Q1712" s="552"/>
      <c r="R1712" s="552"/>
      <c r="S1712" s="552"/>
      <c r="T1712" s="552"/>
      <c r="U1712" s="552"/>
      <c r="V1712" s="552"/>
      <c r="W1712" s="552"/>
      <c r="X1712" s="552"/>
      <c r="Y1712" s="552"/>
      <c r="Z1712" s="552"/>
      <c r="AA1712" s="552"/>
      <c r="AB1712" s="22">
        <f t="shared" si="542"/>
        <v>0</v>
      </c>
      <c r="AC1712" s="23">
        <v>0</v>
      </c>
      <c r="AD1712" s="35"/>
      <c r="AE1712" s="35"/>
      <c r="AF1712" s="35"/>
      <c r="AG1712" s="35"/>
      <c r="AH1712" s="35"/>
      <c r="AI1712" s="35"/>
      <c r="AJ1712" s="35"/>
      <c r="AK1712" s="35"/>
      <c r="AL1712" s="35">
        <v>1</v>
      </c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22">
        <f t="shared" si="543"/>
        <v>1</v>
      </c>
      <c r="BC1712" s="23">
        <v>0</v>
      </c>
      <c r="BD1712" s="130">
        <f t="shared" si="544"/>
        <v>1</v>
      </c>
      <c r="BE1712" s="130">
        <f t="shared" si="545"/>
        <v>0</v>
      </c>
      <c r="BF1712" s="195" t="e">
        <f t="shared" si="546"/>
        <v>#DIV/0!</v>
      </c>
      <c r="BG1712" s="373"/>
    </row>
    <row r="1713" spans="1:59" s="46" customFormat="1" ht="18" customHeight="1">
      <c r="A1713" s="176">
        <v>15</v>
      </c>
      <c r="B1713" s="31" t="s">
        <v>748</v>
      </c>
      <c r="C1713" s="32" t="s">
        <v>749</v>
      </c>
      <c r="D1713" s="366"/>
      <c r="E1713" s="366"/>
      <c r="F1713" s="366"/>
      <c r="G1713" s="366"/>
      <c r="H1713" s="366"/>
      <c r="I1713" s="366"/>
      <c r="J1713" s="366"/>
      <c r="K1713" s="366"/>
      <c r="L1713" s="366"/>
      <c r="M1713" s="366"/>
      <c r="N1713" s="366"/>
      <c r="O1713" s="366"/>
      <c r="P1713" s="366"/>
      <c r="Q1713" s="366"/>
      <c r="R1713" s="366"/>
      <c r="S1713" s="366"/>
      <c r="T1713" s="366"/>
      <c r="U1713" s="366"/>
      <c r="V1713" s="366"/>
      <c r="W1713" s="366"/>
      <c r="X1713" s="366"/>
      <c r="Y1713" s="366"/>
      <c r="Z1713" s="366"/>
      <c r="AA1713" s="366"/>
      <c r="AB1713" s="22">
        <f t="shared" si="542"/>
        <v>0</v>
      </c>
      <c r="AC1713" s="23">
        <v>0</v>
      </c>
      <c r="AD1713" s="35"/>
      <c r="AE1713" s="35"/>
      <c r="AF1713" s="35"/>
      <c r="AG1713" s="35"/>
      <c r="AH1713" s="35">
        <v>4</v>
      </c>
      <c r="AI1713" s="35"/>
      <c r="AJ1713" s="35"/>
      <c r="AK1713" s="35"/>
      <c r="AL1713" s="35">
        <v>4</v>
      </c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22">
        <f t="shared" si="543"/>
        <v>8</v>
      </c>
      <c r="BC1713" s="23">
        <v>7</v>
      </c>
      <c r="BD1713" s="130">
        <f t="shared" si="544"/>
        <v>8</v>
      </c>
      <c r="BE1713" s="130">
        <f t="shared" si="545"/>
        <v>7</v>
      </c>
      <c r="BF1713" s="195">
        <f t="shared" si="546"/>
        <v>114.28571428571428</v>
      </c>
      <c r="BG1713" s="373">
        <f t="shared" ref="BG1713:BG1724" si="547">BE1713-BD1713</f>
        <v>-1</v>
      </c>
    </row>
    <row r="1714" spans="1:59" s="46" customFormat="1" ht="18" customHeight="1">
      <c r="A1714" s="367">
        <v>16</v>
      </c>
      <c r="B1714" s="31" t="s">
        <v>1066</v>
      </c>
      <c r="C1714" s="32" t="s">
        <v>1067</v>
      </c>
      <c r="D1714" s="231"/>
      <c r="E1714" s="231"/>
      <c r="F1714" s="231"/>
      <c r="G1714" s="231"/>
      <c r="H1714" s="231"/>
      <c r="I1714" s="231"/>
      <c r="J1714" s="231"/>
      <c r="K1714" s="231"/>
      <c r="L1714" s="231"/>
      <c r="M1714" s="231"/>
      <c r="N1714" s="231"/>
      <c r="O1714" s="231"/>
      <c r="P1714" s="231"/>
      <c r="Q1714" s="231"/>
      <c r="R1714" s="231"/>
      <c r="S1714" s="231"/>
      <c r="T1714" s="231"/>
      <c r="U1714" s="231"/>
      <c r="V1714" s="231"/>
      <c r="W1714" s="231"/>
      <c r="X1714" s="231"/>
      <c r="Y1714" s="231"/>
      <c r="Z1714" s="231"/>
      <c r="AA1714" s="231"/>
      <c r="AB1714" s="22">
        <f t="shared" si="542"/>
        <v>0</v>
      </c>
      <c r="AC1714" s="23">
        <v>0</v>
      </c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22">
        <f t="shared" si="543"/>
        <v>0</v>
      </c>
      <c r="BC1714" s="23">
        <v>1</v>
      </c>
      <c r="BD1714" s="130">
        <f t="shared" si="544"/>
        <v>0</v>
      </c>
      <c r="BE1714" s="130">
        <f t="shared" si="545"/>
        <v>1</v>
      </c>
      <c r="BF1714" s="195">
        <f t="shared" si="546"/>
        <v>0</v>
      </c>
      <c r="BG1714" s="373">
        <f t="shared" si="547"/>
        <v>1</v>
      </c>
    </row>
    <row r="1715" spans="1:59" s="46" customFormat="1" ht="18.75" customHeight="1">
      <c r="A1715" s="549">
        <v>17</v>
      </c>
      <c r="B1715" s="31" t="s">
        <v>750</v>
      </c>
      <c r="C1715" s="32" t="s">
        <v>751</v>
      </c>
      <c r="D1715" s="231"/>
      <c r="E1715" s="231"/>
      <c r="F1715" s="231"/>
      <c r="G1715" s="231"/>
      <c r="H1715" s="231"/>
      <c r="I1715" s="231"/>
      <c r="J1715" s="231"/>
      <c r="K1715" s="231"/>
      <c r="L1715" s="231"/>
      <c r="M1715" s="231"/>
      <c r="N1715" s="231"/>
      <c r="O1715" s="231"/>
      <c r="P1715" s="231"/>
      <c r="Q1715" s="231"/>
      <c r="R1715" s="231"/>
      <c r="S1715" s="231"/>
      <c r="T1715" s="231"/>
      <c r="U1715" s="231"/>
      <c r="V1715" s="231"/>
      <c r="W1715" s="231"/>
      <c r="X1715" s="231"/>
      <c r="Y1715" s="231"/>
      <c r="Z1715" s="231"/>
      <c r="AA1715" s="231"/>
      <c r="AB1715" s="22">
        <f t="shared" si="542"/>
        <v>0</v>
      </c>
      <c r="AC1715" s="23">
        <v>5</v>
      </c>
      <c r="AD1715" s="35">
        <v>7</v>
      </c>
      <c r="AE1715" s="35"/>
      <c r="AF1715" s="35"/>
      <c r="AG1715" s="35"/>
      <c r="AH1715" s="35">
        <f>6+5+18+3</f>
        <v>32</v>
      </c>
      <c r="AI1715" s="35"/>
      <c r="AJ1715" s="35"/>
      <c r="AK1715" s="35"/>
      <c r="AL1715" s="35">
        <f>20+20+124+8</f>
        <v>172</v>
      </c>
      <c r="AM1715" s="35"/>
      <c r="AN1715" s="35"/>
      <c r="AO1715" s="35"/>
      <c r="AP1715" s="35">
        <f>18+12+66+3</f>
        <v>99</v>
      </c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22">
        <f t="shared" si="543"/>
        <v>310</v>
      </c>
      <c r="BC1715" s="23">
        <v>415</v>
      </c>
      <c r="BD1715" s="130">
        <f t="shared" si="544"/>
        <v>310</v>
      </c>
      <c r="BE1715" s="130">
        <f t="shared" si="545"/>
        <v>420</v>
      </c>
      <c r="BF1715" s="195">
        <f t="shared" si="546"/>
        <v>73.80952380952381</v>
      </c>
      <c r="BG1715" s="373">
        <f t="shared" si="547"/>
        <v>110</v>
      </c>
    </row>
    <row r="1716" spans="1:59" s="46" customFormat="1" ht="18.75" customHeight="1">
      <c r="A1716" s="176">
        <v>18</v>
      </c>
      <c r="B1716" s="31" t="s">
        <v>930</v>
      </c>
      <c r="C1716" s="32" t="s">
        <v>931</v>
      </c>
      <c r="D1716" s="231"/>
      <c r="E1716" s="231"/>
      <c r="F1716" s="231"/>
      <c r="G1716" s="231"/>
      <c r="H1716" s="231"/>
      <c r="I1716" s="231"/>
      <c r="J1716" s="231"/>
      <c r="K1716" s="231"/>
      <c r="L1716" s="231"/>
      <c r="M1716" s="231"/>
      <c r="N1716" s="231"/>
      <c r="O1716" s="231"/>
      <c r="P1716" s="231"/>
      <c r="Q1716" s="231"/>
      <c r="R1716" s="231"/>
      <c r="S1716" s="231"/>
      <c r="T1716" s="231"/>
      <c r="U1716" s="231"/>
      <c r="V1716" s="231"/>
      <c r="W1716" s="231"/>
      <c r="X1716" s="231"/>
      <c r="Y1716" s="231"/>
      <c r="Z1716" s="231"/>
      <c r="AA1716" s="231"/>
      <c r="AB1716" s="22">
        <f t="shared" si="542"/>
        <v>0</v>
      </c>
      <c r="AC1716" s="23">
        <v>0</v>
      </c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22">
        <f t="shared" si="543"/>
        <v>0</v>
      </c>
      <c r="BC1716" s="23">
        <v>7</v>
      </c>
      <c r="BD1716" s="130">
        <f t="shared" si="544"/>
        <v>0</v>
      </c>
      <c r="BE1716" s="130">
        <f t="shared" si="545"/>
        <v>7</v>
      </c>
      <c r="BF1716" s="195">
        <f t="shared" si="546"/>
        <v>0</v>
      </c>
      <c r="BG1716" s="373">
        <f t="shared" si="547"/>
        <v>7</v>
      </c>
    </row>
    <row r="1717" spans="1:59" s="46" customFormat="1" ht="15.95" customHeight="1">
      <c r="A1717" s="367">
        <v>19</v>
      </c>
      <c r="B1717" s="37" t="s">
        <v>932</v>
      </c>
      <c r="C1717" s="132" t="s">
        <v>933</v>
      </c>
      <c r="D1717" s="231"/>
      <c r="E1717" s="231"/>
      <c r="F1717" s="231"/>
      <c r="G1717" s="231"/>
      <c r="H1717" s="231"/>
      <c r="I1717" s="231"/>
      <c r="J1717" s="231"/>
      <c r="K1717" s="231"/>
      <c r="L1717" s="231"/>
      <c r="M1717" s="231"/>
      <c r="N1717" s="231"/>
      <c r="O1717" s="231"/>
      <c r="P1717" s="231"/>
      <c r="Q1717" s="231"/>
      <c r="R1717" s="231"/>
      <c r="S1717" s="231"/>
      <c r="T1717" s="231"/>
      <c r="U1717" s="231"/>
      <c r="V1717" s="231"/>
      <c r="W1717" s="231"/>
      <c r="X1717" s="231"/>
      <c r="Y1717" s="231"/>
      <c r="Z1717" s="231"/>
      <c r="AA1717" s="231"/>
      <c r="AB1717" s="22">
        <f t="shared" si="542"/>
        <v>0</v>
      </c>
      <c r="AC1717" s="23">
        <v>0</v>
      </c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>
        <v>31</v>
      </c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22">
        <f t="shared" si="543"/>
        <v>31</v>
      </c>
      <c r="BC1717" s="23">
        <v>48</v>
      </c>
      <c r="BD1717" s="130">
        <f t="shared" si="544"/>
        <v>31</v>
      </c>
      <c r="BE1717" s="130">
        <f t="shared" si="545"/>
        <v>48</v>
      </c>
      <c r="BF1717" s="195">
        <f t="shared" si="546"/>
        <v>64.583333333333343</v>
      </c>
      <c r="BG1717" s="373">
        <f t="shared" si="547"/>
        <v>17</v>
      </c>
    </row>
    <row r="1718" spans="1:59" s="46" customFormat="1" ht="15.95" customHeight="1">
      <c r="A1718" s="549">
        <v>20</v>
      </c>
      <c r="B1718" s="31" t="s">
        <v>752</v>
      </c>
      <c r="C1718" s="32" t="s">
        <v>753</v>
      </c>
      <c r="D1718" s="324"/>
      <c r="E1718" s="324"/>
      <c r="F1718" s="324"/>
      <c r="G1718" s="324"/>
      <c r="H1718" s="324"/>
      <c r="I1718" s="324"/>
      <c r="J1718" s="324"/>
      <c r="K1718" s="324"/>
      <c r="L1718" s="324"/>
      <c r="M1718" s="324"/>
      <c r="N1718" s="324"/>
      <c r="O1718" s="324"/>
      <c r="P1718" s="324"/>
      <c r="Q1718" s="324"/>
      <c r="R1718" s="324"/>
      <c r="S1718" s="324"/>
      <c r="T1718" s="324"/>
      <c r="U1718" s="324"/>
      <c r="V1718" s="324"/>
      <c r="W1718" s="324"/>
      <c r="X1718" s="324"/>
      <c r="Y1718" s="324"/>
      <c r="Z1718" s="324"/>
      <c r="AA1718" s="324"/>
      <c r="AB1718" s="22">
        <f t="shared" si="542"/>
        <v>0</v>
      </c>
      <c r="AC1718" s="23">
        <v>0</v>
      </c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22">
        <f t="shared" si="543"/>
        <v>0</v>
      </c>
      <c r="BC1718" s="23">
        <v>42</v>
      </c>
      <c r="BD1718" s="130">
        <f t="shared" si="544"/>
        <v>0</v>
      </c>
      <c r="BE1718" s="130">
        <f t="shared" si="545"/>
        <v>42</v>
      </c>
      <c r="BF1718" s="195">
        <f t="shared" si="546"/>
        <v>0</v>
      </c>
      <c r="BG1718" s="373">
        <f t="shared" si="547"/>
        <v>42</v>
      </c>
    </row>
    <row r="1719" spans="1:59" s="46" customFormat="1" ht="15.95" customHeight="1">
      <c r="A1719" s="176">
        <v>21</v>
      </c>
      <c r="B1719" s="37" t="s">
        <v>754</v>
      </c>
      <c r="C1719" s="38" t="s">
        <v>889</v>
      </c>
      <c r="D1719" s="231"/>
      <c r="E1719" s="231"/>
      <c r="F1719" s="231"/>
      <c r="G1719" s="231"/>
      <c r="H1719" s="231"/>
      <c r="I1719" s="231"/>
      <c r="J1719" s="231"/>
      <c r="K1719" s="231"/>
      <c r="L1719" s="231"/>
      <c r="M1719" s="231"/>
      <c r="N1719" s="231"/>
      <c r="O1719" s="231"/>
      <c r="P1719" s="231"/>
      <c r="Q1719" s="231"/>
      <c r="R1719" s="231"/>
      <c r="S1719" s="231"/>
      <c r="T1719" s="231"/>
      <c r="U1719" s="231"/>
      <c r="V1719" s="231"/>
      <c r="W1719" s="231"/>
      <c r="X1719" s="231"/>
      <c r="Y1719" s="231"/>
      <c r="Z1719" s="231"/>
      <c r="AA1719" s="231"/>
      <c r="AB1719" s="22">
        <f t="shared" si="542"/>
        <v>0</v>
      </c>
      <c r="AC1719" s="23">
        <v>1</v>
      </c>
      <c r="AD1719" s="35"/>
      <c r="AE1719" s="35"/>
      <c r="AF1719" s="35"/>
      <c r="AG1719" s="35"/>
      <c r="AH1719" s="35">
        <f>1+9</f>
        <v>10</v>
      </c>
      <c r="AI1719" s="35"/>
      <c r="AJ1719" s="35"/>
      <c r="AK1719" s="35"/>
      <c r="AL1719" s="35">
        <v>23</v>
      </c>
      <c r="AM1719" s="35"/>
      <c r="AN1719" s="35"/>
      <c r="AO1719" s="35"/>
      <c r="AP1719" s="35">
        <f>3+29</f>
        <v>32</v>
      </c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22">
        <f t="shared" si="543"/>
        <v>65</v>
      </c>
      <c r="BC1719" s="23">
        <v>143</v>
      </c>
      <c r="BD1719" s="130">
        <f t="shared" si="544"/>
        <v>65</v>
      </c>
      <c r="BE1719" s="130">
        <f t="shared" si="545"/>
        <v>144</v>
      </c>
      <c r="BF1719" s="195">
        <f t="shared" si="546"/>
        <v>45.138888888888893</v>
      </c>
      <c r="BG1719" s="373">
        <f t="shared" si="547"/>
        <v>79</v>
      </c>
    </row>
    <row r="1720" spans="1:59" s="46" customFormat="1" ht="15.95" customHeight="1">
      <c r="A1720" s="367">
        <v>22</v>
      </c>
      <c r="B1720" s="31" t="s">
        <v>756</v>
      </c>
      <c r="C1720" s="32" t="s">
        <v>757</v>
      </c>
      <c r="D1720" s="231"/>
      <c r="E1720" s="231"/>
      <c r="F1720" s="231"/>
      <c r="G1720" s="231"/>
      <c r="H1720" s="231">
        <f>18+52</f>
        <v>70</v>
      </c>
      <c r="I1720" s="231"/>
      <c r="J1720" s="231"/>
      <c r="K1720" s="231"/>
      <c r="L1720" s="231">
        <f>72+182</f>
        <v>254</v>
      </c>
      <c r="M1720" s="231"/>
      <c r="N1720" s="231"/>
      <c r="O1720" s="231"/>
      <c r="P1720" s="231">
        <f>63+145</f>
        <v>208</v>
      </c>
      <c r="Q1720" s="231"/>
      <c r="R1720" s="231"/>
      <c r="S1720" s="231"/>
      <c r="T1720" s="231"/>
      <c r="U1720" s="231"/>
      <c r="V1720" s="231"/>
      <c r="W1720" s="231"/>
      <c r="X1720" s="231"/>
      <c r="Y1720" s="231"/>
      <c r="Z1720" s="231"/>
      <c r="AA1720" s="231"/>
      <c r="AB1720" s="22">
        <f t="shared" si="542"/>
        <v>532</v>
      </c>
      <c r="AC1720" s="23">
        <v>1035</v>
      </c>
      <c r="AD1720" s="35">
        <f>2+1+39</f>
        <v>42</v>
      </c>
      <c r="AE1720" s="35"/>
      <c r="AF1720" s="35"/>
      <c r="AG1720" s="35"/>
      <c r="AH1720" s="35">
        <f>228+122+1</f>
        <v>351</v>
      </c>
      <c r="AI1720" s="35"/>
      <c r="AJ1720" s="35"/>
      <c r="AK1720" s="35"/>
      <c r="AL1720" s="35">
        <f>535+726+19</f>
        <v>1280</v>
      </c>
      <c r="AM1720" s="35"/>
      <c r="AN1720" s="35"/>
      <c r="AO1720" s="35"/>
      <c r="AP1720" s="35">
        <f>443+8+398+6</f>
        <v>855</v>
      </c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22">
        <f t="shared" si="543"/>
        <v>2528</v>
      </c>
      <c r="BC1720" s="23">
        <v>4512</v>
      </c>
      <c r="BD1720" s="130">
        <f t="shared" si="544"/>
        <v>3060</v>
      </c>
      <c r="BE1720" s="130">
        <f t="shared" si="545"/>
        <v>5547</v>
      </c>
      <c r="BF1720" s="195">
        <f t="shared" si="546"/>
        <v>55.164954029204971</v>
      </c>
      <c r="BG1720" s="373">
        <f t="shared" si="547"/>
        <v>2487</v>
      </c>
    </row>
    <row r="1721" spans="1:59" s="46" customFormat="1" ht="15.95" customHeight="1">
      <c r="A1721" s="549">
        <v>23</v>
      </c>
      <c r="B1721" s="31" t="s">
        <v>758</v>
      </c>
      <c r="C1721" s="32" t="s">
        <v>759</v>
      </c>
      <c r="D1721" s="231"/>
      <c r="E1721" s="231"/>
      <c r="F1721" s="231"/>
      <c r="G1721" s="231"/>
      <c r="H1721" s="231"/>
      <c r="I1721" s="231"/>
      <c r="J1721" s="231"/>
      <c r="K1721" s="231"/>
      <c r="L1721" s="231"/>
      <c r="M1721" s="231"/>
      <c r="N1721" s="231"/>
      <c r="O1721" s="231"/>
      <c r="P1721" s="231"/>
      <c r="Q1721" s="231"/>
      <c r="R1721" s="231"/>
      <c r="S1721" s="231"/>
      <c r="T1721" s="231"/>
      <c r="U1721" s="231"/>
      <c r="V1721" s="231"/>
      <c r="W1721" s="231"/>
      <c r="X1721" s="231"/>
      <c r="Y1721" s="231"/>
      <c r="Z1721" s="231"/>
      <c r="AA1721" s="231"/>
      <c r="AB1721" s="22">
        <f t="shared" si="542"/>
        <v>0</v>
      </c>
      <c r="AC1721" s="23">
        <v>0</v>
      </c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22">
        <f t="shared" si="543"/>
        <v>0</v>
      </c>
      <c r="BC1721" s="23">
        <v>68</v>
      </c>
      <c r="BD1721" s="130">
        <f t="shared" si="544"/>
        <v>0</v>
      </c>
      <c r="BE1721" s="130">
        <f t="shared" si="545"/>
        <v>68</v>
      </c>
      <c r="BF1721" s="195">
        <f t="shared" si="546"/>
        <v>0</v>
      </c>
      <c r="BG1721" s="373">
        <f t="shared" si="547"/>
        <v>68</v>
      </c>
    </row>
    <row r="1722" spans="1:59" s="46" customFormat="1" ht="15.95" customHeight="1">
      <c r="A1722" s="176">
        <v>24</v>
      </c>
      <c r="B1722" s="31" t="s">
        <v>760</v>
      </c>
      <c r="C1722" s="32" t="s">
        <v>891</v>
      </c>
      <c r="D1722" s="231"/>
      <c r="E1722" s="231"/>
      <c r="F1722" s="231"/>
      <c r="G1722" s="231"/>
      <c r="H1722" s="231"/>
      <c r="I1722" s="231"/>
      <c r="J1722" s="231"/>
      <c r="K1722" s="231"/>
      <c r="L1722" s="231"/>
      <c r="M1722" s="231"/>
      <c r="N1722" s="231"/>
      <c r="O1722" s="231"/>
      <c r="P1722" s="231"/>
      <c r="Q1722" s="231"/>
      <c r="R1722" s="231"/>
      <c r="S1722" s="231"/>
      <c r="T1722" s="231"/>
      <c r="U1722" s="231"/>
      <c r="V1722" s="231"/>
      <c r="W1722" s="231"/>
      <c r="X1722" s="231"/>
      <c r="Y1722" s="231"/>
      <c r="Z1722" s="231"/>
      <c r="AA1722" s="231"/>
      <c r="AB1722" s="22">
        <f t="shared" si="542"/>
        <v>0</v>
      </c>
      <c r="AC1722" s="23">
        <v>0</v>
      </c>
      <c r="AD1722" s="35"/>
      <c r="AE1722" s="35"/>
      <c r="AF1722" s="35"/>
      <c r="AG1722" s="35"/>
      <c r="AH1722" s="35">
        <v>3</v>
      </c>
      <c r="AI1722" s="35"/>
      <c r="AJ1722" s="35"/>
      <c r="AK1722" s="35"/>
      <c r="AL1722" s="35">
        <v>3</v>
      </c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22">
        <f t="shared" si="543"/>
        <v>6</v>
      </c>
      <c r="BC1722" s="23">
        <v>3</v>
      </c>
      <c r="BD1722" s="130">
        <f t="shared" si="544"/>
        <v>6</v>
      </c>
      <c r="BE1722" s="130">
        <f t="shared" si="545"/>
        <v>3</v>
      </c>
      <c r="BF1722" s="195">
        <f t="shared" si="546"/>
        <v>200</v>
      </c>
      <c r="BG1722" s="373">
        <f t="shared" si="547"/>
        <v>-3</v>
      </c>
    </row>
    <row r="1723" spans="1:59" s="46" customFormat="1" ht="15.95" customHeight="1">
      <c r="A1723" s="367">
        <v>25</v>
      </c>
      <c r="B1723" s="31" t="s">
        <v>762</v>
      </c>
      <c r="C1723" s="32" t="s">
        <v>1068</v>
      </c>
      <c r="D1723" s="231"/>
      <c r="E1723" s="231"/>
      <c r="F1723" s="231"/>
      <c r="G1723" s="231"/>
      <c r="H1723" s="231"/>
      <c r="I1723" s="231"/>
      <c r="J1723" s="231"/>
      <c r="K1723" s="231"/>
      <c r="L1723" s="231"/>
      <c r="M1723" s="231"/>
      <c r="N1723" s="231"/>
      <c r="O1723" s="231"/>
      <c r="P1723" s="231"/>
      <c r="Q1723" s="231"/>
      <c r="R1723" s="231"/>
      <c r="S1723" s="231"/>
      <c r="T1723" s="231"/>
      <c r="U1723" s="231"/>
      <c r="V1723" s="231"/>
      <c r="W1723" s="231"/>
      <c r="X1723" s="231"/>
      <c r="Y1723" s="231"/>
      <c r="Z1723" s="231"/>
      <c r="AA1723" s="231"/>
      <c r="AB1723" s="22">
        <f t="shared" si="542"/>
        <v>0</v>
      </c>
      <c r="AC1723" s="23">
        <v>0</v>
      </c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22">
        <f t="shared" si="543"/>
        <v>0</v>
      </c>
      <c r="BC1723" s="23">
        <v>2</v>
      </c>
      <c r="BD1723" s="130">
        <f t="shared" si="544"/>
        <v>0</v>
      </c>
      <c r="BE1723" s="130">
        <f t="shared" si="545"/>
        <v>2</v>
      </c>
      <c r="BF1723" s="195">
        <f t="shared" si="546"/>
        <v>0</v>
      </c>
      <c r="BG1723" s="373">
        <f t="shared" si="547"/>
        <v>2</v>
      </c>
    </row>
    <row r="1724" spans="1:59" s="46" customFormat="1" ht="15.95" customHeight="1">
      <c r="A1724" s="549">
        <v>26</v>
      </c>
      <c r="B1724" s="31" t="s">
        <v>763</v>
      </c>
      <c r="C1724" s="32" t="s">
        <v>891</v>
      </c>
      <c r="D1724" s="324"/>
      <c r="E1724" s="324"/>
      <c r="F1724" s="324"/>
      <c r="G1724" s="324"/>
      <c r="H1724" s="324"/>
      <c r="I1724" s="324"/>
      <c r="J1724" s="324"/>
      <c r="K1724" s="324"/>
      <c r="L1724" s="324"/>
      <c r="M1724" s="324"/>
      <c r="N1724" s="324"/>
      <c r="O1724" s="324"/>
      <c r="P1724" s="324"/>
      <c r="Q1724" s="324"/>
      <c r="R1724" s="324"/>
      <c r="S1724" s="324"/>
      <c r="T1724" s="324"/>
      <c r="U1724" s="324"/>
      <c r="V1724" s="324"/>
      <c r="W1724" s="324"/>
      <c r="X1724" s="324"/>
      <c r="Y1724" s="324"/>
      <c r="Z1724" s="324"/>
      <c r="AA1724" s="324"/>
      <c r="AB1724" s="22">
        <f t="shared" si="542"/>
        <v>0</v>
      </c>
      <c r="AC1724" s="23">
        <v>0</v>
      </c>
      <c r="AD1724" s="35"/>
      <c r="AE1724" s="35"/>
      <c r="AF1724" s="35"/>
      <c r="AG1724" s="35"/>
      <c r="AH1724" s="35">
        <v>2</v>
      </c>
      <c r="AI1724" s="35"/>
      <c r="AJ1724" s="35"/>
      <c r="AK1724" s="35"/>
      <c r="AL1724" s="35">
        <v>4</v>
      </c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22">
        <f t="shared" si="543"/>
        <v>6</v>
      </c>
      <c r="BC1724" s="23">
        <v>10</v>
      </c>
      <c r="BD1724" s="130">
        <f t="shared" si="544"/>
        <v>6</v>
      </c>
      <c r="BE1724" s="130">
        <f t="shared" si="545"/>
        <v>10</v>
      </c>
      <c r="BF1724" s="195">
        <f t="shared" si="546"/>
        <v>60</v>
      </c>
      <c r="BG1724" s="373">
        <f t="shared" si="547"/>
        <v>4</v>
      </c>
    </row>
    <row r="1725" spans="1:59" s="46" customFormat="1" ht="15.95" customHeight="1">
      <c r="A1725" s="176">
        <v>27</v>
      </c>
      <c r="B1725" s="31" t="s">
        <v>3814</v>
      </c>
      <c r="C1725" s="32" t="s">
        <v>3815</v>
      </c>
      <c r="D1725" s="524"/>
      <c r="E1725" s="524"/>
      <c r="F1725" s="524"/>
      <c r="G1725" s="524"/>
      <c r="H1725" s="524"/>
      <c r="I1725" s="524"/>
      <c r="J1725" s="524"/>
      <c r="K1725" s="524"/>
      <c r="L1725" s="524"/>
      <c r="M1725" s="524"/>
      <c r="N1725" s="524"/>
      <c r="O1725" s="524"/>
      <c r="P1725" s="524"/>
      <c r="Q1725" s="524"/>
      <c r="R1725" s="524"/>
      <c r="S1725" s="524"/>
      <c r="T1725" s="524"/>
      <c r="U1725" s="524"/>
      <c r="V1725" s="524"/>
      <c r="W1725" s="524"/>
      <c r="X1725" s="524"/>
      <c r="Y1725" s="524"/>
      <c r="Z1725" s="524"/>
      <c r="AA1725" s="524"/>
      <c r="AB1725" s="22">
        <f t="shared" si="542"/>
        <v>0</v>
      </c>
      <c r="AC1725" s="23">
        <v>0</v>
      </c>
      <c r="AD1725" s="35"/>
      <c r="AE1725" s="35"/>
      <c r="AF1725" s="35"/>
      <c r="AG1725" s="35"/>
      <c r="AH1725" s="35">
        <v>8</v>
      </c>
      <c r="AI1725" s="35"/>
      <c r="AJ1725" s="35"/>
      <c r="AK1725" s="35"/>
      <c r="AL1725" s="35">
        <v>9</v>
      </c>
      <c r="AM1725" s="35"/>
      <c r="AN1725" s="35"/>
      <c r="AO1725" s="35"/>
      <c r="AP1725" s="35">
        <v>8</v>
      </c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22">
        <f t="shared" si="543"/>
        <v>25</v>
      </c>
      <c r="BC1725" s="23">
        <v>0</v>
      </c>
      <c r="BD1725" s="130">
        <f t="shared" si="544"/>
        <v>25</v>
      </c>
      <c r="BE1725" s="130">
        <f t="shared" si="545"/>
        <v>0</v>
      </c>
      <c r="BF1725" s="195" t="e">
        <f t="shared" si="546"/>
        <v>#DIV/0!</v>
      </c>
      <c r="BG1725" s="373"/>
    </row>
    <row r="1726" spans="1:59" s="46" customFormat="1" ht="15.95" customHeight="1">
      <c r="A1726" s="367">
        <v>28</v>
      </c>
      <c r="B1726" s="31" t="s">
        <v>764</v>
      </c>
      <c r="C1726" s="32" t="s">
        <v>765</v>
      </c>
      <c r="D1726" s="231"/>
      <c r="E1726" s="231"/>
      <c r="F1726" s="231"/>
      <c r="G1726" s="231"/>
      <c r="H1726" s="231"/>
      <c r="I1726" s="231"/>
      <c r="J1726" s="231"/>
      <c r="K1726" s="231"/>
      <c r="L1726" s="231"/>
      <c r="M1726" s="231"/>
      <c r="N1726" s="231"/>
      <c r="O1726" s="231"/>
      <c r="P1726" s="231"/>
      <c r="Q1726" s="231"/>
      <c r="R1726" s="231"/>
      <c r="S1726" s="231"/>
      <c r="T1726" s="231"/>
      <c r="U1726" s="231"/>
      <c r="V1726" s="231"/>
      <c r="W1726" s="231"/>
      <c r="X1726" s="231"/>
      <c r="Y1726" s="231"/>
      <c r="Z1726" s="231"/>
      <c r="AA1726" s="231"/>
      <c r="AB1726" s="22">
        <f t="shared" si="542"/>
        <v>0</v>
      </c>
      <c r="AC1726" s="23">
        <v>0</v>
      </c>
      <c r="AD1726" s="35"/>
      <c r="AE1726" s="35"/>
      <c r="AF1726" s="35"/>
      <c r="AG1726" s="35"/>
      <c r="AH1726" s="35">
        <v>14</v>
      </c>
      <c r="AI1726" s="35"/>
      <c r="AJ1726" s="35"/>
      <c r="AK1726" s="35"/>
      <c r="AL1726" s="35">
        <v>5</v>
      </c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22">
        <f t="shared" si="543"/>
        <v>19</v>
      </c>
      <c r="BC1726" s="23">
        <v>15</v>
      </c>
      <c r="BD1726" s="130">
        <f t="shared" si="544"/>
        <v>19</v>
      </c>
      <c r="BE1726" s="130">
        <f t="shared" si="545"/>
        <v>15</v>
      </c>
      <c r="BF1726" s="195">
        <f t="shared" si="546"/>
        <v>126.66666666666666</v>
      </c>
      <c r="BG1726" s="373">
        <f t="shared" ref="BG1726:BG1733" si="548">BE1726-BD1726</f>
        <v>-4</v>
      </c>
    </row>
    <row r="1727" spans="1:59" s="46" customFormat="1" ht="15.95" customHeight="1">
      <c r="A1727" s="549">
        <v>29</v>
      </c>
      <c r="B1727" s="31" t="s">
        <v>768</v>
      </c>
      <c r="C1727" s="32" t="s">
        <v>769</v>
      </c>
      <c r="D1727" s="231"/>
      <c r="E1727" s="231"/>
      <c r="F1727" s="231"/>
      <c r="G1727" s="231"/>
      <c r="H1727" s="231"/>
      <c r="I1727" s="231"/>
      <c r="J1727" s="231"/>
      <c r="K1727" s="231"/>
      <c r="L1727" s="231"/>
      <c r="M1727" s="231"/>
      <c r="N1727" s="231"/>
      <c r="O1727" s="231"/>
      <c r="P1727" s="231"/>
      <c r="Q1727" s="231"/>
      <c r="R1727" s="231"/>
      <c r="S1727" s="231"/>
      <c r="T1727" s="231"/>
      <c r="U1727" s="231"/>
      <c r="V1727" s="231"/>
      <c r="W1727" s="231"/>
      <c r="X1727" s="231"/>
      <c r="Y1727" s="231"/>
      <c r="Z1727" s="231"/>
      <c r="AA1727" s="231"/>
      <c r="AB1727" s="22">
        <f t="shared" si="542"/>
        <v>0</v>
      </c>
      <c r="AC1727" s="23">
        <v>0</v>
      </c>
      <c r="AD1727" s="35"/>
      <c r="AE1727" s="35"/>
      <c r="AF1727" s="35"/>
      <c r="AG1727" s="35"/>
      <c r="AH1727" s="35">
        <v>4</v>
      </c>
      <c r="AI1727" s="35"/>
      <c r="AJ1727" s="35"/>
      <c r="AK1727" s="35"/>
      <c r="AL1727" s="35">
        <v>8</v>
      </c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22">
        <f t="shared" si="543"/>
        <v>12</v>
      </c>
      <c r="BC1727" s="23">
        <v>15</v>
      </c>
      <c r="BD1727" s="130">
        <f t="shared" si="544"/>
        <v>12</v>
      </c>
      <c r="BE1727" s="130">
        <f t="shared" si="545"/>
        <v>15</v>
      </c>
      <c r="BF1727" s="195">
        <f t="shared" si="546"/>
        <v>80</v>
      </c>
      <c r="BG1727" s="373">
        <f t="shared" si="548"/>
        <v>3</v>
      </c>
    </row>
    <row r="1728" spans="1:59" s="46" customFormat="1" ht="22.5" customHeight="1">
      <c r="A1728" s="176">
        <v>30</v>
      </c>
      <c r="B1728" s="31" t="s">
        <v>770</v>
      </c>
      <c r="C1728" s="47" t="s">
        <v>1071</v>
      </c>
      <c r="D1728" s="230"/>
      <c r="E1728" s="230"/>
      <c r="F1728" s="230"/>
      <c r="G1728" s="230"/>
      <c r="H1728" s="230"/>
      <c r="I1728" s="230"/>
      <c r="J1728" s="230"/>
      <c r="K1728" s="230"/>
      <c r="L1728" s="230"/>
      <c r="M1728" s="230"/>
      <c r="N1728" s="230"/>
      <c r="O1728" s="230"/>
      <c r="P1728" s="230"/>
      <c r="Q1728" s="230"/>
      <c r="R1728" s="230"/>
      <c r="S1728" s="230"/>
      <c r="T1728" s="230"/>
      <c r="U1728" s="230"/>
      <c r="V1728" s="230"/>
      <c r="W1728" s="230"/>
      <c r="X1728" s="230"/>
      <c r="Y1728" s="230"/>
      <c r="Z1728" s="230"/>
      <c r="AA1728" s="230"/>
      <c r="AB1728" s="22">
        <f t="shared" si="542"/>
        <v>0</v>
      </c>
      <c r="AC1728" s="23">
        <v>0</v>
      </c>
      <c r="AD1728" s="35"/>
      <c r="AE1728" s="35"/>
      <c r="AF1728" s="35"/>
      <c r="AG1728" s="35"/>
      <c r="AH1728" s="35">
        <v>14</v>
      </c>
      <c r="AI1728" s="35"/>
      <c r="AJ1728" s="35"/>
      <c r="AK1728" s="35"/>
      <c r="AL1728" s="35">
        <v>41</v>
      </c>
      <c r="AM1728" s="35"/>
      <c r="AN1728" s="35"/>
      <c r="AO1728" s="35"/>
      <c r="AP1728" s="35">
        <v>4</v>
      </c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22">
        <f t="shared" si="543"/>
        <v>59</v>
      </c>
      <c r="BC1728" s="23">
        <v>65</v>
      </c>
      <c r="BD1728" s="130">
        <f t="shared" si="544"/>
        <v>59</v>
      </c>
      <c r="BE1728" s="130">
        <f t="shared" si="545"/>
        <v>65</v>
      </c>
      <c r="BF1728" s="195">
        <f t="shared" si="546"/>
        <v>90.769230769230774</v>
      </c>
      <c r="BG1728" s="373">
        <f t="shared" si="548"/>
        <v>6</v>
      </c>
    </row>
    <row r="1729" spans="1:59" s="46" customFormat="1" ht="15.95" customHeight="1">
      <c r="A1729" s="367">
        <v>31</v>
      </c>
      <c r="B1729" s="31" t="s">
        <v>772</v>
      </c>
      <c r="C1729" s="32" t="s">
        <v>773</v>
      </c>
      <c r="D1729" s="231">
        <v>3</v>
      </c>
      <c r="E1729" s="231"/>
      <c r="F1729" s="231"/>
      <c r="G1729" s="231"/>
      <c r="H1729" s="231">
        <v>3</v>
      </c>
      <c r="I1729" s="231"/>
      <c r="J1729" s="231"/>
      <c r="K1729" s="231"/>
      <c r="L1729" s="231">
        <f>18+6</f>
        <v>24</v>
      </c>
      <c r="M1729" s="231"/>
      <c r="N1729" s="231"/>
      <c r="O1729" s="231"/>
      <c r="P1729" s="231">
        <f>33+3</f>
        <v>36</v>
      </c>
      <c r="Q1729" s="231"/>
      <c r="R1729" s="231"/>
      <c r="S1729" s="231"/>
      <c r="T1729" s="231"/>
      <c r="U1729" s="231"/>
      <c r="V1729" s="231"/>
      <c r="W1729" s="231"/>
      <c r="X1729" s="231"/>
      <c r="Y1729" s="231"/>
      <c r="Z1729" s="231"/>
      <c r="AA1729" s="231"/>
      <c r="AB1729" s="22">
        <f t="shared" si="542"/>
        <v>66</v>
      </c>
      <c r="AC1729" s="23">
        <v>1035</v>
      </c>
      <c r="AD1729" s="35">
        <f>3+220</f>
        <v>223</v>
      </c>
      <c r="AE1729" s="35"/>
      <c r="AF1729" s="35"/>
      <c r="AG1729" s="35"/>
      <c r="AH1729" s="35">
        <f>7+1126+42+330</f>
        <v>1505</v>
      </c>
      <c r="AI1729" s="35"/>
      <c r="AJ1729" s="35"/>
      <c r="AK1729" s="35"/>
      <c r="AL1729" s="35">
        <f>4048+1+35+499+1</f>
        <v>4584</v>
      </c>
      <c r="AM1729" s="35"/>
      <c r="AN1729" s="35"/>
      <c r="AO1729" s="35"/>
      <c r="AP1729" s="35">
        <f>2+3283+5+349</f>
        <v>3639</v>
      </c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22">
        <f t="shared" si="543"/>
        <v>9951</v>
      </c>
      <c r="BC1729" s="23">
        <v>19002</v>
      </c>
      <c r="BD1729" s="130">
        <f t="shared" si="544"/>
        <v>10017</v>
      </c>
      <c r="BE1729" s="130">
        <f t="shared" si="545"/>
        <v>20037</v>
      </c>
      <c r="BF1729" s="195">
        <f t="shared" si="546"/>
        <v>49.992513849378653</v>
      </c>
      <c r="BG1729" s="373">
        <f t="shared" si="548"/>
        <v>10020</v>
      </c>
    </row>
    <row r="1730" spans="1:59" s="46" customFormat="1" ht="15.95" customHeight="1">
      <c r="A1730" s="549">
        <v>32</v>
      </c>
      <c r="B1730" s="31" t="s">
        <v>892</v>
      </c>
      <c r="C1730" s="32" t="s">
        <v>893</v>
      </c>
      <c r="D1730" s="288"/>
      <c r="E1730" s="288"/>
      <c r="F1730" s="288"/>
      <c r="G1730" s="288"/>
      <c r="H1730" s="288"/>
      <c r="I1730" s="288"/>
      <c r="J1730" s="288"/>
      <c r="K1730" s="288"/>
      <c r="L1730" s="288"/>
      <c r="M1730" s="288"/>
      <c r="N1730" s="288"/>
      <c r="O1730" s="288"/>
      <c r="P1730" s="288"/>
      <c r="Q1730" s="288"/>
      <c r="R1730" s="288"/>
      <c r="S1730" s="288"/>
      <c r="T1730" s="288"/>
      <c r="U1730" s="288"/>
      <c r="V1730" s="288"/>
      <c r="W1730" s="288"/>
      <c r="X1730" s="288"/>
      <c r="Y1730" s="288"/>
      <c r="Z1730" s="288"/>
      <c r="AA1730" s="288"/>
      <c r="AB1730" s="22">
        <f t="shared" si="542"/>
        <v>0</v>
      </c>
      <c r="AC1730" s="23">
        <v>0</v>
      </c>
      <c r="AD1730" s="35"/>
      <c r="AE1730" s="35"/>
      <c r="AF1730" s="35"/>
      <c r="AG1730" s="35"/>
      <c r="AH1730" s="35"/>
      <c r="AI1730" s="35"/>
      <c r="AJ1730" s="35"/>
      <c r="AK1730" s="35"/>
      <c r="AL1730" s="35">
        <v>1</v>
      </c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22">
        <f t="shared" si="543"/>
        <v>1</v>
      </c>
      <c r="BC1730" s="23">
        <v>6</v>
      </c>
      <c r="BD1730" s="130">
        <f t="shared" si="544"/>
        <v>1</v>
      </c>
      <c r="BE1730" s="130">
        <f t="shared" si="545"/>
        <v>6</v>
      </c>
      <c r="BF1730" s="195">
        <f t="shared" si="546"/>
        <v>16.666666666666664</v>
      </c>
      <c r="BG1730" s="373">
        <f t="shared" si="548"/>
        <v>5</v>
      </c>
    </row>
    <row r="1731" spans="1:59" s="46" customFormat="1" ht="15.95" customHeight="1">
      <c r="A1731" s="176">
        <v>33</v>
      </c>
      <c r="B1731" s="31" t="s">
        <v>894</v>
      </c>
      <c r="C1731" s="32" t="s">
        <v>895</v>
      </c>
      <c r="D1731" s="323"/>
      <c r="E1731" s="323"/>
      <c r="F1731" s="323"/>
      <c r="G1731" s="323"/>
      <c r="H1731" s="323"/>
      <c r="I1731" s="323"/>
      <c r="J1731" s="323"/>
      <c r="K1731" s="323"/>
      <c r="L1731" s="323"/>
      <c r="M1731" s="323"/>
      <c r="N1731" s="323"/>
      <c r="O1731" s="323"/>
      <c r="P1731" s="323"/>
      <c r="Q1731" s="323"/>
      <c r="R1731" s="323"/>
      <c r="S1731" s="323"/>
      <c r="T1731" s="323"/>
      <c r="U1731" s="323"/>
      <c r="V1731" s="323"/>
      <c r="W1731" s="323"/>
      <c r="X1731" s="323"/>
      <c r="Y1731" s="323"/>
      <c r="Z1731" s="323"/>
      <c r="AA1731" s="323"/>
      <c r="AB1731" s="22">
        <f t="shared" ref="AB1731:AB1762" si="549">SUM(D1731:AA1731)</f>
        <v>0</v>
      </c>
      <c r="AC1731" s="23">
        <v>0</v>
      </c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22">
        <f t="shared" ref="BB1731:BB1762" si="550">SUM(AD1731:BA1731)</f>
        <v>0</v>
      </c>
      <c r="BC1731" s="23">
        <v>2</v>
      </c>
      <c r="BD1731" s="130">
        <f t="shared" ref="BD1731:BD1762" si="551">AB1731+BB1731</f>
        <v>0</v>
      </c>
      <c r="BE1731" s="130">
        <f t="shared" ref="BE1731:BE1762" si="552">AC1731+BC1731</f>
        <v>2</v>
      </c>
      <c r="BF1731" s="195">
        <f t="shared" ref="BF1731:BF1762" si="553">BD1731/BE1731*100</f>
        <v>0</v>
      </c>
      <c r="BG1731" s="373">
        <f t="shared" si="548"/>
        <v>2</v>
      </c>
    </row>
    <row r="1732" spans="1:59" s="46" customFormat="1" ht="15.95" customHeight="1">
      <c r="A1732" s="367">
        <v>34</v>
      </c>
      <c r="B1732" s="31" t="s">
        <v>3018</v>
      </c>
      <c r="C1732" s="32" t="s">
        <v>3019</v>
      </c>
      <c r="D1732" s="292"/>
      <c r="E1732" s="292"/>
      <c r="F1732" s="292"/>
      <c r="G1732" s="292"/>
      <c r="H1732" s="292"/>
      <c r="I1732" s="292"/>
      <c r="J1732" s="292"/>
      <c r="K1732" s="292"/>
      <c r="L1732" s="292"/>
      <c r="M1732" s="292"/>
      <c r="N1732" s="292"/>
      <c r="O1732" s="292"/>
      <c r="P1732" s="292"/>
      <c r="Q1732" s="292"/>
      <c r="R1732" s="292"/>
      <c r="S1732" s="292"/>
      <c r="T1732" s="292"/>
      <c r="U1732" s="292"/>
      <c r="V1732" s="292"/>
      <c r="W1732" s="292"/>
      <c r="X1732" s="292"/>
      <c r="Y1732" s="292"/>
      <c r="Z1732" s="292"/>
      <c r="AA1732" s="292"/>
      <c r="AB1732" s="22">
        <f t="shared" si="549"/>
        <v>0</v>
      </c>
      <c r="AC1732" s="23">
        <v>0</v>
      </c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22">
        <f t="shared" si="550"/>
        <v>0</v>
      </c>
      <c r="BC1732" s="23">
        <v>1</v>
      </c>
      <c r="BD1732" s="130">
        <f t="shared" si="551"/>
        <v>0</v>
      </c>
      <c r="BE1732" s="130">
        <f t="shared" si="552"/>
        <v>1</v>
      </c>
      <c r="BF1732" s="195">
        <f t="shared" si="553"/>
        <v>0</v>
      </c>
      <c r="BG1732" s="373">
        <f t="shared" si="548"/>
        <v>1</v>
      </c>
    </row>
    <row r="1733" spans="1:59" s="46" customFormat="1" ht="15.95" customHeight="1">
      <c r="A1733" s="549">
        <v>35</v>
      </c>
      <c r="B1733" s="31" t="s">
        <v>1094</v>
      </c>
      <c r="C1733" s="32" t="s">
        <v>1095</v>
      </c>
      <c r="D1733" s="336"/>
      <c r="E1733" s="336"/>
      <c r="F1733" s="336"/>
      <c r="G1733" s="336"/>
      <c r="H1733" s="336"/>
      <c r="I1733" s="336"/>
      <c r="J1733" s="336"/>
      <c r="K1733" s="336"/>
      <c r="L1733" s="336"/>
      <c r="M1733" s="336"/>
      <c r="N1733" s="336"/>
      <c r="O1733" s="336"/>
      <c r="P1733" s="336"/>
      <c r="Q1733" s="336"/>
      <c r="R1733" s="336"/>
      <c r="S1733" s="336"/>
      <c r="T1733" s="336"/>
      <c r="U1733" s="336"/>
      <c r="V1733" s="336"/>
      <c r="W1733" s="336"/>
      <c r="X1733" s="336"/>
      <c r="Y1733" s="336"/>
      <c r="Z1733" s="336"/>
      <c r="AA1733" s="336"/>
      <c r="AB1733" s="22">
        <f t="shared" si="549"/>
        <v>0</v>
      </c>
      <c r="AC1733" s="23">
        <v>0</v>
      </c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22">
        <f t="shared" si="550"/>
        <v>0</v>
      </c>
      <c r="BC1733" s="23">
        <v>4</v>
      </c>
      <c r="BD1733" s="130">
        <f t="shared" si="551"/>
        <v>0</v>
      </c>
      <c r="BE1733" s="130">
        <f t="shared" si="552"/>
        <v>4</v>
      </c>
      <c r="BF1733" s="195">
        <f t="shared" si="553"/>
        <v>0</v>
      </c>
      <c r="BG1733" s="373">
        <f t="shared" si="548"/>
        <v>4</v>
      </c>
    </row>
    <row r="1734" spans="1:59" s="46" customFormat="1" ht="15.95" customHeight="1">
      <c r="A1734" s="176">
        <v>36</v>
      </c>
      <c r="B1734" s="31" t="s">
        <v>2564</v>
      </c>
      <c r="C1734" s="32" t="s">
        <v>3251</v>
      </c>
      <c r="D1734" s="551"/>
      <c r="E1734" s="551"/>
      <c r="F1734" s="551"/>
      <c r="G1734" s="551"/>
      <c r="H1734" s="551"/>
      <c r="I1734" s="551"/>
      <c r="J1734" s="551"/>
      <c r="K1734" s="551"/>
      <c r="L1734" s="551"/>
      <c r="M1734" s="551"/>
      <c r="N1734" s="551"/>
      <c r="O1734" s="551"/>
      <c r="P1734" s="551"/>
      <c r="Q1734" s="551"/>
      <c r="R1734" s="551"/>
      <c r="S1734" s="551"/>
      <c r="T1734" s="551"/>
      <c r="U1734" s="551"/>
      <c r="V1734" s="551"/>
      <c r="W1734" s="551"/>
      <c r="X1734" s="551"/>
      <c r="Y1734" s="551"/>
      <c r="Z1734" s="551"/>
      <c r="AA1734" s="551"/>
      <c r="AB1734" s="22">
        <f t="shared" si="549"/>
        <v>0</v>
      </c>
      <c r="AC1734" s="23">
        <v>0</v>
      </c>
      <c r="AD1734" s="35"/>
      <c r="AE1734" s="35"/>
      <c r="AF1734" s="35"/>
      <c r="AG1734" s="35"/>
      <c r="AH1734" s="35"/>
      <c r="AI1734" s="35"/>
      <c r="AJ1734" s="35"/>
      <c r="AK1734" s="35"/>
      <c r="AL1734" s="35">
        <v>18</v>
      </c>
      <c r="AM1734" s="35"/>
      <c r="AN1734" s="35"/>
      <c r="AO1734" s="35"/>
      <c r="AP1734" s="35">
        <v>8</v>
      </c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22">
        <f t="shared" si="550"/>
        <v>26</v>
      </c>
      <c r="BC1734" s="23">
        <v>0</v>
      </c>
      <c r="BD1734" s="130">
        <f t="shared" si="551"/>
        <v>26</v>
      </c>
      <c r="BE1734" s="130">
        <f t="shared" si="552"/>
        <v>0</v>
      </c>
      <c r="BF1734" s="195" t="e">
        <f t="shared" si="553"/>
        <v>#DIV/0!</v>
      </c>
      <c r="BG1734" s="373"/>
    </row>
    <row r="1735" spans="1:59" s="46" customFormat="1" ht="15.95" customHeight="1">
      <c r="A1735" s="367">
        <v>37</v>
      </c>
      <c r="B1735" s="31" t="s">
        <v>783</v>
      </c>
      <c r="C1735" s="32" t="s">
        <v>2104</v>
      </c>
      <c r="D1735" s="231"/>
      <c r="E1735" s="231"/>
      <c r="F1735" s="231"/>
      <c r="G1735" s="231"/>
      <c r="H1735" s="231"/>
      <c r="I1735" s="231"/>
      <c r="J1735" s="231"/>
      <c r="K1735" s="231"/>
      <c r="L1735" s="231"/>
      <c r="M1735" s="231"/>
      <c r="N1735" s="231"/>
      <c r="O1735" s="231"/>
      <c r="P1735" s="231"/>
      <c r="Q1735" s="231"/>
      <c r="R1735" s="231"/>
      <c r="S1735" s="231"/>
      <c r="T1735" s="231"/>
      <c r="U1735" s="231"/>
      <c r="V1735" s="231"/>
      <c r="W1735" s="231"/>
      <c r="X1735" s="231"/>
      <c r="Y1735" s="231"/>
      <c r="Z1735" s="231"/>
      <c r="AA1735" s="231"/>
      <c r="AB1735" s="22">
        <f t="shared" si="549"/>
        <v>0</v>
      </c>
      <c r="AC1735" s="23">
        <v>0</v>
      </c>
      <c r="AD1735" s="35"/>
      <c r="AE1735" s="35"/>
      <c r="AF1735" s="35"/>
      <c r="AG1735" s="35"/>
      <c r="AH1735" s="35">
        <v>1</v>
      </c>
      <c r="AI1735" s="35"/>
      <c r="AJ1735" s="35"/>
      <c r="AK1735" s="35"/>
      <c r="AL1735" s="35">
        <v>36</v>
      </c>
      <c r="AM1735" s="35"/>
      <c r="AN1735" s="35"/>
      <c r="AO1735" s="35"/>
      <c r="AP1735" s="35">
        <v>103</v>
      </c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22">
        <f t="shared" si="550"/>
        <v>140</v>
      </c>
      <c r="BC1735" s="23">
        <v>103</v>
      </c>
      <c r="BD1735" s="130">
        <f t="shared" si="551"/>
        <v>140</v>
      </c>
      <c r="BE1735" s="130">
        <f t="shared" si="552"/>
        <v>103</v>
      </c>
      <c r="BF1735" s="195">
        <f t="shared" si="553"/>
        <v>135.92233009708738</v>
      </c>
      <c r="BG1735" s="373">
        <f t="shared" ref="BG1735:BG1747" si="554">BE1735-BD1735</f>
        <v>-37</v>
      </c>
    </row>
    <row r="1736" spans="1:59" s="46" customFormat="1" ht="15.95" customHeight="1">
      <c r="A1736" s="549">
        <v>38</v>
      </c>
      <c r="B1736" s="31" t="s">
        <v>993</v>
      </c>
      <c r="C1736" s="32" t="s">
        <v>994</v>
      </c>
      <c r="D1736" s="324"/>
      <c r="E1736" s="324"/>
      <c r="F1736" s="324"/>
      <c r="G1736" s="324"/>
      <c r="H1736" s="324"/>
      <c r="I1736" s="324"/>
      <c r="J1736" s="324"/>
      <c r="K1736" s="324"/>
      <c r="L1736" s="324"/>
      <c r="M1736" s="324"/>
      <c r="N1736" s="324"/>
      <c r="O1736" s="324"/>
      <c r="P1736" s="324"/>
      <c r="Q1736" s="324"/>
      <c r="R1736" s="324"/>
      <c r="S1736" s="324"/>
      <c r="T1736" s="324"/>
      <c r="U1736" s="324"/>
      <c r="V1736" s="324"/>
      <c r="W1736" s="324"/>
      <c r="X1736" s="324"/>
      <c r="Y1736" s="324"/>
      <c r="Z1736" s="324"/>
      <c r="AA1736" s="324"/>
      <c r="AB1736" s="22">
        <f t="shared" si="549"/>
        <v>0</v>
      </c>
      <c r="AC1736" s="23">
        <v>0</v>
      </c>
      <c r="AD1736" s="35"/>
      <c r="AE1736" s="35"/>
      <c r="AF1736" s="35"/>
      <c r="AG1736" s="35"/>
      <c r="AH1736" s="35"/>
      <c r="AI1736" s="35"/>
      <c r="AJ1736" s="35"/>
      <c r="AK1736" s="35"/>
      <c r="AL1736" s="35">
        <v>1</v>
      </c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22">
        <f t="shared" si="550"/>
        <v>1</v>
      </c>
      <c r="BC1736" s="23">
        <v>1</v>
      </c>
      <c r="BD1736" s="130">
        <f t="shared" si="551"/>
        <v>1</v>
      </c>
      <c r="BE1736" s="130">
        <f t="shared" si="552"/>
        <v>1</v>
      </c>
      <c r="BF1736" s="195">
        <f t="shared" si="553"/>
        <v>100</v>
      </c>
      <c r="BG1736" s="373">
        <f t="shared" si="554"/>
        <v>0</v>
      </c>
    </row>
    <row r="1737" spans="1:59" s="46" customFormat="1" ht="15.95" customHeight="1">
      <c r="A1737" s="176">
        <v>39</v>
      </c>
      <c r="B1737" s="31" t="s">
        <v>3216</v>
      </c>
      <c r="C1737" s="32" t="s">
        <v>3217</v>
      </c>
      <c r="D1737" s="381"/>
      <c r="E1737" s="381"/>
      <c r="F1737" s="381"/>
      <c r="G1737" s="381"/>
      <c r="H1737" s="381"/>
      <c r="I1737" s="381"/>
      <c r="J1737" s="381"/>
      <c r="K1737" s="381"/>
      <c r="L1737" s="381"/>
      <c r="M1737" s="381"/>
      <c r="N1737" s="381"/>
      <c r="O1737" s="381"/>
      <c r="P1737" s="381"/>
      <c r="Q1737" s="381"/>
      <c r="R1737" s="381"/>
      <c r="S1737" s="381"/>
      <c r="T1737" s="381"/>
      <c r="U1737" s="381"/>
      <c r="V1737" s="381"/>
      <c r="W1737" s="381"/>
      <c r="X1737" s="381"/>
      <c r="Y1737" s="381"/>
      <c r="Z1737" s="381"/>
      <c r="AA1737" s="381"/>
      <c r="AB1737" s="22">
        <f t="shared" si="549"/>
        <v>0</v>
      </c>
      <c r="AC1737" s="23">
        <v>0</v>
      </c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22">
        <f t="shared" si="550"/>
        <v>0</v>
      </c>
      <c r="BC1737" s="23">
        <v>1</v>
      </c>
      <c r="BD1737" s="130">
        <f t="shared" si="551"/>
        <v>0</v>
      </c>
      <c r="BE1737" s="130">
        <f t="shared" si="552"/>
        <v>1</v>
      </c>
      <c r="BF1737" s="195">
        <f t="shared" si="553"/>
        <v>0</v>
      </c>
      <c r="BG1737" s="373">
        <f t="shared" si="554"/>
        <v>1</v>
      </c>
    </row>
    <row r="1738" spans="1:59" s="46" customFormat="1" ht="15.95" customHeight="1">
      <c r="A1738" s="367">
        <v>40</v>
      </c>
      <c r="B1738" s="37" t="s">
        <v>1158</v>
      </c>
      <c r="C1738" s="38" t="s">
        <v>1159</v>
      </c>
      <c r="D1738" s="381"/>
      <c r="E1738" s="381"/>
      <c r="F1738" s="381"/>
      <c r="G1738" s="381"/>
      <c r="H1738" s="381"/>
      <c r="I1738" s="381"/>
      <c r="J1738" s="381"/>
      <c r="K1738" s="381"/>
      <c r="L1738" s="381"/>
      <c r="M1738" s="381"/>
      <c r="N1738" s="381"/>
      <c r="O1738" s="381"/>
      <c r="P1738" s="381"/>
      <c r="Q1738" s="381"/>
      <c r="R1738" s="381"/>
      <c r="S1738" s="381"/>
      <c r="T1738" s="381"/>
      <c r="U1738" s="381"/>
      <c r="V1738" s="381"/>
      <c r="W1738" s="381"/>
      <c r="X1738" s="381"/>
      <c r="Y1738" s="381"/>
      <c r="Z1738" s="381"/>
      <c r="AA1738" s="381"/>
      <c r="AB1738" s="22">
        <f t="shared" si="549"/>
        <v>0</v>
      </c>
      <c r="AC1738" s="23">
        <v>0</v>
      </c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22">
        <f t="shared" si="550"/>
        <v>0</v>
      </c>
      <c r="BC1738" s="23">
        <v>3</v>
      </c>
      <c r="BD1738" s="130">
        <f t="shared" si="551"/>
        <v>0</v>
      </c>
      <c r="BE1738" s="130">
        <f t="shared" si="552"/>
        <v>3</v>
      </c>
      <c r="BF1738" s="195">
        <f t="shared" si="553"/>
        <v>0</v>
      </c>
      <c r="BG1738" s="373">
        <f t="shared" si="554"/>
        <v>3</v>
      </c>
    </row>
    <row r="1739" spans="1:59" s="46" customFormat="1" ht="15.95" customHeight="1">
      <c r="A1739" s="549">
        <v>41</v>
      </c>
      <c r="B1739" s="31" t="s">
        <v>1160</v>
      </c>
      <c r="C1739" s="32" t="s">
        <v>1161</v>
      </c>
      <c r="D1739" s="381"/>
      <c r="E1739" s="381"/>
      <c r="F1739" s="381"/>
      <c r="G1739" s="381"/>
      <c r="H1739" s="381"/>
      <c r="I1739" s="381"/>
      <c r="J1739" s="381"/>
      <c r="K1739" s="381"/>
      <c r="L1739" s="381"/>
      <c r="M1739" s="381"/>
      <c r="N1739" s="381"/>
      <c r="O1739" s="381"/>
      <c r="P1739" s="381"/>
      <c r="Q1739" s="381"/>
      <c r="R1739" s="381"/>
      <c r="S1739" s="381"/>
      <c r="T1739" s="381"/>
      <c r="U1739" s="381"/>
      <c r="V1739" s="381"/>
      <c r="W1739" s="381"/>
      <c r="X1739" s="381"/>
      <c r="Y1739" s="381"/>
      <c r="Z1739" s="381"/>
      <c r="AA1739" s="381"/>
      <c r="AB1739" s="22">
        <f t="shared" si="549"/>
        <v>0</v>
      </c>
      <c r="AC1739" s="23">
        <v>0</v>
      </c>
      <c r="AD1739" s="35"/>
      <c r="AE1739" s="35"/>
      <c r="AF1739" s="35"/>
      <c r="AG1739" s="35"/>
      <c r="AH1739" s="35"/>
      <c r="AI1739" s="35"/>
      <c r="AJ1739" s="35"/>
      <c r="AK1739" s="35"/>
      <c r="AL1739" s="35">
        <v>2</v>
      </c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22">
        <f t="shared" si="550"/>
        <v>2</v>
      </c>
      <c r="BC1739" s="23">
        <v>1</v>
      </c>
      <c r="BD1739" s="130">
        <f t="shared" si="551"/>
        <v>2</v>
      </c>
      <c r="BE1739" s="130">
        <f t="shared" si="552"/>
        <v>1</v>
      </c>
      <c r="BF1739" s="195">
        <f t="shared" si="553"/>
        <v>200</v>
      </c>
      <c r="BG1739" s="373">
        <f t="shared" si="554"/>
        <v>-1</v>
      </c>
    </row>
    <row r="1740" spans="1:59" s="46" customFormat="1" ht="15.95" customHeight="1">
      <c r="A1740" s="176">
        <v>42</v>
      </c>
      <c r="B1740" s="37" t="s">
        <v>1310</v>
      </c>
      <c r="C1740" s="38" t="s">
        <v>681</v>
      </c>
      <c r="D1740" s="381"/>
      <c r="E1740" s="381"/>
      <c r="F1740" s="381"/>
      <c r="G1740" s="381"/>
      <c r="H1740" s="381"/>
      <c r="I1740" s="381"/>
      <c r="J1740" s="381"/>
      <c r="K1740" s="381"/>
      <c r="L1740" s="381"/>
      <c r="M1740" s="381"/>
      <c r="N1740" s="381"/>
      <c r="O1740" s="381"/>
      <c r="P1740" s="381"/>
      <c r="Q1740" s="381"/>
      <c r="R1740" s="381"/>
      <c r="S1740" s="381"/>
      <c r="T1740" s="381"/>
      <c r="U1740" s="381"/>
      <c r="V1740" s="381"/>
      <c r="W1740" s="381"/>
      <c r="X1740" s="381"/>
      <c r="Y1740" s="381"/>
      <c r="Z1740" s="381"/>
      <c r="AA1740" s="381"/>
      <c r="AB1740" s="22">
        <f t="shared" si="549"/>
        <v>0</v>
      </c>
      <c r="AC1740" s="23">
        <v>0</v>
      </c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22">
        <f t="shared" si="550"/>
        <v>0</v>
      </c>
      <c r="BC1740" s="23">
        <v>1</v>
      </c>
      <c r="BD1740" s="130">
        <f t="shared" si="551"/>
        <v>0</v>
      </c>
      <c r="BE1740" s="130">
        <f t="shared" si="552"/>
        <v>1</v>
      </c>
      <c r="BF1740" s="195">
        <f t="shared" si="553"/>
        <v>0</v>
      </c>
      <c r="BG1740" s="373">
        <f t="shared" si="554"/>
        <v>1</v>
      </c>
    </row>
    <row r="1741" spans="1:59" s="46" customFormat="1" ht="15.95" customHeight="1">
      <c r="A1741" s="367">
        <v>43</v>
      </c>
      <c r="B1741" s="31" t="s">
        <v>1541</v>
      </c>
      <c r="C1741" s="32" t="s">
        <v>2731</v>
      </c>
      <c r="D1741" s="381"/>
      <c r="E1741" s="381"/>
      <c r="F1741" s="381"/>
      <c r="G1741" s="381"/>
      <c r="H1741" s="381"/>
      <c r="I1741" s="381"/>
      <c r="J1741" s="381"/>
      <c r="K1741" s="381"/>
      <c r="L1741" s="381"/>
      <c r="M1741" s="381"/>
      <c r="N1741" s="381"/>
      <c r="O1741" s="381"/>
      <c r="P1741" s="381"/>
      <c r="Q1741" s="381"/>
      <c r="R1741" s="381"/>
      <c r="S1741" s="381"/>
      <c r="T1741" s="381"/>
      <c r="U1741" s="381"/>
      <c r="V1741" s="381"/>
      <c r="W1741" s="381"/>
      <c r="X1741" s="381"/>
      <c r="Y1741" s="381"/>
      <c r="Z1741" s="381"/>
      <c r="AA1741" s="381"/>
      <c r="AB1741" s="22">
        <f t="shared" si="549"/>
        <v>0</v>
      </c>
      <c r="AC1741" s="23">
        <v>0</v>
      </c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22">
        <f t="shared" si="550"/>
        <v>0</v>
      </c>
      <c r="BC1741" s="23">
        <v>2</v>
      </c>
      <c r="BD1741" s="130">
        <f t="shared" si="551"/>
        <v>0</v>
      </c>
      <c r="BE1741" s="130">
        <f t="shared" si="552"/>
        <v>2</v>
      </c>
      <c r="BF1741" s="195">
        <f t="shared" si="553"/>
        <v>0</v>
      </c>
      <c r="BG1741" s="373">
        <f t="shared" si="554"/>
        <v>2</v>
      </c>
    </row>
    <row r="1742" spans="1:59" s="46" customFormat="1" ht="15.95" customHeight="1">
      <c r="A1742" s="549">
        <v>44</v>
      </c>
      <c r="B1742" s="31" t="s">
        <v>814</v>
      </c>
      <c r="C1742" s="34" t="s">
        <v>1043</v>
      </c>
      <c r="D1742" s="381"/>
      <c r="E1742" s="381"/>
      <c r="F1742" s="381"/>
      <c r="G1742" s="381"/>
      <c r="H1742" s="381"/>
      <c r="I1742" s="381"/>
      <c r="J1742" s="381"/>
      <c r="K1742" s="381"/>
      <c r="L1742" s="381"/>
      <c r="M1742" s="381"/>
      <c r="N1742" s="381"/>
      <c r="O1742" s="381"/>
      <c r="P1742" s="381"/>
      <c r="Q1742" s="381"/>
      <c r="R1742" s="381"/>
      <c r="S1742" s="381"/>
      <c r="T1742" s="381"/>
      <c r="U1742" s="381"/>
      <c r="V1742" s="381"/>
      <c r="W1742" s="381"/>
      <c r="X1742" s="381"/>
      <c r="Y1742" s="381"/>
      <c r="Z1742" s="381"/>
      <c r="AA1742" s="381"/>
      <c r="AB1742" s="22">
        <f t="shared" si="549"/>
        <v>0</v>
      </c>
      <c r="AC1742" s="23">
        <v>0</v>
      </c>
      <c r="AD1742" s="35"/>
      <c r="AE1742" s="35"/>
      <c r="AF1742" s="35"/>
      <c r="AG1742" s="35"/>
      <c r="AH1742" s="35"/>
      <c r="AI1742" s="35"/>
      <c r="AJ1742" s="35"/>
      <c r="AK1742" s="35"/>
      <c r="AL1742" s="35">
        <v>12</v>
      </c>
      <c r="AM1742" s="35"/>
      <c r="AN1742" s="35"/>
      <c r="AO1742" s="35"/>
      <c r="AP1742" s="35">
        <v>24</v>
      </c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22">
        <f t="shared" si="550"/>
        <v>36</v>
      </c>
      <c r="BC1742" s="23">
        <v>121</v>
      </c>
      <c r="BD1742" s="130">
        <f t="shared" si="551"/>
        <v>36</v>
      </c>
      <c r="BE1742" s="130">
        <f t="shared" si="552"/>
        <v>121</v>
      </c>
      <c r="BF1742" s="195">
        <f t="shared" si="553"/>
        <v>29.75206611570248</v>
      </c>
      <c r="BG1742" s="373">
        <f t="shared" si="554"/>
        <v>85</v>
      </c>
    </row>
    <row r="1743" spans="1:59" s="46" customFormat="1" ht="15.95" customHeight="1">
      <c r="A1743" s="176">
        <v>45</v>
      </c>
      <c r="B1743" s="31" t="s">
        <v>905</v>
      </c>
      <c r="C1743" s="32" t="s">
        <v>1003</v>
      </c>
      <c r="D1743" s="231"/>
      <c r="E1743" s="231"/>
      <c r="F1743" s="231"/>
      <c r="G1743" s="231"/>
      <c r="H1743" s="231"/>
      <c r="I1743" s="231"/>
      <c r="J1743" s="231"/>
      <c r="K1743" s="231"/>
      <c r="L1743" s="231"/>
      <c r="M1743" s="231"/>
      <c r="N1743" s="231"/>
      <c r="O1743" s="231"/>
      <c r="P1743" s="231"/>
      <c r="Q1743" s="231"/>
      <c r="R1743" s="231"/>
      <c r="S1743" s="231"/>
      <c r="T1743" s="231"/>
      <c r="U1743" s="231"/>
      <c r="V1743" s="231"/>
      <c r="W1743" s="231"/>
      <c r="X1743" s="231"/>
      <c r="Y1743" s="231"/>
      <c r="Z1743" s="231"/>
      <c r="AA1743" s="231"/>
      <c r="AB1743" s="22">
        <f t="shared" si="549"/>
        <v>0</v>
      </c>
      <c r="AC1743" s="23">
        <v>0</v>
      </c>
      <c r="AD1743" s="35"/>
      <c r="AE1743" s="35"/>
      <c r="AF1743" s="35"/>
      <c r="AG1743" s="35"/>
      <c r="AH1743" s="35"/>
      <c r="AI1743" s="35"/>
      <c r="AJ1743" s="35"/>
      <c r="AK1743" s="35"/>
      <c r="AL1743" s="35">
        <v>1</v>
      </c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22">
        <f t="shared" si="550"/>
        <v>1</v>
      </c>
      <c r="BC1743" s="23">
        <v>6</v>
      </c>
      <c r="BD1743" s="130">
        <f t="shared" si="551"/>
        <v>1</v>
      </c>
      <c r="BE1743" s="130">
        <f t="shared" si="552"/>
        <v>6</v>
      </c>
      <c r="BF1743" s="195">
        <f t="shared" si="553"/>
        <v>16.666666666666664</v>
      </c>
      <c r="BG1743" s="373">
        <f t="shared" si="554"/>
        <v>5</v>
      </c>
    </row>
    <row r="1744" spans="1:59" s="46" customFormat="1" ht="15.95" customHeight="1">
      <c r="A1744" s="367">
        <v>46</v>
      </c>
      <c r="B1744" s="31" t="s">
        <v>819</v>
      </c>
      <c r="C1744" s="32" t="s">
        <v>1074</v>
      </c>
      <c r="D1744" s="324"/>
      <c r="E1744" s="324"/>
      <c r="F1744" s="324"/>
      <c r="G1744" s="324"/>
      <c r="H1744" s="324"/>
      <c r="I1744" s="324"/>
      <c r="J1744" s="324"/>
      <c r="K1744" s="324"/>
      <c r="L1744" s="324"/>
      <c r="M1744" s="324"/>
      <c r="N1744" s="324"/>
      <c r="O1744" s="324"/>
      <c r="P1744" s="324"/>
      <c r="Q1744" s="324"/>
      <c r="R1744" s="324"/>
      <c r="S1744" s="324"/>
      <c r="T1744" s="324"/>
      <c r="U1744" s="324"/>
      <c r="V1744" s="324"/>
      <c r="W1744" s="324"/>
      <c r="X1744" s="324"/>
      <c r="Y1744" s="324"/>
      <c r="Z1744" s="324"/>
      <c r="AA1744" s="324"/>
      <c r="AB1744" s="22">
        <f t="shared" si="549"/>
        <v>0</v>
      </c>
      <c r="AC1744" s="23">
        <v>0</v>
      </c>
      <c r="AD1744" s="35"/>
      <c r="AE1744" s="35"/>
      <c r="AF1744" s="35"/>
      <c r="AG1744" s="35"/>
      <c r="AH1744" s="35"/>
      <c r="AI1744" s="35"/>
      <c r="AJ1744" s="35"/>
      <c r="AK1744" s="35"/>
      <c r="AL1744" s="35">
        <f>1+6</f>
        <v>7</v>
      </c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22">
        <f t="shared" si="550"/>
        <v>7</v>
      </c>
      <c r="BC1744" s="23">
        <v>7</v>
      </c>
      <c r="BD1744" s="130">
        <f t="shared" si="551"/>
        <v>7</v>
      </c>
      <c r="BE1744" s="130">
        <f t="shared" si="552"/>
        <v>7</v>
      </c>
      <c r="BF1744" s="195">
        <f t="shared" si="553"/>
        <v>100</v>
      </c>
      <c r="BG1744" s="373">
        <f t="shared" si="554"/>
        <v>0</v>
      </c>
    </row>
    <row r="1745" spans="1:59" s="46" customFormat="1" ht="15.95" customHeight="1">
      <c r="A1745" s="549">
        <v>47</v>
      </c>
      <c r="B1745" s="31" t="s">
        <v>945</v>
      </c>
      <c r="C1745" s="32" t="s">
        <v>946</v>
      </c>
      <c r="D1745" s="231"/>
      <c r="E1745" s="231"/>
      <c r="F1745" s="231"/>
      <c r="G1745" s="231"/>
      <c r="H1745" s="231"/>
      <c r="I1745" s="231"/>
      <c r="J1745" s="231"/>
      <c r="K1745" s="231"/>
      <c r="L1745" s="231"/>
      <c r="M1745" s="231"/>
      <c r="N1745" s="231"/>
      <c r="O1745" s="231"/>
      <c r="P1745" s="231"/>
      <c r="Q1745" s="231"/>
      <c r="R1745" s="231"/>
      <c r="S1745" s="231"/>
      <c r="T1745" s="231"/>
      <c r="U1745" s="231"/>
      <c r="V1745" s="231"/>
      <c r="W1745" s="231"/>
      <c r="X1745" s="231"/>
      <c r="Y1745" s="231"/>
      <c r="Z1745" s="231"/>
      <c r="AA1745" s="231"/>
      <c r="AB1745" s="22">
        <f t="shared" si="549"/>
        <v>0</v>
      </c>
      <c r="AC1745" s="23">
        <v>0</v>
      </c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22">
        <f t="shared" si="550"/>
        <v>0</v>
      </c>
      <c r="BC1745" s="23">
        <v>1</v>
      </c>
      <c r="BD1745" s="130">
        <f t="shared" si="551"/>
        <v>0</v>
      </c>
      <c r="BE1745" s="130">
        <f t="shared" si="552"/>
        <v>1</v>
      </c>
      <c r="BF1745" s="195">
        <f t="shared" si="553"/>
        <v>0</v>
      </c>
      <c r="BG1745" s="373">
        <f t="shared" si="554"/>
        <v>1</v>
      </c>
    </row>
    <row r="1746" spans="1:59" s="46" customFormat="1" ht="17.25" customHeight="1">
      <c r="A1746" s="176">
        <v>48</v>
      </c>
      <c r="B1746" s="31" t="s">
        <v>1004</v>
      </c>
      <c r="C1746" s="32" t="s">
        <v>1005</v>
      </c>
      <c r="D1746" s="366"/>
      <c r="E1746" s="366"/>
      <c r="F1746" s="366"/>
      <c r="G1746" s="366"/>
      <c r="H1746" s="366"/>
      <c r="I1746" s="366"/>
      <c r="J1746" s="366"/>
      <c r="K1746" s="366"/>
      <c r="L1746" s="366"/>
      <c r="M1746" s="366"/>
      <c r="N1746" s="366"/>
      <c r="O1746" s="366"/>
      <c r="P1746" s="366"/>
      <c r="Q1746" s="366"/>
      <c r="R1746" s="366"/>
      <c r="S1746" s="366"/>
      <c r="T1746" s="366"/>
      <c r="U1746" s="366"/>
      <c r="V1746" s="366"/>
      <c r="W1746" s="366"/>
      <c r="X1746" s="366"/>
      <c r="Y1746" s="366"/>
      <c r="Z1746" s="366"/>
      <c r="AA1746" s="366"/>
      <c r="AB1746" s="22">
        <f t="shared" si="549"/>
        <v>0</v>
      </c>
      <c r="AC1746" s="23">
        <v>0</v>
      </c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22">
        <f t="shared" si="550"/>
        <v>0</v>
      </c>
      <c r="BC1746" s="23">
        <v>1</v>
      </c>
      <c r="BD1746" s="130">
        <f t="shared" si="551"/>
        <v>0</v>
      </c>
      <c r="BE1746" s="130">
        <f t="shared" si="552"/>
        <v>1</v>
      </c>
      <c r="BF1746" s="195">
        <f t="shared" si="553"/>
        <v>0</v>
      </c>
      <c r="BG1746" s="373">
        <f t="shared" si="554"/>
        <v>1</v>
      </c>
    </row>
    <row r="1747" spans="1:59" s="46" customFormat="1" ht="15.95" customHeight="1">
      <c r="A1747" s="367">
        <v>49</v>
      </c>
      <c r="B1747" s="31" t="s">
        <v>821</v>
      </c>
      <c r="C1747" s="32" t="s">
        <v>1594</v>
      </c>
      <c r="D1747" s="366"/>
      <c r="E1747" s="366"/>
      <c r="F1747" s="366"/>
      <c r="G1747" s="366"/>
      <c r="H1747" s="366"/>
      <c r="I1747" s="366"/>
      <c r="J1747" s="366"/>
      <c r="K1747" s="366"/>
      <c r="L1747" s="366"/>
      <c r="M1747" s="366"/>
      <c r="N1747" s="366"/>
      <c r="O1747" s="366"/>
      <c r="P1747" s="366"/>
      <c r="Q1747" s="366"/>
      <c r="R1747" s="366"/>
      <c r="S1747" s="366"/>
      <c r="T1747" s="366"/>
      <c r="U1747" s="366"/>
      <c r="V1747" s="366"/>
      <c r="W1747" s="366"/>
      <c r="X1747" s="366"/>
      <c r="Y1747" s="366"/>
      <c r="Z1747" s="366"/>
      <c r="AA1747" s="366"/>
      <c r="AB1747" s="22">
        <f t="shared" si="549"/>
        <v>0</v>
      </c>
      <c r="AC1747" s="23">
        <v>0</v>
      </c>
      <c r="AD1747" s="35"/>
      <c r="AE1747" s="35"/>
      <c r="AF1747" s="35"/>
      <c r="AG1747" s="35"/>
      <c r="AH1747" s="35">
        <v>1</v>
      </c>
      <c r="AI1747" s="35"/>
      <c r="AJ1747" s="35"/>
      <c r="AK1747" s="35"/>
      <c r="AL1747" s="35">
        <v>13</v>
      </c>
      <c r="AM1747" s="35"/>
      <c r="AN1747" s="35"/>
      <c r="AO1747" s="35"/>
      <c r="AP1747" s="35">
        <v>10</v>
      </c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22">
        <f t="shared" si="550"/>
        <v>24</v>
      </c>
      <c r="BC1747" s="23">
        <v>18</v>
      </c>
      <c r="BD1747" s="130">
        <f t="shared" si="551"/>
        <v>24</v>
      </c>
      <c r="BE1747" s="130">
        <f t="shared" si="552"/>
        <v>18</v>
      </c>
      <c r="BF1747" s="195">
        <f t="shared" si="553"/>
        <v>133.33333333333331</v>
      </c>
      <c r="BG1747" s="373">
        <f t="shared" si="554"/>
        <v>-6</v>
      </c>
    </row>
    <row r="1748" spans="1:59" s="46" customFormat="1" ht="15.95" customHeight="1">
      <c r="A1748" s="549">
        <v>50</v>
      </c>
      <c r="B1748" s="31" t="s">
        <v>1010</v>
      </c>
      <c r="C1748" s="32" t="s">
        <v>2418</v>
      </c>
      <c r="D1748" s="551"/>
      <c r="E1748" s="551"/>
      <c r="F1748" s="551"/>
      <c r="G1748" s="551"/>
      <c r="H1748" s="551"/>
      <c r="I1748" s="551"/>
      <c r="J1748" s="551"/>
      <c r="K1748" s="551"/>
      <c r="L1748" s="551"/>
      <c r="M1748" s="551"/>
      <c r="N1748" s="551"/>
      <c r="O1748" s="551"/>
      <c r="P1748" s="551"/>
      <c r="Q1748" s="551"/>
      <c r="R1748" s="551"/>
      <c r="S1748" s="551"/>
      <c r="T1748" s="551"/>
      <c r="U1748" s="551"/>
      <c r="V1748" s="551"/>
      <c r="W1748" s="551"/>
      <c r="X1748" s="551"/>
      <c r="Y1748" s="551"/>
      <c r="Z1748" s="551"/>
      <c r="AA1748" s="551"/>
      <c r="AB1748" s="22">
        <f t="shared" si="549"/>
        <v>0</v>
      </c>
      <c r="AC1748" s="23">
        <v>0</v>
      </c>
      <c r="AD1748" s="35"/>
      <c r="AE1748" s="35"/>
      <c r="AF1748" s="35"/>
      <c r="AG1748" s="35"/>
      <c r="AH1748" s="35"/>
      <c r="AI1748" s="35"/>
      <c r="AJ1748" s="35"/>
      <c r="AK1748" s="35"/>
      <c r="AL1748" s="35">
        <v>1</v>
      </c>
      <c r="AM1748" s="35"/>
      <c r="AN1748" s="35"/>
      <c r="AO1748" s="35"/>
      <c r="AP1748" s="35">
        <v>12</v>
      </c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22">
        <f t="shared" si="550"/>
        <v>13</v>
      </c>
      <c r="BC1748" s="23">
        <v>0</v>
      </c>
      <c r="BD1748" s="130">
        <f t="shared" si="551"/>
        <v>13</v>
      </c>
      <c r="BE1748" s="130">
        <f t="shared" si="552"/>
        <v>0</v>
      </c>
      <c r="BF1748" s="195" t="e">
        <f t="shared" si="553"/>
        <v>#DIV/0!</v>
      </c>
      <c r="BG1748" s="373"/>
    </row>
    <row r="1749" spans="1:59" s="46" customFormat="1" ht="15.95" customHeight="1">
      <c r="A1749" s="176">
        <v>51</v>
      </c>
      <c r="B1749" s="31" t="s">
        <v>1377</v>
      </c>
      <c r="C1749" s="32" t="s">
        <v>2112</v>
      </c>
      <c r="D1749" s="366"/>
      <c r="E1749" s="366"/>
      <c r="F1749" s="366"/>
      <c r="G1749" s="366"/>
      <c r="H1749" s="366"/>
      <c r="I1749" s="366"/>
      <c r="J1749" s="366"/>
      <c r="K1749" s="366"/>
      <c r="L1749" s="366"/>
      <c r="M1749" s="366"/>
      <c r="N1749" s="366"/>
      <c r="O1749" s="366"/>
      <c r="P1749" s="366"/>
      <c r="Q1749" s="366"/>
      <c r="R1749" s="366"/>
      <c r="S1749" s="366"/>
      <c r="T1749" s="366"/>
      <c r="U1749" s="366"/>
      <c r="V1749" s="366"/>
      <c r="W1749" s="366"/>
      <c r="X1749" s="366"/>
      <c r="Y1749" s="366"/>
      <c r="Z1749" s="366"/>
      <c r="AA1749" s="366"/>
      <c r="AB1749" s="22">
        <f t="shared" si="549"/>
        <v>0</v>
      </c>
      <c r="AC1749" s="23">
        <v>0</v>
      </c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22">
        <f t="shared" si="550"/>
        <v>0</v>
      </c>
      <c r="BC1749" s="23">
        <v>6</v>
      </c>
      <c r="BD1749" s="130">
        <f t="shared" si="551"/>
        <v>0</v>
      </c>
      <c r="BE1749" s="130">
        <f t="shared" si="552"/>
        <v>6</v>
      </c>
      <c r="BF1749" s="195">
        <f t="shared" si="553"/>
        <v>0</v>
      </c>
      <c r="BG1749" s="373">
        <f t="shared" ref="BG1749:BG1756" si="555">BE1749-BD1749</f>
        <v>6</v>
      </c>
    </row>
    <row r="1750" spans="1:59" s="46" customFormat="1" ht="15.95" customHeight="1">
      <c r="A1750" s="367">
        <v>52</v>
      </c>
      <c r="B1750" s="31" t="s">
        <v>1669</v>
      </c>
      <c r="C1750" s="32" t="s">
        <v>3320</v>
      </c>
      <c r="D1750" s="366"/>
      <c r="E1750" s="366"/>
      <c r="F1750" s="366"/>
      <c r="G1750" s="366"/>
      <c r="H1750" s="366"/>
      <c r="I1750" s="366"/>
      <c r="J1750" s="366"/>
      <c r="K1750" s="366"/>
      <c r="L1750" s="366"/>
      <c r="M1750" s="366"/>
      <c r="N1750" s="366"/>
      <c r="O1750" s="366"/>
      <c r="P1750" s="366"/>
      <c r="Q1750" s="366"/>
      <c r="R1750" s="366"/>
      <c r="S1750" s="366"/>
      <c r="T1750" s="366"/>
      <c r="U1750" s="366"/>
      <c r="V1750" s="366"/>
      <c r="W1750" s="366"/>
      <c r="X1750" s="366"/>
      <c r="Y1750" s="366"/>
      <c r="Z1750" s="366"/>
      <c r="AA1750" s="366"/>
      <c r="AB1750" s="22">
        <f t="shared" si="549"/>
        <v>0</v>
      </c>
      <c r="AC1750" s="23">
        <v>0</v>
      </c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22">
        <f t="shared" si="550"/>
        <v>0</v>
      </c>
      <c r="BC1750" s="23">
        <v>1</v>
      </c>
      <c r="BD1750" s="130">
        <f t="shared" si="551"/>
        <v>0</v>
      </c>
      <c r="BE1750" s="130">
        <f t="shared" si="552"/>
        <v>1</v>
      </c>
      <c r="BF1750" s="195">
        <f t="shared" si="553"/>
        <v>0</v>
      </c>
      <c r="BG1750" s="373">
        <f t="shared" si="555"/>
        <v>1</v>
      </c>
    </row>
    <row r="1751" spans="1:59" s="46" customFormat="1" ht="15.95" customHeight="1">
      <c r="A1751" s="549">
        <v>53</v>
      </c>
      <c r="B1751" s="31" t="s">
        <v>823</v>
      </c>
      <c r="C1751" s="32" t="s">
        <v>824</v>
      </c>
      <c r="D1751" s="231"/>
      <c r="E1751" s="231"/>
      <c r="F1751" s="231"/>
      <c r="G1751" s="231"/>
      <c r="H1751" s="231"/>
      <c r="I1751" s="231"/>
      <c r="J1751" s="231"/>
      <c r="K1751" s="231"/>
      <c r="L1751" s="231"/>
      <c r="M1751" s="231"/>
      <c r="N1751" s="231"/>
      <c r="O1751" s="231"/>
      <c r="P1751" s="231"/>
      <c r="Q1751" s="231"/>
      <c r="R1751" s="231"/>
      <c r="S1751" s="231"/>
      <c r="T1751" s="231"/>
      <c r="U1751" s="231"/>
      <c r="V1751" s="231"/>
      <c r="W1751" s="231"/>
      <c r="X1751" s="231"/>
      <c r="Y1751" s="231"/>
      <c r="Z1751" s="231"/>
      <c r="AA1751" s="231"/>
      <c r="AB1751" s="22">
        <f t="shared" si="549"/>
        <v>0</v>
      </c>
      <c r="AC1751" s="23">
        <v>0</v>
      </c>
      <c r="AD1751" s="35"/>
      <c r="AE1751" s="35"/>
      <c r="AF1751" s="35"/>
      <c r="AG1751" s="35"/>
      <c r="AH1751" s="35">
        <v>10</v>
      </c>
      <c r="AI1751" s="35"/>
      <c r="AJ1751" s="35"/>
      <c r="AK1751" s="35"/>
      <c r="AL1751" s="35">
        <v>25</v>
      </c>
      <c r="AM1751" s="35"/>
      <c r="AN1751" s="35"/>
      <c r="AO1751" s="35"/>
      <c r="AP1751" s="35">
        <v>8</v>
      </c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22">
        <f t="shared" si="550"/>
        <v>43</v>
      </c>
      <c r="BC1751" s="23">
        <v>128</v>
      </c>
      <c r="BD1751" s="130">
        <f t="shared" si="551"/>
        <v>43</v>
      </c>
      <c r="BE1751" s="130">
        <f t="shared" si="552"/>
        <v>128</v>
      </c>
      <c r="BF1751" s="195">
        <f t="shared" si="553"/>
        <v>33.59375</v>
      </c>
      <c r="BG1751" s="373">
        <f t="shared" si="555"/>
        <v>85</v>
      </c>
    </row>
    <row r="1752" spans="1:59" s="46" customFormat="1" ht="15.95" customHeight="1">
      <c r="A1752" s="176">
        <v>54</v>
      </c>
      <c r="B1752" s="31" t="s">
        <v>825</v>
      </c>
      <c r="C1752" s="32" t="s">
        <v>907</v>
      </c>
      <c r="D1752" s="231"/>
      <c r="E1752" s="231"/>
      <c r="F1752" s="231"/>
      <c r="G1752" s="231"/>
      <c r="H1752" s="231"/>
      <c r="I1752" s="231"/>
      <c r="J1752" s="231"/>
      <c r="K1752" s="231"/>
      <c r="L1752" s="231"/>
      <c r="M1752" s="231"/>
      <c r="N1752" s="231"/>
      <c r="O1752" s="231"/>
      <c r="P1752" s="231"/>
      <c r="Q1752" s="231"/>
      <c r="R1752" s="231"/>
      <c r="S1752" s="231"/>
      <c r="T1752" s="231"/>
      <c r="U1752" s="231"/>
      <c r="V1752" s="231"/>
      <c r="W1752" s="231"/>
      <c r="X1752" s="231"/>
      <c r="Y1752" s="231"/>
      <c r="Z1752" s="231"/>
      <c r="AA1752" s="231"/>
      <c r="AB1752" s="22">
        <f t="shared" si="549"/>
        <v>0</v>
      </c>
      <c r="AC1752" s="23">
        <v>1</v>
      </c>
      <c r="AD1752" s="35"/>
      <c r="AE1752" s="35"/>
      <c r="AF1752" s="35"/>
      <c r="AG1752" s="35"/>
      <c r="AH1752" s="35">
        <f>1+29</f>
        <v>30</v>
      </c>
      <c r="AI1752" s="35"/>
      <c r="AJ1752" s="35"/>
      <c r="AK1752" s="35"/>
      <c r="AL1752" s="35">
        <f>1+1+60+3</f>
        <v>65</v>
      </c>
      <c r="AM1752" s="35"/>
      <c r="AN1752" s="35"/>
      <c r="AO1752" s="35"/>
      <c r="AP1752" s="35">
        <f>1+32+3</f>
        <v>36</v>
      </c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22">
        <f t="shared" si="550"/>
        <v>131</v>
      </c>
      <c r="BC1752" s="23">
        <v>337</v>
      </c>
      <c r="BD1752" s="130">
        <f t="shared" si="551"/>
        <v>131</v>
      </c>
      <c r="BE1752" s="130">
        <f t="shared" si="552"/>
        <v>338</v>
      </c>
      <c r="BF1752" s="195">
        <f t="shared" si="553"/>
        <v>38.757396449704139</v>
      </c>
      <c r="BG1752" s="373">
        <f t="shared" si="555"/>
        <v>207</v>
      </c>
    </row>
    <row r="1753" spans="1:59" s="46" customFormat="1" ht="15.95" customHeight="1">
      <c r="A1753" s="367">
        <v>55</v>
      </c>
      <c r="B1753" s="31" t="s">
        <v>827</v>
      </c>
      <c r="C1753" s="32" t="s">
        <v>828</v>
      </c>
      <c r="D1753" s="336"/>
      <c r="E1753" s="336"/>
      <c r="F1753" s="336"/>
      <c r="G1753" s="336"/>
      <c r="H1753" s="336"/>
      <c r="I1753" s="336"/>
      <c r="J1753" s="336"/>
      <c r="K1753" s="336"/>
      <c r="L1753" s="336"/>
      <c r="M1753" s="336"/>
      <c r="N1753" s="336"/>
      <c r="O1753" s="336"/>
      <c r="P1753" s="336"/>
      <c r="Q1753" s="336"/>
      <c r="R1753" s="336"/>
      <c r="S1753" s="336"/>
      <c r="T1753" s="336"/>
      <c r="U1753" s="336"/>
      <c r="V1753" s="336"/>
      <c r="W1753" s="336"/>
      <c r="X1753" s="336"/>
      <c r="Y1753" s="336"/>
      <c r="Z1753" s="336"/>
      <c r="AA1753" s="336"/>
      <c r="AB1753" s="22">
        <f t="shared" si="549"/>
        <v>0</v>
      </c>
      <c r="AC1753" s="23">
        <v>0</v>
      </c>
      <c r="AD1753" s="35"/>
      <c r="AE1753" s="35"/>
      <c r="AF1753" s="35"/>
      <c r="AG1753" s="35"/>
      <c r="AH1753" s="35">
        <v>5</v>
      </c>
      <c r="AI1753" s="35"/>
      <c r="AJ1753" s="35"/>
      <c r="AK1753" s="35"/>
      <c r="AL1753" s="35">
        <f>1+5</f>
        <v>6</v>
      </c>
      <c r="AM1753" s="35"/>
      <c r="AN1753" s="35"/>
      <c r="AO1753" s="35"/>
      <c r="AP1753" s="35">
        <f>1+1</f>
        <v>2</v>
      </c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22">
        <f t="shared" si="550"/>
        <v>13</v>
      </c>
      <c r="BC1753" s="23">
        <v>15</v>
      </c>
      <c r="BD1753" s="130">
        <f t="shared" si="551"/>
        <v>13</v>
      </c>
      <c r="BE1753" s="130">
        <f t="shared" si="552"/>
        <v>15</v>
      </c>
      <c r="BF1753" s="195">
        <f t="shared" si="553"/>
        <v>86.666666666666671</v>
      </c>
      <c r="BG1753" s="373">
        <f t="shared" si="555"/>
        <v>2</v>
      </c>
    </row>
    <row r="1754" spans="1:59" s="46" customFormat="1" ht="15.95" customHeight="1">
      <c r="A1754" s="549">
        <v>56</v>
      </c>
      <c r="B1754" s="31" t="s">
        <v>835</v>
      </c>
      <c r="C1754" s="32" t="s">
        <v>947</v>
      </c>
      <c r="D1754" s="231"/>
      <c r="E1754" s="231"/>
      <c r="F1754" s="231"/>
      <c r="G1754" s="231"/>
      <c r="H1754" s="231"/>
      <c r="I1754" s="231"/>
      <c r="J1754" s="231"/>
      <c r="K1754" s="231"/>
      <c r="L1754" s="231"/>
      <c r="M1754" s="231"/>
      <c r="N1754" s="231"/>
      <c r="O1754" s="231"/>
      <c r="P1754" s="231"/>
      <c r="Q1754" s="231"/>
      <c r="R1754" s="231"/>
      <c r="S1754" s="231"/>
      <c r="T1754" s="231"/>
      <c r="U1754" s="231"/>
      <c r="V1754" s="231"/>
      <c r="W1754" s="231"/>
      <c r="X1754" s="231"/>
      <c r="Y1754" s="231"/>
      <c r="Z1754" s="231"/>
      <c r="AA1754" s="231"/>
      <c r="AB1754" s="22">
        <f t="shared" si="549"/>
        <v>0</v>
      </c>
      <c r="AC1754" s="23">
        <v>0</v>
      </c>
      <c r="AD1754" s="35"/>
      <c r="AE1754" s="35"/>
      <c r="AF1754" s="35"/>
      <c r="AG1754" s="35"/>
      <c r="AH1754" s="35">
        <v>3</v>
      </c>
      <c r="AI1754" s="35"/>
      <c r="AJ1754" s="35"/>
      <c r="AK1754" s="35"/>
      <c r="AL1754" s="35">
        <v>22</v>
      </c>
      <c r="AM1754" s="35"/>
      <c r="AN1754" s="35"/>
      <c r="AO1754" s="35"/>
      <c r="AP1754" s="35">
        <v>15</v>
      </c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22">
        <f t="shared" si="550"/>
        <v>40</v>
      </c>
      <c r="BC1754" s="23">
        <v>41</v>
      </c>
      <c r="BD1754" s="130">
        <f t="shared" si="551"/>
        <v>40</v>
      </c>
      <c r="BE1754" s="130">
        <f t="shared" si="552"/>
        <v>41</v>
      </c>
      <c r="BF1754" s="195">
        <f t="shared" si="553"/>
        <v>97.560975609756099</v>
      </c>
      <c r="BG1754" s="373">
        <f t="shared" si="555"/>
        <v>1</v>
      </c>
    </row>
    <row r="1755" spans="1:59" s="46" customFormat="1" ht="15.95" customHeight="1">
      <c r="A1755" s="176">
        <v>57</v>
      </c>
      <c r="B1755" s="31" t="s">
        <v>1013</v>
      </c>
      <c r="C1755" s="32" t="s">
        <v>1632</v>
      </c>
      <c r="D1755" s="231"/>
      <c r="E1755" s="231"/>
      <c r="F1755" s="231"/>
      <c r="G1755" s="231"/>
      <c r="H1755" s="231"/>
      <c r="I1755" s="231"/>
      <c r="J1755" s="231"/>
      <c r="K1755" s="231"/>
      <c r="L1755" s="231"/>
      <c r="M1755" s="231"/>
      <c r="N1755" s="231"/>
      <c r="O1755" s="231"/>
      <c r="P1755" s="231"/>
      <c r="Q1755" s="231"/>
      <c r="R1755" s="231"/>
      <c r="S1755" s="231"/>
      <c r="T1755" s="231"/>
      <c r="U1755" s="231"/>
      <c r="V1755" s="231"/>
      <c r="W1755" s="231"/>
      <c r="X1755" s="231"/>
      <c r="Y1755" s="231"/>
      <c r="Z1755" s="231"/>
      <c r="AA1755" s="231"/>
      <c r="AB1755" s="22">
        <f t="shared" si="549"/>
        <v>0</v>
      </c>
      <c r="AC1755" s="23">
        <v>0</v>
      </c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>
        <v>1</v>
      </c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22">
        <f t="shared" si="550"/>
        <v>1</v>
      </c>
      <c r="BC1755" s="23">
        <v>32</v>
      </c>
      <c r="BD1755" s="130">
        <f t="shared" si="551"/>
        <v>1</v>
      </c>
      <c r="BE1755" s="130">
        <f t="shared" si="552"/>
        <v>32</v>
      </c>
      <c r="BF1755" s="195">
        <f t="shared" si="553"/>
        <v>3.125</v>
      </c>
      <c r="BG1755" s="373">
        <f t="shared" si="555"/>
        <v>31</v>
      </c>
    </row>
    <row r="1756" spans="1:59" s="46" customFormat="1" ht="15.95" customHeight="1">
      <c r="A1756" s="367">
        <v>58</v>
      </c>
      <c r="B1756" s="31" t="s">
        <v>837</v>
      </c>
      <c r="C1756" s="32" t="s">
        <v>908</v>
      </c>
      <c r="D1756" s="231"/>
      <c r="E1756" s="231"/>
      <c r="F1756" s="231"/>
      <c r="G1756" s="231"/>
      <c r="H1756" s="231"/>
      <c r="I1756" s="231"/>
      <c r="J1756" s="231"/>
      <c r="K1756" s="231"/>
      <c r="L1756" s="231"/>
      <c r="M1756" s="231"/>
      <c r="N1756" s="231"/>
      <c r="O1756" s="231"/>
      <c r="P1756" s="231"/>
      <c r="Q1756" s="231"/>
      <c r="R1756" s="231"/>
      <c r="S1756" s="231"/>
      <c r="T1756" s="231"/>
      <c r="U1756" s="231"/>
      <c r="V1756" s="231"/>
      <c r="W1756" s="231"/>
      <c r="X1756" s="231"/>
      <c r="Y1756" s="231"/>
      <c r="Z1756" s="231"/>
      <c r="AA1756" s="231"/>
      <c r="AB1756" s="22">
        <f t="shared" si="549"/>
        <v>0</v>
      </c>
      <c r="AC1756" s="23">
        <v>1</v>
      </c>
      <c r="AD1756" s="35"/>
      <c r="AE1756" s="35"/>
      <c r="AF1756" s="35"/>
      <c r="AG1756" s="35"/>
      <c r="AH1756" s="35">
        <v>10</v>
      </c>
      <c r="AI1756" s="35"/>
      <c r="AJ1756" s="35"/>
      <c r="AK1756" s="35"/>
      <c r="AL1756" s="35">
        <f>1+49</f>
        <v>50</v>
      </c>
      <c r="AM1756" s="35"/>
      <c r="AN1756" s="35"/>
      <c r="AO1756" s="35"/>
      <c r="AP1756" s="35">
        <v>32</v>
      </c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22">
        <f t="shared" si="550"/>
        <v>92</v>
      </c>
      <c r="BC1756" s="23">
        <v>118</v>
      </c>
      <c r="BD1756" s="130">
        <f t="shared" si="551"/>
        <v>92</v>
      </c>
      <c r="BE1756" s="130">
        <f t="shared" si="552"/>
        <v>119</v>
      </c>
      <c r="BF1756" s="195">
        <f t="shared" si="553"/>
        <v>77.310924369747909</v>
      </c>
      <c r="BG1756" s="373">
        <f t="shared" si="555"/>
        <v>27</v>
      </c>
    </row>
    <row r="1757" spans="1:59" s="46" customFormat="1" ht="15.95" customHeight="1">
      <c r="A1757" s="549">
        <v>59</v>
      </c>
      <c r="B1757" s="31" t="s">
        <v>1380</v>
      </c>
      <c r="C1757" s="32" t="s">
        <v>2152</v>
      </c>
      <c r="D1757" s="574"/>
      <c r="E1757" s="574"/>
      <c r="F1757" s="574"/>
      <c r="G1757" s="574"/>
      <c r="H1757" s="574"/>
      <c r="I1757" s="574"/>
      <c r="J1757" s="574"/>
      <c r="K1757" s="574"/>
      <c r="L1757" s="574"/>
      <c r="M1757" s="574"/>
      <c r="N1757" s="574"/>
      <c r="O1757" s="574"/>
      <c r="P1757" s="574"/>
      <c r="Q1757" s="574"/>
      <c r="R1757" s="574"/>
      <c r="S1757" s="574"/>
      <c r="T1757" s="574"/>
      <c r="U1757" s="574"/>
      <c r="V1757" s="574"/>
      <c r="W1757" s="574"/>
      <c r="X1757" s="574"/>
      <c r="Y1757" s="574"/>
      <c r="Z1757" s="574"/>
      <c r="AA1757" s="574"/>
      <c r="AB1757" s="22">
        <f t="shared" si="549"/>
        <v>0</v>
      </c>
      <c r="AC1757" s="23">
        <v>0</v>
      </c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>
        <v>16</v>
      </c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22">
        <f t="shared" si="550"/>
        <v>16</v>
      </c>
      <c r="BC1757" s="23">
        <v>0</v>
      </c>
      <c r="BD1757" s="130">
        <f t="shared" si="551"/>
        <v>16</v>
      </c>
      <c r="BE1757" s="130">
        <f t="shared" si="552"/>
        <v>0</v>
      </c>
      <c r="BF1757" s="195" t="e">
        <f t="shared" si="553"/>
        <v>#DIV/0!</v>
      </c>
      <c r="BG1757" s="373"/>
    </row>
    <row r="1758" spans="1:59" s="46" customFormat="1" ht="15.95" customHeight="1">
      <c r="A1758" s="176">
        <v>60</v>
      </c>
      <c r="B1758" s="31" t="s">
        <v>911</v>
      </c>
      <c r="C1758" s="32" t="s">
        <v>1127</v>
      </c>
      <c r="D1758" s="324"/>
      <c r="E1758" s="324"/>
      <c r="F1758" s="324"/>
      <c r="G1758" s="324"/>
      <c r="H1758" s="324"/>
      <c r="I1758" s="324"/>
      <c r="J1758" s="324"/>
      <c r="K1758" s="324"/>
      <c r="L1758" s="324"/>
      <c r="M1758" s="324"/>
      <c r="N1758" s="324"/>
      <c r="O1758" s="324"/>
      <c r="P1758" s="324"/>
      <c r="Q1758" s="324"/>
      <c r="R1758" s="324"/>
      <c r="S1758" s="324"/>
      <c r="T1758" s="324"/>
      <c r="U1758" s="324"/>
      <c r="V1758" s="324"/>
      <c r="W1758" s="324"/>
      <c r="X1758" s="324"/>
      <c r="Y1758" s="324"/>
      <c r="Z1758" s="324"/>
      <c r="AA1758" s="324"/>
      <c r="AB1758" s="22">
        <f t="shared" si="549"/>
        <v>0</v>
      </c>
      <c r="AC1758" s="23">
        <v>0</v>
      </c>
      <c r="AD1758" s="35"/>
      <c r="AE1758" s="35"/>
      <c r="AF1758" s="35"/>
      <c r="AG1758" s="35"/>
      <c r="AH1758" s="35"/>
      <c r="AI1758" s="35"/>
      <c r="AJ1758" s="35"/>
      <c r="AK1758" s="35"/>
      <c r="AL1758" s="35">
        <v>1</v>
      </c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22">
        <f t="shared" si="550"/>
        <v>1</v>
      </c>
      <c r="BC1758" s="23">
        <v>1</v>
      </c>
      <c r="BD1758" s="130">
        <f t="shared" si="551"/>
        <v>1</v>
      </c>
      <c r="BE1758" s="130">
        <f t="shared" si="552"/>
        <v>1</v>
      </c>
      <c r="BF1758" s="195">
        <f t="shared" si="553"/>
        <v>100</v>
      </c>
      <c r="BG1758" s="373">
        <f t="shared" ref="BG1758:BG1775" si="556">BE1758-BD1758</f>
        <v>0</v>
      </c>
    </row>
    <row r="1759" spans="1:59" s="46" customFormat="1" ht="15.95" customHeight="1">
      <c r="A1759" s="367">
        <v>61</v>
      </c>
      <c r="B1759" s="31" t="s">
        <v>1180</v>
      </c>
      <c r="C1759" s="32" t="s">
        <v>1181</v>
      </c>
      <c r="D1759" s="231"/>
      <c r="E1759" s="231"/>
      <c r="F1759" s="231"/>
      <c r="G1759" s="231"/>
      <c r="H1759" s="231"/>
      <c r="I1759" s="231"/>
      <c r="J1759" s="231"/>
      <c r="K1759" s="231"/>
      <c r="L1759" s="231"/>
      <c r="M1759" s="231"/>
      <c r="N1759" s="231"/>
      <c r="O1759" s="231"/>
      <c r="P1759" s="231"/>
      <c r="Q1759" s="231"/>
      <c r="R1759" s="231"/>
      <c r="S1759" s="231"/>
      <c r="T1759" s="231"/>
      <c r="U1759" s="231"/>
      <c r="V1759" s="231"/>
      <c r="W1759" s="231"/>
      <c r="X1759" s="231"/>
      <c r="Y1759" s="231"/>
      <c r="Z1759" s="231"/>
      <c r="AA1759" s="231"/>
      <c r="AB1759" s="22">
        <f t="shared" si="549"/>
        <v>0</v>
      </c>
      <c r="AC1759" s="23">
        <v>0</v>
      </c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22">
        <f t="shared" si="550"/>
        <v>0</v>
      </c>
      <c r="BC1759" s="23">
        <v>1</v>
      </c>
      <c r="BD1759" s="130">
        <f t="shared" si="551"/>
        <v>0</v>
      </c>
      <c r="BE1759" s="130">
        <f t="shared" si="552"/>
        <v>1</v>
      </c>
      <c r="BF1759" s="195">
        <f t="shared" si="553"/>
        <v>0</v>
      </c>
      <c r="BG1759" s="373">
        <f t="shared" si="556"/>
        <v>1</v>
      </c>
    </row>
    <row r="1760" spans="1:59" s="46" customFormat="1" ht="15.95" customHeight="1">
      <c r="A1760" s="549">
        <v>62</v>
      </c>
      <c r="B1760" s="31" t="s">
        <v>1431</v>
      </c>
      <c r="C1760" s="32" t="s">
        <v>1432</v>
      </c>
      <c r="D1760" s="231"/>
      <c r="E1760" s="231"/>
      <c r="F1760" s="231"/>
      <c r="G1760" s="231"/>
      <c r="H1760" s="231"/>
      <c r="I1760" s="231"/>
      <c r="J1760" s="231"/>
      <c r="K1760" s="231"/>
      <c r="L1760" s="231"/>
      <c r="M1760" s="231"/>
      <c r="N1760" s="231"/>
      <c r="O1760" s="231"/>
      <c r="P1760" s="231"/>
      <c r="Q1760" s="231"/>
      <c r="R1760" s="231"/>
      <c r="S1760" s="231"/>
      <c r="T1760" s="231"/>
      <c r="U1760" s="231"/>
      <c r="V1760" s="231"/>
      <c r="W1760" s="231"/>
      <c r="X1760" s="231"/>
      <c r="Y1760" s="231"/>
      <c r="Z1760" s="231"/>
      <c r="AA1760" s="231"/>
      <c r="AB1760" s="22">
        <f t="shared" si="549"/>
        <v>0</v>
      </c>
      <c r="AC1760" s="23">
        <v>0</v>
      </c>
      <c r="AD1760" s="35"/>
      <c r="AE1760" s="35"/>
      <c r="AF1760" s="35"/>
      <c r="AG1760" s="35"/>
      <c r="AH1760" s="35"/>
      <c r="AI1760" s="35"/>
      <c r="AJ1760" s="35"/>
      <c r="AK1760" s="35"/>
      <c r="AL1760" s="35">
        <v>1</v>
      </c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22">
        <f t="shared" si="550"/>
        <v>1</v>
      </c>
      <c r="BC1760" s="23">
        <v>1</v>
      </c>
      <c r="BD1760" s="130">
        <f t="shared" si="551"/>
        <v>1</v>
      </c>
      <c r="BE1760" s="130">
        <f t="shared" si="552"/>
        <v>1</v>
      </c>
      <c r="BF1760" s="195">
        <f t="shared" si="553"/>
        <v>100</v>
      </c>
      <c r="BG1760" s="373">
        <f t="shared" si="556"/>
        <v>0</v>
      </c>
    </row>
    <row r="1761" spans="1:59" s="46" customFormat="1" ht="15.95" customHeight="1">
      <c r="A1761" s="176">
        <v>63</v>
      </c>
      <c r="B1761" s="31" t="s">
        <v>1187</v>
      </c>
      <c r="C1761" s="32" t="s">
        <v>1188</v>
      </c>
      <c r="D1761" s="231"/>
      <c r="E1761" s="231"/>
      <c r="F1761" s="231"/>
      <c r="G1761" s="231"/>
      <c r="H1761" s="231"/>
      <c r="I1761" s="231"/>
      <c r="J1761" s="231"/>
      <c r="K1761" s="231"/>
      <c r="L1761" s="231">
        <f>7+13</f>
        <v>20</v>
      </c>
      <c r="M1761" s="231"/>
      <c r="N1761" s="231"/>
      <c r="O1761" s="231"/>
      <c r="P1761" s="231">
        <v>6</v>
      </c>
      <c r="Q1761" s="231"/>
      <c r="R1761" s="231"/>
      <c r="S1761" s="231"/>
      <c r="T1761" s="231"/>
      <c r="U1761" s="231"/>
      <c r="V1761" s="231"/>
      <c r="W1761" s="231"/>
      <c r="X1761" s="231"/>
      <c r="Y1761" s="231"/>
      <c r="Z1761" s="231"/>
      <c r="AA1761" s="231"/>
      <c r="AB1761" s="22">
        <f t="shared" si="549"/>
        <v>26</v>
      </c>
      <c r="AC1761" s="23">
        <v>0</v>
      </c>
      <c r="AD1761" s="35"/>
      <c r="AE1761" s="35"/>
      <c r="AF1761" s="35"/>
      <c r="AG1761" s="35"/>
      <c r="AH1761" s="35"/>
      <c r="AI1761" s="35"/>
      <c r="AJ1761" s="35"/>
      <c r="AK1761" s="35"/>
      <c r="AL1761" s="35">
        <v>2</v>
      </c>
      <c r="AM1761" s="35"/>
      <c r="AN1761" s="35"/>
      <c r="AO1761" s="35"/>
      <c r="AP1761" s="35">
        <v>2</v>
      </c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22">
        <f t="shared" si="550"/>
        <v>4</v>
      </c>
      <c r="BC1761" s="23">
        <v>9</v>
      </c>
      <c r="BD1761" s="130">
        <f t="shared" si="551"/>
        <v>30</v>
      </c>
      <c r="BE1761" s="130">
        <f t="shared" si="552"/>
        <v>9</v>
      </c>
      <c r="BF1761" s="195">
        <f t="shared" si="553"/>
        <v>333.33333333333337</v>
      </c>
      <c r="BG1761" s="373">
        <f t="shared" si="556"/>
        <v>-21</v>
      </c>
    </row>
    <row r="1762" spans="1:59" s="46" customFormat="1" ht="15.95" customHeight="1">
      <c r="A1762" s="367">
        <v>64</v>
      </c>
      <c r="B1762" s="31" t="s">
        <v>843</v>
      </c>
      <c r="C1762" s="32" t="s">
        <v>2425</v>
      </c>
      <c r="D1762" s="324"/>
      <c r="E1762" s="324"/>
      <c r="F1762" s="324"/>
      <c r="G1762" s="324"/>
      <c r="H1762" s="324"/>
      <c r="I1762" s="324"/>
      <c r="J1762" s="324"/>
      <c r="K1762" s="324"/>
      <c r="L1762" s="324"/>
      <c r="M1762" s="324"/>
      <c r="N1762" s="324"/>
      <c r="O1762" s="324"/>
      <c r="P1762" s="324"/>
      <c r="Q1762" s="324"/>
      <c r="R1762" s="324"/>
      <c r="S1762" s="324"/>
      <c r="T1762" s="324"/>
      <c r="U1762" s="324"/>
      <c r="V1762" s="324"/>
      <c r="W1762" s="324"/>
      <c r="X1762" s="324"/>
      <c r="Y1762" s="324"/>
      <c r="Z1762" s="324"/>
      <c r="AA1762" s="324"/>
      <c r="AB1762" s="22">
        <f t="shared" si="549"/>
        <v>0</v>
      </c>
      <c r="AC1762" s="23">
        <v>0</v>
      </c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22">
        <f t="shared" si="550"/>
        <v>0</v>
      </c>
      <c r="BC1762" s="23">
        <v>3</v>
      </c>
      <c r="BD1762" s="130">
        <f t="shared" si="551"/>
        <v>0</v>
      </c>
      <c r="BE1762" s="130">
        <f t="shared" si="552"/>
        <v>3</v>
      </c>
      <c r="BF1762" s="195">
        <f t="shared" si="553"/>
        <v>0</v>
      </c>
      <c r="BG1762" s="373">
        <f t="shared" si="556"/>
        <v>3</v>
      </c>
    </row>
    <row r="1763" spans="1:59" s="46" customFormat="1" ht="15.95" customHeight="1">
      <c r="A1763" s="549">
        <v>65</v>
      </c>
      <c r="B1763" s="31" t="s">
        <v>912</v>
      </c>
      <c r="C1763" s="32" t="s">
        <v>3187</v>
      </c>
      <c r="D1763" s="324"/>
      <c r="E1763" s="324"/>
      <c r="F1763" s="324"/>
      <c r="G1763" s="324"/>
      <c r="H1763" s="324"/>
      <c r="I1763" s="324"/>
      <c r="J1763" s="324"/>
      <c r="K1763" s="324"/>
      <c r="L1763" s="324"/>
      <c r="M1763" s="324"/>
      <c r="N1763" s="324"/>
      <c r="O1763" s="324"/>
      <c r="P1763" s="324"/>
      <c r="Q1763" s="324"/>
      <c r="R1763" s="324"/>
      <c r="S1763" s="324"/>
      <c r="T1763" s="324"/>
      <c r="U1763" s="324"/>
      <c r="V1763" s="324"/>
      <c r="W1763" s="324"/>
      <c r="X1763" s="324"/>
      <c r="Y1763" s="324"/>
      <c r="Z1763" s="324"/>
      <c r="AA1763" s="324"/>
      <c r="AB1763" s="22">
        <f t="shared" ref="AB1763:AB1794" si="557">SUM(D1763:AA1763)</f>
        <v>0</v>
      </c>
      <c r="AC1763" s="23">
        <v>0</v>
      </c>
      <c r="AD1763" s="35"/>
      <c r="AE1763" s="35"/>
      <c r="AF1763" s="35"/>
      <c r="AG1763" s="35"/>
      <c r="AH1763" s="35">
        <v>1</v>
      </c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22">
        <f t="shared" ref="BB1763:BB1794" si="558">SUM(AD1763:BA1763)</f>
        <v>1</v>
      </c>
      <c r="BC1763" s="23">
        <v>2</v>
      </c>
      <c r="BD1763" s="130">
        <f t="shared" ref="BD1763:BD1794" si="559">AB1763+BB1763</f>
        <v>1</v>
      </c>
      <c r="BE1763" s="130">
        <f t="shared" ref="BE1763:BE1794" si="560">AC1763+BC1763</f>
        <v>2</v>
      </c>
      <c r="BF1763" s="195">
        <f t="shared" ref="BF1763:BF1794" si="561">BD1763/BE1763*100</f>
        <v>50</v>
      </c>
      <c r="BG1763" s="373">
        <f t="shared" si="556"/>
        <v>1</v>
      </c>
    </row>
    <row r="1764" spans="1:59" s="46" customFormat="1" ht="15.95" customHeight="1">
      <c r="A1764" s="176">
        <v>66</v>
      </c>
      <c r="B1764" s="31" t="s">
        <v>913</v>
      </c>
      <c r="C1764" s="32" t="s">
        <v>3188</v>
      </c>
      <c r="D1764" s="254"/>
      <c r="E1764" s="254"/>
      <c r="F1764" s="254"/>
      <c r="G1764" s="254"/>
      <c r="H1764" s="254"/>
      <c r="I1764" s="254"/>
      <c r="J1764" s="254"/>
      <c r="K1764" s="254"/>
      <c r="L1764" s="254"/>
      <c r="M1764" s="254"/>
      <c r="N1764" s="254"/>
      <c r="O1764" s="254"/>
      <c r="P1764" s="254"/>
      <c r="Q1764" s="254"/>
      <c r="R1764" s="254"/>
      <c r="S1764" s="254"/>
      <c r="T1764" s="254"/>
      <c r="U1764" s="254"/>
      <c r="V1764" s="254"/>
      <c r="W1764" s="254"/>
      <c r="X1764" s="254"/>
      <c r="Y1764" s="254"/>
      <c r="Z1764" s="254"/>
      <c r="AA1764" s="254"/>
      <c r="AB1764" s="22">
        <f t="shared" si="557"/>
        <v>0</v>
      </c>
      <c r="AC1764" s="23">
        <v>0</v>
      </c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22">
        <f t="shared" si="558"/>
        <v>0</v>
      </c>
      <c r="BC1764" s="23">
        <v>3</v>
      </c>
      <c r="BD1764" s="130">
        <f t="shared" si="559"/>
        <v>0</v>
      </c>
      <c r="BE1764" s="130">
        <f t="shared" si="560"/>
        <v>3</v>
      </c>
      <c r="BF1764" s="195">
        <f t="shared" si="561"/>
        <v>0</v>
      </c>
      <c r="BG1764" s="373">
        <f t="shared" si="556"/>
        <v>3</v>
      </c>
    </row>
    <row r="1765" spans="1:59" s="46" customFormat="1" ht="15.95" customHeight="1">
      <c r="A1765" s="367">
        <v>67</v>
      </c>
      <c r="B1765" s="31" t="s">
        <v>845</v>
      </c>
      <c r="C1765" s="32" t="s">
        <v>948</v>
      </c>
      <c r="D1765" s="231"/>
      <c r="E1765" s="231"/>
      <c r="F1765" s="231"/>
      <c r="G1765" s="231"/>
      <c r="H1765" s="231"/>
      <c r="I1765" s="231"/>
      <c r="J1765" s="231"/>
      <c r="K1765" s="231"/>
      <c r="L1765" s="231"/>
      <c r="M1765" s="231"/>
      <c r="N1765" s="231"/>
      <c r="O1765" s="231"/>
      <c r="P1765" s="231"/>
      <c r="Q1765" s="231"/>
      <c r="R1765" s="231"/>
      <c r="S1765" s="231"/>
      <c r="T1765" s="231"/>
      <c r="U1765" s="231"/>
      <c r="V1765" s="231"/>
      <c r="W1765" s="231"/>
      <c r="X1765" s="231"/>
      <c r="Y1765" s="231"/>
      <c r="Z1765" s="231"/>
      <c r="AA1765" s="231"/>
      <c r="AB1765" s="22">
        <f t="shared" si="557"/>
        <v>0</v>
      </c>
      <c r="AC1765" s="23">
        <v>0</v>
      </c>
      <c r="AD1765" s="35"/>
      <c r="AE1765" s="35"/>
      <c r="AF1765" s="35"/>
      <c r="AG1765" s="35"/>
      <c r="AH1765" s="35"/>
      <c r="AI1765" s="35"/>
      <c r="AJ1765" s="35"/>
      <c r="AK1765" s="35"/>
      <c r="AL1765" s="35">
        <f>1+4</f>
        <v>5</v>
      </c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22">
        <f t="shared" si="558"/>
        <v>5</v>
      </c>
      <c r="BC1765" s="23">
        <v>4</v>
      </c>
      <c r="BD1765" s="130">
        <f t="shared" si="559"/>
        <v>5</v>
      </c>
      <c r="BE1765" s="130">
        <f t="shared" si="560"/>
        <v>4</v>
      </c>
      <c r="BF1765" s="195">
        <f t="shared" si="561"/>
        <v>125</v>
      </c>
      <c r="BG1765" s="373">
        <f t="shared" si="556"/>
        <v>-1</v>
      </c>
    </row>
    <row r="1766" spans="1:59" s="46" customFormat="1" ht="15.95" customHeight="1">
      <c r="A1766" s="549">
        <v>68</v>
      </c>
      <c r="B1766" s="31" t="s">
        <v>1075</v>
      </c>
      <c r="C1766" s="32" t="s">
        <v>1076</v>
      </c>
      <c r="D1766" s="324"/>
      <c r="E1766" s="324"/>
      <c r="F1766" s="324"/>
      <c r="G1766" s="324"/>
      <c r="H1766" s="324"/>
      <c r="I1766" s="324"/>
      <c r="J1766" s="324"/>
      <c r="K1766" s="324"/>
      <c r="L1766" s="324"/>
      <c r="M1766" s="324"/>
      <c r="N1766" s="324"/>
      <c r="O1766" s="324"/>
      <c r="P1766" s="324"/>
      <c r="Q1766" s="324"/>
      <c r="R1766" s="324"/>
      <c r="S1766" s="324"/>
      <c r="T1766" s="324"/>
      <c r="U1766" s="324"/>
      <c r="V1766" s="324"/>
      <c r="W1766" s="324"/>
      <c r="X1766" s="324"/>
      <c r="Y1766" s="324"/>
      <c r="Z1766" s="324"/>
      <c r="AA1766" s="324"/>
      <c r="AB1766" s="22">
        <f t="shared" si="557"/>
        <v>0</v>
      </c>
      <c r="AC1766" s="23">
        <v>0</v>
      </c>
      <c r="AD1766" s="35"/>
      <c r="AE1766" s="35"/>
      <c r="AF1766" s="35"/>
      <c r="AG1766" s="35"/>
      <c r="AH1766" s="35">
        <f>1+7</f>
        <v>8</v>
      </c>
      <c r="AI1766" s="35"/>
      <c r="AJ1766" s="35"/>
      <c r="AK1766" s="35"/>
      <c r="AL1766" s="35">
        <f>1+21</f>
        <v>22</v>
      </c>
      <c r="AM1766" s="35"/>
      <c r="AN1766" s="35"/>
      <c r="AO1766" s="35"/>
      <c r="AP1766" s="35">
        <f>3+27</f>
        <v>30</v>
      </c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22">
        <f t="shared" si="558"/>
        <v>60</v>
      </c>
      <c r="BC1766" s="23">
        <v>122</v>
      </c>
      <c r="BD1766" s="130">
        <f t="shared" si="559"/>
        <v>60</v>
      </c>
      <c r="BE1766" s="130">
        <f t="shared" si="560"/>
        <v>122</v>
      </c>
      <c r="BF1766" s="195">
        <f t="shared" si="561"/>
        <v>49.180327868852459</v>
      </c>
      <c r="BG1766" s="373">
        <f t="shared" si="556"/>
        <v>62</v>
      </c>
    </row>
    <row r="1767" spans="1:59" s="46" customFormat="1" ht="15.95" customHeight="1">
      <c r="A1767" s="176">
        <v>69</v>
      </c>
      <c r="B1767" s="31" t="s">
        <v>1077</v>
      </c>
      <c r="C1767" s="32" t="s">
        <v>2575</v>
      </c>
      <c r="D1767" s="324"/>
      <c r="E1767" s="324"/>
      <c r="F1767" s="324"/>
      <c r="G1767" s="324"/>
      <c r="H1767" s="324"/>
      <c r="I1767" s="324"/>
      <c r="J1767" s="324"/>
      <c r="K1767" s="324"/>
      <c r="L1767" s="324"/>
      <c r="M1767" s="324"/>
      <c r="N1767" s="324"/>
      <c r="O1767" s="324"/>
      <c r="P1767" s="324"/>
      <c r="Q1767" s="324"/>
      <c r="R1767" s="324"/>
      <c r="S1767" s="324"/>
      <c r="T1767" s="324"/>
      <c r="U1767" s="324"/>
      <c r="V1767" s="324"/>
      <c r="W1767" s="324"/>
      <c r="X1767" s="324"/>
      <c r="Y1767" s="324"/>
      <c r="Z1767" s="324"/>
      <c r="AA1767" s="324"/>
      <c r="AB1767" s="22">
        <f t="shared" si="557"/>
        <v>0</v>
      </c>
      <c r="AC1767" s="23">
        <v>0</v>
      </c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22">
        <f t="shared" si="558"/>
        <v>0</v>
      </c>
      <c r="BC1767" s="23">
        <v>1</v>
      </c>
      <c r="BD1767" s="130">
        <f t="shared" si="559"/>
        <v>0</v>
      </c>
      <c r="BE1767" s="130">
        <f t="shared" si="560"/>
        <v>1</v>
      </c>
      <c r="BF1767" s="195">
        <f t="shared" si="561"/>
        <v>0</v>
      </c>
      <c r="BG1767" s="373">
        <f t="shared" si="556"/>
        <v>1</v>
      </c>
    </row>
    <row r="1768" spans="1:59" s="46" customFormat="1" ht="15.95" customHeight="1">
      <c r="A1768" s="367">
        <v>70</v>
      </c>
      <c r="B1768" s="31" t="s">
        <v>915</v>
      </c>
      <c r="C1768" s="32" t="s">
        <v>916</v>
      </c>
      <c r="D1768" s="231"/>
      <c r="E1768" s="231"/>
      <c r="F1768" s="231"/>
      <c r="G1768" s="231"/>
      <c r="H1768" s="231"/>
      <c r="I1768" s="231"/>
      <c r="J1768" s="231"/>
      <c r="K1768" s="231"/>
      <c r="L1768" s="231"/>
      <c r="M1768" s="231"/>
      <c r="N1768" s="231"/>
      <c r="O1768" s="231"/>
      <c r="P1768" s="231"/>
      <c r="Q1768" s="231"/>
      <c r="R1768" s="231"/>
      <c r="S1768" s="231"/>
      <c r="T1768" s="231"/>
      <c r="U1768" s="231"/>
      <c r="V1768" s="231"/>
      <c r="W1768" s="231"/>
      <c r="X1768" s="231"/>
      <c r="Y1768" s="231"/>
      <c r="Z1768" s="231"/>
      <c r="AA1768" s="231"/>
      <c r="AB1768" s="22">
        <f t="shared" si="557"/>
        <v>0</v>
      </c>
      <c r="AC1768" s="23">
        <v>0</v>
      </c>
      <c r="AD1768" s="35"/>
      <c r="AE1768" s="35"/>
      <c r="AF1768" s="35"/>
      <c r="AG1768" s="35"/>
      <c r="AH1768" s="35">
        <v>3</v>
      </c>
      <c r="AI1768" s="35"/>
      <c r="AJ1768" s="35"/>
      <c r="AK1768" s="35"/>
      <c r="AL1768" s="35">
        <v>12</v>
      </c>
      <c r="AM1768" s="35"/>
      <c r="AN1768" s="35"/>
      <c r="AO1768" s="35"/>
      <c r="AP1768" s="35">
        <v>2</v>
      </c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22">
        <f t="shared" si="558"/>
        <v>17</v>
      </c>
      <c r="BC1768" s="23">
        <v>51</v>
      </c>
      <c r="BD1768" s="130">
        <f t="shared" si="559"/>
        <v>17</v>
      </c>
      <c r="BE1768" s="130">
        <f t="shared" si="560"/>
        <v>51</v>
      </c>
      <c r="BF1768" s="195">
        <f t="shared" si="561"/>
        <v>33.333333333333329</v>
      </c>
      <c r="BG1768" s="373">
        <f t="shared" si="556"/>
        <v>34</v>
      </c>
    </row>
    <row r="1769" spans="1:59" s="46" customFormat="1" ht="15.95" customHeight="1">
      <c r="A1769" s="549">
        <v>71</v>
      </c>
      <c r="B1769" s="31" t="s">
        <v>1082</v>
      </c>
      <c r="C1769" s="32" t="s">
        <v>1083</v>
      </c>
      <c r="D1769" s="231"/>
      <c r="E1769" s="231"/>
      <c r="F1769" s="231"/>
      <c r="G1769" s="231"/>
      <c r="H1769" s="231"/>
      <c r="I1769" s="231"/>
      <c r="J1769" s="231"/>
      <c r="K1769" s="231"/>
      <c r="L1769" s="231"/>
      <c r="M1769" s="231"/>
      <c r="N1769" s="231"/>
      <c r="O1769" s="231"/>
      <c r="P1769" s="231"/>
      <c r="Q1769" s="231"/>
      <c r="R1769" s="231"/>
      <c r="S1769" s="231"/>
      <c r="T1769" s="231"/>
      <c r="U1769" s="231"/>
      <c r="V1769" s="231"/>
      <c r="W1769" s="231"/>
      <c r="X1769" s="231"/>
      <c r="Y1769" s="231"/>
      <c r="Z1769" s="231"/>
      <c r="AA1769" s="231"/>
      <c r="AB1769" s="22">
        <f t="shared" si="557"/>
        <v>0</v>
      </c>
      <c r="AC1769" s="23">
        <v>0</v>
      </c>
      <c r="AD1769" s="35"/>
      <c r="AE1769" s="35"/>
      <c r="AF1769" s="35"/>
      <c r="AG1769" s="35"/>
      <c r="AH1769" s="35">
        <f>1+6</f>
        <v>7</v>
      </c>
      <c r="AI1769" s="35"/>
      <c r="AJ1769" s="35"/>
      <c r="AK1769" s="35"/>
      <c r="AL1769" s="35">
        <f>1+19</f>
        <v>20</v>
      </c>
      <c r="AM1769" s="35"/>
      <c r="AN1769" s="35"/>
      <c r="AO1769" s="35"/>
      <c r="AP1769" s="35">
        <f>3+27</f>
        <v>30</v>
      </c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22">
        <f t="shared" si="558"/>
        <v>57</v>
      </c>
      <c r="BC1769" s="23">
        <v>119</v>
      </c>
      <c r="BD1769" s="130">
        <f t="shared" si="559"/>
        <v>57</v>
      </c>
      <c r="BE1769" s="130">
        <f t="shared" si="560"/>
        <v>119</v>
      </c>
      <c r="BF1769" s="195">
        <f t="shared" si="561"/>
        <v>47.899159663865547</v>
      </c>
      <c r="BG1769" s="373">
        <f t="shared" si="556"/>
        <v>62</v>
      </c>
    </row>
    <row r="1770" spans="1:59" s="46" customFormat="1" ht="15.95" customHeight="1">
      <c r="A1770" s="176">
        <v>72</v>
      </c>
      <c r="B1770" s="31" t="s">
        <v>2298</v>
      </c>
      <c r="C1770" s="32" t="s">
        <v>2470</v>
      </c>
      <c r="D1770" s="324"/>
      <c r="E1770" s="324"/>
      <c r="F1770" s="324"/>
      <c r="G1770" s="324"/>
      <c r="H1770" s="324"/>
      <c r="I1770" s="324"/>
      <c r="J1770" s="324"/>
      <c r="K1770" s="324"/>
      <c r="L1770" s="324"/>
      <c r="M1770" s="324"/>
      <c r="N1770" s="324"/>
      <c r="O1770" s="324"/>
      <c r="P1770" s="324"/>
      <c r="Q1770" s="324"/>
      <c r="R1770" s="324"/>
      <c r="S1770" s="324"/>
      <c r="T1770" s="324"/>
      <c r="U1770" s="324"/>
      <c r="V1770" s="324"/>
      <c r="W1770" s="324"/>
      <c r="X1770" s="324"/>
      <c r="Y1770" s="324"/>
      <c r="Z1770" s="324"/>
      <c r="AA1770" s="324"/>
      <c r="AB1770" s="22">
        <f t="shared" si="557"/>
        <v>0</v>
      </c>
      <c r="AC1770" s="23">
        <v>0</v>
      </c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22">
        <f t="shared" si="558"/>
        <v>0</v>
      </c>
      <c r="BC1770" s="23">
        <v>3</v>
      </c>
      <c r="BD1770" s="130">
        <f t="shared" si="559"/>
        <v>0</v>
      </c>
      <c r="BE1770" s="130">
        <f t="shared" si="560"/>
        <v>3</v>
      </c>
      <c r="BF1770" s="195">
        <f t="shared" si="561"/>
        <v>0</v>
      </c>
      <c r="BG1770" s="373">
        <f t="shared" si="556"/>
        <v>3</v>
      </c>
    </row>
    <row r="1771" spans="1:59" s="46" customFormat="1" ht="15.95" customHeight="1">
      <c r="A1771" s="367">
        <v>73</v>
      </c>
      <c r="B1771" s="31" t="s">
        <v>1347</v>
      </c>
      <c r="C1771" s="32" t="s">
        <v>1640</v>
      </c>
      <c r="D1771" s="231"/>
      <c r="E1771" s="231"/>
      <c r="F1771" s="231"/>
      <c r="G1771" s="231"/>
      <c r="H1771" s="231"/>
      <c r="I1771" s="231"/>
      <c r="J1771" s="231"/>
      <c r="K1771" s="231"/>
      <c r="L1771" s="231"/>
      <c r="M1771" s="231"/>
      <c r="N1771" s="231"/>
      <c r="O1771" s="231"/>
      <c r="P1771" s="231"/>
      <c r="Q1771" s="231"/>
      <c r="R1771" s="231"/>
      <c r="S1771" s="231"/>
      <c r="T1771" s="231"/>
      <c r="U1771" s="231"/>
      <c r="V1771" s="231"/>
      <c r="W1771" s="231"/>
      <c r="X1771" s="231"/>
      <c r="Y1771" s="231"/>
      <c r="Z1771" s="231"/>
      <c r="AA1771" s="231"/>
      <c r="AB1771" s="22">
        <f t="shared" si="557"/>
        <v>0</v>
      </c>
      <c r="AC1771" s="23">
        <v>0</v>
      </c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22">
        <f t="shared" si="558"/>
        <v>0</v>
      </c>
      <c r="BC1771" s="23">
        <v>1</v>
      </c>
      <c r="BD1771" s="130">
        <f t="shared" si="559"/>
        <v>0</v>
      </c>
      <c r="BE1771" s="130">
        <f t="shared" si="560"/>
        <v>1</v>
      </c>
      <c r="BF1771" s="195">
        <f t="shared" si="561"/>
        <v>0</v>
      </c>
      <c r="BG1771" s="373">
        <f t="shared" si="556"/>
        <v>1</v>
      </c>
    </row>
    <row r="1772" spans="1:59" s="46" customFormat="1" ht="15.95" customHeight="1">
      <c r="A1772" s="549">
        <v>74</v>
      </c>
      <c r="B1772" s="31" t="s">
        <v>961</v>
      </c>
      <c r="C1772" s="32" t="s">
        <v>1599</v>
      </c>
      <c r="D1772" s="231"/>
      <c r="E1772" s="231"/>
      <c r="F1772" s="231"/>
      <c r="G1772" s="231"/>
      <c r="H1772" s="231"/>
      <c r="I1772" s="231"/>
      <c r="J1772" s="231"/>
      <c r="K1772" s="231"/>
      <c r="L1772" s="231"/>
      <c r="M1772" s="231"/>
      <c r="N1772" s="231"/>
      <c r="O1772" s="231"/>
      <c r="P1772" s="231"/>
      <c r="Q1772" s="231"/>
      <c r="R1772" s="231"/>
      <c r="S1772" s="231"/>
      <c r="T1772" s="231"/>
      <c r="U1772" s="231"/>
      <c r="V1772" s="231"/>
      <c r="W1772" s="231"/>
      <c r="X1772" s="231"/>
      <c r="Y1772" s="231"/>
      <c r="Z1772" s="231"/>
      <c r="AA1772" s="231"/>
      <c r="AB1772" s="22">
        <f t="shared" si="557"/>
        <v>0</v>
      </c>
      <c r="AC1772" s="23">
        <v>0</v>
      </c>
      <c r="AD1772" s="35"/>
      <c r="AE1772" s="35"/>
      <c r="AF1772" s="35"/>
      <c r="AG1772" s="35"/>
      <c r="AH1772" s="35"/>
      <c r="AI1772" s="35"/>
      <c r="AJ1772" s="35"/>
      <c r="AK1772" s="35"/>
      <c r="AL1772" s="35">
        <f>1+1</f>
        <v>2</v>
      </c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22">
        <f t="shared" si="558"/>
        <v>2</v>
      </c>
      <c r="BC1772" s="23">
        <v>1</v>
      </c>
      <c r="BD1772" s="130">
        <f t="shared" si="559"/>
        <v>2</v>
      </c>
      <c r="BE1772" s="130">
        <f t="shared" si="560"/>
        <v>1</v>
      </c>
      <c r="BF1772" s="195">
        <f t="shared" si="561"/>
        <v>200</v>
      </c>
      <c r="BG1772" s="373">
        <f t="shared" si="556"/>
        <v>-1</v>
      </c>
    </row>
    <row r="1773" spans="1:59" s="46" customFormat="1" ht="15.95" customHeight="1">
      <c r="A1773" s="176">
        <v>75</v>
      </c>
      <c r="B1773" s="31" t="s">
        <v>1355</v>
      </c>
      <c r="C1773" s="32" t="s">
        <v>1505</v>
      </c>
      <c r="D1773" s="231"/>
      <c r="E1773" s="231"/>
      <c r="F1773" s="231"/>
      <c r="G1773" s="231"/>
      <c r="H1773" s="231"/>
      <c r="I1773" s="231"/>
      <c r="J1773" s="231"/>
      <c r="K1773" s="231"/>
      <c r="L1773" s="231"/>
      <c r="M1773" s="231"/>
      <c r="N1773" s="231"/>
      <c r="O1773" s="231"/>
      <c r="P1773" s="231"/>
      <c r="Q1773" s="231"/>
      <c r="R1773" s="231"/>
      <c r="S1773" s="231"/>
      <c r="T1773" s="231"/>
      <c r="U1773" s="231"/>
      <c r="V1773" s="231"/>
      <c r="W1773" s="231"/>
      <c r="X1773" s="231"/>
      <c r="Y1773" s="231"/>
      <c r="Z1773" s="231"/>
      <c r="AA1773" s="231"/>
      <c r="AB1773" s="22">
        <f t="shared" si="557"/>
        <v>0</v>
      </c>
      <c r="AC1773" s="23">
        <v>0</v>
      </c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22">
        <f t="shared" si="558"/>
        <v>0</v>
      </c>
      <c r="BC1773" s="23">
        <v>1</v>
      </c>
      <c r="BD1773" s="130">
        <f t="shared" si="559"/>
        <v>0</v>
      </c>
      <c r="BE1773" s="130">
        <f t="shared" si="560"/>
        <v>1</v>
      </c>
      <c r="BF1773" s="195">
        <f t="shared" si="561"/>
        <v>0</v>
      </c>
      <c r="BG1773" s="373">
        <f t="shared" si="556"/>
        <v>1</v>
      </c>
    </row>
    <row r="1774" spans="1:59" s="46" customFormat="1" ht="15.95" customHeight="1">
      <c r="A1774" s="367">
        <v>76</v>
      </c>
      <c r="B1774" s="31" t="s">
        <v>963</v>
      </c>
      <c r="C1774" s="32" t="s">
        <v>2020</v>
      </c>
      <c r="D1774" s="231"/>
      <c r="E1774" s="231"/>
      <c r="F1774" s="231"/>
      <c r="G1774" s="231"/>
      <c r="H1774" s="231"/>
      <c r="I1774" s="231"/>
      <c r="J1774" s="231"/>
      <c r="K1774" s="231"/>
      <c r="L1774" s="231"/>
      <c r="M1774" s="231"/>
      <c r="N1774" s="231"/>
      <c r="O1774" s="231"/>
      <c r="P1774" s="231"/>
      <c r="Q1774" s="231"/>
      <c r="R1774" s="231"/>
      <c r="S1774" s="231"/>
      <c r="T1774" s="231"/>
      <c r="U1774" s="231"/>
      <c r="V1774" s="231"/>
      <c r="W1774" s="231"/>
      <c r="X1774" s="231"/>
      <c r="Y1774" s="231"/>
      <c r="Z1774" s="231"/>
      <c r="AA1774" s="231"/>
      <c r="AB1774" s="22">
        <f t="shared" si="557"/>
        <v>0</v>
      </c>
      <c r="AC1774" s="23">
        <v>0</v>
      </c>
      <c r="AD1774" s="35"/>
      <c r="AE1774" s="35"/>
      <c r="AF1774" s="35"/>
      <c r="AG1774" s="35"/>
      <c r="AH1774" s="35"/>
      <c r="AI1774" s="35"/>
      <c r="AJ1774" s="35"/>
      <c r="AK1774" s="35"/>
      <c r="AL1774" s="35">
        <v>2</v>
      </c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22">
        <f t="shared" si="558"/>
        <v>2</v>
      </c>
      <c r="BC1774" s="23">
        <v>1</v>
      </c>
      <c r="BD1774" s="130">
        <f t="shared" si="559"/>
        <v>2</v>
      </c>
      <c r="BE1774" s="130">
        <f t="shared" si="560"/>
        <v>1</v>
      </c>
      <c r="BF1774" s="195">
        <f t="shared" si="561"/>
        <v>200</v>
      </c>
      <c r="BG1774" s="373">
        <f t="shared" si="556"/>
        <v>-1</v>
      </c>
    </row>
    <row r="1775" spans="1:59" s="46" customFormat="1" ht="15.95" customHeight="1">
      <c r="A1775" s="549">
        <v>77</v>
      </c>
      <c r="B1775" s="31" t="s">
        <v>965</v>
      </c>
      <c r="C1775" s="32" t="s">
        <v>966</v>
      </c>
      <c r="D1775" s="231"/>
      <c r="E1775" s="231"/>
      <c r="F1775" s="231"/>
      <c r="G1775" s="231"/>
      <c r="H1775" s="231"/>
      <c r="I1775" s="231"/>
      <c r="J1775" s="231"/>
      <c r="K1775" s="231"/>
      <c r="L1775" s="231"/>
      <c r="M1775" s="231"/>
      <c r="N1775" s="231"/>
      <c r="O1775" s="231"/>
      <c r="P1775" s="231"/>
      <c r="Q1775" s="231"/>
      <c r="R1775" s="231"/>
      <c r="S1775" s="231"/>
      <c r="T1775" s="231"/>
      <c r="U1775" s="231"/>
      <c r="V1775" s="231"/>
      <c r="W1775" s="231"/>
      <c r="X1775" s="231"/>
      <c r="Y1775" s="231"/>
      <c r="Z1775" s="231"/>
      <c r="AA1775" s="231"/>
      <c r="AB1775" s="22">
        <f t="shared" si="557"/>
        <v>0</v>
      </c>
      <c r="AC1775" s="23">
        <v>0</v>
      </c>
      <c r="AD1775" s="35"/>
      <c r="AE1775" s="35"/>
      <c r="AF1775" s="35"/>
      <c r="AG1775" s="35"/>
      <c r="AH1775" s="35">
        <v>8</v>
      </c>
      <c r="AI1775" s="35"/>
      <c r="AJ1775" s="35"/>
      <c r="AK1775" s="35"/>
      <c r="AL1775" s="35">
        <v>17</v>
      </c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22">
        <f t="shared" si="558"/>
        <v>25</v>
      </c>
      <c r="BC1775" s="23">
        <v>11</v>
      </c>
      <c r="BD1775" s="130">
        <f t="shared" si="559"/>
        <v>25</v>
      </c>
      <c r="BE1775" s="130">
        <f t="shared" si="560"/>
        <v>11</v>
      </c>
      <c r="BF1775" s="195">
        <f t="shared" si="561"/>
        <v>227.27272727272728</v>
      </c>
      <c r="BG1775" s="373">
        <f t="shared" si="556"/>
        <v>-14</v>
      </c>
    </row>
    <row r="1776" spans="1:59" s="46" customFormat="1" ht="15.95" customHeight="1">
      <c r="A1776" s="176">
        <v>78</v>
      </c>
      <c r="B1776" s="31" t="s">
        <v>967</v>
      </c>
      <c r="C1776" s="32" t="s">
        <v>3994</v>
      </c>
      <c r="D1776" s="551"/>
      <c r="E1776" s="551"/>
      <c r="F1776" s="551"/>
      <c r="G1776" s="551"/>
      <c r="H1776" s="551"/>
      <c r="I1776" s="551"/>
      <c r="J1776" s="551"/>
      <c r="K1776" s="551"/>
      <c r="L1776" s="551"/>
      <c r="M1776" s="551"/>
      <c r="N1776" s="551"/>
      <c r="O1776" s="551"/>
      <c r="P1776" s="551"/>
      <c r="Q1776" s="551"/>
      <c r="R1776" s="551"/>
      <c r="S1776" s="551"/>
      <c r="T1776" s="551"/>
      <c r="U1776" s="551"/>
      <c r="V1776" s="551"/>
      <c r="W1776" s="551"/>
      <c r="X1776" s="551"/>
      <c r="Y1776" s="551"/>
      <c r="Z1776" s="551"/>
      <c r="AA1776" s="551"/>
      <c r="AB1776" s="22">
        <f t="shared" si="557"/>
        <v>0</v>
      </c>
      <c r="AC1776" s="23">
        <v>0</v>
      </c>
      <c r="AD1776" s="35"/>
      <c r="AE1776" s="35"/>
      <c r="AF1776" s="35"/>
      <c r="AG1776" s="35"/>
      <c r="AH1776" s="35"/>
      <c r="AI1776" s="35"/>
      <c r="AJ1776" s="35"/>
      <c r="AK1776" s="35"/>
      <c r="AL1776" s="35">
        <v>1</v>
      </c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22">
        <f t="shared" si="558"/>
        <v>1</v>
      </c>
      <c r="BC1776" s="23">
        <v>0</v>
      </c>
      <c r="BD1776" s="130">
        <f t="shared" si="559"/>
        <v>1</v>
      </c>
      <c r="BE1776" s="130">
        <f t="shared" si="560"/>
        <v>0</v>
      </c>
      <c r="BF1776" s="195" t="e">
        <f t="shared" si="561"/>
        <v>#DIV/0!</v>
      </c>
      <c r="BG1776" s="373"/>
    </row>
    <row r="1777" spans="1:59" s="46" customFormat="1" ht="15.95" customHeight="1">
      <c r="A1777" s="367">
        <v>79</v>
      </c>
      <c r="B1777" s="31" t="s">
        <v>851</v>
      </c>
      <c r="C1777" s="32" t="s">
        <v>917</v>
      </c>
      <c r="D1777" s="231"/>
      <c r="E1777" s="231"/>
      <c r="F1777" s="231"/>
      <c r="G1777" s="231"/>
      <c r="H1777" s="231"/>
      <c r="I1777" s="231"/>
      <c r="J1777" s="231"/>
      <c r="K1777" s="231"/>
      <c r="L1777" s="231"/>
      <c r="M1777" s="231"/>
      <c r="N1777" s="231"/>
      <c r="O1777" s="231"/>
      <c r="P1777" s="231"/>
      <c r="Q1777" s="231"/>
      <c r="R1777" s="231"/>
      <c r="S1777" s="231"/>
      <c r="T1777" s="231"/>
      <c r="U1777" s="231"/>
      <c r="V1777" s="231"/>
      <c r="W1777" s="231"/>
      <c r="X1777" s="231"/>
      <c r="Y1777" s="231"/>
      <c r="Z1777" s="231"/>
      <c r="AA1777" s="231"/>
      <c r="AB1777" s="22">
        <f t="shared" si="557"/>
        <v>0</v>
      </c>
      <c r="AC1777" s="23">
        <v>0</v>
      </c>
      <c r="AD1777" s="35"/>
      <c r="AE1777" s="35"/>
      <c r="AF1777" s="35"/>
      <c r="AG1777" s="35"/>
      <c r="AH1777" s="35"/>
      <c r="AI1777" s="35"/>
      <c r="AJ1777" s="35"/>
      <c r="AK1777" s="35"/>
      <c r="AL1777" s="35">
        <v>1</v>
      </c>
      <c r="AM1777" s="35"/>
      <c r="AN1777" s="35"/>
      <c r="AO1777" s="35"/>
      <c r="AP1777" s="35">
        <v>2</v>
      </c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22">
        <f t="shared" si="558"/>
        <v>3</v>
      </c>
      <c r="BC1777" s="23">
        <v>70</v>
      </c>
      <c r="BD1777" s="130">
        <f t="shared" si="559"/>
        <v>3</v>
      </c>
      <c r="BE1777" s="130">
        <f t="shared" si="560"/>
        <v>70</v>
      </c>
      <c r="BF1777" s="195">
        <f t="shared" si="561"/>
        <v>4.2857142857142856</v>
      </c>
      <c r="BG1777" s="373">
        <f>BE1777-BD1777</f>
        <v>67</v>
      </c>
    </row>
    <row r="1778" spans="1:59" s="46" customFormat="1" ht="15.95" customHeight="1">
      <c r="A1778" s="549">
        <v>80</v>
      </c>
      <c r="B1778" s="31" t="s">
        <v>1088</v>
      </c>
      <c r="C1778" s="32" t="s">
        <v>1089</v>
      </c>
      <c r="D1778" s="231"/>
      <c r="E1778" s="231"/>
      <c r="F1778" s="231"/>
      <c r="G1778" s="231"/>
      <c r="H1778" s="231"/>
      <c r="I1778" s="231"/>
      <c r="J1778" s="231"/>
      <c r="K1778" s="231"/>
      <c r="L1778" s="231"/>
      <c r="M1778" s="231"/>
      <c r="N1778" s="231"/>
      <c r="O1778" s="231"/>
      <c r="P1778" s="231"/>
      <c r="Q1778" s="231"/>
      <c r="R1778" s="231"/>
      <c r="S1778" s="231"/>
      <c r="T1778" s="231"/>
      <c r="U1778" s="231"/>
      <c r="V1778" s="231"/>
      <c r="W1778" s="231"/>
      <c r="X1778" s="231"/>
      <c r="Y1778" s="231"/>
      <c r="Z1778" s="231"/>
      <c r="AA1778" s="231"/>
      <c r="AB1778" s="22">
        <f t="shared" si="557"/>
        <v>0</v>
      </c>
      <c r="AC1778" s="23">
        <v>0</v>
      </c>
      <c r="AD1778" s="35"/>
      <c r="AE1778" s="35"/>
      <c r="AF1778" s="35"/>
      <c r="AG1778" s="35"/>
      <c r="AH1778" s="35"/>
      <c r="AI1778" s="35"/>
      <c r="AJ1778" s="35"/>
      <c r="AK1778" s="35"/>
      <c r="AL1778" s="35">
        <v>2</v>
      </c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22">
        <f t="shared" si="558"/>
        <v>2</v>
      </c>
      <c r="BC1778" s="23">
        <v>7</v>
      </c>
      <c r="BD1778" s="130">
        <f t="shared" si="559"/>
        <v>2</v>
      </c>
      <c r="BE1778" s="130">
        <f t="shared" si="560"/>
        <v>7</v>
      </c>
      <c r="BF1778" s="195">
        <f t="shared" si="561"/>
        <v>28.571428571428569</v>
      </c>
      <c r="BG1778" s="373">
        <f>BE1778-BD1778</f>
        <v>5</v>
      </c>
    </row>
    <row r="1779" spans="1:59" s="46" customFormat="1" ht="15.95" customHeight="1">
      <c r="A1779" s="176">
        <v>81</v>
      </c>
      <c r="B1779" s="31" t="s">
        <v>1018</v>
      </c>
      <c r="C1779" s="32" t="s">
        <v>1019</v>
      </c>
      <c r="D1779" s="551"/>
      <c r="E1779" s="551"/>
      <c r="F1779" s="551"/>
      <c r="G1779" s="551"/>
      <c r="H1779" s="551"/>
      <c r="I1779" s="551"/>
      <c r="J1779" s="551"/>
      <c r="K1779" s="551"/>
      <c r="L1779" s="551"/>
      <c r="M1779" s="551"/>
      <c r="N1779" s="551"/>
      <c r="O1779" s="551"/>
      <c r="P1779" s="551"/>
      <c r="Q1779" s="551"/>
      <c r="R1779" s="551"/>
      <c r="S1779" s="551"/>
      <c r="T1779" s="551"/>
      <c r="U1779" s="551"/>
      <c r="V1779" s="551"/>
      <c r="W1779" s="551"/>
      <c r="X1779" s="551"/>
      <c r="Y1779" s="551"/>
      <c r="Z1779" s="551"/>
      <c r="AA1779" s="551"/>
      <c r="AB1779" s="22">
        <f t="shared" si="557"/>
        <v>0</v>
      </c>
      <c r="AC1779" s="23">
        <v>0</v>
      </c>
      <c r="AD1779" s="35"/>
      <c r="AE1779" s="35"/>
      <c r="AF1779" s="35"/>
      <c r="AG1779" s="35"/>
      <c r="AH1779" s="35"/>
      <c r="AI1779" s="35"/>
      <c r="AJ1779" s="35"/>
      <c r="AK1779" s="35"/>
      <c r="AL1779" s="35">
        <v>2</v>
      </c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22">
        <f t="shared" si="558"/>
        <v>2</v>
      </c>
      <c r="BC1779" s="23">
        <v>0</v>
      </c>
      <c r="BD1779" s="130">
        <f t="shared" si="559"/>
        <v>2</v>
      </c>
      <c r="BE1779" s="130">
        <f t="shared" si="560"/>
        <v>0</v>
      </c>
      <c r="BF1779" s="195" t="e">
        <f t="shared" si="561"/>
        <v>#DIV/0!</v>
      </c>
      <c r="BG1779" s="373"/>
    </row>
    <row r="1780" spans="1:59" s="46" customFormat="1" ht="15.95" customHeight="1">
      <c r="A1780" s="367">
        <v>82</v>
      </c>
      <c r="B1780" s="37" t="s">
        <v>970</v>
      </c>
      <c r="C1780" s="38" t="s">
        <v>3714</v>
      </c>
      <c r="D1780" s="231"/>
      <c r="E1780" s="231"/>
      <c r="F1780" s="231"/>
      <c r="G1780" s="231"/>
      <c r="H1780" s="231"/>
      <c r="I1780" s="231"/>
      <c r="J1780" s="231"/>
      <c r="K1780" s="231"/>
      <c r="L1780" s="231"/>
      <c r="M1780" s="231"/>
      <c r="N1780" s="231"/>
      <c r="O1780" s="231"/>
      <c r="P1780" s="231"/>
      <c r="Q1780" s="231"/>
      <c r="R1780" s="231"/>
      <c r="S1780" s="231"/>
      <c r="T1780" s="231"/>
      <c r="U1780" s="231"/>
      <c r="V1780" s="231"/>
      <c r="W1780" s="231"/>
      <c r="X1780" s="231"/>
      <c r="Y1780" s="231"/>
      <c r="Z1780" s="231"/>
      <c r="AA1780" s="231"/>
      <c r="AB1780" s="22">
        <f t="shared" si="557"/>
        <v>0</v>
      </c>
      <c r="AC1780" s="23">
        <v>0</v>
      </c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22">
        <f t="shared" si="558"/>
        <v>0</v>
      </c>
      <c r="BC1780" s="23">
        <v>1</v>
      </c>
      <c r="BD1780" s="130">
        <f t="shared" si="559"/>
        <v>0</v>
      </c>
      <c r="BE1780" s="130">
        <f t="shared" si="560"/>
        <v>1</v>
      </c>
      <c r="BF1780" s="195">
        <f t="shared" si="561"/>
        <v>0</v>
      </c>
      <c r="BG1780" s="373">
        <f>BE1780-BD1780</f>
        <v>1</v>
      </c>
    </row>
    <row r="1781" spans="1:59" s="46" customFormat="1" ht="15.95" customHeight="1">
      <c r="A1781" s="549">
        <v>83</v>
      </c>
      <c r="B1781" s="31" t="s">
        <v>971</v>
      </c>
      <c r="C1781" s="32" t="s">
        <v>1278</v>
      </c>
      <c r="D1781" s="231"/>
      <c r="E1781" s="231"/>
      <c r="F1781" s="231"/>
      <c r="G1781" s="231"/>
      <c r="H1781" s="231"/>
      <c r="I1781" s="231"/>
      <c r="J1781" s="231"/>
      <c r="K1781" s="231"/>
      <c r="L1781" s="231"/>
      <c r="M1781" s="231"/>
      <c r="N1781" s="231"/>
      <c r="O1781" s="231"/>
      <c r="P1781" s="231"/>
      <c r="Q1781" s="231"/>
      <c r="R1781" s="231"/>
      <c r="S1781" s="231"/>
      <c r="T1781" s="231"/>
      <c r="U1781" s="231"/>
      <c r="V1781" s="231"/>
      <c r="W1781" s="231"/>
      <c r="X1781" s="231"/>
      <c r="Y1781" s="231"/>
      <c r="Z1781" s="231"/>
      <c r="AA1781" s="231"/>
      <c r="AB1781" s="22">
        <f t="shared" si="557"/>
        <v>0</v>
      </c>
      <c r="AC1781" s="23">
        <v>0</v>
      </c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22">
        <f t="shared" si="558"/>
        <v>0</v>
      </c>
      <c r="BC1781" s="23">
        <v>30</v>
      </c>
      <c r="BD1781" s="130">
        <f t="shared" si="559"/>
        <v>0</v>
      </c>
      <c r="BE1781" s="130">
        <f t="shared" si="560"/>
        <v>30</v>
      </c>
      <c r="BF1781" s="195">
        <f t="shared" si="561"/>
        <v>0</v>
      </c>
      <c r="BG1781" s="373">
        <f>BE1781-BD1781</f>
        <v>30</v>
      </c>
    </row>
    <row r="1782" spans="1:59" s="46" customFormat="1" ht="15.95" customHeight="1">
      <c r="A1782" s="176">
        <v>84</v>
      </c>
      <c r="B1782" s="31" t="s">
        <v>1053</v>
      </c>
      <c r="C1782" s="32" t="s">
        <v>4169</v>
      </c>
      <c r="D1782" s="574"/>
      <c r="E1782" s="574"/>
      <c r="F1782" s="574"/>
      <c r="G1782" s="574"/>
      <c r="H1782" s="574"/>
      <c r="I1782" s="574"/>
      <c r="J1782" s="574"/>
      <c r="K1782" s="574"/>
      <c r="L1782" s="574"/>
      <c r="M1782" s="574"/>
      <c r="N1782" s="574"/>
      <c r="O1782" s="574"/>
      <c r="P1782" s="574"/>
      <c r="Q1782" s="574"/>
      <c r="R1782" s="574"/>
      <c r="S1782" s="574"/>
      <c r="T1782" s="574"/>
      <c r="U1782" s="574"/>
      <c r="V1782" s="574"/>
      <c r="W1782" s="574"/>
      <c r="X1782" s="574"/>
      <c r="Y1782" s="574"/>
      <c r="Z1782" s="574"/>
      <c r="AA1782" s="574"/>
      <c r="AB1782" s="22">
        <f t="shared" si="557"/>
        <v>0</v>
      </c>
      <c r="AC1782" s="23">
        <v>0</v>
      </c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>
        <v>11</v>
      </c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22">
        <f t="shared" si="558"/>
        <v>11</v>
      </c>
      <c r="BC1782" s="23">
        <v>0</v>
      </c>
      <c r="BD1782" s="130">
        <f t="shared" si="559"/>
        <v>11</v>
      </c>
      <c r="BE1782" s="130">
        <f t="shared" si="560"/>
        <v>0</v>
      </c>
      <c r="BF1782" s="195" t="e">
        <f t="shared" si="561"/>
        <v>#DIV/0!</v>
      </c>
      <c r="BG1782" s="373"/>
    </row>
    <row r="1783" spans="1:59" s="46" customFormat="1" ht="15.95" customHeight="1">
      <c r="A1783" s="367">
        <v>85</v>
      </c>
      <c r="B1783" s="31" t="s">
        <v>854</v>
      </c>
      <c r="C1783" s="32" t="s">
        <v>1090</v>
      </c>
      <c r="D1783" s="231"/>
      <c r="E1783" s="231"/>
      <c r="F1783" s="231"/>
      <c r="G1783" s="231"/>
      <c r="H1783" s="231"/>
      <c r="I1783" s="231"/>
      <c r="J1783" s="231"/>
      <c r="K1783" s="231"/>
      <c r="L1783" s="231"/>
      <c r="M1783" s="231"/>
      <c r="N1783" s="231"/>
      <c r="O1783" s="231"/>
      <c r="P1783" s="231"/>
      <c r="Q1783" s="231"/>
      <c r="R1783" s="231"/>
      <c r="S1783" s="231"/>
      <c r="T1783" s="231"/>
      <c r="U1783" s="231"/>
      <c r="V1783" s="231"/>
      <c r="W1783" s="231"/>
      <c r="X1783" s="231"/>
      <c r="Y1783" s="231"/>
      <c r="Z1783" s="231"/>
      <c r="AA1783" s="231"/>
      <c r="AB1783" s="22">
        <f t="shared" si="557"/>
        <v>0</v>
      </c>
      <c r="AC1783" s="23">
        <v>1162</v>
      </c>
      <c r="AD1783" s="35"/>
      <c r="AE1783" s="35"/>
      <c r="AF1783" s="35"/>
      <c r="AG1783" s="35"/>
      <c r="AH1783" s="35">
        <v>8</v>
      </c>
      <c r="AI1783" s="35"/>
      <c r="AJ1783" s="35"/>
      <c r="AK1783" s="35"/>
      <c r="AL1783" s="35">
        <v>9</v>
      </c>
      <c r="AM1783" s="35"/>
      <c r="AN1783" s="35"/>
      <c r="AO1783" s="35"/>
      <c r="AP1783" s="35">
        <f>4+4</f>
        <v>8</v>
      </c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22">
        <f t="shared" si="558"/>
        <v>25</v>
      </c>
      <c r="BC1783" s="23">
        <v>47</v>
      </c>
      <c r="BD1783" s="130">
        <f t="shared" si="559"/>
        <v>25</v>
      </c>
      <c r="BE1783" s="130">
        <f t="shared" si="560"/>
        <v>1209</v>
      </c>
      <c r="BF1783" s="195">
        <f t="shared" si="561"/>
        <v>2.0678246484698097</v>
      </c>
      <c r="BG1783" s="373">
        <f t="shared" ref="BG1783:BG1804" si="562">BE1783-BD1783</f>
        <v>1184</v>
      </c>
    </row>
    <row r="1784" spans="1:59" s="46" customFormat="1" ht="15.95" customHeight="1">
      <c r="A1784" s="549">
        <v>86</v>
      </c>
      <c r="B1784" s="31" t="s">
        <v>974</v>
      </c>
      <c r="C1784" s="32" t="s">
        <v>1020</v>
      </c>
      <c r="D1784" s="231"/>
      <c r="E1784" s="231"/>
      <c r="F1784" s="231"/>
      <c r="G1784" s="231"/>
      <c r="H1784" s="231"/>
      <c r="I1784" s="231"/>
      <c r="J1784" s="231"/>
      <c r="K1784" s="231"/>
      <c r="L1784" s="231"/>
      <c r="M1784" s="231"/>
      <c r="N1784" s="231"/>
      <c r="O1784" s="231"/>
      <c r="P1784" s="231"/>
      <c r="Q1784" s="231"/>
      <c r="R1784" s="231"/>
      <c r="S1784" s="231"/>
      <c r="T1784" s="231"/>
      <c r="U1784" s="231"/>
      <c r="V1784" s="231"/>
      <c r="W1784" s="231"/>
      <c r="X1784" s="231"/>
      <c r="Y1784" s="231"/>
      <c r="Z1784" s="231"/>
      <c r="AA1784" s="231"/>
      <c r="AB1784" s="22">
        <f t="shared" si="557"/>
        <v>0</v>
      </c>
      <c r="AC1784" s="23">
        <v>0</v>
      </c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22">
        <f t="shared" si="558"/>
        <v>0</v>
      </c>
      <c r="BC1784" s="23">
        <v>7</v>
      </c>
      <c r="BD1784" s="130">
        <f t="shared" si="559"/>
        <v>0</v>
      </c>
      <c r="BE1784" s="130">
        <f t="shared" si="560"/>
        <v>7</v>
      </c>
      <c r="BF1784" s="195">
        <f t="shared" si="561"/>
        <v>0</v>
      </c>
      <c r="BG1784" s="373">
        <f t="shared" si="562"/>
        <v>7</v>
      </c>
    </row>
    <row r="1785" spans="1:59" s="46" customFormat="1" ht="15.95" customHeight="1">
      <c r="A1785" s="176">
        <v>87</v>
      </c>
      <c r="B1785" s="31" t="s">
        <v>1056</v>
      </c>
      <c r="C1785" s="32" t="s">
        <v>1057</v>
      </c>
      <c r="D1785" s="231"/>
      <c r="E1785" s="231"/>
      <c r="F1785" s="231"/>
      <c r="G1785" s="231"/>
      <c r="H1785" s="231"/>
      <c r="I1785" s="231"/>
      <c r="J1785" s="231"/>
      <c r="K1785" s="231"/>
      <c r="L1785" s="231"/>
      <c r="M1785" s="231"/>
      <c r="N1785" s="231"/>
      <c r="O1785" s="231"/>
      <c r="P1785" s="231"/>
      <c r="Q1785" s="231"/>
      <c r="R1785" s="231"/>
      <c r="S1785" s="231"/>
      <c r="T1785" s="231"/>
      <c r="U1785" s="231"/>
      <c r="V1785" s="231"/>
      <c r="W1785" s="231"/>
      <c r="X1785" s="231"/>
      <c r="Y1785" s="231"/>
      <c r="Z1785" s="231"/>
      <c r="AA1785" s="231"/>
      <c r="AB1785" s="22">
        <f t="shared" si="557"/>
        <v>0</v>
      </c>
      <c r="AC1785" s="23">
        <v>0</v>
      </c>
      <c r="AD1785" s="35"/>
      <c r="AE1785" s="35"/>
      <c r="AF1785" s="35"/>
      <c r="AG1785" s="35"/>
      <c r="AH1785" s="35"/>
      <c r="AI1785" s="35"/>
      <c r="AJ1785" s="35"/>
      <c r="AK1785" s="35"/>
      <c r="AL1785" s="35">
        <v>4</v>
      </c>
      <c r="AM1785" s="35"/>
      <c r="AN1785" s="35"/>
      <c r="AO1785" s="35"/>
      <c r="AP1785" s="35">
        <v>2</v>
      </c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22">
        <f t="shared" si="558"/>
        <v>6</v>
      </c>
      <c r="BC1785" s="23">
        <v>45</v>
      </c>
      <c r="BD1785" s="130">
        <f t="shared" si="559"/>
        <v>6</v>
      </c>
      <c r="BE1785" s="130">
        <f t="shared" si="560"/>
        <v>45</v>
      </c>
      <c r="BF1785" s="195">
        <f t="shared" si="561"/>
        <v>13.333333333333334</v>
      </c>
      <c r="BG1785" s="373">
        <f t="shared" si="562"/>
        <v>39</v>
      </c>
    </row>
    <row r="1786" spans="1:59" s="46" customFormat="1" ht="15.95" customHeight="1">
      <c r="A1786" s="367">
        <v>88</v>
      </c>
      <c r="B1786" s="31" t="s">
        <v>856</v>
      </c>
      <c r="C1786" s="32" t="s">
        <v>1123</v>
      </c>
      <c r="D1786" s="231"/>
      <c r="E1786" s="231"/>
      <c r="F1786" s="231"/>
      <c r="G1786" s="231"/>
      <c r="H1786" s="231"/>
      <c r="I1786" s="231"/>
      <c r="J1786" s="231"/>
      <c r="K1786" s="231"/>
      <c r="L1786" s="231"/>
      <c r="M1786" s="231"/>
      <c r="N1786" s="231"/>
      <c r="O1786" s="231"/>
      <c r="P1786" s="231">
        <v>8</v>
      </c>
      <c r="Q1786" s="231"/>
      <c r="R1786" s="231"/>
      <c r="S1786" s="231"/>
      <c r="T1786" s="231"/>
      <c r="U1786" s="231"/>
      <c r="V1786" s="231"/>
      <c r="W1786" s="231"/>
      <c r="X1786" s="231"/>
      <c r="Y1786" s="231"/>
      <c r="Z1786" s="231"/>
      <c r="AA1786" s="231"/>
      <c r="AB1786" s="22">
        <f t="shared" si="557"/>
        <v>8</v>
      </c>
      <c r="AC1786" s="23">
        <v>1</v>
      </c>
      <c r="AD1786" s="35"/>
      <c r="AE1786" s="35"/>
      <c r="AF1786" s="35"/>
      <c r="AG1786" s="35"/>
      <c r="AH1786" s="35">
        <v>61</v>
      </c>
      <c r="AI1786" s="35"/>
      <c r="AJ1786" s="35"/>
      <c r="AK1786" s="35"/>
      <c r="AL1786" s="35">
        <f>16+6+457</f>
        <v>479</v>
      </c>
      <c r="AM1786" s="35"/>
      <c r="AN1786" s="35"/>
      <c r="AO1786" s="35"/>
      <c r="AP1786" s="35">
        <f>7+46+300</f>
        <v>353</v>
      </c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22">
        <f t="shared" si="558"/>
        <v>893</v>
      </c>
      <c r="BC1786" s="23">
        <v>1698</v>
      </c>
      <c r="BD1786" s="130">
        <f t="shared" si="559"/>
        <v>901</v>
      </c>
      <c r="BE1786" s="130">
        <f t="shared" si="560"/>
        <v>1699</v>
      </c>
      <c r="BF1786" s="195">
        <f t="shared" si="561"/>
        <v>53.031194820482639</v>
      </c>
      <c r="BG1786" s="373">
        <f t="shared" si="562"/>
        <v>798</v>
      </c>
    </row>
    <row r="1787" spans="1:59" s="46" customFormat="1" ht="15.95" customHeight="1">
      <c r="A1787" s="549">
        <v>89</v>
      </c>
      <c r="B1787" s="31" t="s">
        <v>1022</v>
      </c>
      <c r="C1787" s="32" t="s">
        <v>1643</v>
      </c>
      <c r="D1787" s="231"/>
      <c r="E1787" s="231"/>
      <c r="F1787" s="231"/>
      <c r="G1787" s="231"/>
      <c r="H1787" s="231"/>
      <c r="I1787" s="231"/>
      <c r="J1787" s="231"/>
      <c r="K1787" s="231"/>
      <c r="L1787" s="231"/>
      <c r="M1787" s="231"/>
      <c r="N1787" s="231"/>
      <c r="O1787" s="231"/>
      <c r="P1787" s="231"/>
      <c r="Q1787" s="231"/>
      <c r="R1787" s="231"/>
      <c r="S1787" s="231"/>
      <c r="T1787" s="231"/>
      <c r="U1787" s="231"/>
      <c r="V1787" s="231"/>
      <c r="W1787" s="231"/>
      <c r="X1787" s="231"/>
      <c r="Y1787" s="231"/>
      <c r="Z1787" s="231"/>
      <c r="AA1787" s="231"/>
      <c r="AB1787" s="22">
        <f t="shared" si="557"/>
        <v>0</v>
      </c>
      <c r="AC1787" s="23">
        <v>1</v>
      </c>
      <c r="AD1787" s="35"/>
      <c r="AE1787" s="35"/>
      <c r="AF1787" s="35"/>
      <c r="AG1787" s="35"/>
      <c r="AH1787" s="35">
        <v>7</v>
      </c>
      <c r="AI1787" s="35"/>
      <c r="AJ1787" s="35"/>
      <c r="AK1787" s="35"/>
      <c r="AL1787" s="35">
        <f>1+5</f>
        <v>6</v>
      </c>
      <c r="AM1787" s="35"/>
      <c r="AN1787" s="35"/>
      <c r="AO1787" s="35"/>
      <c r="AP1787" s="35">
        <v>14</v>
      </c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22">
        <f t="shared" si="558"/>
        <v>27</v>
      </c>
      <c r="BC1787" s="23">
        <v>64</v>
      </c>
      <c r="BD1787" s="130">
        <f t="shared" si="559"/>
        <v>27</v>
      </c>
      <c r="BE1787" s="130">
        <f t="shared" si="560"/>
        <v>65</v>
      </c>
      <c r="BF1787" s="195">
        <f t="shared" si="561"/>
        <v>41.53846153846154</v>
      </c>
      <c r="BG1787" s="373">
        <f t="shared" si="562"/>
        <v>38</v>
      </c>
    </row>
    <row r="1788" spans="1:59" s="46" customFormat="1" ht="15.95" customHeight="1">
      <c r="A1788" s="176">
        <v>90</v>
      </c>
      <c r="B1788" s="31" t="s">
        <v>1059</v>
      </c>
      <c r="C1788" s="32" t="s">
        <v>1060</v>
      </c>
      <c r="D1788" s="231"/>
      <c r="E1788" s="231"/>
      <c r="F1788" s="231"/>
      <c r="G1788" s="231"/>
      <c r="H1788" s="231"/>
      <c r="I1788" s="231"/>
      <c r="J1788" s="231"/>
      <c r="K1788" s="231"/>
      <c r="L1788" s="231"/>
      <c r="M1788" s="231"/>
      <c r="N1788" s="231"/>
      <c r="O1788" s="231"/>
      <c r="P1788" s="231"/>
      <c r="Q1788" s="231"/>
      <c r="R1788" s="231"/>
      <c r="S1788" s="231"/>
      <c r="T1788" s="231"/>
      <c r="U1788" s="231"/>
      <c r="V1788" s="231"/>
      <c r="W1788" s="231"/>
      <c r="X1788" s="231"/>
      <c r="Y1788" s="231"/>
      <c r="Z1788" s="231"/>
      <c r="AA1788" s="231"/>
      <c r="AB1788" s="22">
        <f t="shared" si="557"/>
        <v>0</v>
      </c>
      <c r="AC1788" s="23">
        <v>4</v>
      </c>
      <c r="AD1788" s="35"/>
      <c r="AE1788" s="35"/>
      <c r="AF1788" s="35"/>
      <c r="AG1788" s="35"/>
      <c r="AH1788" s="35">
        <v>12</v>
      </c>
      <c r="AI1788" s="35"/>
      <c r="AJ1788" s="35"/>
      <c r="AK1788" s="35"/>
      <c r="AL1788" s="35">
        <v>51</v>
      </c>
      <c r="AM1788" s="35"/>
      <c r="AN1788" s="35"/>
      <c r="AO1788" s="35"/>
      <c r="AP1788" s="35">
        <v>29</v>
      </c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22">
        <f t="shared" si="558"/>
        <v>92</v>
      </c>
      <c r="BC1788" s="23">
        <v>28</v>
      </c>
      <c r="BD1788" s="130">
        <f t="shared" si="559"/>
        <v>92</v>
      </c>
      <c r="BE1788" s="130">
        <f t="shared" si="560"/>
        <v>32</v>
      </c>
      <c r="BF1788" s="195">
        <f t="shared" si="561"/>
        <v>287.5</v>
      </c>
      <c r="BG1788" s="373">
        <f t="shared" si="562"/>
        <v>-60</v>
      </c>
    </row>
    <row r="1789" spans="1:59" s="46" customFormat="1" ht="15.95" customHeight="1">
      <c r="A1789" s="367">
        <v>91</v>
      </c>
      <c r="B1789" s="31" t="s">
        <v>1209</v>
      </c>
      <c r="C1789" s="32" t="s">
        <v>2426</v>
      </c>
      <c r="D1789" s="231"/>
      <c r="E1789" s="231"/>
      <c r="F1789" s="231"/>
      <c r="G1789" s="231"/>
      <c r="H1789" s="231"/>
      <c r="I1789" s="231"/>
      <c r="J1789" s="231"/>
      <c r="K1789" s="231"/>
      <c r="L1789" s="231"/>
      <c r="M1789" s="231"/>
      <c r="N1789" s="231"/>
      <c r="O1789" s="231"/>
      <c r="P1789" s="231"/>
      <c r="Q1789" s="231"/>
      <c r="R1789" s="231"/>
      <c r="S1789" s="231"/>
      <c r="T1789" s="231"/>
      <c r="U1789" s="231"/>
      <c r="V1789" s="231"/>
      <c r="W1789" s="231"/>
      <c r="X1789" s="231"/>
      <c r="Y1789" s="231"/>
      <c r="Z1789" s="231"/>
      <c r="AA1789" s="231"/>
      <c r="AB1789" s="22">
        <f t="shared" si="557"/>
        <v>0</v>
      </c>
      <c r="AC1789" s="23">
        <v>0</v>
      </c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>
        <v>7</v>
      </c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22">
        <f t="shared" si="558"/>
        <v>7</v>
      </c>
      <c r="BC1789" s="23">
        <v>25</v>
      </c>
      <c r="BD1789" s="130">
        <f t="shared" si="559"/>
        <v>7</v>
      </c>
      <c r="BE1789" s="130">
        <f t="shared" si="560"/>
        <v>25</v>
      </c>
      <c r="BF1789" s="195">
        <f t="shared" si="561"/>
        <v>28.000000000000004</v>
      </c>
      <c r="BG1789" s="373">
        <f t="shared" si="562"/>
        <v>18</v>
      </c>
    </row>
    <row r="1790" spans="1:59" s="46" customFormat="1" ht="15.95" customHeight="1">
      <c r="A1790" s="549">
        <v>92</v>
      </c>
      <c r="B1790" s="31" t="s">
        <v>858</v>
      </c>
      <c r="C1790" s="32" t="s">
        <v>859</v>
      </c>
      <c r="D1790" s="231"/>
      <c r="E1790" s="231"/>
      <c r="F1790" s="231"/>
      <c r="G1790" s="231"/>
      <c r="H1790" s="231"/>
      <c r="I1790" s="231"/>
      <c r="J1790" s="231"/>
      <c r="K1790" s="231"/>
      <c r="L1790" s="231"/>
      <c r="M1790" s="231"/>
      <c r="N1790" s="231"/>
      <c r="O1790" s="231"/>
      <c r="P1790" s="231"/>
      <c r="Q1790" s="231"/>
      <c r="R1790" s="231"/>
      <c r="S1790" s="231"/>
      <c r="T1790" s="231"/>
      <c r="U1790" s="231"/>
      <c r="V1790" s="231"/>
      <c r="W1790" s="231"/>
      <c r="X1790" s="231"/>
      <c r="Y1790" s="231"/>
      <c r="Z1790" s="231"/>
      <c r="AA1790" s="231"/>
      <c r="AB1790" s="22">
        <f t="shared" si="557"/>
        <v>0</v>
      </c>
      <c r="AC1790" s="23">
        <v>0</v>
      </c>
      <c r="AD1790" s="35"/>
      <c r="AE1790" s="35"/>
      <c r="AF1790" s="35"/>
      <c r="AG1790" s="35"/>
      <c r="AH1790" s="35">
        <v>31</v>
      </c>
      <c r="AI1790" s="35"/>
      <c r="AJ1790" s="35"/>
      <c r="AK1790" s="35"/>
      <c r="AL1790" s="35">
        <v>201</v>
      </c>
      <c r="AM1790" s="35"/>
      <c r="AN1790" s="35"/>
      <c r="AO1790" s="35"/>
      <c r="AP1790" s="35">
        <v>147</v>
      </c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22">
        <f t="shared" si="558"/>
        <v>379</v>
      </c>
      <c r="BC1790" s="23">
        <v>482</v>
      </c>
      <c r="BD1790" s="130">
        <f t="shared" si="559"/>
        <v>379</v>
      </c>
      <c r="BE1790" s="130">
        <f t="shared" si="560"/>
        <v>482</v>
      </c>
      <c r="BF1790" s="195">
        <f t="shared" si="561"/>
        <v>78.630705394190869</v>
      </c>
      <c r="BG1790" s="373">
        <f t="shared" si="562"/>
        <v>103</v>
      </c>
    </row>
    <row r="1791" spans="1:59" s="46" customFormat="1" ht="15.95" customHeight="1">
      <c r="A1791" s="176">
        <v>93</v>
      </c>
      <c r="B1791" s="31" t="s">
        <v>860</v>
      </c>
      <c r="C1791" s="34" t="s">
        <v>975</v>
      </c>
      <c r="D1791" s="231"/>
      <c r="E1791" s="231"/>
      <c r="F1791" s="231"/>
      <c r="G1791" s="231"/>
      <c r="H1791" s="231">
        <f>46+4</f>
        <v>50</v>
      </c>
      <c r="I1791" s="231"/>
      <c r="J1791" s="231"/>
      <c r="K1791" s="231"/>
      <c r="L1791" s="231">
        <f>178+13</f>
        <v>191</v>
      </c>
      <c r="M1791" s="231"/>
      <c r="N1791" s="231"/>
      <c r="O1791" s="231"/>
      <c r="P1791" s="231">
        <f>186+1</f>
        <v>187</v>
      </c>
      <c r="Q1791" s="231"/>
      <c r="R1791" s="231"/>
      <c r="S1791" s="231"/>
      <c r="T1791" s="231"/>
      <c r="U1791" s="231"/>
      <c r="V1791" s="231"/>
      <c r="W1791" s="231"/>
      <c r="X1791" s="231"/>
      <c r="Y1791" s="231"/>
      <c r="Z1791" s="231"/>
      <c r="AA1791" s="231"/>
      <c r="AB1791" s="22">
        <f t="shared" si="557"/>
        <v>428</v>
      </c>
      <c r="AC1791" s="23">
        <v>1554</v>
      </c>
      <c r="AD1791" s="35">
        <f>1+23</f>
        <v>24</v>
      </c>
      <c r="AE1791" s="35"/>
      <c r="AF1791" s="35"/>
      <c r="AG1791" s="35"/>
      <c r="AH1791" s="35">
        <f>1385+13+123+2</f>
        <v>1523</v>
      </c>
      <c r="AI1791" s="35"/>
      <c r="AJ1791" s="35"/>
      <c r="AK1791" s="35"/>
      <c r="AL1791" s="35">
        <f>6400+28+828+98</f>
        <v>7354</v>
      </c>
      <c r="AM1791" s="35"/>
      <c r="AN1791" s="35"/>
      <c r="AO1791" s="35"/>
      <c r="AP1791" s="35">
        <f>4641+40+452+42</f>
        <v>5175</v>
      </c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22">
        <f t="shared" si="558"/>
        <v>14076</v>
      </c>
      <c r="BC1791" s="23">
        <v>30196</v>
      </c>
      <c r="BD1791" s="130">
        <f t="shared" si="559"/>
        <v>14504</v>
      </c>
      <c r="BE1791" s="130">
        <f t="shared" si="560"/>
        <v>31750</v>
      </c>
      <c r="BF1791" s="195">
        <f t="shared" si="561"/>
        <v>45.681889763779523</v>
      </c>
      <c r="BG1791" s="373">
        <f t="shared" si="562"/>
        <v>17246</v>
      </c>
    </row>
    <row r="1792" spans="1:59" s="46" customFormat="1" ht="15.95" customHeight="1">
      <c r="A1792" s="367">
        <v>94</v>
      </c>
      <c r="B1792" s="31" t="s">
        <v>1026</v>
      </c>
      <c r="C1792" s="34" t="s">
        <v>1976</v>
      </c>
      <c r="D1792" s="231"/>
      <c r="E1792" s="231"/>
      <c r="F1792" s="231"/>
      <c r="G1792" s="231"/>
      <c r="H1792" s="231"/>
      <c r="I1792" s="231"/>
      <c r="J1792" s="231"/>
      <c r="K1792" s="231"/>
      <c r="L1792" s="231"/>
      <c r="M1792" s="231"/>
      <c r="N1792" s="231"/>
      <c r="O1792" s="231"/>
      <c r="P1792" s="231"/>
      <c r="Q1792" s="231"/>
      <c r="R1792" s="231"/>
      <c r="S1792" s="231"/>
      <c r="T1792" s="231"/>
      <c r="U1792" s="231"/>
      <c r="V1792" s="231"/>
      <c r="W1792" s="231"/>
      <c r="X1792" s="231"/>
      <c r="Y1792" s="231"/>
      <c r="Z1792" s="231"/>
      <c r="AA1792" s="231"/>
      <c r="AB1792" s="22">
        <f t="shared" si="557"/>
        <v>0</v>
      </c>
      <c r="AC1792" s="23">
        <v>23</v>
      </c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22">
        <f t="shared" si="558"/>
        <v>0</v>
      </c>
      <c r="BC1792" s="23">
        <v>2</v>
      </c>
      <c r="BD1792" s="130">
        <f t="shared" si="559"/>
        <v>0</v>
      </c>
      <c r="BE1792" s="130">
        <f t="shared" si="560"/>
        <v>25</v>
      </c>
      <c r="BF1792" s="195">
        <f t="shared" si="561"/>
        <v>0</v>
      </c>
      <c r="BG1792" s="373">
        <f t="shared" si="562"/>
        <v>25</v>
      </c>
    </row>
    <row r="1793" spans="1:60" s="46" customFormat="1" ht="22.5" customHeight="1">
      <c r="A1793" s="549">
        <v>95</v>
      </c>
      <c r="B1793" s="31" t="s">
        <v>862</v>
      </c>
      <c r="C1793" s="34" t="s">
        <v>2024</v>
      </c>
      <c r="D1793" s="231"/>
      <c r="E1793" s="231"/>
      <c r="F1793" s="231"/>
      <c r="G1793" s="231"/>
      <c r="H1793" s="231"/>
      <c r="I1793" s="231"/>
      <c r="J1793" s="231"/>
      <c r="K1793" s="231"/>
      <c r="L1793" s="231"/>
      <c r="M1793" s="231"/>
      <c r="N1793" s="231"/>
      <c r="O1793" s="231"/>
      <c r="P1793" s="231"/>
      <c r="Q1793" s="231"/>
      <c r="R1793" s="231"/>
      <c r="S1793" s="231"/>
      <c r="T1793" s="231"/>
      <c r="U1793" s="231"/>
      <c r="V1793" s="231"/>
      <c r="W1793" s="231"/>
      <c r="X1793" s="231"/>
      <c r="Y1793" s="231"/>
      <c r="Z1793" s="231"/>
      <c r="AA1793" s="231"/>
      <c r="AB1793" s="22">
        <f t="shared" si="557"/>
        <v>0</v>
      </c>
      <c r="AC1793" s="23">
        <v>0</v>
      </c>
      <c r="AD1793" s="35"/>
      <c r="AE1793" s="35"/>
      <c r="AF1793" s="35"/>
      <c r="AG1793" s="35"/>
      <c r="AH1793" s="35">
        <f>1+48</f>
        <v>49</v>
      </c>
      <c r="AI1793" s="35"/>
      <c r="AJ1793" s="35"/>
      <c r="AK1793" s="35"/>
      <c r="AL1793" s="35">
        <f>5+8+549</f>
        <v>562</v>
      </c>
      <c r="AM1793" s="35"/>
      <c r="AN1793" s="35"/>
      <c r="AO1793" s="35"/>
      <c r="AP1793" s="35">
        <f>18+243</f>
        <v>261</v>
      </c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22">
        <f t="shared" si="558"/>
        <v>872</v>
      </c>
      <c r="BC1793" s="23">
        <v>1532</v>
      </c>
      <c r="BD1793" s="130">
        <f t="shared" si="559"/>
        <v>872</v>
      </c>
      <c r="BE1793" s="130">
        <f t="shared" si="560"/>
        <v>1532</v>
      </c>
      <c r="BF1793" s="195">
        <f t="shared" si="561"/>
        <v>56.919060052219315</v>
      </c>
      <c r="BG1793" s="373">
        <f t="shared" si="562"/>
        <v>660</v>
      </c>
    </row>
    <row r="1794" spans="1:60" s="46" customFormat="1" ht="22.5" customHeight="1">
      <c r="A1794" s="176">
        <v>96</v>
      </c>
      <c r="B1794" s="31" t="s">
        <v>1254</v>
      </c>
      <c r="C1794" s="32" t="s">
        <v>2133</v>
      </c>
      <c r="D1794" s="231"/>
      <c r="E1794" s="231"/>
      <c r="F1794" s="231"/>
      <c r="G1794" s="231"/>
      <c r="H1794" s="231"/>
      <c r="I1794" s="231"/>
      <c r="J1794" s="231"/>
      <c r="K1794" s="231"/>
      <c r="L1794" s="231"/>
      <c r="M1794" s="231"/>
      <c r="N1794" s="231"/>
      <c r="O1794" s="231"/>
      <c r="P1794" s="231"/>
      <c r="Q1794" s="231"/>
      <c r="R1794" s="231"/>
      <c r="S1794" s="231"/>
      <c r="T1794" s="231"/>
      <c r="U1794" s="231"/>
      <c r="V1794" s="231"/>
      <c r="W1794" s="231"/>
      <c r="X1794" s="231"/>
      <c r="Y1794" s="231"/>
      <c r="Z1794" s="231"/>
      <c r="AA1794" s="231"/>
      <c r="AB1794" s="22">
        <f t="shared" si="557"/>
        <v>0</v>
      </c>
      <c r="AC1794" s="23">
        <v>0</v>
      </c>
      <c r="AD1794" s="35"/>
      <c r="AE1794" s="35"/>
      <c r="AF1794" s="35"/>
      <c r="AG1794" s="35"/>
      <c r="AH1794" s="35"/>
      <c r="AI1794" s="35"/>
      <c r="AJ1794" s="35"/>
      <c r="AK1794" s="35"/>
      <c r="AL1794" s="35">
        <v>1</v>
      </c>
      <c r="AM1794" s="35"/>
      <c r="AN1794" s="35"/>
      <c r="AO1794" s="35"/>
      <c r="AP1794" s="35">
        <v>3</v>
      </c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22">
        <f t="shared" si="558"/>
        <v>4</v>
      </c>
      <c r="BC1794" s="23">
        <v>5</v>
      </c>
      <c r="BD1794" s="130">
        <f t="shared" si="559"/>
        <v>4</v>
      </c>
      <c r="BE1794" s="130">
        <f t="shared" si="560"/>
        <v>5</v>
      </c>
      <c r="BF1794" s="195">
        <f t="shared" si="561"/>
        <v>80</v>
      </c>
      <c r="BG1794" s="373">
        <f t="shared" si="562"/>
        <v>1</v>
      </c>
    </row>
    <row r="1795" spans="1:60" s="46" customFormat="1" ht="22.5" customHeight="1">
      <c r="A1795" s="367">
        <v>97</v>
      </c>
      <c r="B1795" s="31" t="s">
        <v>864</v>
      </c>
      <c r="C1795" s="32" t="s">
        <v>2025</v>
      </c>
      <c r="D1795" s="231"/>
      <c r="E1795" s="231"/>
      <c r="F1795" s="231"/>
      <c r="G1795" s="231"/>
      <c r="H1795" s="231"/>
      <c r="I1795" s="231"/>
      <c r="J1795" s="231"/>
      <c r="K1795" s="231"/>
      <c r="L1795" s="231"/>
      <c r="M1795" s="231"/>
      <c r="N1795" s="231"/>
      <c r="O1795" s="231"/>
      <c r="P1795" s="231"/>
      <c r="Q1795" s="231"/>
      <c r="R1795" s="231"/>
      <c r="S1795" s="231"/>
      <c r="T1795" s="231"/>
      <c r="U1795" s="231"/>
      <c r="V1795" s="231"/>
      <c r="W1795" s="231"/>
      <c r="X1795" s="231"/>
      <c r="Y1795" s="231"/>
      <c r="Z1795" s="231"/>
      <c r="AA1795" s="231"/>
      <c r="AB1795" s="22">
        <f t="shared" ref="AB1795:AB1807" si="563">SUM(D1795:AA1795)</f>
        <v>0</v>
      </c>
      <c r="AC1795" s="23">
        <v>0</v>
      </c>
      <c r="AD1795" s="35"/>
      <c r="AE1795" s="35"/>
      <c r="AF1795" s="35"/>
      <c r="AG1795" s="35"/>
      <c r="AH1795" s="35">
        <v>29</v>
      </c>
      <c r="AI1795" s="35"/>
      <c r="AJ1795" s="35"/>
      <c r="AK1795" s="35"/>
      <c r="AL1795" s="35">
        <v>63</v>
      </c>
      <c r="AM1795" s="35"/>
      <c r="AN1795" s="35"/>
      <c r="AO1795" s="35"/>
      <c r="AP1795" s="35">
        <v>3</v>
      </c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22">
        <f t="shared" ref="BB1795:BB1807" si="564">SUM(AD1795:BA1795)</f>
        <v>95</v>
      </c>
      <c r="BC1795" s="23">
        <v>212</v>
      </c>
      <c r="BD1795" s="130">
        <f t="shared" ref="BD1795:BD1807" si="565">AB1795+BB1795</f>
        <v>95</v>
      </c>
      <c r="BE1795" s="130">
        <f t="shared" ref="BE1795:BE1807" si="566">AC1795+BC1795</f>
        <v>212</v>
      </c>
      <c r="BF1795" s="195">
        <f t="shared" ref="BF1795:BF1807" si="567">BD1795/BE1795*100</f>
        <v>44.811320754716981</v>
      </c>
      <c r="BG1795" s="373">
        <f t="shared" si="562"/>
        <v>117</v>
      </c>
    </row>
    <row r="1796" spans="1:60" s="46" customFormat="1" ht="23.25" customHeight="1">
      <c r="A1796" s="549">
        <v>98</v>
      </c>
      <c r="B1796" s="31" t="s">
        <v>865</v>
      </c>
      <c r="C1796" s="34" t="s">
        <v>2026</v>
      </c>
      <c r="D1796" s="231">
        <f>82+16</f>
        <v>98</v>
      </c>
      <c r="E1796" s="231"/>
      <c r="F1796" s="231"/>
      <c r="G1796" s="231"/>
      <c r="H1796" s="231">
        <f>35+23</f>
        <v>58</v>
      </c>
      <c r="I1796" s="231"/>
      <c r="J1796" s="231"/>
      <c r="K1796" s="231"/>
      <c r="L1796" s="231">
        <f>30+54</f>
        <v>84</v>
      </c>
      <c r="M1796" s="231"/>
      <c r="N1796" s="231"/>
      <c r="O1796" s="231"/>
      <c r="P1796" s="231">
        <v>40</v>
      </c>
      <c r="Q1796" s="231"/>
      <c r="R1796" s="231"/>
      <c r="S1796" s="231"/>
      <c r="T1796" s="231"/>
      <c r="U1796" s="231"/>
      <c r="V1796" s="231"/>
      <c r="W1796" s="231"/>
      <c r="X1796" s="231"/>
      <c r="Y1796" s="231"/>
      <c r="Z1796" s="231"/>
      <c r="AA1796" s="231"/>
      <c r="AB1796" s="22">
        <f t="shared" si="563"/>
        <v>280</v>
      </c>
      <c r="AC1796" s="23">
        <v>225</v>
      </c>
      <c r="AD1796" s="35"/>
      <c r="AE1796" s="35"/>
      <c r="AF1796" s="35"/>
      <c r="AG1796" s="35"/>
      <c r="AH1796" s="35">
        <f>14+1+33</f>
        <v>48</v>
      </c>
      <c r="AI1796" s="35"/>
      <c r="AJ1796" s="35"/>
      <c r="AK1796" s="35"/>
      <c r="AL1796" s="35">
        <f>36+2+96</f>
        <v>134</v>
      </c>
      <c r="AM1796" s="35"/>
      <c r="AN1796" s="35"/>
      <c r="AO1796" s="35"/>
      <c r="AP1796" s="35">
        <f>31+30</f>
        <v>61</v>
      </c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22">
        <f t="shared" si="564"/>
        <v>243</v>
      </c>
      <c r="BC1796" s="23">
        <v>656</v>
      </c>
      <c r="BD1796" s="130">
        <f t="shared" si="565"/>
        <v>523</v>
      </c>
      <c r="BE1796" s="130">
        <f t="shared" si="566"/>
        <v>881</v>
      </c>
      <c r="BF1796" s="195">
        <f t="shared" si="567"/>
        <v>59.364358683314414</v>
      </c>
      <c r="BG1796" s="373">
        <f t="shared" si="562"/>
        <v>358</v>
      </c>
    </row>
    <row r="1797" spans="1:60" s="46" customFormat="1" ht="18" customHeight="1">
      <c r="A1797" s="176">
        <v>99</v>
      </c>
      <c r="B1797" s="31" t="s">
        <v>922</v>
      </c>
      <c r="C1797" s="32" t="s">
        <v>2013</v>
      </c>
      <c r="D1797" s="231"/>
      <c r="E1797" s="231"/>
      <c r="F1797" s="231"/>
      <c r="G1797" s="231"/>
      <c r="H1797" s="231"/>
      <c r="I1797" s="231"/>
      <c r="J1797" s="231"/>
      <c r="K1797" s="231"/>
      <c r="L1797" s="231"/>
      <c r="M1797" s="231"/>
      <c r="N1797" s="231"/>
      <c r="O1797" s="231"/>
      <c r="P1797" s="231"/>
      <c r="Q1797" s="231"/>
      <c r="R1797" s="231"/>
      <c r="S1797" s="231"/>
      <c r="T1797" s="231"/>
      <c r="U1797" s="231"/>
      <c r="V1797" s="231"/>
      <c r="W1797" s="231"/>
      <c r="X1797" s="231"/>
      <c r="Y1797" s="231"/>
      <c r="Z1797" s="231"/>
      <c r="AA1797" s="231"/>
      <c r="AB1797" s="22">
        <f t="shared" si="563"/>
        <v>0</v>
      </c>
      <c r="AC1797" s="23">
        <v>0</v>
      </c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22">
        <f t="shared" si="564"/>
        <v>0</v>
      </c>
      <c r="BC1797" s="23">
        <v>2</v>
      </c>
      <c r="BD1797" s="130">
        <f t="shared" si="565"/>
        <v>0</v>
      </c>
      <c r="BE1797" s="130">
        <f t="shared" si="566"/>
        <v>2</v>
      </c>
      <c r="BF1797" s="195">
        <f t="shared" si="567"/>
        <v>0</v>
      </c>
      <c r="BG1797" s="373">
        <f t="shared" si="562"/>
        <v>2</v>
      </c>
    </row>
    <row r="1798" spans="1:60" s="46" customFormat="1" ht="18" customHeight="1">
      <c r="A1798" s="367">
        <v>100</v>
      </c>
      <c r="B1798" s="31" t="s">
        <v>1029</v>
      </c>
      <c r="C1798" s="32" t="s">
        <v>1652</v>
      </c>
      <c r="D1798" s="231"/>
      <c r="E1798" s="231"/>
      <c r="F1798" s="231"/>
      <c r="G1798" s="231"/>
      <c r="H1798" s="231"/>
      <c r="I1798" s="231"/>
      <c r="J1798" s="231"/>
      <c r="K1798" s="231"/>
      <c r="L1798" s="231"/>
      <c r="M1798" s="231"/>
      <c r="N1798" s="231"/>
      <c r="O1798" s="231"/>
      <c r="P1798" s="231"/>
      <c r="Q1798" s="231"/>
      <c r="R1798" s="231"/>
      <c r="S1798" s="231"/>
      <c r="T1798" s="231"/>
      <c r="U1798" s="231"/>
      <c r="V1798" s="231"/>
      <c r="W1798" s="231"/>
      <c r="X1798" s="231"/>
      <c r="Y1798" s="231"/>
      <c r="Z1798" s="231"/>
      <c r="AA1798" s="231"/>
      <c r="AB1798" s="22">
        <f t="shared" si="563"/>
        <v>0</v>
      </c>
      <c r="AC1798" s="23">
        <v>0</v>
      </c>
      <c r="AD1798" s="35"/>
      <c r="AE1798" s="35"/>
      <c r="AF1798" s="35"/>
      <c r="AG1798" s="35"/>
      <c r="AH1798" s="35"/>
      <c r="AI1798" s="35"/>
      <c r="AJ1798" s="35"/>
      <c r="AK1798" s="35"/>
      <c r="AL1798" s="35">
        <v>22</v>
      </c>
      <c r="AM1798" s="35"/>
      <c r="AN1798" s="35"/>
      <c r="AO1798" s="35"/>
      <c r="AP1798" s="35">
        <v>12</v>
      </c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22">
        <f t="shared" si="564"/>
        <v>34</v>
      </c>
      <c r="BC1798" s="23">
        <v>44</v>
      </c>
      <c r="BD1798" s="130">
        <f t="shared" si="565"/>
        <v>34</v>
      </c>
      <c r="BE1798" s="130">
        <f t="shared" si="566"/>
        <v>44</v>
      </c>
      <c r="BF1798" s="195">
        <f t="shared" si="567"/>
        <v>77.272727272727266</v>
      </c>
      <c r="BG1798" s="373">
        <f t="shared" si="562"/>
        <v>10</v>
      </c>
    </row>
    <row r="1799" spans="1:60" s="46" customFormat="1" ht="15" customHeight="1">
      <c r="A1799" s="549">
        <v>101</v>
      </c>
      <c r="B1799" s="31" t="s">
        <v>1030</v>
      </c>
      <c r="C1799" s="32" t="s">
        <v>1653</v>
      </c>
      <c r="D1799" s="231"/>
      <c r="E1799" s="231"/>
      <c r="F1799" s="231"/>
      <c r="G1799" s="231"/>
      <c r="H1799" s="231"/>
      <c r="I1799" s="231"/>
      <c r="J1799" s="231"/>
      <c r="K1799" s="231"/>
      <c r="L1799" s="231"/>
      <c r="M1799" s="231"/>
      <c r="N1799" s="231"/>
      <c r="O1799" s="231"/>
      <c r="P1799" s="231"/>
      <c r="Q1799" s="231"/>
      <c r="R1799" s="231"/>
      <c r="S1799" s="231"/>
      <c r="T1799" s="231"/>
      <c r="U1799" s="231"/>
      <c r="V1799" s="231"/>
      <c r="W1799" s="231"/>
      <c r="X1799" s="231"/>
      <c r="Y1799" s="231"/>
      <c r="Z1799" s="231"/>
      <c r="AA1799" s="231"/>
      <c r="AB1799" s="22">
        <f t="shared" si="563"/>
        <v>0</v>
      </c>
      <c r="AC1799" s="23">
        <v>0</v>
      </c>
      <c r="AD1799" s="35"/>
      <c r="AE1799" s="35"/>
      <c r="AF1799" s="35"/>
      <c r="AG1799" s="35"/>
      <c r="AH1799" s="35">
        <v>19</v>
      </c>
      <c r="AI1799" s="35"/>
      <c r="AJ1799" s="35"/>
      <c r="AK1799" s="35"/>
      <c r="AL1799" s="35">
        <f>1+74</f>
        <v>75</v>
      </c>
      <c r="AM1799" s="35"/>
      <c r="AN1799" s="35"/>
      <c r="AO1799" s="35"/>
      <c r="AP1799" s="35">
        <v>23</v>
      </c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22">
        <f t="shared" si="564"/>
        <v>117</v>
      </c>
      <c r="BC1799" s="23">
        <v>188</v>
      </c>
      <c r="BD1799" s="130">
        <f t="shared" si="565"/>
        <v>117</v>
      </c>
      <c r="BE1799" s="130">
        <f t="shared" si="566"/>
        <v>188</v>
      </c>
      <c r="BF1799" s="195">
        <f t="shared" si="567"/>
        <v>62.234042553191493</v>
      </c>
      <c r="BG1799" s="373">
        <f t="shared" si="562"/>
        <v>71</v>
      </c>
    </row>
    <row r="1800" spans="1:60" s="46" customFormat="1" ht="15" customHeight="1">
      <c r="A1800" s="176">
        <v>102</v>
      </c>
      <c r="B1800" s="31" t="s">
        <v>1032</v>
      </c>
      <c r="C1800" s="32" t="s">
        <v>1033</v>
      </c>
      <c r="D1800" s="231"/>
      <c r="E1800" s="231"/>
      <c r="F1800" s="231"/>
      <c r="G1800" s="231"/>
      <c r="H1800" s="231"/>
      <c r="I1800" s="231"/>
      <c r="J1800" s="231"/>
      <c r="K1800" s="231"/>
      <c r="L1800" s="231"/>
      <c r="M1800" s="231"/>
      <c r="N1800" s="231"/>
      <c r="O1800" s="231"/>
      <c r="P1800" s="231"/>
      <c r="Q1800" s="231"/>
      <c r="R1800" s="231"/>
      <c r="S1800" s="231"/>
      <c r="T1800" s="231"/>
      <c r="U1800" s="231"/>
      <c r="V1800" s="231"/>
      <c r="W1800" s="231"/>
      <c r="X1800" s="231"/>
      <c r="Y1800" s="231"/>
      <c r="Z1800" s="231"/>
      <c r="AA1800" s="231"/>
      <c r="AB1800" s="22">
        <f t="shared" si="563"/>
        <v>0</v>
      </c>
      <c r="AC1800" s="23">
        <v>0</v>
      </c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>
        <v>1</v>
      </c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22">
        <f t="shared" si="564"/>
        <v>1</v>
      </c>
      <c r="BC1800" s="23">
        <v>62</v>
      </c>
      <c r="BD1800" s="130">
        <f t="shared" si="565"/>
        <v>1</v>
      </c>
      <c r="BE1800" s="130">
        <f t="shared" si="566"/>
        <v>62</v>
      </c>
      <c r="BF1800" s="195">
        <f t="shared" si="567"/>
        <v>1.6129032258064515</v>
      </c>
      <c r="BG1800" s="373">
        <f t="shared" si="562"/>
        <v>61</v>
      </c>
    </row>
    <row r="1801" spans="1:60" s="46" customFormat="1" ht="15" customHeight="1">
      <c r="A1801" s="367">
        <v>103</v>
      </c>
      <c r="B1801" s="31" t="s">
        <v>1654</v>
      </c>
      <c r="C1801" s="32" t="s">
        <v>1983</v>
      </c>
      <c r="D1801" s="231"/>
      <c r="E1801" s="231"/>
      <c r="F1801" s="231"/>
      <c r="G1801" s="231"/>
      <c r="H1801" s="231"/>
      <c r="I1801" s="231"/>
      <c r="J1801" s="231"/>
      <c r="K1801" s="231"/>
      <c r="L1801" s="231"/>
      <c r="M1801" s="231"/>
      <c r="N1801" s="231"/>
      <c r="O1801" s="231"/>
      <c r="P1801" s="231"/>
      <c r="Q1801" s="231"/>
      <c r="R1801" s="231"/>
      <c r="S1801" s="231"/>
      <c r="T1801" s="231"/>
      <c r="U1801" s="231"/>
      <c r="V1801" s="231"/>
      <c r="W1801" s="231"/>
      <c r="X1801" s="231"/>
      <c r="Y1801" s="231"/>
      <c r="Z1801" s="231"/>
      <c r="AA1801" s="231"/>
      <c r="AB1801" s="22">
        <f t="shared" si="563"/>
        <v>0</v>
      </c>
      <c r="AC1801" s="23">
        <v>0</v>
      </c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22">
        <f t="shared" si="564"/>
        <v>0</v>
      </c>
      <c r="BC1801" s="23">
        <v>1</v>
      </c>
      <c r="BD1801" s="130">
        <f t="shared" si="565"/>
        <v>0</v>
      </c>
      <c r="BE1801" s="130">
        <f t="shared" si="566"/>
        <v>1</v>
      </c>
      <c r="BF1801" s="195">
        <f t="shared" si="567"/>
        <v>0</v>
      </c>
      <c r="BG1801" s="373">
        <f t="shared" si="562"/>
        <v>1</v>
      </c>
    </row>
    <row r="1802" spans="1:60" s="46" customFormat="1" ht="15" customHeight="1">
      <c r="A1802" s="549">
        <v>104</v>
      </c>
      <c r="B1802" s="31" t="s">
        <v>1656</v>
      </c>
      <c r="C1802" s="32" t="s">
        <v>1657</v>
      </c>
      <c r="D1802" s="231"/>
      <c r="E1802" s="231"/>
      <c r="F1802" s="231"/>
      <c r="G1802" s="231"/>
      <c r="H1802" s="231"/>
      <c r="I1802" s="231"/>
      <c r="J1802" s="231"/>
      <c r="K1802" s="231"/>
      <c r="L1802" s="231"/>
      <c r="M1802" s="231"/>
      <c r="N1802" s="231"/>
      <c r="O1802" s="231"/>
      <c r="P1802" s="231"/>
      <c r="Q1802" s="231"/>
      <c r="R1802" s="231"/>
      <c r="S1802" s="231"/>
      <c r="T1802" s="231"/>
      <c r="U1802" s="231"/>
      <c r="V1802" s="231"/>
      <c r="W1802" s="231"/>
      <c r="X1802" s="231"/>
      <c r="Y1802" s="231"/>
      <c r="Z1802" s="231"/>
      <c r="AA1802" s="231"/>
      <c r="AB1802" s="22">
        <f t="shared" si="563"/>
        <v>0</v>
      </c>
      <c r="AC1802" s="23">
        <v>0</v>
      </c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>
        <v>6</v>
      </c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22">
        <f t="shared" si="564"/>
        <v>6</v>
      </c>
      <c r="BC1802" s="23">
        <f>11+5</f>
        <v>16</v>
      </c>
      <c r="BD1802" s="130">
        <f t="shared" si="565"/>
        <v>6</v>
      </c>
      <c r="BE1802" s="130">
        <f t="shared" si="566"/>
        <v>16</v>
      </c>
      <c r="BF1802" s="195">
        <f t="shared" si="567"/>
        <v>37.5</v>
      </c>
      <c r="BG1802" s="373">
        <f t="shared" si="562"/>
        <v>10</v>
      </c>
    </row>
    <row r="1803" spans="1:60" s="46" customFormat="1" ht="15" customHeight="1">
      <c r="A1803" s="176">
        <v>105</v>
      </c>
      <c r="B1803" s="31" t="s">
        <v>1658</v>
      </c>
      <c r="C1803" s="32" t="s">
        <v>2027</v>
      </c>
      <c r="D1803" s="339"/>
      <c r="E1803" s="339"/>
      <c r="F1803" s="339"/>
      <c r="G1803" s="339"/>
      <c r="H1803" s="339"/>
      <c r="I1803" s="339"/>
      <c r="J1803" s="339"/>
      <c r="K1803" s="339"/>
      <c r="L1803" s="339"/>
      <c r="M1803" s="339"/>
      <c r="N1803" s="339"/>
      <c r="O1803" s="339"/>
      <c r="P1803" s="339"/>
      <c r="Q1803" s="339"/>
      <c r="R1803" s="339"/>
      <c r="S1803" s="339"/>
      <c r="T1803" s="339"/>
      <c r="U1803" s="339"/>
      <c r="V1803" s="339"/>
      <c r="W1803" s="339"/>
      <c r="X1803" s="339"/>
      <c r="Y1803" s="339"/>
      <c r="Z1803" s="339"/>
      <c r="AA1803" s="339"/>
      <c r="AB1803" s="22">
        <f t="shared" si="563"/>
        <v>0</v>
      </c>
      <c r="AC1803" s="23">
        <v>0</v>
      </c>
      <c r="AD1803" s="35"/>
      <c r="AE1803" s="35"/>
      <c r="AF1803" s="35"/>
      <c r="AG1803" s="35"/>
      <c r="AH1803" s="35">
        <v>7</v>
      </c>
      <c r="AI1803" s="35"/>
      <c r="AJ1803" s="35"/>
      <c r="AK1803" s="35"/>
      <c r="AL1803" s="35">
        <v>82</v>
      </c>
      <c r="AM1803" s="35"/>
      <c r="AN1803" s="35"/>
      <c r="AO1803" s="35"/>
      <c r="AP1803" s="35">
        <v>7</v>
      </c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22">
        <f t="shared" si="564"/>
        <v>96</v>
      </c>
      <c r="BC1803" s="23">
        <v>226</v>
      </c>
      <c r="BD1803" s="130">
        <f t="shared" si="565"/>
        <v>96</v>
      </c>
      <c r="BE1803" s="130">
        <f t="shared" si="566"/>
        <v>226</v>
      </c>
      <c r="BF1803" s="195">
        <f t="shared" si="567"/>
        <v>42.477876106194692</v>
      </c>
      <c r="BG1803" s="373">
        <f t="shared" si="562"/>
        <v>130</v>
      </c>
    </row>
    <row r="1804" spans="1:60" s="46" customFormat="1" ht="15" customHeight="1">
      <c r="A1804" s="367">
        <v>106</v>
      </c>
      <c r="B1804" s="31" t="s">
        <v>1034</v>
      </c>
      <c r="C1804" s="32" t="s">
        <v>1660</v>
      </c>
      <c r="D1804" s="231"/>
      <c r="E1804" s="231"/>
      <c r="F1804" s="231"/>
      <c r="G1804" s="231"/>
      <c r="H1804" s="231"/>
      <c r="I1804" s="231"/>
      <c r="J1804" s="231"/>
      <c r="K1804" s="231"/>
      <c r="L1804" s="231">
        <v>1</v>
      </c>
      <c r="M1804" s="231"/>
      <c r="N1804" s="231"/>
      <c r="O1804" s="231"/>
      <c r="P1804" s="231">
        <v>7</v>
      </c>
      <c r="Q1804" s="231"/>
      <c r="R1804" s="231"/>
      <c r="S1804" s="231"/>
      <c r="T1804" s="231"/>
      <c r="U1804" s="231"/>
      <c r="V1804" s="231"/>
      <c r="W1804" s="231"/>
      <c r="X1804" s="231"/>
      <c r="Y1804" s="231"/>
      <c r="Z1804" s="231"/>
      <c r="AA1804" s="231"/>
      <c r="AB1804" s="22">
        <f t="shared" si="563"/>
        <v>8</v>
      </c>
      <c r="AC1804" s="23">
        <v>21</v>
      </c>
      <c r="AD1804" s="35">
        <v>18</v>
      </c>
      <c r="AE1804" s="35"/>
      <c r="AF1804" s="35"/>
      <c r="AG1804" s="35"/>
      <c r="AH1804" s="35">
        <f>6+174+2</f>
        <v>182</v>
      </c>
      <c r="AI1804" s="35"/>
      <c r="AJ1804" s="35"/>
      <c r="AK1804" s="35"/>
      <c r="AL1804" s="35">
        <f>17+797+11</f>
        <v>825</v>
      </c>
      <c r="AM1804" s="35"/>
      <c r="AN1804" s="35"/>
      <c r="AO1804" s="35"/>
      <c r="AP1804" s="35">
        <f>82+483+2</f>
        <v>567</v>
      </c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22">
        <f t="shared" si="564"/>
        <v>1592</v>
      </c>
      <c r="BC1804" s="23">
        <v>4438</v>
      </c>
      <c r="BD1804" s="130">
        <f t="shared" si="565"/>
        <v>1600</v>
      </c>
      <c r="BE1804" s="130">
        <f t="shared" si="566"/>
        <v>4459</v>
      </c>
      <c r="BF1804" s="195">
        <f t="shared" si="567"/>
        <v>35.882484862076694</v>
      </c>
      <c r="BG1804" s="373">
        <f t="shared" si="562"/>
        <v>2859</v>
      </c>
    </row>
    <row r="1805" spans="1:60" s="46" customFormat="1" ht="15" customHeight="1">
      <c r="A1805" s="549">
        <v>107</v>
      </c>
      <c r="B1805" s="31" t="s">
        <v>2421</v>
      </c>
      <c r="C1805" s="32" t="s">
        <v>2423</v>
      </c>
      <c r="D1805" s="552"/>
      <c r="E1805" s="552"/>
      <c r="F1805" s="552"/>
      <c r="G1805" s="552"/>
      <c r="H1805" s="552"/>
      <c r="I1805" s="552"/>
      <c r="J1805" s="552"/>
      <c r="K1805" s="552"/>
      <c r="L1805" s="552"/>
      <c r="M1805" s="552"/>
      <c r="N1805" s="552"/>
      <c r="O1805" s="552"/>
      <c r="P1805" s="552"/>
      <c r="Q1805" s="552"/>
      <c r="R1805" s="552"/>
      <c r="S1805" s="552"/>
      <c r="T1805" s="552"/>
      <c r="U1805" s="552"/>
      <c r="V1805" s="552"/>
      <c r="W1805" s="552"/>
      <c r="X1805" s="552"/>
      <c r="Y1805" s="552"/>
      <c r="Z1805" s="552"/>
      <c r="AA1805" s="552"/>
      <c r="AB1805" s="22">
        <f t="shared" si="563"/>
        <v>0</v>
      </c>
      <c r="AC1805" s="23">
        <v>0</v>
      </c>
      <c r="AD1805" s="35"/>
      <c r="AE1805" s="35"/>
      <c r="AF1805" s="35"/>
      <c r="AG1805" s="35"/>
      <c r="AH1805" s="35"/>
      <c r="AI1805" s="35"/>
      <c r="AJ1805" s="35"/>
      <c r="AK1805" s="35"/>
      <c r="AL1805" s="35">
        <v>2</v>
      </c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22">
        <f t="shared" si="564"/>
        <v>2</v>
      </c>
      <c r="BC1805" s="23">
        <v>0</v>
      </c>
      <c r="BD1805" s="130">
        <f t="shared" si="565"/>
        <v>2</v>
      </c>
      <c r="BE1805" s="130">
        <f t="shared" si="566"/>
        <v>0</v>
      </c>
      <c r="BF1805" s="195" t="e">
        <f t="shared" si="567"/>
        <v>#DIV/0!</v>
      </c>
      <c r="BG1805" s="373"/>
    </row>
    <row r="1806" spans="1:60" s="46" customFormat="1" ht="15" customHeight="1">
      <c r="A1806" s="176">
        <v>108</v>
      </c>
      <c r="B1806" s="31" t="s">
        <v>1091</v>
      </c>
      <c r="C1806" s="34" t="s">
        <v>1092</v>
      </c>
      <c r="D1806" s="231"/>
      <c r="E1806" s="231"/>
      <c r="F1806" s="231"/>
      <c r="G1806" s="231"/>
      <c r="H1806" s="231"/>
      <c r="I1806" s="231"/>
      <c r="J1806" s="231"/>
      <c r="K1806" s="231"/>
      <c r="L1806" s="231">
        <v>2</v>
      </c>
      <c r="M1806" s="231"/>
      <c r="N1806" s="231"/>
      <c r="O1806" s="231"/>
      <c r="P1806" s="231"/>
      <c r="Q1806" s="231"/>
      <c r="R1806" s="231"/>
      <c r="S1806" s="231"/>
      <c r="T1806" s="231"/>
      <c r="U1806" s="231"/>
      <c r="V1806" s="231"/>
      <c r="W1806" s="231"/>
      <c r="X1806" s="231"/>
      <c r="Y1806" s="231"/>
      <c r="Z1806" s="231"/>
      <c r="AA1806" s="231"/>
      <c r="AB1806" s="22">
        <f t="shared" si="563"/>
        <v>2</v>
      </c>
      <c r="AC1806" s="23">
        <v>2</v>
      </c>
      <c r="AD1806" s="35">
        <v>1</v>
      </c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22">
        <f t="shared" si="564"/>
        <v>1</v>
      </c>
      <c r="BC1806" s="23">
        <v>12</v>
      </c>
      <c r="BD1806" s="130">
        <f t="shared" si="565"/>
        <v>3</v>
      </c>
      <c r="BE1806" s="130">
        <f t="shared" si="566"/>
        <v>14</v>
      </c>
      <c r="BF1806" s="195">
        <f t="shared" si="567"/>
        <v>21.428571428571427</v>
      </c>
      <c r="BG1806" s="373">
        <f>BE1806-BD1806</f>
        <v>11</v>
      </c>
    </row>
    <row r="1807" spans="1:60" s="46" customFormat="1" ht="16.5" customHeight="1">
      <c r="A1807" s="367">
        <v>109</v>
      </c>
      <c r="B1807" s="437" t="s">
        <v>3047</v>
      </c>
      <c r="C1807" s="447" t="s">
        <v>3048</v>
      </c>
      <c r="D1807" s="231"/>
      <c r="E1807" s="231"/>
      <c r="F1807" s="231"/>
      <c r="G1807" s="231"/>
      <c r="H1807" s="231"/>
      <c r="I1807" s="231"/>
      <c r="J1807" s="231"/>
      <c r="K1807" s="231"/>
      <c r="L1807" s="231"/>
      <c r="M1807" s="231"/>
      <c r="N1807" s="231"/>
      <c r="O1807" s="231"/>
      <c r="P1807" s="231"/>
      <c r="Q1807" s="231"/>
      <c r="R1807" s="231"/>
      <c r="S1807" s="231"/>
      <c r="T1807" s="231"/>
      <c r="U1807" s="231"/>
      <c r="V1807" s="231"/>
      <c r="W1807" s="231"/>
      <c r="X1807" s="231"/>
      <c r="Y1807" s="231"/>
      <c r="Z1807" s="231"/>
      <c r="AA1807" s="231"/>
      <c r="AB1807" s="22">
        <f t="shared" si="563"/>
        <v>0</v>
      </c>
      <c r="AC1807" s="23">
        <v>70</v>
      </c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22">
        <f t="shared" si="564"/>
        <v>0</v>
      </c>
      <c r="BC1807" s="23">
        <v>0</v>
      </c>
      <c r="BD1807" s="130">
        <f t="shared" si="565"/>
        <v>0</v>
      </c>
      <c r="BE1807" s="130">
        <f t="shared" si="566"/>
        <v>70</v>
      </c>
      <c r="BF1807" s="195">
        <f t="shared" si="567"/>
        <v>0</v>
      </c>
      <c r="BG1807" s="373">
        <f>BE1807-BD1807</f>
        <v>70</v>
      </c>
    </row>
    <row r="1808" spans="1:60" s="46" customFormat="1" ht="15.95" customHeight="1">
      <c r="A1808" s="638" t="s">
        <v>1093</v>
      </c>
      <c r="B1808" s="639"/>
      <c r="C1808" s="639"/>
      <c r="D1808" s="98">
        <f t="shared" ref="D1808:AI1808" si="568">SUM(D1809:D1909)</f>
        <v>0</v>
      </c>
      <c r="E1808" s="98">
        <f t="shared" si="568"/>
        <v>0</v>
      </c>
      <c r="F1808" s="98">
        <f t="shared" si="568"/>
        <v>0</v>
      </c>
      <c r="G1808" s="98">
        <f t="shared" si="568"/>
        <v>0</v>
      </c>
      <c r="H1808" s="98">
        <f t="shared" si="568"/>
        <v>24</v>
      </c>
      <c r="I1808" s="98">
        <f t="shared" si="568"/>
        <v>0</v>
      </c>
      <c r="J1808" s="98">
        <f t="shared" si="568"/>
        <v>0</v>
      </c>
      <c r="K1808" s="98">
        <f t="shared" si="568"/>
        <v>464</v>
      </c>
      <c r="L1808" s="98">
        <f t="shared" si="568"/>
        <v>18</v>
      </c>
      <c r="M1808" s="98">
        <f t="shared" si="568"/>
        <v>0</v>
      </c>
      <c r="N1808" s="98">
        <f t="shared" si="568"/>
        <v>0</v>
      </c>
      <c r="O1808" s="98">
        <f t="shared" si="568"/>
        <v>1782</v>
      </c>
      <c r="P1808" s="98">
        <f t="shared" si="568"/>
        <v>0</v>
      </c>
      <c r="Q1808" s="98">
        <f t="shared" si="568"/>
        <v>0</v>
      </c>
      <c r="R1808" s="98">
        <f t="shared" si="568"/>
        <v>0</v>
      </c>
      <c r="S1808" s="98">
        <f t="shared" si="568"/>
        <v>71</v>
      </c>
      <c r="T1808" s="98">
        <f t="shared" si="568"/>
        <v>0</v>
      </c>
      <c r="U1808" s="98">
        <f t="shared" si="568"/>
        <v>0</v>
      </c>
      <c r="V1808" s="98">
        <f t="shared" si="568"/>
        <v>0</v>
      </c>
      <c r="W1808" s="98">
        <f t="shared" si="568"/>
        <v>0</v>
      </c>
      <c r="X1808" s="98">
        <f t="shared" si="568"/>
        <v>0</v>
      </c>
      <c r="Y1808" s="98">
        <f t="shared" si="568"/>
        <v>0</v>
      </c>
      <c r="Z1808" s="98">
        <f t="shared" si="568"/>
        <v>0</v>
      </c>
      <c r="AA1808" s="98">
        <f t="shared" si="568"/>
        <v>0</v>
      </c>
      <c r="AB1808" s="98">
        <f t="shared" si="568"/>
        <v>2359</v>
      </c>
      <c r="AC1808" s="161">
        <f t="shared" si="568"/>
        <v>18217</v>
      </c>
      <c r="AD1808" s="130">
        <f t="shared" si="568"/>
        <v>0</v>
      </c>
      <c r="AE1808" s="130">
        <f t="shared" si="568"/>
        <v>0</v>
      </c>
      <c r="AF1808" s="130">
        <f t="shared" si="568"/>
        <v>0</v>
      </c>
      <c r="AG1808" s="130">
        <f t="shared" si="568"/>
        <v>0</v>
      </c>
      <c r="AH1808" s="130">
        <f t="shared" si="568"/>
        <v>5158</v>
      </c>
      <c r="AI1808" s="130">
        <f t="shared" si="568"/>
        <v>0</v>
      </c>
      <c r="AJ1808" s="130">
        <f t="shared" ref="AJ1808:BC1808" si="569">SUM(AJ1809:AJ1909)</f>
        <v>0</v>
      </c>
      <c r="AK1808" s="130">
        <f t="shared" si="569"/>
        <v>2</v>
      </c>
      <c r="AL1808" s="130">
        <f t="shared" si="569"/>
        <v>20179</v>
      </c>
      <c r="AM1808" s="130">
        <f t="shared" si="569"/>
        <v>0</v>
      </c>
      <c r="AN1808" s="130">
        <f t="shared" si="569"/>
        <v>0</v>
      </c>
      <c r="AO1808" s="130">
        <f t="shared" si="569"/>
        <v>0</v>
      </c>
      <c r="AP1808" s="130">
        <f t="shared" si="569"/>
        <v>777</v>
      </c>
      <c r="AQ1808" s="130">
        <f t="shared" si="569"/>
        <v>0</v>
      </c>
      <c r="AR1808" s="130">
        <f t="shared" si="569"/>
        <v>0</v>
      </c>
      <c r="AS1808" s="130">
        <f t="shared" si="569"/>
        <v>0</v>
      </c>
      <c r="AT1808" s="130">
        <f t="shared" si="569"/>
        <v>0</v>
      </c>
      <c r="AU1808" s="130">
        <f t="shared" si="569"/>
        <v>0</v>
      </c>
      <c r="AV1808" s="130">
        <f t="shared" si="569"/>
        <v>0</v>
      </c>
      <c r="AW1808" s="130">
        <f t="shared" si="569"/>
        <v>0</v>
      </c>
      <c r="AX1808" s="130">
        <f t="shared" si="569"/>
        <v>0</v>
      </c>
      <c r="AY1808" s="130">
        <f t="shared" si="569"/>
        <v>0</v>
      </c>
      <c r="AZ1808" s="130">
        <f t="shared" si="569"/>
        <v>0</v>
      </c>
      <c r="BA1808" s="130">
        <f t="shared" si="569"/>
        <v>0</v>
      </c>
      <c r="BB1808" s="130">
        <f t="shared" si="569"/>
        <v>26116</v>
      </c>
      <c r="BC1808" s="103">
        <f t="shared" si="569"/>
        <v>138266</v>
      </c>
      <c r="BD1808" s="130">
        <f t="shared" ref="BD1808" si="570">AB1808+BB1808</f>
        <v>28475</v>
      </c>
      <c r="BE1808" s="130">
        <f t="shared" ref="BE1808" si="571">AC1808+BC1808</f>
        <v>156483</v>
      </c>
      <c r="BF1808" s="195">
        <f t="shared" ref="BF1808" si="572">BD1808/BE1808*100</f>
        <v>18.196864835157815</v>
      </c>
      <c r="BG1808" s="374">
        <f t="shared" ref="BG1808" si="573">BE1808-BD1808</f>
        <v>128008</v>
      </c>
      <c r="BH1808" s="388"/>
    </row>
    <row r="1809" spans="1:61" s="46" customFormat="1" ht="21" customHeight="1">
      <c r="A1809" s="417">
        <v>1</v>
      </c>
      <c r="B1809" s="418" t="s">
        <v>731</v>
      </c>
      <c r="C1809" s="419" t="s">
        <v>2050</v>
      </c>
      <c r="D1809" s="231"/>
      <c r="E1809" s="231"/>
      <c r="F1809" s="231"/>
      <c r="G1809" s="231"/>
      <c r="H1809" s="231"/>
      <c r="I1809" s="231"/>
      <c r="J1809" s="231"/>
      <c r="K1809" s="231"/>
      <c r="L1809" s="231"/>
      <c r="M1809" s="231"/>
      <c r="N1809" s="231"/>
      <c r="O1809" s="231"/>
      <c r="P1809" s="231"/>
      <c r="Q1809" s="231"/>
      <c r="R1809" s="231"/>
      <c r="S1809" s="231"/>
      <c r="T1809" s="231"/>
      <c r="U1809" s="231"/>
      <c r="V1809" s="231"/>
      <c r="W1809" s="231"/>
      <c r="X1809" s="231"/>
      <c r="Y1809" s="231"/>
      <c r="Z1809" s="231"/>
      <c r="AA1809" s="231"/>
      <c r="AB1809" s="22">
        <f t="shared" ref="AB1809:AB1840" si="574">SUM(D1809:AA1809)</f>
        <v>0</v>
      </c>
      <c r="AC1809" s="23">
        <v>2</v>
      </c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22">
        <f t="shared" ref="BB1809:BB1840" si="575">SUM(AD1809:BA1809)</f>
        <v>0</v>
      </c>
      <c r="BC1809" s="23">
        <v>0</v>
      </c>
      <c r="BD1809" s="130">
        <f t="shared" ref="BD1809:BD1840" si="576">AB1809+BB1809</f>
        <v>0</v>
      </c>
      <c r="BE1809" s="130">
        <f t="shared" ref="BE1809:BE1840" si="577">AC1809+BC1809</f>
        <v>2</v>
      </c>
      <c r="BF1809" s="195">
        <f t="shared" ref="BF1809:BF1840" si="578">BD1809/BE1809*100</f>
        <v>0</v>
      </c>
      <c r="BG1809" s="373">
        <f t="shared" ref="BG1809:BG1815" si="579">BE1809-BD1809</f>
        <v>2</v>
      </c>
      <c r="BH1809" s="426" t="s">
        <v>3675</v>
      </c>
      <c r="BI1809" s="420"/>
    </row>
    <row r="1810" spans="1:61" s="46" customFormat="1" ht="15.95" customHeight="1">
      <c r="A1810" s="176">
        <v>2</v>
      </c>
      <c r="B1810" s="31" t="s">
        <v>2693</v>
      </c>
      <c r="C1810" s="32" t="s">
        <v>2694</v>
      </c>
      <c r="D1810" s="231"/>
      <c r="E1810" s="231"/>
      <c r="F1810" s="231"/>
      <c r="G1810" s="231"/>
      <c r="H1810" s="231"/>
      <c r="I1810" s="231"/>
      <c r="J1810" s="231"/>
      <c r="K1810" s="231"/>
      <c r="L1810" s="231"/>
      <c r="M1810" s="231"/>
      <c r="N1810" s="231"/>
      <c r="O1810" s="231"/>
      <c r="P1810" s="231"/>
      <c r="Q1810" s="231"/>
      <c r="R1810" s="231"/>
      <c r="S1810" s="231"/>
      <c r="T1810" s="231"/>
      <c r="U1810" s="231"/>
      <c r="V1810" s="231"/>
      <c r="W1810" s="231"/>
      <c r="X1810" s="231"/>
      <c r="Y1810" s="231"/>
      <c r="Z1810" s="231"/>
      <c r="AA1810" s="231"/>
      <c r="AB1810" s="22">
        <f t="shared" si="574"/>
        <v>0</v>
      </c>
      <c r="AC1810" s="23">
        <v>0</v>
      </c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22">
        <f t="shared" si="575"/>
        <v>0</v>
      </c>
      <c r="BC1810" s="23">
        <v>5</v>
      </c>
      <c r="BD1810" s="130">
        <f t="shared" si="576"/>
        <v>0</v>
      </c>
      <c r="BE1810" s="130">
        <f t="shared" si="577"/>
        <v>5</v>
      </c>
      <c r="BF1810" s="195">
        <f t="shared" si="578"/>
        <v>0</v>
      </c>
      <c r="BG1810" s="373">
        <f t="shared" si="579"/>
        <v>5</v>
      </c>
      <c r="BH1810" s="388" t="s">
        <v>3841</v>
      </c>
    </row>
    <row r="1811" spans="1:61" s="46" customFormat="1" ht="15.95" customHeight="1">
      <c r="A1811" s="176">
        <v>3</v>
      </c>
      <c r="B1811" s="31" t="s">
        <v>2695</v>
      </c>
      <c r="C1811" s="32" t="s">
        <v>2696</v>
      </c>
      <c r="D1811" s="270"/>
      <c r="E1811" s="270"/>
      <c r="F1811" s="270"/>
      <c r="G1811" s="270"/>
      <c r="H1811" s="270"/>
      <c r="I1811" s="270"/>
      <c r="J1811" s="270"/>
      <c r="K1811" s="270"/>
      <c r="L1811" s="270"/>
      <c r="M1811" s="270"/>
      <c r="N1811" s="270"/>
      <c r="O1811" s="270"/>
      <c r="P1811" s="270"/>
      <c r="Q1811" s="270"/>
      <c r="R1811" s="270"/>
      <c r="S1811" s="270"/>
      <c r="T1811" s="270"/>
      <c r="U1811" s="270"/>
      <c r="V1811" s="270"/>
      <c r="W1811" s="270"/>
      <c r="X1811" s="270"/>
      <c r="Y1811" s="270"/>
      <c r="Z1811" s="270"/>
      <c r="AA1811" s="270"/>
      <c r="AB1811" s="22">
        <f t="shared" si="574"/>
        <v>0</v>
      </c>
      <c r="AC1811" s="23">
        <v>0</v>
      </c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22">
        <f t="shared" si="575"/>
        <v>0</v>
      </c>
      <c r="BC1811" s="23">
        <v>4</v>
      </c>
      <c r="BD1811" s="130">
        <f t="shared" si="576"/>
        <v>0</v>
      </c>
      <c r="BE1811" s="130">
        <f t="shared" si="577"/>
        <v>4</v>
      </c>
      <c r="BF1811" s="195">
        <f t="shared" si="578"/>
        <v>0</v>
      </c>
      <c r="BG1811" s="373">
        <f t="shared" si="579"/>
        <v>4</v>
      </c>
      <c r="BH1811" s="388" t="s">
        <v>3841</v>
      </c>
    </row>
    <row r="1812" spans="1:61" s="46" customFormat="1" ht="15.95" customHeight="1">
      <c r="A1812" s="176">
        <v>4</v>
      </c>
      <c r="B1812" s="31" t="s">
        <v>2699</v>
      </c>
      <c r="C1812" s="32" t="s">
        <v>2700</v>
      </c>
      <c r="D1812" s="231"/>
      <c r="E1812" s="231"/>
      <c r="F1812" s="231"/>
      <c r="G1812" s="231"/>
      <c r="H1812" s="231"/>
      <c r="I1812" s="231"/>
      <c r="J1812" s="231"/>
      <c r="K1812" s="231"/>
      <c r="L1812" s="231"/>
      <c r="M1812" s="231"/>
      <c r="N1812" s="231"/>
      <c r="O1812" s="231"/>
      <c r="P1812" s="231"/>
      <c r="Q1812" s="231"/>
      <c r="R1812" s="231"/>
      <c r="S1812" s="231"/>
      <c r="T1812" s="231"/>
      <c r="U1812" s="231"/>
      <c r="V1812" s="231"/>
      <c r="W1812" s="231"/>
      <c r="X1812" s="231"/>
      <c r="Y1812" s="231"/>
      <c r="Z1812" s="231"/>
      <c r="AA1812" s="231"/>
      <c r="AB1812" s="22">
        <f t="shared" si="574"/>
        <v>0</v>
      </c>
      <c r="AC1812" s="23">
        <v>0</v>
      </c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22">
        <f t="shared" si="575"/>
        <v>0</v>
      </c>
      <c r="BC1812" s="23">
        <v>5</v>
      </c>
      <c r="BD1812" s="130">
        <f t="shared" si="576"/>
        <v>0</v>
      </c>
      <c r="BE1812" s="130">
        <f t="shared" si="577"/>
        <v>5</v>
      </c>
      <c r="BF1812" s="195">
        <f t="shared" si="578"/>
        <v>0</v>
      </c>
      <c r="BG1812" s="373">
        <f t="shared" si="579"/>
        <v>5</v>
      </c>
      <c r="BH1812" s="388" t="s">
        <v>3841</v>
      </c>
    </row>
    <row r="1813" spans="1:61" s="46" customFormat="1" ht="15.95" customHeight="1">
      <c r="A1813" s="176">
        <v>5</v>
      </c>
      <c r="B1813" s="31" t="s">
        <v>2707</v>
      </c>
      <c r="C1813" s="32" t="s">
        <v>2708</v>
      </c>
      <c r="D1813" s="231"/>
      <c r="E1813" s="231"/>
      <c r="F1813" s="231"/>
      <c r="G1813" s="231"/>
      <c r="H1813" s="231"/>
      <c r="I1813" s="231"/>
      <c r="J1813" s="231"/>
      <c r="K1813" s="231"/>
      <c r="L1813" s="231"/>
      <c r="M1813" s="231"/>
      <c r="N1813" s="231"/>
      <c r="O1813" s="231"/>
      <c r="P1813" s="231"/>
      <c r="Q1813" s="231"/>
      <c r="R1813" s="231"/>
      <c r="S1813" s="231"/>
      <c r="T1813" s="231"/>
      <c r="U1813" s="231"/>
      <c r="V1813" s="231"/>
      <c r="W1813" s="231"/>
      <c r="X1813" s="231"/>
      <c r="Y1813" s="231"/>
      <c r="Z1813" s="231"/>
      <c r="AA1813" s="231"/>
      <c r="AB1813" s="22">
        <f t="shared" si="574"/>
        <v>0</v>
      </c>
      <c r="AC1813" s="23">
        <v>0</v>
      </c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22">
        <f t="shared" si="575"/>
        <v>0</v>
      </c>
      <c r="BC1813" s="23">
        <v>5</v>
      </c>
      <c r="BD1813" s="130">
        <f t="shared" si="576"/>
        <v>0</v>
      </c>
      <c r="BE1813" s="130">
        <f t="shared" si="577"/>
        <v>5</v>
      </c>
      <c r="BF1813" s="195">
        <f t="shared" si="578"/>
        <v>0</v>
      </c>
      <c r="BG1813" s="373">
        <f t="shared" si="579"/>
        <v>5</v>
      </c>
      <c r="BH1813" s="388" t="s">
        <v>3841</v>
      </c>
    </row>
    <row r="1814" spans="1:61" s="46" customFormat="1" ht="21" customHeight="1">
      <c r="A1814" s="417">
        <v>6</v>
      </c>
      <c r="B1814" s="418" t="s">
        <v>3224</v>
      </c>
      <c r="C1814" s="419" t="s">
        <v>3225</v>
      </c>
      <c r="D1814" s="329"/>
      <c r="E1814" s="329"/>
      <c r="F1814" s="329"/>
      <c r="G1814" s="329"/>
      <c r="H1814" s="329"/>
      <c r="I1814" s="329"/>
      <c r="J1814" s="329"/>
      <c r="K1814" s="329"/>
      <c r="L1814" s="329"/>
      <c r="M1814" s="329"/>
      <c r="N1814" s="329"/>
      <c r="O1814" s="329"/>
      <c r="P1814" s="329"/>
      <c r="Q1814" s="329"/>
      <c r="R1814" s="329"/>
      <c r="S1814" s="329"/>
      <c r="T1814" s="329"/>
      <c r="U1814" s="329"/>
      <c r="V1814" s="329"/>
      <c r="W1814" s="329"/>
      <c r="X1814" s="329"/>
      <c r="Y1814" s="329"/>
      <c r="Z1814" s="329"/>
      <c r="AA1814" s="329"/>
      <c r="AB1814" s="22">
        <f t="shared" si="574"/>
        <v>0</v>
      </c>
      <c r="AC1814" s="23">
        <v>3</v>
      </c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22">
        <f t="shared" si="575"/>
        <v>0</v>
      </c>
      <c r="BC1814" s="23">
        <v>0</v>
      </c>
      <c r="BD1814" s="130">
        <f t="shared" si="576"/>
        <v>0</v>
      </c>
      <c r="BE1814" s="130">
        <f t="shared" si="577"/>
        <v>3</v>
      </c>
      <c r="BF1814" s="195">
        <f t="shared" si="578"/>
        <v>0</v>
      </c>
      <c r="BG1814" s="373">
        <f t="shared" si="579"/>
        <v>3</v>
      </c>
      <c r="BH1814" s="421" t="s">
        <v>3675</v>
      </c>
      <c r="BI1814" s="421"/>
    </row>
    <row r="1815" spans="1:61" s="46" customFormat="1" ht="21" customHeight="1">
      <c r="A1815" s="417">
        <v>7</v>
      </c>
      <c r="B1815" s="418" t="s">
        <v>1266</v>
      </c>
      <c r="C1815" s="419" t="s">
        <v>1267</v>
      </c>
      <c r="D1815" s="231"/>
      <c r="E1815" s="231"/>
      <c r="F1815" s="231"/>
      <c r="G1815" s="231"/>
      <c r="H1815" s="231"/>
      <c r="I1815" s="231"/>
      <c r="J1815" s="231"/>
      <c r="K1815" s="231">
        <f>4+156</f>
        <v>160</v>
      </c>
      <c r="L1815" s="231"/>
      <c r="M1815" s="231"/>
      <c r="N1815" s="231"/>
      <c r="O1815" s="231">
        <f>368+6</f>
        <v>374</v>
      </c>
      <c r="P1815" s="231"/>
      <c r="Q1815" s="231"/>
      <c r="R1815" s="231"/>
      <c r="S1815" s="231">
        <v>24</v>
      </c>
      <c r="T1815" s="231"/>
      <c r="U1815" s="231"/>
      <c r="V1815" s="231"/>
      <c r="W1815" s="231"/>
      <c r="X1815" s="231"/>
      <c r="Y1815" s="231"/>
      <c r="Z1815" s="231"/>
      <c r="AA1815" s="231"/>
      <c r="AB1815" s="22">
        <f t="shared" si="574"/>
        <v>558</v>
      </c>
      <c r="AC1815" s="23">
        <f>32+3912</f>
        <v>3944</v>
      </c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22">
        <f t="shared" si="575"/>
        <v>0</v>
      </c>
      <c r="BC1815" s="23">
        <v>0</v>
      </c>
      <c r="BD1815" s="130">
        <f t="shared" si="576"/>
        <v>558</v>
      </c>
      <c r="BE1815" s="130">
        <f t="shared" si="577"/>
        <v>3944</v>
      </c>
      <c r="BF1815" s="195">
        <f t="shared" si="578"/>
        <v>14.148073022312374</v>
      </c>
      <c r="BG1815" s="373">
        <f t="shared" si="579"/>
        <v>3386</v>
      </c>
      <c r="BH1815" s="421" t="s">
        <v>3675</v>
      </c>
      <c r="BI1815" s="421"/>
    </row>
    <row r="1816" spans="1:61" s="46" customFormat="1" ht="21" customHeight="1">
      <c r="A1816" s="176">
        <v>8</v>
      </c>
      <c r="B1816" s="31" t="s">
        <v>3676</v>
      </c>
      <c r="C1816" s="32" t="s">
        <v>3677</v>
      </c>
      <c r="D1816" s="532"/>
      <c r="E1816" s="532"/>
      <c r="F1816" s="532"/>
      <c r="G1816" s="532"/>
      <c r="H1816" s="532"/>
      <c r="I1816" s="532"/>
      <c r="J1816" s="532"/>
      <c r="K1816" s="532"/>
      <c r="L1816" s="532"/>
      <c r="M1816" s="532"/>
      <c r="N1816" s="532"/>
      <c r="O1816" s="532"/>
      <c r="P1816" s="532"/>
      <c r="Q1816" s="532"/>
      <c r="R1816" s="532"/>
      <c r="S1816" s="532"/>
      <c r="T1816" s="532"/>
      <c r="U1816" s="532"/>
      <c r="V1816" s="532"/>
      <c r="W1816" s="532"/>
      <c r="X1816" s="532"/>
      <c r="Y1816" s="532"/>
      <c r="Z1816" s="532"/>
      <c r="AA1816" s="532"/>
      <c r="AB1816" s="22">
        <f t="shared" si="574"/>
        <v>0</v>
      </c>
      <c r="AC1816" s="23">
        <v>0</v>
      </c>
      <c r="AD1816" s="35"/>
      <c r="AE1816" s="35"/>
      <c r="AF1816" s="35"/>
      <c r="AG1816" s="35"/>
      <c r="AH1816" s="35"/>
      <c r="AI1816" s="35"/>
      <c r="AJ1816" s="35"/>
      <c r="AK1816" s="35">
        <v>2</v>
      </c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22">
        <f t="shared" si="575"/>
        <v>2</v>
      </c>
      <c r="BC1816" s="23">
        <v>0</v>
      </c>
      <c r="BD1816" s="130">
        <f t="shared" si="576"/>
        <v>2</v>
      </c>
      <c r="BE1816" s="130">
        <f t="shared" si="577"/>
        <v>0</v>
      </c>
      <c r="BF1816" s="195" t="e">
        <f t="shared" si="578"/>
        <v>#DIV/0!</v>
      </c>
      <c r="BG1816" s="373"/>
      <c r="BH1816" s="325"/>
      <c r="BI1816" s="421"/>
    </row>
    <row r="1817" spans="1:61" s="46" customFormat="1" ht="21" customHeight="1">
      <c r="A1817" s="417">
        <v>9</v>
      </c>
      <c r="B1817" s="418" t="s">
        <v>2218</v>
      </c>
      <c r="C1817" s="419" t="s">
        <v>2221</v>
      </c>
      <c r="D1817" s="231"/>
      <c r="E1817" s="231"/>
      <c r="F1817" s="231"/>
      <c r="G1817" s="231"/>
      <c r="H1817" s="231"/>
      <c r="I1817" s="231"/>
      <c r="J1817" s="231"/>
      <c r="K1817" s="231">
        <f>1+303</f>
        <v>304</v>
      </c>
      <c r="L1817" s="231"/>
      <c r="M1817" s="231"/>
      <c r="N1817" s="231"/>
      <c r="O1817" s="231">
        <v>1408</v>
      </c>
      <c r="P1817" s="231"/>
      <c r="Q1817" s="231"/>
      <c r="R1817" s="231"/>
      <c r="S1817" s="231">
        <v>47</v>
      </c>
      <c r="T1817" s="231"/>
      <c r="U1817" s="231"/>
      <c r="V1817" s="231"/>
      <c r="W1817" s="231"/>
      <c r="X1817" s="231"/>
      <c r="Y1817" s="231"/>
      <c r="Z1817" s="231"/>
      <c r="AA1817" s="231"/>
      <c r="AB1817" s="22">
        <f t="shared" si="574"/>
        <v>1759</v>
      </c>
      <c r="AC1817" s="23">
        <f>61+14010</f>
        <v>14071</v>
      </c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22">
        <f t="shared" si="575"/>
        <v>0</v>
      </c>
      <c r="BC1817" s="23">
        <v>0</v>
      </c>
      <c r="BD1817" s="130">
        <f t="shared" si="576"/>
        <v>1759</v>
      </c>
      <c r="BE1817" s="130">
        <f t="shared" si="577"/>
        <v>14071</v>
      </c>
      <c r="BF1817" s="195">
        <f t="shared" si="578"/>
        <v>12.5008883519295</v>
      </c>
      <c r="BG1817" s="373">
        <f t="shared" ref="BG1817:BG1837" si="580">BE1817-BD1817</f>
        <v>12312</v>
      </c>
      <c r="BH1817" s="421" t="s">
        <v>3675</v>
      </c>
      <c r="BI1817" s="421"/>
    </row>
    <row r="1818" spans="1:61" s="46" customFormat="1" ht="15.95" customHeight="1">
      <c r="A1818" s="176">
        <v>10</v>
      </c>
      <c r="B1818" s="237" t="s">
        <v>732</v>
      </c>
      <c r="C1818" s="238" t="s">
        <v>733</v>
      </c>
      <c r="D1818" s="249"/>
      <c r="E1818" s="249"/>
      <c r="F1818" s="249"/>
      <c r="G1818" s="249"/>
      <c r="H1818" s="249"/>
      <c r="I1818" s="249"/>
      <c r="J1818" s="249"/>
      <c r="K1818" s="249"/>
      <c r="L1818" s="249"/>
      <c r="M1818" s="249"/>
      <c r="N1818" s="249"/>
      <c r="O1818" s="249"/>
      <c r="P1818" s="249"/>
      <c r="Q1818" s="249"/>
      <c r="R1818" s="249"/>
      <c r="S1818" s="249"/>
      <c r="T1818" s="249"/>
      <c r="U1818" s="249"/>
      <c r="V1818" s="249"/>
      <c r="W1818" s="249"/>
      <c r="X1818" s="249"/>
      <c r="Y1818" s="249"/>
      <c r="Z1818" s="249"/>
      <c r="AA1818" s="249"/>
      <c r="AB1818" s="22">
        <f t="shared" si="574"/>
        <v>0</v>
      </c>
      <c r="AC1818" s="23">
        <v>0</v>
      </c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22">
        <f t="shared" si="575"/>
        <v>0</v>
      </c>
      <c r="BC1818" s="23">
        <v>106</v>
      </c>
      <c r="BD1818" s="130">
        <f t="shared" si="576"/>
        <v>0</v>
      </c>
      <c r="BE1818" s="130">
        <f t="shared" si="577"/>
        <v>106</v>
      </c>
      <c r="BF1818" s="195">
        <f t="shared" si="578"/>
        <v>0</v>
      </c>
      <c r="BG1818" s="373">
        <f t="shared" si="580"/>
        <v>106</v>
      </c>
    </row>
    <row r="1819" spans="1:61" s="46" customFormat="1" ht="15.95" customHeight="1">
      <c r="A1819" s="176">
        <v>11</v>
      </c>
      <c r="B1819" s="31" t="s">
        <v>738</v>
      </c>
      <c r="C1819" s="32" t="s">
        <v>739</v>
      </c>
      <c r="D1819" s="231"/>
      <c r="E1819" s="231"/>
      <c r="F1819" s="231"/>
      <c r="G1819" s="231"/>
      <c r="H1819" s="231"/>
      <c r="I1819" s="231"/>
      <c r="J1819" s="231"/>
      <c r="K1819" s="231"/>
      <c r="L1819" s="231"/>
      <c r="M1819" s="231"/>
      <c r="N1819" s="231"/>
      <c r="O1819" s="231"/>
      <c r="P1819" s="231"/>
      <c r="Q1819" s="231"/>
      <c r="R1819" s="231"/>
      <c r="S1819" s="231"/>
      <c r="T1819" s="231"/>
      <c r="U1819" s="231"/>
      <c r="V1819" s="231"/>
      <c r="W1819" s="231"/>
      <c r="X1819" s="231"/>
      <c r="Y1819" s="231"/>
      <c r="Z1819" s="231"/>
      <c r="AA1819" s="231"/>
      <c r="AB1819" s="22">
        <f t="shared" si="574"/>
        <v>0</v>
      </c>
      <c r="AC1819" s="23">
        <v>0</v>
      </c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22">
        <f t="shared" si="575"/>
        <v>0</v>
      </c>
      <c r="BC1819" s="23">
        <v>8</v>
      </c>
      <c r="BD1819" s="130">
        <f t="shared" si="576"/>
        <v>0</v>
      </c>
      <c r="BE1819" s="130">
        <f t="shared" si="577"/>
        <v>8</v>
      </c>
      <c r="BF1819" s="195">
        <f t="shared" si="578"/>
        <v>0</v>
      </c>
      <c r="BG1819" s="373">
        <f t="shared" si="580"/>
        <v>8</v>
      </c>
    </row>
    <row r="1820" spans="1:61" s="46" customFormat="1" ht="15.95" customHeight="1">
      <c r="A1820" s="176">
        <v>12</v>
      </c>
      <c r="B1820" s="31" t="s">
        <v>740</v>
      </c>
      <c r="C1820" s="32" t="s">
        <v>741</v>
      </c>
      <c r="D1820" s="231"/>
      <c r="E1820" s="231"/>
      <c r="F1820" s="231"/>
      <c r="G1820" s="231"/>
      <c r="H1820" s="231"/>
      <c r="I1820" s="231"/>
      <c r="J1820" s="231"/>
      <c r="K1820" s="231"/>
      <c r="L1820" s="231"/>
      <c r="M1820" s="231"/>
      <c r="N1820" s="231"/>
      <c r="O1820" s="231"/>
      <c r="P1820" s="231"/>
      <c r="Q1820" s="231"/>
      <c r="R1820" s="231"/>
      <c r="S1820" s="231"/>
      <c r="T1820" s="231"/>
      <c r="U1820" s="231"/>
      <c r="V1820" s="231"/>
      <c r="W1820" s="231"/>
      <c r="X1820" s="231"/>
      <c r="Y1820" s="231"/>
      <c r="Z1820" s="231"/>
      <c r="AA1820" s="231"/>
      <c r="AB1820" s="22">
        <f t="shared" si="574"/>
        <v>0</v>
      </c>
      <c r="AC1820" s="23">
        <v>5</v>
      </c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22">
        <f t="shared" si="575"/>
        <v>0</v>
      </c>
      <c r="BC1820" s="23">
        <v>24</v>
      </c>
      <c r="BD1820" s="130">
        <f t="shared" si="576"/>
        <v>0</v>
      </c>
      <c r="BE1820" s="130">
        <f t="shared" si="577"/>
        <v>29</v>
      </c>
      <c r="BF1820" s="195">
        <f t="shared" si="578"/>
        <v>0</v>
      </c>
      <c r="BG1820" s="373">
        <f t="shared" si="580"/>
        <v>29</v>
      </c>
    </row>
    <row r="1821" spans="1:61" s="46" customFormat="1" ht="15.95" customHeight="1">
      <c r="A1821" s="176">
        <v>13</v>
      </c>
      <c r="B1821" s="31" t="s">
        <v>746</v>
      </c>
      <c r="C1821" s="32" t="s">
        <v>747</v>
      </c>
      <c r="D1821" s="383"/>
      <c r="E1821" s="383"/>
      <c r="F1821" s="383"/>
      <c r="G1821" s="383"/>
      <c r="H1821" s="383">
        <v>2</v>
      </c>
      <c r="I1821" s="383"/>
      <c r="J1821" s="383"/>
      <c r="K1821" s="383"/>
      <c r="L1821" s="383"/>
      <c r="M1821" s="383"/>
      <c r="N1821" s="383"/>
      <c r="O1821" s="383"/>
      <c r="P1821" s="383"/>
      <c r="Q1821" s="383"/>
      <c r="R1821" s="383"/>
      <c r="S1821" s="383"/>
      <c r="T1821" s="383"/>
      <c r="U1821" s="383"/>
      <c r="V1821" s="383"/>
      <c r="W1821" s="383"/>
      <c r="X1821" s="383"/>
      <c r="Y1821" s="383"/>
      <c r="Z1821" s="383"/>
      <c r="AA1821" s="383"/>
      <c r="AB1821" s="22">
        <f t="shared" si="574"/>
        <v>2</v>
      </c>
      <c r="AC1821" s="23">
        <v>26</v>
      </c>
      <c r="AD1821" s="35"/>
      <c r="AE1821" s="35"/>
      <c r="AF1821" s="35"/>
      <c r="AG1821" s="35"/>
      <c r="AH1821" s="35">
        <v>175</v>
      </c>
      <c r="AI1821" s="35"/>
      <c r="AJ1821" s="35"/>
      <c r="AK1821" s="35"/>
      <c r="AL1821" s="35">
        <v>311</v>
      </c>
      <c r="AM1821" s="35"/>
      <c r="AN1821" s="35"/>
      <c r="AO1821" s="35"/>
      <c r="AP1821" s="35">
        <v>12</v>
      </c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22">
        <f t="shared" si="575"/>
        <v>498</v>
      </c>
      <c r="BC1821" s="23">
        <v>788</v>
      </c>
      <c r="BD1821" s="130">
        <f t="shared" si="576"/>
        <v>500</v>
      </c>
      <c r="BE1821" s="130">
        <f t="shared" si="577"/>
        <v>814</v>
      </c>
      <c r="BF1821" s="195">
        <f t="shared" si="578"/>
        <v>61.425061425061422</v>
      </c>
      <c r="BG1821" s="373">
        <f t="shared" si="580"/>
        <v>314</v>
      </c>
    </row>
    <row r="1822" spans="1:61" s="46" customFormat="1" ht="15.95" customHeight="1">
      <c r="A1822" s="176">
        <v>14</v>
      </c>
      <c r="B1822" s="31" t="s">
        <v>881</v>
      </c>
      <c r="C1822" s="32" t="s">
        <v>882</v>
      </c>
      <c r="D1822" s="383"/>
      <c r="E1822" s="383"/>
      <c r="F1822" s="383"/>
      <c r="G1822" s="383"/>
      <c r="H1822" s="383"/>
      <c r="I1822" s="383"/>
      <c r="J1822" s="383"/>
      <c r="K1822" s="383"/>
      <c r="L1822" s="383"/>
      <c r="M1822" s="383"/>
      <c r="N1822" s="383"/>
      <c r="O1822" s="383"/>
      <c r="P1822" s="383"/>
      <c r="Q1822" s="383"/>
      <c r="R1822" s="383"/>
      <c r="S1822" s="383"/>
      <c r="T1822" s="383"/>
      <c r="U1822" s="383"/>
      <c r="V1822" s="383"/>
      <c r="W1822" s="383"/>
      <c r="X1822" s="383"/>
      <c r="Y1822" s="383"/>
      <c r="Z1822" s="383"/>
      <c r="AA1822" s="383"/>
      <c r="AB1822" s="22">
        <f t="shared" si="574"/>
        <v>0</v>
      </c>
      <c r="AC1822" s="23">
        <v>0</v>
      </c>
      <c r="AD1822" s="35"/>
      <c r="AE1822" s="35"/>
      <c r="AF1822" s="35"/>
      <c r="AG1822" s="35"/>
      <c r="AH1822" s="35">
        <v>277</v>
      </c>
      <c r="AI1822" s="35"/>
      <c r="AJ1822" s="35"/>
      <c r="AK1822" s="35"/>
      <c r="AL1822" s="35">
        <v>1479</v>
      </c>
      <c r="AM1822" s="35"/>
      <c r="AN1822" s="35"/>
      <c r="AO1822" s="35"/>
      <c r="AP1822" s="35">
        <v>44</v>
      </c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22">
        <f t="shared" si="575"/>
        <v>1800</v>
      </c>
      <c r="BC1822" s="23">
        <v>12400</v>
      </c>
      <c r="BD1822" s="130">
        <f t="shared" si="576"/>
        <v>1800</v>
      </c>
      <c r="BE1822" s="130">
        <f t="shared" si="577"/>
        <v>12400</v>
      </c>
      <c r="BF1822" s="195">
        <f t="shared" si="578"/>
        <v>14.516129032258066</v>
      </c>
      <c r="BG1822" s="373">
        <f t="shared" si="580"/>
        <v>10600</v>
      </c>
    </row>
    <row r="1823" spans="1:61" s="46" customFormat="1" ht="15.95" customHeight="1">
      <c r="A1823" s="176">
        <v>15</v>
      </c>
      <c r="B1823" s="31" t="s">
        <v>748</v>
      </c>
      <c r="C1823" s="36" t="s">
        <v>749</v>
      </c>
      <c r="D1823" s="383"/>
      <c r="E1823" s="383"/>
      <c r="F1823" s="383"/>
      <c r="G1823" s="383"/>
      <c r="H1823" s="383"/>
      <c r="I1823" s="383"/>
      <c r="J1823" s="383"/>
      <c r="K1823" s="383"/>
      <c r="L1823" s="383"/>
      <c r="M1823" s="383"/>
      <c r="N1823" s="383"/>
      <c r="O1823" s="383"/>
      <c r="P1823" s="383"/>
      <c r="Q1823" s="383"/>
      <c r="R1823" s="383"/>
      <c r="S1823" s="383"/>
      <c r="T1823" s="383"/>
      <c r="U1823" s="383"/>
      <c r="V1823" s="383"/>
      <c r="W1823" s="383"/>
      <c r="X1823" s="383"/>
      <c r="Y1823" s="383"/>
      <c r="Z1823" s="383"/>
      <c r="AA1823" s="383"/>
      <c r="AB1823" s="22">
        <f t="shared" si="574"/>
        <v>0</v>
      </c>
      <c r="AC1823" s="23">
        <v>0</v>
      </c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22">
        <f t="shared" si="575"/>
        <v>0</v>
      </c>
      <c r="BC1823" s="23">
        <v>1</v>
      </c>
      <c r="BD1823" s="130">
        <f t="shared" si="576"/>
        <v>0</v>
      </c>
      <c r="BE1823" s="130">
        <f t="shared" si="577"/>
        <v>1</v>
      </c>
      <c r="BF1823" s="195">
        <f t="shared" si="578"/>
        <v>0</v>
      </c>
      <c r="BG1823" s="373">
        <f t="shared" si="580"/>
        <v>1</v>
      </c>
    </row>
    <row r="1824" spans="1:61" s="46" customFormat="1" ht="15.95" customHeight="1">
      <c r="A1824" s="176">
        <v>16</v>
      </c>
      <c r="B1824" s="31" t="s">
        <v>750</v>
      </c>
      <c r="C1824" s="32" t="s">
        <v>751</v>
      </c>
      <c r="D1824" s="383"/>
      <c r="E1824" s="383"/>
      <c r="F1824" s="383"/>
      <c r="G1824" s="383"/>
      <c r="H1824" s="383"/>
      <c r="I1824" s="383"/>
      <c r="J1824" s="383"/>
      <c r="K1824" s="383"/>
      <c r="L1824" s="383"/>
      <c r="M1824" s="383"/>
      <c r="N1824" s="383"/>
      <c r="O1824" s="383"/>
      <c r="P1824" s="383"/>
      <c r="Q1824" s="383"/>
      <c r="R1824" s="383"/>
      <c r="S1824" s="383"/>
      <c r="T1824" s="383"/>
      <c r="U1824" s="383"/>
      <c r="V1824" s="383"/>
      <c r="W1824" s="383"/>
      <c r="X1824" s="383"/>
      <c r="Y1824" s="383"/>
      <c r="Z1824" s="383"/>
      <c r="AA1824" s="383"/>
      <c r="AB1824" s="22">
        <f t="shared" si="574"/>
        <v>0</v>
      </c>
      <c r="AC1824" s="23">
        <v>0</v>
      </c>
      <c r="AD1824" s="35"/>
      <c r="AE1824" s="35"/>
      <c r="AF1824" s="35"/>
      <c r="AG1824" s="35"/>
      <c r="AH1824" s="35">
        <v>16</v>
      </c>
      <c r="AI1824" s="35"/>
      <c r="AJ1824" s="35"/>
      <c r="AK1824" s="35"/>
      <c r="AL1824" s="35">
        <v>36</v>
      </c>
      <c r="AM1824" s="35"/>
      <c r="AN1824" s="35"/>
      <c r="AO1824" s="35"/>
      <c r="AP1824" s="35">
        <v>3</v>
      </c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22">
        <f t="shared" si="575"/>
        <v>55</v>
      </c>
      <c r="BC1824" s="23">
        <v>203</v>
      </c>
      <c r="BD1824" s="130">
        <f t="shared" si="576"/>
        <v>55</v>
      </c>
      <c r="BE1824" s="130">
        <f t="shared" si="577"/>
        <v>203</v>
      </c>
      <c r="BF1824" s="195">
        <f t="shared" si="578"/>
        <v>27.093596059113302</v>
      </c>
      <c r="BG1824" s="373">
        <f t="shared" si="580"/>
        <v>148</v>
      </c>
    </row>
    <row r="1825" spans="1:59" s="46" customFormat="1" ht="15.95" customHeight="1">
      <c r="A1825" s="176">
        <v>17</v>
      </c>
      <c r="B1825" s="31" t="s">
        <v>930</v>
      </c>
      <c r="C1825" s="32" t="s">
        <v>931</v>
      </c>
      <c r="D1825" s="231"/>
      <c r="E1825" s="231"/>
      <c r="F1825" s="231"/>
      <c r="G1825" s="231"/>
      <c r="H1825" s="231"/>
      <c r="I1825" s="231"/>
      <c r="J1825" s="231"/>
      <c r="K1825" s="231"/>
      <c r="L1825" s="231"/>
      <c r="M1825" s="231"/>
      <c r="N1825" s="231"/>
      <c r="O1825" s="231"/>
      <c r="P1825" s="231"/>
      <c r="Q1825" s="231"/>
      <c r="R1825" s="231"/>
      <c r="S1825" s="231"/>
      <c r="T1825" s="231"/>
      <c r="U1825" s="231"/>
      <c r="V1825" s="231"/>
      <c r="W1825" s="231"/>
      <c r="X1825" s="231"/>
      <c r="Y1825" s="231"/>
      <c r="Z1825" s="231"/>
      <c r="AA1825" s="231"/>
      <c r="AB1825" s="22">
        <f t="shared" si="574"/>
        <v>0</v>
      </c>
      <c r="AC1825" s="23">
        <v>0</v>
      </c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22">
        <f t="shared" si="575"/>
        <v>0</v>
      </c>
      <c r="BC1825" s="23">
        <v>33</v>
      </c>
      <c r="BD1825" s="130">
        <f t="shared" si="576"/>
        <v>0</v>
      </c>
      <c r="BE1825" s="130">
        <f t="shared" si="577"/>
        <v>33</v>
      </c>
      <c r="BF1825" s="195">
        <f t="shared" si="578"/>
        <v>0</v>
      </c>
      <c r="BG1825" s="373">
        <f t="shared" si="580"/>
        <v>33</v>
      </c>
    </row>
    <row r="1826" spans="1:59" s="46" customFormat="1" ht="15.95" customHeight="1">
      <c r="A1826" s="176">
        <v>18</v>
      </c>
      <c r="B1826" s="37" t="s">
        <v>754</v>
      </c>
      <c r="C1826" s="38" t="s">
        <v>889</v>
      </c>
      <c r="D1826" s="231"/>
      <c r="E1826" s="231"/>
      <c r="F1826" s="231"/>
      <c r="G1826" s="231"/>
      <c r="H1826" s="231"/>
      <c r="I1826" s="231"/>
      <c r="J1826" s="231"/>
      <c r="K1826" s="231"/>
      <c r="L1826" s="231"/>
      <c r="M1826" s="231"/>
      <c r="N1826" s="231"/>
      <c r="O1826" s="231"/>
      <c r="P1826" s="231"/>
      <c r="Q1826" s="231"/>
      <c r="R1826" s="231"/>
      <c r="S1826" s="231"/>
      <c r="T1826" s="231"/>
      <c r="U1826" s="231"/>
      <c r="V1826" s="231"/>
      <c r="W1826" s="231"/>
      <c r="X1826" s="231"/>
      <c r="Y1826" s="231"/>
      <c r="Z1826" s="231"/>
      <c r="AA1826" s="231"/>
      <c r="AB1826" s="22">
        <f t="shared" si="574"/>
        <v>0</v>
      </c>
      <c r="AC1826" s="23">
        <v>0</v>
      </c>
      <c r="AD1826" s="35"/>
      <c r="AE1826" s="35"/>
      <c r="AF1826" s="35"/>
      <c r="AG1826" s="35"/>
      <c r="AH1826" s="35">
        <v>1</v>
      </c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22">
        <f t="shared" si="575"/>
        <v>1</v>
      </c>
      <c r="BC1826" s="23">
        <v>7</v>
      </c>
      <c r="BD1826" s="130">
        <f t="shared" si="576"/>
        <v>1</v>
      </c>
      <c r="BE1826" s="130">
        <f t="shared" si="577"/>
        <v>7</v>
      </c>
      <c r="BF1826" s="195">
        <f t="shared" si="578"/>
        <v>14.285714285714285</v>
      </c>
      <c r="BG1826" s="373">
        <f t="shared" si="580"/>
        <v>6</v>
      </c>
    </row>
    <row r="1827" spans="1:59" s="46" customFormat="1" ht="15.95" customHeight="1">
      <c r="A1827" s="176">
        <v>19</v>
      </c>
      <c r="B1827" s="31" t="s">
        <v>756</v>
      </c>
      <c r="C1827" s="32" t="s">
        <v>757</v>
      </c>
      <c r="D1827" s="231"/>
      <c r="E1827" s="231"/>
      <c r="F1827" s="231"/>
      <c r="G1827" s="231"/>
      <c r="H1827" s="231">
        <v>22</v>
      </c>
      <c r="I1827" s="231"/>
      <c r="J1827" s="231"/>
      <c r="K1827" s="231"/>
      <c r="L1827" s="231">
        <v>18</v>
      </c>
      <c r="M1827" s="231"/>
      <c r="N1827" s="231"/>
      <c r="O1827" s="231"/>
      <c r="P1827" s="231"/>
      <c r="Q1827" s="231"/>
      <c r="R1827" s="231"/>
      <c r="S1827" s="231"/>
      <c r="T1827" s="231"/>
      <c r="U1827" s="231"/>
      <c r="V1827" s="231"/>
      <c r="W1827" s="231"/>
      <c r="X1827" s="231"/>
      <c r="Y1827" s="231"/>
      <c r="Z1827" s="231"/>
      <c r="AA1827" s="231"/>
      <c r="AB1827" s="22">
        <f t="shared" si="574"/>
        <v>40</v>
      </c>
      <c r="AC1827" s="23">
        <v>64</v>
      </c>
      <c r="AD1827" s="35"/>
      <c r="AE1827" s="35"/>
      <c r="AF1827" s="35"/>
      <c r="AG1827" s="35"/>
      <c r="AH1827" s="35">
        <v>280</v>
      </c>
      <c r="AI1827" s="35"/>
      <c r="AJ1827" s="35"/>
      <c r="AK1827" s="35"/>
      <c r="AL1827" s="35">
        <v>855</v>
      </c>
      <c r="AM1827" s="35"/>
      <c r="AN1827" s="35"/>
      <c r="AO1827" s="35"/>
      <c r="AP1827" s="35">
        <v>44</v>
      </c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22">
        <f t="shared" si="575"/>
        <v>1179</v>
      </c>
      <c r="BC1827" s="23">
        <v>7492</v>
      </c>
      <c r="BD1827" s="130">
        <f t="shared" si="576"/>
        <v>1219</v>
      </c>
      <c r="BE1827" s="130">
        <f t="shared" si="577"/>
        <v>7556</v>
      </c>
      <c r="BF1827" s="195">
        <f t="shared" si="578"/>
        <v>16.132874536791952</v>
      </c>
      <c r="BG1827" s="373">
        <f t="shared" si="580"/>
        <v>6337</v>
      </c>
    </row>
    <row r="1828" spans="1:59" s="46" customFormat="1" ht="15.95" customHeight="1">
      <c r="A1828" s="176">
        <v>20</v>
      </c>
      <c r="B1828" s="31" t="s">
        <v>758</v>
      </c>
      <c r="C1828" s="32" t="s">
        <v>2250</v>
      </c>
      <c r="D1828" s="231"/>
      <c r="E1828" s="231"/>
      <c r="F1828" s="231"/>
      <c r="G1828" s="231"/>
      <c r="H1828" s="231"/>
      <c r="I1828" s="231"/>
      <c r="J1828" s="231"/>
      <c r="K1828" s="231"/>
      <c r="L1828" s="231"/>
      <c r="M1828" s="231"/>
      <c r="N1828" s="231"/>
      <c r="O1828" s="231"/>
      <c r="P1828" s="231"/>
      <c r="Q1828" s="231"/>
      <c r="R1828" s="231"/>
      <c r="S1828" s="231"/>
      <c r="T1828" s="231"/>
      <c r="U1828" s="231"/>
      <c r="V1828" s="231"/>
      <c r="W1828" s="231"/>
      <c r="X1828" s="231"/>
      <c r="Y1828" s="231"/>
      <c r="Z1828" s="231"/>
      <c r="AA1828" s="231"/>
      <c r="AB1828" s="22">
        <f t="shared" si="574"/>
        <v>0</v>
      </c>
      <c r="AC1828" s="23">
        <v>0</v>
      </c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22">
        <f t="shared" si="575"/>
        <v>0</v>
      </c>
      <c r="BC1828" s="23">
        <v>8</v>
      </c>
      <c r="BD1828" s="130">
        <f t="shared" si="576"/>
        <v>0</v>
      </c>
      <c r="BE1828" s="130">
        <f t="shared" si="577"/>
        <v>8</v>
      </c>
      <c r="BF1828" s="195">
        <f t="shared" si="578"/>
        <v>0</v>
      </c>
      <c r="BG1828" s="373">
        <f t="shared" si="580"/>
        <v>8</v>
      </c>
    </row>
    <row r="1829" spans="1:59" s="46" customFormat="1" ht="15.95" customHeight="1">
      <c r="A1829" s="176">
        <v>21</v>
      </c>
      <c r="B1829" s="31" t="s">
        <v>768</v>
      </c>
      <c r="C1829" s="32" t="s">
        <v>769</v>
      </c>
      <c r="D1829" s="231"/>
      <c r="E1829" s="231"/>
      <c r="F1829" s="231"/>
      <c r="G1829" s="231"/>
      <c r="H1829" s="231"/>
      <c r="I1829" s="231"/>
      <c r="J1829" s="231"/>
      <c r="K1829" s="231"/>
      <c r="L1829" s="231"/>
      <c r="M1829" s="231"/>
      <c r="N1829" s="231"/>
      <c r="O1829" s="231"/>
      <c r="P1829" s="231"/>
      <c r="Q1829" s="231"/>
      <c r="R1829" s="231"/>
      <c r="S1829" s="231"/>
      <c r="T1829" s="231"/>
      <c r="U1829" s="231"/>
      <c r="V1829" s="231"/>
      <c r="W1829" s="231"/>
      <c r="X1829" s="231"/>
      <c r="Y1829" s="231"/>
      <c r="Z1829" s="231"/>
      <c r="AA1829" s="231"/>
      <c r="AB1829" s="22">
        <f t="shared" si="574"/>
        <v>0</v>
      </c>
      <c r="AC1829" s="23">
        <v>0</v>
      </c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22">
        <f t="shared" si="575"/>
        <v>0</v>
      </c>
      <c r="BC1829" s="23">
        <v>1</v>
      </c>
      <c r="BD1829" s="130">
        <f t="shared" si="576"/>
        <v>0</v>
      </c>
      <c r="BE1829" s="130">
        <f t="shared" si="577"/>
        <v>1</v>
      </c>
      <c r="BF1829" s="195">
        <f t="shared" si="578"/>
        <v>0</v>
      </c>
      <c r="BG1829" s="373">
        <f t="shared" si="580"/>
        <v>1</v>
      </c>
    </row>
    <row r="1830" spans="1:59" s="46" customFormat="1" ht="15.95" customHeight="1">
      <c r="A1830" s="176">
        <v>22</v>
      </c>
      <c r="B1830" s="31" t="s">
        <v>772</v>
      </c>
      <c r="C1830" s="32" t="s">
        <v>773</v>
      </c>
      <c r="D1830" s="231"/>
      <c r="E1830" s="231"/>
      <c r="F1830" s="231"/>
      <c r="G1830" s="231"/>
      <c r="H1830" s="231"/>
      <c r="I1830" s="231"/>
      <c r="J1830" s="231"/>
      <c r="K1830" s="231"/>
      <c r="L1830" s="231"/>
      <c r="M1830" s="231"/>
      <c r="N1830" s="231"/>
      <c r="O1830" s="231"/>
      <c r="P1830" s="231"/>
      <c r="Q1830" s="231"/>
      <c r="R1830" s="231"/>
      <c r="S1830" s="231"/>
      <c r="T1830" s="231"/>
      <c r="U1830" s="231"/>
      <c r="V1830" s="231"/>
      <c r="W1830" s="231"/>
      <c r="X1830" s="231"/>
      <c r="Y1830" s="231"/>
      <c r="Z1830" s="231"/>
      <c r="AA1830" s="231"/>
      <c r="AB1830" s="22">
        <f t="shared" si="574"/>
        <v>0</v>
      </c>
      <c r="AC1830" s="23">
        <v>0</v>
      </c>
      <c r="AD1830" s="35"/>
      <c r="AE1830" s="35"/>
      <c r="AF1830" s="35"/>
      <c r="AG1830" s="35"/>
      <c r="AH1830" s="35">
        <v>35</v>
      </c>
      <c r="AI1830" s="35"/>
      <c r="AJ1830" s="35"/>
      <c r="AK1830" s="35"/>
      <c r="AL1830" s="35">
        <v>123</v>
      </c>
      <c r="AM1830" s="35"/>
      <c r="AN1830" s="35"/>
      <c r="AO1830" s="35"/>
      <c r="AP1830" s="35">
        <v>1</v>
      </c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22">
        <f t="shared" si="575"/>
        <v>159</v>
      </c>
      <c r="BC1830" s="23">
        <v>2334</v>
      </c>
      <c r="BD1830" s="130">
        <f t="shared" si="576"/>
        <v>159</v>
      </c>
      <c r="BE1830" s="130">
        <f t="shared" si="577"/>
        <v>2334</v>
      </c>
      <c r="BF1830" s="195">
        <f t="shared" si="578"/>
        <v>6.8123393316195369</v>
      </c>
      <c r="BG1830" s="373">
        <f t="shared" si="580"/>
        <v>2175</v>
      </c>
    </row>
    <row r="1831" spans="1:59" s="46" customFormat="1" ht="15.95" customHeight="1">
      <c r="A1831" s="176">
        <v>23</v>
      </c>
      <c r="B1831" s="31" t="s">
        <v>892</v>
      </c>
      <c r="C1831" s="32" t="s">
        <v>893</v>
      </c>
      <c r="D1831" s="231"/>
      <c r="E1831" s="231"/>
      <c r="F1831" s="231"/>
      <c r="G1831" s="231"/>
      <c r="H1831" s="231"/>
      <c r="I1831" s="231"/>
      <c r="J1831" s="231"/>
      <c r="K1831" s="231"/>
      <c r="L1831" s="231"/>
      <c r="M1831" s="231"/>
      <c r="N1831" s="231"/>
      <c r="O1831" s="231"/>
      <c r="P1831" s="231"/>
      <c r="Q1831" s="231"/>
      <c r="R1831" s="231"/>
      <c r="S1831" s="231"/>
      <c r="T1831" s="231"/>
      <c r="U1831" s="231"/>
      <c r="V1831" s="231"/>
      <c r="W1831" s="231"/>
      <c r="X1831" s="231"/>
      <c r="Y1831" s="231"/>
      <c r="Z1831" s="231"/>
      <c r="AA1831" s="231"/>
      <c r="AB1831" s="22">
        <f t="shared" si="574"/>
        <v>0</v>
      </c>
      <c r="AC1831" s="23">
        <v>0</v>
      </c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22">
        <f t="shared" si="575"/>
        <v>0</v>
      </c>
      <c r="BC1831" s="23">
        <v>1</v>
      </c>
      <c r="BD1831" s="130">
        <f t="shared" si="576"/>
        <v>0</v>
      </c>
      <c r="BE1831" s="130">
        <f t="shared" si="577"/>
        <v>1</v>
      </c>
      <c r="BF1831" s="195">
        <f t="shared" si="578"/>
        <v>0</v>
      </c>
      <c r="BG1831" s="373">
        <f t="shared" si="580"/>
        <v>1</v>
      </c>
    </row>
    <row r="1832" spans="1:59" s="46" customFormat="1" ht="15.95" customHeight="1">
      <c r="A1832" s="176">
        <v>24</v>
      </c>
      <c r="B1832" s="31" t="s">
        <v>780</v>
      </c>
      <c r="C1832" s="32" t="s">
        <v>991</v>
      </c>
      <c r="D1832" s="231"/>
      <c r="E1832" s="231"/>
      <c r="F1832" s="231"/>
      <c r="G1832" s="231"/>
      <c r="H1832" s="231"/>
      <c r="I1832" s="231"/>
      <c r="J1832" s="231"/>
      <c r="K1832" s="231"/>
      <c r="L1832" s="231"/>
      <c r="M1832" s="231"/>
      <c r="N1832" s="231"/>
      <c r="O1832" s="231"/>
      <c r="P1832" s="231"/>
      <c r="Q1832" s="231"/>
      <c r="R1832" s="231"/>
      <c r="S1832" s="231"/>
      <c r="T1832" s="231"/>
      <c r="U1832" s="231"/>
      <c r="V1832" s="231"/>
      <c r="W1832" s="231"/>
      <c r="X1832" s="231"/>
      <c r="Y1832" s="231"/>
      <c r="Z1832" s="231"/>
      <c r="AA1832" s="231"/>
      <c r="AB1832" s="22">
        <f t="shared" si="574"/>
        <v>0</v>
      </c>
      <c r="AC1832" s="23">
        <v>0</v>
      </c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22">
        <f t="shared" si="575"/>
        <v>0</v>
      </c>
      <c r="BC1832" s="23">
        <v>18</v>
      </c>
      <c r="BD1832" s="130">
        <f t="shared" si="576"/>
        <v>0</v>
      </c>
      <c r="BE1832" s="130">
        <f t="shared" si="577"/>
        <v>18</v>
      </c>
      <c r="BF1832" s="195">
        <f t="shared" si="578"/>
        <v>0</v>
      </c>
      <c r="BG1832" s="373">
        <f t="shared" si="580"/>
        <v>18</v>
      </c>
    </row>
    <row r="1833" spans="1:59" s="46" customFormat="1" ht="15.95" customHeight="1">
      <c r="A1833" s="176">
        <v>25</v>
      </c>
      <c r="B1833" s="31" t="s">
        <v>1094</v>
      </c>
      <c r="C1833" s="32" t="s">
        <v>1095</v>
      </c>
      <c r="D1833" s="321"/>
      <c r="E1833" s="321"/>
      <c r="F1833" s="321"/>
      <c r="G1833" s="321"/>
      <c r="H1833" s="321"/>
      <c r="I1833" s="321"/>
      <c r="J1833" s="321"/>
      <c r="K1833" s="321"/>
      <c r="L1833" s="321"/>
      <c r="M1833" s="321"/>
      <c r="N1833" s="321"/>
      <c r="O1833" s="321"/>
      <c r="P1833" s="321"/>
      <c r="Q1833" s="321"/>
      <c r="R1833" s="321"/>
      <c r="S1833" s="321"/>
      <c r="T1833" s="321"/>
      <c r="U1833" s="321"/>
      <c r="V1833" s="321"/>
      <c r="W1833" s="321"/>
      <c r="X1833" s="321"/>
      <c r="Y1833" s="321"/>
      <c r="Z1833" s="321"/>
      <c r="AA1833" s="321"/>
      <c r="AB1833" s="22">
        <f t="shared" si="574"/>
        <v>0</v>
      </c>
      <c r="AC1833" s="23">
        <v>0</v>
      </c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22">
        <f t="shared" si="575"/>
        <v>0</v>
      </c>
      <c r="BC1833" s="23">
        <v>2</v>
      </c>
      <c r="BD1833" s="130">
        <f t="shared" si="576"/>
        <v>0</v>
      </c>
      <c r="BE1833" s="130">
        <f t="shared" si="577"/>
        <v>2</v>
      </c>
      <c r="BF1833" s="195">
        <f t="shared" si="578"/>
        <v>0</v>
      </c>
      <c r="BG1833" s="373">
        <f t="shared" si="580"/>
        <v>2</v>
      </c>
    </row>
    <row r="1834" spans="1:59" s="46" customFormat="1" ht="15.95" customHeight="1">
      <c r="A1834" s="176">
        <v>26</v>
      </c>
      <c r="B1834" s="31" t="s">
        <v>783</v>
      </c>
      <c r="C1834" s="32" t="s">
        <v>1096</v>
      </c>
      <c r="D1834" s="231"/>
      <c r="E1834" s="231"/>
      <c r="F1834" s="231"/>
      <c r="G1834" s="231"/>
      <c r="H1834" s="231"/>
      <c r="I1834" s="231"/>
      <c r="J1834" s="231"/>
      <c r="K1834" s="231"/>
      <c r="L1834" s="231"/>
      <c r="M1834" s="231"/>
      <c r="N1834" s="231"/>
      <c r="O1834" s="231"/>
      <c r="P1834" s="231"/>
      <c r="Q1834" s="231"/>
      <c r="R1834" s="231"/>
      <c r="S1834" s="231"/>
      <c r="T1834" s="231"/>
      <c r="U1834" s="231"/>
      <c r="V1834" s="231"/>
      <c r="W1834" s="231"/>
      <c r="X1834" s="231"/>
      <c r="Y1834" s="231"/>
      <c r="Z1834" s="231"/>
      <c r="AA1834" s="231"/>
      <c r="AB1834" s="22">
        <f t="shared" si="574"/>
        <v>0</v>
      </c>
      <c r="AC1834" s="23">
        <v>0</v>
      </c>
      <c r="AD1834" s="35"/>
      <c r="AE1834" s="35"/>
      <c r="AF1834" s="35"/>
      <c r="AG1834" s="35"/>
      <c r="AH1834" s="35">
        <v>28</v>
      </c>
      <c r="AI1834" s="35"/>
      <c r="AJ1834" s="35"/>
      <c r="AK1834" s="35"/>
      <c r="AL1834" s="35">
        <v>103</v>
      </c>
      <c r="AM1834" s="35"/>
      <c r="AN1834" s="35"/>
      <c r="AO1834" s="35"/>
      <c r="AP1834" s="35">
        <v>2</v>
      </c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22">
        <f t="shared" si="575"/>
        <v>133</v>
      </c>
      <c r="BC1834" s="23">
        <v>765</v>
      </c>
      <c r="BD1834" s="130">
        <f t="shared" si="576"/>
        <v>133</v>
      </c>
      <c r="BE1834" s="130">
        <f t="shared" si="577"/>
        <v>765</v>
      </c>
      <c r="BF1834" s="195">
        <f t="shared" si="578"/>
        <v>17.385620915032678</v>
      </c>
      <c r="BG1834" s="373">
        <f t="shared" si="580"/>
        <v>632</v>
      </c>
    </row>
    <row r="1835" spans="1:59" s="46" customFormat="1" ht="15.95" customHeight="1">
      <c r="A1835" s="176">
        <v>27</v>
      </c>
      <c r="B1835" s="31" t="s">
        <v>810</v>
      </c>
      <c r="C1835" s="32" t="s">
        <v>811</v>
      </c>
      <c r="D1835" s="231"/>
      <c r="E1835" s="231"/>
      <c r="F1835" s="231"/>
      <c r="G1835" s="231"/>
      <c r="H1835" s="231"/>
      <c r="I1835" s="231"/>
      <c r="J1835" s="231"/>
      <c r="K1835" s="231"/>
      <c r="L1835" s="231"/>
      <c r="M1835" s="231"/>
      <c r="N1835" s="231"/>
      <c r="O1835" s="231"/>
      <c r="P1835" s="231"/>
      <c r="Q1835" s="231"/>
      <c r="R1835" s="231"/>
      <c r="S1835" s="231"/>
      <c r="T1835" s="231"/>
      <c r="U1835" s="231"/>
      <c r="V1835" s="231"/>
      <c r="W1835" s="231"/>
      <c r="X1835" s="231"/>
      <c r="Y1835" s="231"/>
      <c r="Z1835" s="231"/>
      <c r="AA1835" s="231"/>
      <c r="AB1835" s="22">
        <f t="shared" si="574"/>
        <v>0</v>
      </c>
      <c r="AC1835" s="23">
        <v>0</v>
      </c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22">
        <f t="shared" si="575"/>
        <v>0</v>
      </c>
      <c r="BC1835" s="23">
        <v>2</v>
      </c>
      <c r="BD1835" s="130">
        <f t="shared" si="576"/>
        <v>0</v>
      </c>
      <c r="BE1835" s="130">
        <f t="shared" si="577"/>
        <v>2</v>
      </c>
      <c r="BF1835" s="195">
        <f t="shared" si="578"/>
        <v>0</v>
      </c>
      <c r="BG1835" s="373">
        <f t="shared" si="580"/>
        <v>2</v>
      </c>
    </row>
    <row r="1836" spans="1:59" s="46" customFormat="1" ht="15.95" customHeight="1">
      <c r="A1836" s="176">
        <v>28</v>
      </c>
      <c r="B1836" s="31" t="s">
        <v>812</v>
      </c>
      <c r="C1836" s="32" t="s">
        <v>813</v>
      </c>
      <c r="D1836" s="231"/>
      <c r="E1836" s="231"/>
      <c r="F1836" s="231"/>
      <c r="G1836" s="231"/>
      <c r="H1836" s="231"/>
      <c r="I1836" s="231"/>
      <c r="J1836" s="231"/>
      <c r="K1836" s="231"/>
      <c r="L1836" s="231"/>
      <c r="M1836" s="231"/>
      <c r="N1836" s="231"/>
      <c r="O1836" s="231"/>
      <c r="P1836" s="231"/>
      <c r="Q1836" s="231"/>
      <c r="R1836" s="231"/>
      <c r="S1836" s="231"/>
      <c r="T1836" s="231"/>
      <c r="U1836" s="231"/>
      <c r="V1836" s="231"/>
      <c r="W1836" s="231"/>
      <c r="X1836" s="231"/>
      <c r="Y1836" s="231"/>
      <c r="Z1836" s="231"/>
      <c r="AA1836" s="231"/>
      <c r="AB1836" s="22">
        <f t="shared" si="574"/>
        <v>0</v>
      </c>
      <c r="AC1836" s="23">
        <v>0</v>
      </c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22">
        <f t="shared" si="575"/>
        <v>0</v>
      </c>
      <c r="BC1836" s="23">
        <v>1</v>
      </c>
      <c r="BD1836" s="130">
        <f t="shared" si="576"/>
        <v>0</v>
      </c>
      <c r="BE1836" s="130">
        <f t="shared" si="577"/>
        <v>1</v>
      </c>
      <c r="BF1836" s="195">
        <f t="shared" si="578"/>
        <v>0</v>
      </c>
      <c r="BG1836" s="373">
        <f t="shared" si="580"/>
        <v>1</v>
      </c>
    </row>
    <row r="1837" spans="1:59" s="46" customFormat="1" ht="15.95" customHeight="1">
      <c r="A1837" s="176">
        <v>29</v>
      </c>
      <c r="B1837" s="31" t="s">
        <v>1541</v>
      </c>
      <c r="C1837" s="32" t="s">
        <v>2731</v>
      </c>
      <c r="D1837" s="231"/>
      <c r="E1837" s="231"/>
      <c r="F1837" s="231"/>
      <c r="G1837" s="231"/>
      <c r="H1837" s="231"/>
      <c r="I1837" s="231"/>
      <c r="J1837" s="231"/>
      <c r="K1837" s="231"/>
      <c r="L1837" s="231"/>
      <c r="M1837" s="231"/>
      <c r="N1837" s="231"/>
      <c r="O1837" s="231"/>
      <c r="P1837" s="231"/>
      <c r="Q1837" s="231"/>
      <c r="R1837" s="231"/>
      <c r="S1837" s="231"/>
      <c r="T1837" s="231"/>
      <c r="U1837" s="231"/>
      <c r="V1837" s="231"/>
      <c r="W1837" s="231"/>
      <c r="X1837" s="231"/>
      <c r="Y1837" s="231"/>
      <c r="Z1837" s="231"/>
      <c r="AA1837" s="231"/>
      <c r="AB1837" s="22">
        <f t="shared" si="574"/>
        <v>0</v>
      </c>
      <c r="AC1837" s="23">
        <v>0</v>
      </c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22">
        <f t="shared" si="575"/>
        <v>0</v>
      </c>
      <c r="BC1837" s="23">
        <v>1</v>
      </c>
      <c r="BD1837" s="130">
        <f t="shared" si="576"/>
        <v>0</v>
      </c>
      <c r="BE1837" s="130">
        <f t="shared" si="577"/>
        <v>1</v>
      </c>
      <c r="BF1837" s="195">
        <f t="shared" si="578"/>
        <v>0</v>
      </c>
      <c r="BG1837" s="373">
        <f t="shared" si="580"/>
        <v>1</v>
      </c>
    </row>
    <row r="1838" spans="1:59" s="46" customFormat="1" ht="15.95" customHeight="1">
      <c r="A1838" s="176">
        <v>30</v>
      </c>
      <c r="B1838" s="31" t="s">
        <v>552</v>
      </c>
      <c r="C1838" s="32" t="s">
        <v>2227</v>
      </c>
      <c r="D1838" s="545"/>
      <c r="E1838" s="545"/>
      <c r="F1838" s="545"/>
      <c r="G1838" s="545"/>
      <c r="H1838" s="545"/>
      <c r="I1838" s="545"/>
      <c r="J1838" s="545"/>
      <c r="K1838" s="545"/>
      <c r="L1838" s="545"/>
      <c r="M1838" s="545"/>
      <c r="N1838" s="545"/>
      <c r="O1838" s="545"/>
      <c r="P1838" s="545"/>
      <c r="Q1838" s="545"/>
      <c r="R1838" s="545"/>
      <c r="S1838" s="545"/>
      <c r="T1838" s="545"/>
      <c r="U1838" s="545"/>
      <c r="V1838" s="545"/>
      <c r="W1838" s="545"/>
      <c r="X1838" s="545"/>
      <c r="Y1838" s="545"/>
      <c r="Z1838" s="545"/>
      <c r="AA1838" s="545"/>
      <c r="AB1838" s="22">
        <f t="shared" si="574"/>
        <v>0</v>
      </c>
      <c r="AC1838" s="23">
        <v>0</v>
      </c>
      <c r="AD1838" s="35"/>
      <c r="AE1838" s="35"/>
      <c r="AF1838" s="35"/>
      <c r="AG1838" s="35"/>
      <c r="AH1838" s="35"/>
      <c r="AI1838" s="35"/>
      <c r="AJ1838" s="35"/>
      <c r="AK1838" s="35"/>
      <c r="AL1838" s="35">
        <v>2</v>
      </c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22">
        <f t="shared" si="575"/>
        <v>2</v>
      </c>
      <c r="BC1838" s="23">
        <v>0</v>
      </c>
      <c r="BD1838" s="130">
        <f t="shared" si="576"/>
        <v>2</v>
      </c>
      <c r="BE1838" s="130">
        <f t="shared" si="577"/>
        <v>0</v>
      </c>
      <c r="BF1838" s="195" t="e">
        <f t="shared" si="578"/>
        <v>#DIV/0!</v>
      </c>
      <c r="BG1838" s="373"/>
    </row>
    <row r="1839" spans="1:59" s="46" customFormat="1" ht="15.95" customHeight="1">
      <c r="A1839" s="176">
        <v>31</v>
      </c>
      <c r="B1839" s="31" t="s">
        <v>3973</v>
      </c>
      <c r="C1839" s="32" t="s">
        <v>3974</v>
      </c>
      <c r="D1839" s="545"/>
      <c r="E1839" s="545"/>
      <c r="F1839" s="545"/>
      <c r="G1839" s="545"/>
      <c r="H1839" s="545"/>
      <c r="I1839" s="545"/>
      <c r="J1839" s="545"/>
      <c r="K1839" s="545"/>
      <c r="L1839" s="545"/>
      <c r="M1839" s="545"/>
      <c r="N1839" s="545"/>
      <c r="O1839" s="545"/>
      <c r="P1839" s="545"/>
      <c r="Q1839" s="545"/>
      <c r="R1839" s="545"/>
      <c r="S1839" s="545"/>
      <c r="T1839" s="545"/>
      <c r="U1839" s="545"/>
      <c r="V1839" s="545"/>
      <c r="W1839" s="545"/>
      <c r="X1839" s="545"/>
      <c r="Y1839" s="545"/>
      <c r="Z1839" s="545"/>
      <c r="AA1839" s="545"/>
      <c r="AB1839" s="22">
        <f t="shared" si="574"/>
        <v>0</v>
      </c>
      <c r="AC1839" s="23">
        <v>0</v>
      </c>
      <c r="AD1839" s="35"/>
      <c r="AE1839" s="35"/>
      <c r="AF1839" s="35"/>
      <c r="AG1839" s="35"/>
      <c r="AH1839" s="35"/>
      <c r="AI1839" s="35"/>
      <c r="AJ1839" s="35"/>
      <c r="AK1839" s="35"/>
      <c r="AL1839" s="35">
        <v>1</v>
      </c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22">
        <f t="shared" si="575"/>
        <v>1</v>
      </c>
      <c r="BC1839" s="23">
        <v>0</v>
      </c>
      <c r="BD1839" s="130">
        <f t="shared" si="576"/>
        <v>1</v>
      </c>
      <c r="BE1839" s="130">
        <f t="shared" si="577"/>
        <v>0</v>
      </c>
      <c r="BF1839" s="195" t="e">
        <f t="shared" si="578"/>
        <v>#DIV/0!</v>
      </c>
      <c r="BG1839" s="373"/>
    </row>
    <row r="1840" spans="1:59" s="46" customFormat="1" ht="15.95" customHeight="1">
      <c r="A1840" s="176">
        <v>32</v>
      </c>
      <c r="B1840" s="31" t="s">
        <v>3975</v>
      </c>
      <c r="C1840" s="32" t="s">
        <v>3976</v>
      </c>
      <c r="D1840" s="545"/>
      <c r="E1840" s="545"/>
      <c r="F1840" s="545"/>
      <c r="G1840" s="545"/>
      <c r="H1840" s="545"/>
      <c r="I1840" s="545"/>
      <c r="J1840" s="545"/>
      <c r="K1840" s="545"/>
      <c r="L1840" s="545"/>
      <c r="M1840" s="545"/>
      <c r="N1840" s="545"/>
      <c r="O1840" s="545"/>
      <c r="P1840" s="545"/>
      <c r="Q1840" s="545"/>
      <c r="R1840" s="545"/>
      <c r="S1840" s="545"/>
      <c r="T1840" s="545"/>
      <c r="U1840" s="545"/>
      <c r="V1840" s="545"/>
      <c r="W1840" s="545"/>
      <c r="X1840" s="545"/>
      <c r="Y1840" s="545"/>
      <c r="Z1840" s="545"/>
      <c r="AA1840" s="545"/>
      <c r="AB1840" s="22">
        <f t="shared" si="574"/>
        <v>0</v>
      </c>
      <c r="AC1840" s="23">
        <v>0</v>
      </c>
      <c r="AD1840" s="35"/>
      <c r="AE1840" s="35"/>
      <c r="AF1840" s="35"/>
      <c r="AG1840" s="35"/>
      <c r="AH1840" s="35"/>
      <c r="AI1840" s="35"/>
      <c r="AJ1840" s="35"/>
      <c r="AK1840" s="35"/>
      <c r="AL1840" s="35">
        <v>2</v>
      </c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22">
        <f t="shared" si="575"/>
        <v>2</v>
      </c>
      <c r="BC1840" s="23">
        <v>0</v>
      </c>
      <c r="BD1840" s="130">
        <f t="shared" si="576"/>
        <v>2</v>
      </c>
      <c r="BE1840" s="130">
        <f t="shared" si="577"/>
        <v>0</v>
      </c>
      <c r="BF1840" s="195" t="e">
        <f t="shared" si="578"/>
        <v>#DIV/0!</v>
      </c>
      <c r="BG1840" s="373"/>
    </row>
    <row r="1841" spans="1:59" s="46" customFormat="1" ht="15.95" customHeight="1">
      <c r="A1841" s="176">
        <v>33</v>
      </c>
      <c r="B1841" s="31" t="s">
        <v>814</v>
      </c>
      <c r="C1841" s="32" t="s">
        <v>1043</v>
      </c>
      <c r="D1841" s="231"/>
      <c r="E1841" s="231"/>
      <c r="F1841" s="231"/>
      <c r="G1841" s="231"/>
      <c r="H1841" s="231"/>
      <c r="I1841" s="231"/>
      <c r="J1841" s="231"/>
      <c r="K1841" s="231"/>
      <c r="L1841" s="231"/>
      <c r="M1841" s="231"/>
      <c r="N1841" s="231"/>
      <c r="O1841" s="231"/>
      <c r="P1841" s="231"/>
      <c r="Q1841" s="231"/>
      <c r="R1841" s="231"/>
      <c r="S1841" s="231"/>
      <c r="T1841" s="231"/>
      <c r="U1841" s="231"/>
      <c r="V1841" s="231"/>
      <c r="W1841" s="231"/>
      <c r="X1841" s="231"/>
      <c r="Y1841" s="231"/>
      <c r="Z1841" s="231"/>
      <c r="AA1841" s="231"/>
      <c r="AB1841" s="22">
        <f t="shared" ref="AB1841:AB1872" si="581">SUM(D1841:AA1841)</f>
        <v>0</v>
      </c>
      <c r="AC1841" s="23">
        <v>0</v>
      </c>
      <c r="AD1841" s="35"/>
      <c r="AE1841" s="35"/>
      <c r="AF1841" s="35"/>
      <c r="AG1841" s="35"/>
      <c r="AH1841" s="35">
        <v>7</v>
      </c>
      <c r="AI1841" s="35"/>
      <c r="AJ1841" s="35"/>
      <c r="AK1841" s="35"/>
      <c r="AL1841" s="35">
        <v>82</v>
      </c>
      <c r="AM1841" s="35"/>
      <c r="AN1841" s="35"/>
      <c r="AO1841" s="35"/>
      <c r="AP1841" s="35">
        <v>1</v>
      </c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22">
        <f t="shared" ref="BB1841:BB1872" si="582">SUM(AD1841:BA1841)</f>
        <v>90</v>
      </c>
      <c r="BC1841" s="23">
        <v>391</v>
      </c>
      <c r="BD1841" s="130">
        <f t="shared" ref="BD1841:BD1872" si="583">AB1841+BB1841</f>
        <v>90</v>
      </c>
      <c r="BE1841" s="130">
        <f t="shared" ref="BE1841:BE1872" si="584">AC1841+BC1841</f>
        <v>391</v>
      </c>
      <c r="BF1841" s="195">
        <f t="shared" ref="BF1841:BF1872" si="585">BD1841/BE1841*100</f>
        <v>23.017902813299234</v>
      </c>
      <c r="BG1841" s="373">
        <f>BE1841-BD1841</f>
        <v>301</v>
      </c>
    </row>
    <row r="1842" spans="1:59" s="46" customFormat="1" ht="15.95" customHeight="1">
      <c r="A1842" s="176">
        <v>34</v>
      </c>
      <c r="B1842" s="31" t="s">
        <v>905</v>
      </c>
      <c r="C1842" s="32" t="s">
        <v>3176</v>
      </c>
      <c r="D1842" s="252"/>
      <c r="E1842" s="252"/>
      <c r="F1842" s="252"/>
      <c r="G1842" s="252"/>
      <c r="H1842" s="252"/>
      <c r="I1842" s="252"/>
      <c r="J1842" s="252"/>
      <c r="K1842" s="252"/>
      <c r="L1842" s="252"/>
      <c r="M1842" s="252"/>
      <c r="N1842" s="252"/>
      <c r="O1842" s="252"/>
      <c r="P1842" s="252"/>
      <c r="Q1842" s="252"/>
      <c r="R1842" s="252"/>
      <c r="S1842" s="252"/>
      <c r="T1842" s="252"/>
      <c r="U1842" s="252"/>
      <c r="V1842" s="252"/>
      <c r="W1842" s="252"/>
      <c r="X1842" s="252"/>
      <c r="Y1842" s="252"/>
      <c r="Z1842" s="252"/>
      <c r="AA1842" s="252"/>
      <c r="AB1842" s="22">
        <f t="shared" si="581"/>
        <v>0</v>
      </c>
      <c r="AC1842" s="23">
        <v>0</v>
      </c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22">
        <f t="shared" si="582"/>
        <v>0</v>
      </c>
      <c r="BC1842" s="23">
        <v>1</v>
      </c>
      <c r="BD1842" s="130">
        <f t="shared" si="583"/>
        <v>0</v>
      </c>
      <c r="BE1842" s="130">
        <f t="shared" si="584"/>
        <v>1</v>
      </c>
      <c r="BF1842" s="195">
        <f t="shared" si="585"/>
        <v>0</v>
      </c>
      <c r="BG1842" s="373">
        <f>BE1842-BD1842</f>
        <v>1</v>
      </c>
    </row>
    <row r="1843" spans="1:59" s="46" customFormat="1" ht="15.95" customHeight="1">
      <c r="A1843" s="176">
        <v>35</v>
      </c>
      <c r="B1843" s="31" t="s">
        <v>3564</v>
      </c>
      <c r="C1843" s="32" t="s">
        <v>3977</v>
      </c>
      <c r="D1843" s="545"/>
      <c r="E1843" s="545"/>
      <c r="F1843" s="545"/>
      <c r="G1843" s="545"/>
      <c r="H1843" s="545"/>
      <c r="I1843" s="545"/>
      <c r="J1843" s="545"/>
      <c r="K1843" s="545"/>
      <c r="L1843" s="545"/>
      <c r="M1843" s="545"/>
      <c r="N1843" s="545"/>
      <c r="O1843" s="545"/>
      <c r="P1843" s="545"/>
      <c r="Q1843" s="545"/>
      <c r="R1843" s="545"/>
      <c r="S1843" s="545"/>
      <c r="T1843" s="545"/>
      <c r="U1843" s="545"/>
      <c r="V1843" s="545"/>
      <c r="W1843" s="545"/>
      <c r="X1843" s="545"/>
      <c r="Y1843" s="545"/>
      <c r="Z1843" s="545"/>
      <c r="AA1843" s="545"/>
      <c r="AB1843" s="22">
        <f t="shared" si="581"/>
        <v>0</v>
      </c>
      <c r="AC1843" s="23">
        <v>0</v>
      </c>
      <c r="AD1843" s="35"/>
      <c r="AE1843" s="35"/>
      <c r="AF1843" s="35"/>
      <c r="AG1843" s="35"/>
      <c r="AH1843" s="35"/>
      <c r="AI1843" s="35"/>
      <c r="AJ1843" s="35"/>
      <c r="AK1843" s="35"/>
      <c r="AL1843" s="35">
        <v>1</v>
      </c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22">
        <f t="shared" si="582"/>
        <v>1</v>
      </c>
      <c r="BC1843" s="23">
        <v>0</v>
      </c>
      <c r="BD1843" s="130">
        <f t="shared" si="583"/>
        <v>1</v>
      </c>
      <c r="BE1843" s="130">
        <f t="shared" si="584"/>
        <v>0</v>
      </c>
      <c r="BF1843" s="195" t="e">
        <f t="shared" si="585"/>
        <v>#DIV/0!</v>
      </c>
      <c r="BG1843" s="373"/>
    </row>
    <row r="1844" spans="1:59" s="46" customFormat="1" ht="15.95" customHeight="1">
      <c r="A1844" s="176">
        <v>36</v>
      </c>
      <c r="B1844" s="31" t="s">
        <v>819</v>
      </c>
      <c r="C1844" s="32" t="s">
        <v>1074</v>
      </c>
      <c r="D1844" s="366"/>
      <c r="E1844" s="366"/>
      <c r="F1844" s="366"/>
      <c r="G1844" s="366"/>
      <c r="H1844" s="366"/>
      <c r="I1844" s="366"/>
      <c r="J1844" s="366"/>
      <c r="K1844" s="366"/>
      <c r="L1844" s="366"/>
      <c r="M1844" s="366"/>
      <c r="N1844" s="366"/>
      <c r="O1844" s="366"/>
      <c r="P1844" s="366"/>
      <c r="Q1844" s="366"/>
      <c r="R1844" s="366"/>
      <c r="S1844" s="366"/>
      <c r="T1844" s="366"/>
      <c r="U1844" s="366"/>
      <c r="V1844" s="366"/>
      <c r="W1844" s="366"/>
      <c r="X1844" s="366"/>
      <c r="Y1844" s="366"/>
      <c r="Z1844" s="366"/>
      <c r="AA1844" s="366"/>
      <c r="AB1844" s="22">
        <f t="shared" si="581"/>
        <v>0</v>
      </c>
      <c r="AC1844" s="23">
        <v>0</v>
      </c>
      <c r="AD1844" s="35"/>
      <c r="AE1844" s="35"/>
      <c r="AF1844" s="35"/>
      <c r="AG1844" s="35"/>
      <c r="AH1844" s="35">
        <v>217</v>
      </c>
      <c r="AI1844" s="35"/>
      <c r="AJ1844" s="35"/>
      <c r="AK1844" s="35"/>
      <c r="AL1844" s="35">
        <v>1000</v>
      </c>
      <c r="AM1844" s="35"/>
      <c r="AN1844" s="35"/>
      <c r="AO1844" s="35"/>
      <c r="AP1844" s="35">
        <v>40</v>
      </c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22">
        <f t="shared" si="582"/>
        <v>1257</v>
      </c>
      <c r="BC1844" s="23">
        <v>31</v>
      </c>
      <c r="BD1844" s="130">
        <f t="shared" si="583"/>
        <v>1257</v>
      </c>
      <c r="BE1844" s="130">
        <f t="shared" si="584"/>
        <v>31</v>
      </c>
      <c r="BF1844" s="195">
        <f t="shared" si="585"/>
        <v>4054.838709677419</v>
      </c>
      <c r="BG1844" s="373">
        <f>BE1844-BD1844</f>
        <v>-1226</v>
      </c>
    </row>
    <row r="1845" spans="1:59" s="46" customFormat="1" ht="15.95" customHeight="1">
      <c r="A1845" s="176">
        <v>37</v>
      </c>
      <c r="B1845" s="31" t="s">
        <v>1275</v>
      </c>
      <c r="C1845" s="32" t="s">
        <v>1276</v>
      </c>
      <c r="D1845" s="366"/>
      <c r="E1845" s="366"/>
      <c r="F1845" s="366"/>
      <c r="G1845" s="366"/>
      <c r="H1845" s="366"/>
      <c r="I1845" s="366"/>
      <c r="J1845" s="366"/>
      <c r="K1845" s="366"/>
      <c r="L1845" s="366"/>
      <c r="M1845" s="366"/>
      <c r="N1845" s="366"/>
      <c r="O1845" s="366"/>
      <c r="P1845" s="366"/>
      <c r="Q1845" s="366"/>
      <c r="R1845" s="366"/>
      <c r="S1845" s="366"/>
      <c r="T1845" s="366"/>
      <c r="U1845" s="366"/>
      <c r="V1845" s="366"/>
      <c r="W1845" s="366"/>
      <c r="X1845" s="366"/>
      <c r="Y1845" s="366"/>
      <c r="Z1845" s="366"/>
      <c r="AA1845" s="366"/>
      <c r="AB1845" s="22">
        <f t="shared" si="581"/>
        <v>0</v>
      </c>
      <c r="AC1845" s="23">
        <v>0</v>
      </c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22">
        <f t="shared" si="582"/>
        <v>0</v>
      </c>
      <c r="BC1845" s="23">
        <v>1</v>
      </c>
      <c r="BD1845" s="130">
        <f t="shared" si="583"/>
        <v>0</v>
      </c>
      <c r="BE1845" s="130">
        <f t="shared" si="584"/>
        <v>1</v>
      </c>
      <c r="BF1845" s="195">
        <f t="shared" si="585"/>
        <v>0</v>
      </c>
      <c r="BG1845" s="373">
        <f>BE1845-BD1845</f>
        <v>1</v>
      </c>
    </row>
    <row r="1846" spans="1:59" s="46" customFormat="1" ht="15.95" customHeight="1">
      <c r="A1846" s="176">
        <v>38</v>
      </c>
      <c r="B1846" s="31" t="s">
        <v>821</v>
      </c>
      <c r="C1846" s="32" t="s">
        <v>1594</v>
      </c>
      <c r="D1846" s="366"/>
      <c r="E1846" s="366"/>
      <c r="F1846" s="366"/>
      <c r="G1846" s="366"/>
      <c r="H1846" s="366"/>
      <c r="I1846" s="366"/>
      <c r="J1846" s="366"/>
      <c r="K1846" s="366"/>
      <c r="L1846" s="366"/>
      <c r="M1846" s="366"/>
      <c r="N1846" s="366"/>
      <c r="O1846" s="366"/>
      <c r="P1846" s="366"/>
      <c r="Q1846" s="366"/>
      <c r="R1846" s="366"/>
      <c r="S1846" s="366"/>
      <c r="T1846" s="366"/>
      <c r="U1846" s="366"/>
      <c r="V1846" s="366"/>
      <c r="W1846" s="366"/>
      <c r="X1846" s="366"/>
      <c r="Y1846" s="366"/>
      <c r="Z1846" s="366"/>
      <c r="AA1846" s="366"/>
      <c r="AB1846" s="22">
        <f t="shared" si="581"/>
        <v>0</v>
      </c>
      <c r="AC1846" s="23">
        <v>0</v>
      </c>
      <c r="AD1846" s="35"/>
      <c r="AE1846" s="35"/>
      <c r="AF1846" s="35"/>
      <c r="AG1846" s="35"/>
      <c r="AH1846" s="35">
        <v>1</v>
      </c>
      <c r="AI1846" s="35"/>
      <c r="AJ1846" s="35"/>
      <c r="AK1846" s="35"/>
      <c r="AL1846" s="35">
        <v>9</v>
      </c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22">
        <f t="shared" si="582"/>
        <v>10</v>
      </c>
      <c r="BC1846" s="23">
        <v>35</v>
      </c>
      <c r="BD1846" s="130">
        <f t="shared" si="583"/>
        <v>10</v>
      </c>
      <c r="BE1846" s="130">
        <f t="shared" si="584"/>
        <v>35</v>
      </c>
      <c r="BF1846" s="195">
        <f t="shared" si="585"/>
        <v>28.571428571428569</v>
      </c>
      <c r="BG1846" s="373">
        <f>BE1846-BD1846</f>
        <v>25</v>
      </c>
    </row>
    <row r="1847" spans="1:59" s="46" customFormat="1" ht="15.95" customHeight="1">
      <c r="A1847" s="176">
        <v>39</v>
      </c>
      <c r="B1847" s="31" t="s">
        <v>1010</v>
      </c>
      <c r="C1847" s="32" t="s">
        <v>1011</v>
      </c>
      <c r="D1847" s="521"/>
      <c r="E1847" s="521"/>
      <c r="F1847" s="521"/>
      <c r="G1847" s="521"/>
      <c r="H1847" s="521"/>
      <c r="I1847" s="521"/>
      <c r="J1847" s="521"/>
      <c r="K1847" s="521"/>
      <c r="L1847" s="521"/>
      <c r="M1847" s="521"/>
      <c r="N1847" s="521"/>
      <c r="O1847" s="521"/>
      <c r="P1847" s="521"/>
      <c r="Q1847" s="521"/>
      <c r="R1847" s="521"/>
      <c r="S1847" s="521"/>
      <c r="T1847" s="521"/>
      <c r="U1847" s="521"/>
      <c r="V1847" s="521"/>
      <c r="W1847" s="521"/>
      <c r="X1847" s="521"/>
      <c r="Y1847" s="521"/>
      <c r="Z1847" s="521"/>
      <c r="AA1847" s="521"/>
      <c r="AB1847" s="22">
        <f t="shared" si="581"/>
        <v>0</v>
      </c>
      <c r="AC1847" s="23">
        <v>0</v>
      </c>
      <c r="AD1847" s="35"/>
      <c r="AE1847" s="35"/>
      <c r="AF1847" s="35"/>
      <c r="AG1847" s="35"/>
      <c r="AH1847" s="35">
        <v>5</v>
      </c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22">
        <f t="shared" si="582"/>
        <v>5</v>
      </c>
      <c r="BC1847" s="23">
        <v>0</v>
      </c>
      <c r="BD1847" s="130">
        <f t="shared" si="583"/>
        <v>5</v>
      </c>
      <c r="BE1847" s="130">
        <f t="shared" si="584"/>
        <v>0</v>
      </c>
      <c r="BF1847" s="195" t="e">
        <f t="shared" si="585"/>
        <v>#DIV/0!</v>
      </c>
      <c r="BG1847" s="373"/>
    </row>
    <row r="1848" spans="1:59" s="46" customFormat="1" ht="15.95" customHeight="1">
      <c r="A1848" s="176">
        <v>40</v>
      </c>
      <c r="B1848" s="31" t="s">
        <v>823</v>
      </c>
      <c r="C1848" s="32" t="s">
        <v>824</v>
      </c>
      <c r="D1848" s="366"/>
      <c r="E1848" s="366"/>
      <c r="F1848" s="366"/>
      <c r="G1848" s="366"/>
      <c r="H1848" s="366"/>
      <c r="I1848" s="366"/>
      <c r="J1848" s="366"/>
      <c r="K1848" s="366"/>
      <c r="L1848" s="366"/>
      <c r="M1848" s="366"/>
      <c r="N1848" s="366"/>
      <c r="O1848" s="366"/>
      <c r="P1848" s="366"/>
      <c r="Q1848" s="366"/>
      <c r="R1848" s="366"/>
      <c r="S1848" s="366"/>
      <c r="T1848" s="366"/>
      <c r="U1848" s="366"/>
      <c r="V1848" s="366"/>
      <c r="W1848" s="366"/>
      <c r="X1848" s="366"/>
      <c r="Y1848" s="366"/>
      <c r="Z1848" s="366"/>
      <c r="AA1848" s="366"/>
      <c r="AB1848" s="22">
        <f t="shared" si="581"/>
        <v>0</v>
      </c>
      <c r="AC1848" s="23">
        <v>0</v>
      </c>
      <c r="AD1848" s="35"/>
      <c r="AE1848" s="35"/>
      <c r="AF1848" s="35"/>
      <c r="AG1848" s="35"/>
      <c r="AH1848" s="35">
        <v>187</v>
      </c>
      <c r="AI1848" s="35"/>
      <c r="AJ1848" s="35"/>
      <c r="AK1848" s="35"/>
      <c r="AL1848" s="35">
        <v>207</v>
      </c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22">
        <f t="shared" si="582"/>
        <v>394</v>
      </c>
      <c r="BC1848" s="23">
        <v>3485</v>
      </c>
      <c r="BD1848" s="130">
        <f t="shared" si="583"/>
        <v>394</v>
      </c>
      <c r="BE1848" s="130">
        <f t="shared" si="584"/>
        <v>3485</v>
      </c>
      <c r="BF1848" s="195">
        <f t="shared" si="585"/>
        <v>11.305595408895265</v>
      </c>
      <c r="BG1848" s="373">
        <f t="shared" ref="BG1848:BG1862" si="586">BE1848-BD1848</f>
        <v>3091</v>
      </c>
    </row>
    <row r="1849" spans="1:59" s="46" customFormat="1" ht="15.95" customHeight="1">
      <c r="A1849" s="176">
        <v>41</v>
      </c>
      <c r="B1849" s="31" t="s">
        <v>825</v>
      </c>
      <c r="C1849" s="32" t="s">
        <v>907</v>
      </c>
      <c r="D1849" s="366"/>
      <c r="E1849" s="366"/>
      <c r="F1849" s="366"/>
      <c r="G1849" s="366"/>
      <c r="H1849" s="366"/>
      <c r="I1849" s="366"/>
      <c r="J1849" s="366"/>
      <c r="K1849" s="366"/>
      <c r="L1849" s="366"/>
      <c r="M1849" s="366"/>
      <c r="N1849" s="366"/>
      <c r="O1849" s="366"/>
      <c r="P1849" s="366"/>
      <c r="Q1849" s="366"/>
      <c r="R1849" s="366"/>
      <c r="S1849" s="366"/>
      <c r="T1849" s="366"/>
      <c r="U1849" s="366"/>
      <c r="V1849" s="366"/>
      <c r="W1849" s="366"/>
      <c r="X1849" s="366"/>
      <c r="Y1849" s="366"/>
      <c r="Z1849" s="366"/>
      <c r="AA1849" s="366"/>
      <c r="AB1849" s="22">
        <f t="shared" si="581"/>
        <v>0</v>
      </c>
      <c r="AC1849" s="23">
        <v>0</v>
      </c>
      <c r="AD1849" s="35"/>
      <c r="AE1849" s="35"/>
      <c r="AF1849" s="35"/>
      <c r="AG1849" s="35"/>
      <c r="AH1849" s="35">
        <v>282</v>
      </c>
      <c r="AI1849" s="35"/>
      <c r="AJ1849" s="35"/>
      <c r="AK1849" s="35"/>
      <c r="AL1849" s="35">
        <v>953</v>
      </c>
      <c r="AM1849" s="35"/>
      <c r="AN1849" s="35"/>
      <c r="AO1849" s="35"/>
      <c r="AP1849" s="35">
        <v>29</v>
      </c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22">
        <f t="shared" si="582"/>
        <v>1264</v>
      </c>
      <c r="BC1849" s="23">
        <v>3818</v>
      </c>
      <c r="BD1849" s="130">
        <f t="shared" si="583"/>
        <v>1264</v>
      </c>
      <c r="BE1849" s="130">
        <f t="shared" si="584"/>
        <v>3818</v>
      </c>
      <c r="BF1849" s="195">
        <f t="shared" si="585"/>
        <v>33.106338397066523</v>
      </c>
      <c r="BG1849" s="373">
        <f t="shared" si="586"/>
        <v>2554</v>
      </c>
    </row>
    <row r="1850" spans="1:59" s="46" customFormat="1" ht="15.95" customHeight="1">
      <c r="A1850" s="176">
        <v>42</v>
      </c>
      <c r="B1850" s="31" t="s">
        <v>1451</v>
      </c>
      <c r="C1850" s="32" t="s">
        <v>1452</v>
      </c>
      <c r="D1850" s="231"/>
      <c r="E1850" s="231"/>
      <c r="F1850" s="231"/>
      <c r="G1850" s="231"/>
      <c r="H1850" s="231"/>
      <c r="I1850" s="231"/>
      <c r="J1850" s="231"/>
      <c r="K1850" s="231"/>
      <c r="L1850" s="231"/>
      <c r="M1850" s="231"/>
      <c r="N1850" s="231"/>
      <c r="O1850" s="231"/>
      <c r="P1850" s="231"/>
      <c r="Q1850" s="231"/>
      <c r="R1850" s="231"/>
      <c r="S1850" s="231"/>
      <c r="T1850" s="231"/>
      <c r="U1850" s="231"/>
      <c r="V1850" s="231"/>
      <c r="W1850" s="231"/>
      <c r="X1850" s="231"/>
      <c r="Y1850" s="231"/>
      <c r="Z1850" s="231"/>
      <c r="AA1850" s="231"/>
      <c r="AB1850" s="22">
        <f t="shared" si="581"/>
        <v>0</v>
      </c>
      <c r="AC1850" s="23">
        <v>0</v>
      </c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22">
        <f t="shared" si="582"/>
        <v>0</v>
      </c>
      <c r="BC1850" s="23">
        <v>2</v>
      </c>
      <c r="BD1850" s="130">
        <f t="shared" si="583"/>
        <v>0</v>
      </c>
      <c r="BE1850" s="130">
        <f t="shared" si="584"/>
        <v>2</v>
      </c>
      <c r="BF1850" s="195">
        <f t="shared" si="585"/>
        <v>0</v>
      </c>
      <c r="BG1850" s="373">
        <f t="shared" si="586"/>
        <v>2</v>
      </c>
    </row>
    <row r="1851" spans="1:59" s="46" customFormat="1" ht="15.95" customHeight="1">
      <c r="A1851" s="176">
        <v>43</v>
      </c>
      <c r="B1851" s="31" t="s">
        <v>827</v>
      </c>
      <c r="C1851" s="32" t="s">
        <v>1453</v>
      </c>
      <c r="D1851" s="231"/>
      <c r="E1851" s="231"/>
      <c r="F1851" s="231"/>
      <c r="G1851" s="231"/>
      <c r="H1851" s="231"/>
      <c r="I1851" s="231"/>
      <c r="J1851" s="231"/>
      <c r="K1851" s="231"/>
      <c r="L1851" s="231"/>
      <c r="M1851" s="231"/>
      <c r="N1851" s="231"/>
      <c r="O1851" s="231"/>
      <c r="P1851" s="231"/>
      <c r="Q1851" s="231"/>
      <c r="R1851" s="231"/>
      <c r="S1851" s="231"/>
      <c r="T1851" s="231"/>
      <c r="U1851" s="231"/>
      <c r="V1851" s="231"/>
      <c r="W1851" s="231"/>
      <c r="X1851" s="231"/>
      <c r="Y1851" s="231"/>
      <c r="Z1851" s="231"/>
      <c r="AA1851" s="231"/>
      <c r="AB1851" s="22">
        <f t="shared" si="581"/>
        <v>0</v>
      </c>
      <c r="AC1851" s="23">
        <v>0</v>
      </c>
      <c r="AD1851" s="35"/>
      <c r="AE1851" s="35"/>
      <c r="AF1851" s="35"/>
      <c r="AG1851" s="35"/>
      <c r="AH1851" s="35">
        <v>1</v>
      </c>
      <c r="AI1851" s="35"/>
      <c r="AJ1851" s="35"/>
      <c r="AK1851" s="35"/>
      <c r="AL1851" s="35">
        <v>3</v>
      </c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22">
        <f t="shared" si="582"/>
        <v>4</v>
      </c>
      <c r="BC1851" s="23">
        <v>25</v>
      </c>
      <c r="BD1851" s="130">
        <f t="shared" si="583"/>
        <v>4</v>
      </c>
      <c r="BE1851" s="130">
        <f t="shared" si="584"/>
        <v>25</v>
      </c>
      <c r="BF1851" s="195">
        <f t="shared" si="585"/>
        <v>16</v>
      </c>
      <c r="BG1851" s="373">
        <f t="shared" si="586"/>
        <v>21</v>
      </c>
    </row>
    <row r="1852" spans="1:59" s="46" customFormat="1" ht="15.95" customHeight="1">
      <c r="A1852" s="176">
        <v>44</v>
      </c>
      <c r="B1852" s="31" t="s">
        <v>1013</v>
      </c>
      <c r="C1852" s="32" t="s">
        <v>1632</v>
      </c>
      <c r="D1852" s="231"/>
      <c r="E1852" s="231"/>
      <c r="F1852" s="231"/>
      <c r="G1852" s="231"/>
      <c r="H1852" s="231"/>
      <c r="I1852" s="231"/>
      <c r="J1852" s="231"/>
      <c r="K1852" s="231"/>
      <c r="L1852" s="231"/>
      <c r="M1852" s="231"/>
      <c r="N1852" s="231"/>
      <c r="O1852" s="231"/>
      <c r="P1852" s="231"/>
      <c r="Q1852" s="231"/>
      <c r="R1852" s="231"/>
      <c r="S1852" s="231"/>
      <c r="T1852" s="231"/>
      <c r="U1852" s="231"/>
      <c r="V1852" s="231"/>
      <c r="W1852" s="231"/>
      <c r="X1852" s="231"/>
      <c r="Y1852" s="231"/>
      <c r="Z1852" s="231"/>
      <c r="AA1852" s="231"/>
      <c r="AB1852" s="22">
        <f t="shared" si="581"/>
        <v>0</v>
      </c>
      <c r="AC1852" s="23">
        <v>0</v>
      </c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22">
        <f t="shared" si="582"/>
        <v>0</v>
      </c>
      <c r="BC1852" s="23">
        <v>2</v>
      </c>
      <c r="BD1852" s="130">
        <f t="shared" si="583"/>
        <v>0</v>
      </c>
      <c r="BE1852" s="130">
        <f t="shared" si="584"/>
        <v>2</v>
      </c>
      <c r="BF1852" s="195">
        <f t="shared" si="585"/>
        <v>0</v>
      </c>
      <c r="BG1852" s="373">
        <f t="shared" si="586"/>
        <v>2</v>
      </c>
    </row>
    <row r="1853" spans="1:59" s="46" customFormat="1" ht="15.95" customHeight="1">
      <c r="A1853" s="176">
        <v>45</v>
      </c>
      <c r="B1853" s="31" t="s">
        <v>837</v>
      </c>
      <c r="C1853" s="32" t="s">
        <v>908</v>
      </c>
      <c r="D1853" s="335"/>
      <c r="E1853" s="335"/>
      <c r="F1853" s="335"/>
      <c r="G1853" s="335"/>
      <c r="H1853" s="335"/>
      <c r="I1853" s="335"/>
      <c r="J1853" s="335"/>
      <c r="K1853" s="335"/>
      <c r="L1853" s="335"/>
      <c r="M1853" s="335"/>
      <c r="N1853" s="335"/>
      <c r="O1853" s="335"/>
      <c r="P1853" s="335"/>
      <c r="Q1853" s="335"/>
      <c r="R1853" s="335"/>
      <c r="S1853" s="335"/>
      <c r="T1853" s="335"/>
      <c r="U1853" s="335"/>
      <c r="V1853" s="335"/>
      <c r="W1853" s="335"/>
      <c r="X1853" s="335"/>
      <c r="Y1853" s="335"/>
      <c r="Z1853" s="335"/>
      <c r="AA1853" s="335"/>
      <c r="AB1853" s="22">
        <f t="shared" si="581"/>
        <v>0</v>
      </c>
      <c r="AC1853" s="23">
        <v>0</v>
      </c>
      <c r="AD1853" s="35"/>
      <c r="AE1853" s="35"/>
      <c r="AF1853" s="35"/>
      <c r="AG1853" s="35"/>
      <c r="AH1853" s="35">
        <v>35</v>
      </c>
      <c r="AI1853" s="35"/>
      <c r="AJ1853" s="35"/>
      <c r="AK1853" s="35"/>
      <c r="AL1853" s="35">
        <v>51</v>
      </c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22">
        <f t="shared" si="582"/>
        <v>86</v>
      </c>
      <c r="BC1853" s="23">
        <v>316</v>
      </c>
      <c r="BD1853" s="130">
        <f t="shared" si="583"/>
        <v>86</v>
      </c>
      <c r="BE1853" s="130">
        <f t="shared" si="584"/>
        <v>316</v>
      </c>
      <c r="BF1853" s="195">
        <f t="shared" si="585"/>
        <v>27.215189873417721</v>
      </c>
      <c r="BG1853" s="373">
        <f t="shared" si="586"/>
        <v>230</v>
      </c>
    </row>
    <row r="1854" spans="1:59" s="46" customFormat="1" ht="15.95" customHeight="1">
      <c r="A1854" s="176">
        <v>46</v>
      </c>
      <c r="B1854" s="31" t="s">
        <v>1380</v>
      </c>
      <c r="C1854" s="32" t="s">
        <v>2152</v>
      </c>
      <c r="D1854" s="231"/>
      <c r="E1854" s="231"/>
      <c r="F1854" s="231"/>
      <c r="G1854" s="231"/>
      <c r="H1854" s="231"/>
      <c r="I1854" s="231"/>
      <c r="J1854" s="231"/>
      <c r="K1854" s="231"/>
      <c r="L1854" s="231"/>
      <c r="M1854" s="231"/>
      <c r="N1854" s="231"/>
      <c r="O1854" s="231"/>
      <c r="P1854" s="231"/>
      <c r="Q1854" s="231"/>
      <c r="R1854" s="231"/>
      <c r="S1854" s="231"/>
      <c r="T1854" s="231"/>
      <c r="U1854" s="231"/>
      <c r="V1854" s="231"/>
      <c r="W1854" s="231"/>
      <c r="X1854" s="231"/>
      <c r="Y1854" s="231"/>
      <c r="Z1854" s="231"/>
      <c r="AA1854" s="231"/>
      <c r="AB1854" s="22">
        <f t="shared" si="581"/>
        <v>0</v>
      </c>
      <c r="AC1854" s="23">
        <v>0</v>
      </c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22">
        <f t="shared" si="582"/>
        <v>0</v>
      </c>
      <c r="BC1854" s="23">
        <v>10</v>
      </c>
      <c r="BD1854" s="130">
        <f t="shared" si="583"/>
        <v>0</v>
      </c>
      <c r="BE1854" s="130">
        <f t="shared" si="584"/>
        <v>10</v>
      </c>
      <c r="BF1854" s="195">
        <f t="shared" si="585"/>
        <v>0</v>
      </c>
      <c r="BG1854" s="373">
        <f t="shared" si="586"/>
        <v>10</v>
      </c>
    </row>
    <row r="1855" spans="1:59" s="46" customFormat="1" ht="15.95" customHeight="1">
      <c r="A1855" s="176">
        <v>47</v>
      </c>
      <c r="B1855" s="31" t="s">
        <v>909</v>
      </c>
      <c r="C1855" s="32" t="s">
        <v>910</v>
      </c>
      <c r="D1855" s="270"/>
      <c r="E1855" s="270"/>
      <c r="F1855" s="270"/>
      <c r="G1855" s="270"/>
      <c r="H1855" s="270"/>
      <c r="I1855" s="270"/>
      <c r="J1855" s="270"/>
      <c r="K1855" s="270"/>
      <c r="L1855" s="270"/>
      <c r="M1855" s="270"/>
      <c r="N1855" s="270"/>
      <c r="O1855" s="270"/>
      <c r="P1855" s="270"/>
      <c r="Q1855" s="270"/>
      <c r="R1855" s="270"/>
      <c r="S1855" s="270"/>
      <c r="T1855" s="270"/>
      <c r="U1855" s="270"/>
      <c r="V1855" s="270"/>
      <c r="W1855" s="270"/>
      <c r="X1855" s="270"/>
      <c r="Y1855" s="270"/>
      <c r="Z1855" s="270"/>
      <c r="AA1855" s="270"/>
      <c r="AB1855" s="22">
        <f t="shared" si="581"/>
        <v>0</v>
      </c>
      <c r="AC1855" s="23">
        <v>0</v>
      </c>
      <c r="AD1855" s="35"/>
      <c r="AE1855" s="35"/>
      <c r="AF1855" s="35"/>
      <c r="AG1855" s="35"/>
      <c r="AH1855" s="35">
        <v>1</v>
      </c>
      <c r="AI1855" s="35"/>
      <c r="AJ1855" s="35"/>
      <c r="AK1855" s="35"/>
      <c r="AL1855" s="35">
        <v>6</v>
      </c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22">
        <f t="shared" si="582"/>
        <v>7</v>
      </c>
      <c r="BC1855" s="23">
        <v>37</v>
      </c>
      <c r="BD1855" s="130">
        <f t="shared" si="583"/>
        <v>7</v>
      </c>
      <c r="BE1855" s="130">
        <f t="shared" si="584"/>
        <v>37</v>
      </c>
      <c r="BF1855" s="195">
        <f t="shared" si="585"/>
        <v>18.918918918918919</v>
      </c>
      <c r="BG1855" s="373">
        <f t="shared" si="586"/>
        <v>30</v>
      </c>
    </row>
    <row r="1856" spans="1:59" s="46" customFormat="1" ht="15.95" customHeight="1">
      <c r="A1856" s="176">
        <v>48</v>
      </c>
      <c r="B1856" s="31" t="s">
        <v>841</v>
      </c>
      <c r="C1856" s="32" t="s">
        <v>842</v>
      </c>
      <c r="D1856" s="231"/>
      <c r="E1856" s="231"/>
      <c r="F1856" s="231"/>
      <c r="G1856" s="231"/>
      <c r="H1856" s="231"/>
      <c r="I1856" s="231"/>
      <c r="J1856" s="231"/>
      <c r="K1856" s="231"/>
      <c r="L1856" s="231"/>
      <c r="M1856" s="231"/>
      <c r="N1856" s="231"/>
      <c r="O1856" s="231"/>
      <c r="P1856" s="231"/>
      <c r="Q1856" s="231"/>
      <c r="R1856" s="231"/>
      <c r="S1856" s="231"/>
      <c r="T1856" s="231"/>
      <c r="U1856" s="231"/>
      <c r="V1856" s="231"/>
      <c r="W1856" s="231"/>
      <c r="X1856" s="231"/>
      <c r="Y1856" s="231"/>
      <c r="Z1856" s="231"/>
      <c r="AA1856" s="231"/>
      <c r="AB1856" s="22">
        <f t="shared" si="581"/>
        <v>0</v>
      </c>
      <c r="AC1856" s="23">
        <v>0</v>
      </c>
      <c r="AD1856" s="35"/>
      <c r="AE1856" s="35"/>
      <c r="AF1856" s="35"/>
      <c r="AG1856" s="35"/>
      <c r="AH1856" s="35">
        <v>2</v>
      </c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22">
        <f t="shared" si="582"/>
        <v>2</v>
      </c>
      <c r="BC1856" s="23">
        <v>108</v>
      </c>
      <c r="BD1856" s="130">
        <f t="shared" si="583"/>
        <v>2</v>
      </c>
      <c r="BE1856" s="130">
        <f t="shared" si="584"/>
        <v>108</v>
      </c>
      <c r="BF1856" s="195">
        <f t="shared" si="585"/>
        <v>1.8518518518518516</v>
      </c>
      <c r="BG1856" s="373">
        <f t="shared" si="586"/>
        <v>106</v>
      </c>
    </row>
    <row r="1857" spans="1:59" s="46" customFormat="1" ht="15.95" customHeight="1">
      <c r="A1857" s="176">
        <v>49</v>
      </c>
      <c r="B1857" s="31" t="s">
        <v>911</v>
      </c>
      <c r="C1857" s="32" t="s">
        <v>1127</v>
      </c>
      <c r="D1857" s="231"/>
      <c r="E1857" s="231"/>
      <c r="F1857" s="231"/>
      <c r="G1857" s="231"/>
      <c r="H1857" s="231"/>
      <c r="I1857" s="231"/>
      <c r="J1857" s="231"/>
      <c r="K1857" s="231"/>
      <c r="L1857" s="231"/>
      <c r="M1857" s="231"/>
      <c r="N1857" s="231"/>
      <c r="O1857" s="231"/>
      <c r="P1857" s="231"/>
      <c r="Q1857" s="231"/>
      <c r="R1857" s="231"/>
      <c r="S1857" s="231"/>
      <c r="T1857" s="231"/>
      <c r="U1857" s="231"/>
      <c r="V1857" s="231"/>
      <c r="W1857" s="231"/>
      <c r="X1857" s="231"/>
      <c r="Y1857" s="231"/>
      <c r="Z1857" s="231"/>
      <c r="AA1857" s="231"/>
      <c r="AB1857" s="22">
        <f t="shared" si="581"/>
        <v>0</v>
      </c>
      <c r="AC1857" s="23">
        <v>0</v>
      </c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22">
        <f t="shared" si="582"/>
        <v>0</v>
      </c>
      <c r="BC1857" s="23">
        <v>46</v>
      </c>
      <c r="BD1857" s="130">
        <f t="shared" si="583"/>
        <v>0</v>
      </c>
      <c r="BE1857" s="130">
        <f t="shared" si="584"/>
        <v>46</v>
      </c>
      <c r="BF1857" s="195">
        <f t="shared" si="585"/>
        <v>0</v>
      </c>
      <c r="BG1857" s="373">
        <f t="shared" si="586"/>
        <v>46</v>
      </c>
    </row>
    <row r="1858" spans="1:59" s="46" customFormat="1" ht="15.95" customHeight="1">
      <c r="A1858" s="176">
        <v>50</v>
      </c>
      <c r="B1858" s="31" t="s">
        <v>845</v>
      </c>
      <c r="C1858" s="34" t="s">
        <v>948</v>
      </c>
      <c r="D1858" s="231"/>
      <c r="E1858" s="231"/>
      <c r="F1858" s="231"/>
      <c r="G1858" s="231"/>
      <c r="H1858" s="231"/>
      <c r="I1858" s="231"/>
      <c r="J1858" s="231"/>
      <c r="K1858" s="231"/>
      <c r="L1858" s="231"/>
      <c r="M1858" s="231"/>
      <c r="N1858" s="231"/>
      <c r="O1858" s="231"/>
      <c r="P1858" s="231"/>
      <c r="Q1858" s="231"/>
      <c r="R1858" s="231"/>
      <c r="S1858" s="231"/>
      <c r="T1858" s="231"/>
      <c r="U1858" s="231"/>
      <c r="V1858" s="231"/>
      <c r="W1858" s="231"/>
      <c r="X1858" s="231"/>
      <c r="Y1858" s="231"/>
      <c r="Z1858" s="231"/>
      <c r="AA1858" s="231"/>
      <c r="AB1858" s="22">
        <f t="shared" si="581"/>
        <v>0</v>
      </c>
      <c r="AC1858" s="23">
        <v>0</v>
      </c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22">
        <f t="shared" si="582"/>
        <v>0</v>
      </c>
      <c r="BC1858" s="23">
        <v>2</v>
      </c>
      <c r="BD1858" s="130">
        <f t="shared" si="583"/>
        <v>0</v>
      </c>
      <c r="BE1858" s="130">
        <f t="shared" si="584"/>
        <v>2</v>
      </c>
      <c r="BF1858" s="195">
        <f t="shared" si="585"/>
        <v>0</v>
      </c>
      <c r="BG1858" s="373">
        <f t="shared" si="586"/>
        <v>2</v>
      </c>
    </row>
    <row r="1859" spans="1:59" s="46" customFormat="1" ht="15.95" customHeight="1">
      <c r="A1859" s="176">
        <v>51</v>
      </c>
      <c r="B1859" s="31" t="s">
        <v>1075</v>
      </c>
      <c r="C1859" s="34" t="s">
        <v>1076</v>
      </c>
      <c r="D1859" s="231"/>
      <c r="E1859" s="231"/>
      <c r="F1859" s="231"/>
      <c r="G1859" s="231"/>
      <c r="H1859" s="231"/>
      <c r="I1859" s="231"/>
      <c r="J1859" s="231"/>
      <c r="K1859" s="231"/>
      <c r="L1859" s="231"/>
      <c r="M1859" s="231"/>
      <c r="N1859" s="231"/>
      <c r="O1859" s="231"/>
      <c r="P1859" s="231"/>
      <c r="Q1859" s="231"/>
      <c r="R1859" s="231"/>
      <c r="S1859" s="231"/>
      <c r="T1859" s="231"/>
      <c r="U1859" s="231"/>
      <c r="V1859" s="231"/>
      <c r="W1859" s="231"/>
      <c r="X1859" s="231"/>
      <c r="Y1859" s="231"/>
      <c r="Z1859" s="231"/>
      <c r="AA1859" s="231"/>
      <c r="AB1859" s="22">
        <f t="shared" si="581"/>
        <v>0</v>
      </c>
      <c r="AC1859" s="23">
        <v>0</v>
      </c>
      <c r="AD1859" s="35"/>
      <c r="AE1859" s="35"/>
      <c r="AF1859" s="35"/>
      <c r="AG1859" s="35"/>
      <c r="AH1859" s="35">
        <v>1</v>
      </c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22">
        <f t="shared" si="582"/>
        <v>1</v>
      </c>
      <c r="BC1859" s="23">
        <v>5</v>
      </c>
      <c r="BD1859" s="130">
        <f t="shared" si="583"/>
        <v>1</v>
      </c>
      <c r="BE1859" s="130">
        <f t="shared" si="584"/>
        <v>5</v>
      </c>
      <c r="BF1859" s="195">
        <f t="shared" si="585"/>
        <v>20</v>
      </c>
      <c r="BG1859" s="373">
        <f t="shared" si="586"/>
        <v>4</v>
      </c>
    </row>
    <row r="1860" spans="1:59" s="46" customFormat="1" ht="15.95" customHeight="1">
      <c r="A1860" s="176">
        <v>52</v>
      </c>
      <c r="B1860" s="31" t="s">
        <v>915</v>
      </c>
      <c r="C1860" s="34" t="s">
        <v>1015</v>
      </c>
      <c r="D1860" s="231"/>
      <c r="E1860" s="231"/>
      <c r="F1860" s="231"/>
      <c r="G1860" s="231"/>
      <c r="H1860" s="231"/>
      <c r="I1860" s="231"/>
      <c r="J1860" s="231"/>
      <c r="K1860" s="231"/>
      <c r="L1860" s="231"/>
      <c r="M1860" s="231"/>
      <c r="N1860" s="231"/>
      <c r="O1860" s="231"/>
      <c r="P1860" s="231"/>
      <c r="Q1860" s="231"/>
      <c r="R1860" s="231"/>
      <c r="S1860" s="231"/>
      <c r="T1860" s="231"/>
      <c r="U1860" s="231"/>
      <c r="V1860" s="231"/>
      <c r="W1860" s="231"/>
      <c r="X1860" s="231"/>
      <c r="Y1860" s="231"/>
      <c r="Z1860" s="231"/>
      <c r="AA1860" s="231"/>
      <c r="AB1860" s="22">
        <f t="shared" si="581"/>
        <v>0</v>
      </c>
      <c r="AC1860" s="23">
        <v>0</v>
      </c>
      <c r="AD1860" s="35"/>
      <c r="AE1860" s="35"/>
      <c r="AF1860" s="35"/>
      <c r="AG1860" s="35"/>
      <c r="AH1860" s="35"/>
      <c r="AI1860" s="35"/>
      <c r="AJ1860" s="35"/>
      <c r="AK1860" s="35"/>
      <c r="AL1860" s="35">
        <v>95</v>
      </c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22">
        <f t="shared" si="582"/>
        <v>95</v>
      </c>
      <c r="BC1860" s="23">
        <v>2</v>
      </c>
      <c r="BD1860" s="130">
        <f t="shared" si="583"/>
        <v>95</v>
      </c>
      <c r="BE1860" s="130">
        <f t="shared" si="584"/>
        <v>2</v>
      </c>
      <c r="BF1860" s="195">
        <f t="shared" si="585"/>
        <v>4750</v>
      </c>
      <c r="BG1860" s="373">
        <f t="shared" si="586"/>
        <v>-93</v>
      </c>
    </row>
    <row r="1861" spans="1:59" s="46" customFormat="1" ht="15.95" customHeight="1">
      <c r="A1861" s="176">
        <v>53</v>
      </c>
      <c r="B1861" s="31" t="s">
        <v>1082</v>
      </c>
      <c r="C1861" s="32" t="s">
        <v>1102</v>
      </c>
      <c r="D1861" s="231"/>
      <c r="E1861" s="231"/>
      <c r="F1861" s="231"/>
      <c r="G1861" s="231"/>
      <c r="H1861" s="231"/>
      <c r="I1861" s="231"/>
      <c r="J1861" s="231"/>
      <c r="K1861" s="231"/>
      <c r="L1861" s="231"/>
      <c r="M1861" s="231"/>
      <c r="N1861" s="231"/>
      <c r="O1861" s="231"/>
      <c r="P1861" s="231"/>
      <c r="Q1861" s="231"/>
      <c r="R1861" s="231"/>
      <c r="S1861" s="231"/>
      <c r="T1861" s="231"/>
      <c r="U1861" s="231"/>
      <c r="V1861" s="231"/>
      <c r="W1861" s="231"/>
      <c r="X1861" s="231"/>
      <c r="Y1861" s="231"/>
      <c r="Z1861" s="231"/>
      <c r="AA1861" s="231"/>
      <c r="AB1861" s="22">
        <f t="shared" si="581"/>
        <v>0</v>
      </c>
      <c r="AC1861" s="23">
        <v>0</v>
      </c>
      <c r="AD1861" s="35"/>
      <c r="AE1861" s="35"/>
      <c r="AF1861" s="35"/>
      <c r="AG1861" s="35"/>
      <c r="AH1861" s="35">
        <v>1</v>
      </c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22">
        <f t="shared" si="582"/>
        <v>1</v>
      </c>
      <c r="BC1861" s="23">
        <v>5</v>
      </c>
      <c r="BD1861" s="130">
        <f t="shared" si="583"/>
        <v>1</v>
      </c>
      <c r="BE1861" s="130">
        <f t="shared" si="584"/>
        <v>5</v>
      </c>
      <c r="BF1861" s="195">
        <f t="shared" si="585"/>
        <v>20</v>
      </c>
      <c r="BG1861" s="373">
        <f t="shared" si="586"/>
        <v>4</v>
      </c>
    </row>
    <row r="1862" spans="1:59" s="46" customFormat="1" ht="15.95" customHeight="1">
      <c r="A1862" s="176">
        <v>54</v>
      </c>
      <c r="B1862" s="31" t="s">
        <v>963</v>
      </c>
      <c r="C1862" s="32" t="s">
        <v>2020</v>
      </c>
      <c r="D1862" s="231"/>
      <c r="E1862" s="231"/>
      <c r="F1862" s="231"/>
      <c r="G1862" s="231"/>
      <c r="H1862" s="231"/>
      <c r="I1862" s="231"/>
      <c r="J1862" s="231"/>
      <c r="K1862" s="231"/>
      <c r="L1862" s="231"/>
      <c r="M1862" s="231"/>
      <c r="N1862" s="231"/>
      <c r="O1862" s="231"/>
      <c r="P1862" s="231"/>
      <c r="Q1862" s="231"/>
      <c r="R1862" s="231"/>
      <c r="S1862" s="231"/>
      <c r="T1862" s="231"/>
      <c r="U1862" s="231"/>
      <c r="V1862" s="231"/>
      <c r="W1862" s="231"/>
      <c r="X1862" s="231"/>
      <c r="Y1862" s="231"/>
      <c r="Z1862" s="231"/>
      <c r="AA1862" s="231"/>
      <c r="AB1862" s="22">
        <f t="shared" si="581"/>
        <v>0</v>
      </c>
      <c r="AC1862" s="23">
        <v>0</v>
      </c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22">
        <f t="shared" si="582"/>
        <v>0</v>
      </c>
      <c r="BC1862" s="23">
        <v>2</v>
      </c>
      <c r="BD1862" s="130">
        <f t="shared" si="583"/>
        <v>0</v>
      </c>
      <c r="BE1862" s="130">
        <f t="shared" si="584"/>
        <v>2</v>
      </c>
      <c r="BF1862" s="195">
        <f t="shared" si="585"/>
        <v>0</v>
      </c>
      <c r="BG1862" s="373">
        <f t="shared" si="586"/>
        <v>2</v>
      </c>
    </row>
    <row r="1863" spans="1:59" s="46" customFormat="1" ht="15.95" customHeight="1">
      <c r="A1863" s="176">
        <v>55</v>
      </c>
      <c r="B1863" s="31" t="s">
        <v>3982</v>
      </c>
      <c r="C1863" s="32" t="s">
        <v>3983</v>
      </c>
      <c r="D1863" s="550"/>
      <c r="E1863" s="550"/>
      <c r="F1863" s="550"/>
      <c r="G1863" s="550"/>
      <c r="H1863" s="550"/>
      <c r="I1863" s="550"/>
      <c r="J1863" s="550"/>
      <c r="K1863" s="550"/>
      <c r="L1863" s="550"/>
      <c r="M1863" s="550"/>
      <c r="N1863" s="550"/>
      <c r="O1863" s="550"/>
      <c r="P1863" s="550"/>
      <c r="Q1863" s="550"/>
      <c r="R1863" s="550"/>
      <c r="S1863" s="550"/>
      <c r="T1863" s="550"/>
      <c r="U1863" s="550"/>
      <c r="V1863" s="550"/>
      <c r="W1863" s="550"/>
      <c r="X1863" s="550"/>
      <c r="Y1863" s="550"/>
      <c r="Z1863" s="550"/>
      <c r="AA1863" s="550"/>
      <c r="AB1863" s="22">
        <f t="shared" si="581"/>
        <v>0</v>
      </c>
      <c r="AC1863" s="23">
        <v>0</v>
      </c>
      <c r="AD1863" s="35"/>
      <c r="AE1863" s="35"/>
      <c r="AF1863" s="35"/>
      <c r="AG1863" s="35"/>
      <c r="AH1863" s="35"/>
      <c r="AI1863" s="35"/>
      <c r="AJ1863" s="35"/>
      <c r="AK1863" s="35"/>
      <c r="AL1863" s="35">
        <v>3</v>
      </c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22">
        <f t="shared" si="582"/>
        <v>3</v>
      </c>
      <c r="BC1863" s="23">
        <v>0</v>
      </c>
      <c r="BD1863" s="130">
        <f t="shared" si="583"/>
        <v>3</v>
      </c>
      <c r="BE1863" s="130">
        <f t="shared" si="584"/>
        <v>0</v>
      </c>
      <c r="BF1863" s="195" t="e">
        <f t="shared" si="585"/>
        <v>#DIV/0!</v>
      </c>
      <c r="BG1863" s="373"/>
    </row>
    <row r="1864" spans="1:59" s="46" customFormat="1" ht="15.95" customHeight="1">
      <c r="A1864" s="176">
        <v>56</v>
      </c>
      <c r="B1864" s="31" t="s">
        <v>1049</v>
      </c>
      <c r="C1864" s="32" t="s">
        <v>1050</v>
      </c>
      <c r="D1864" s="521"/>
      <c r="E1864" s="521"/>
      <c r="F1864" s="521"/>
      <c r="G1864" s="521"/>
      <c r="H1864" s="521"/>
      <c r="I1864" s="521"/>
      <c r="J1864" s="521"/>
      <c r="K1864" s="521"/>
      <c r="L1864" s="521"/>
      <c r="M1864" s="521"/>
      <c r="N1864" s="521"/>
      <c r="O1864" s="521"/>
      <c r="P1864" s="521"/>
      <c r="Q1864" s="521"/>
      <c r="R1864" s="521"/>
      <c r="S1864" s="521"/>
      <c r="T1864" s="521"/>
      <c r="U1864" s="521"/>
      <c r="V1864" s="521"/>
      <c r="W1864" s="521"/>
      <c r="X1864" s="521"/>
      <c r="Y1864" s="521"/>
      <c r="Z1864" s="521"/>
      <c r="AA1864" s="521"/>
      <c r="AB1864" s="22">
        <f t="shared" si="581"/>
        <v>0</v>
      </c>
      <c r="AC1864" s="23">
        <v>0</v>
      </c>
      <c r="AD1864" s="35"/>
      <c r="AE1864" s="35"/>
      <c r="AF1864" s="35"/>
      <c r="AG1864" s="35"/>
      <c r="AH1864" s="35">
        <v>265</v>
      </c>
      <c r="AI1864" s="35"/>
      <c r="AJ1864" s="35"/>
      <c r="AK1864" s="35"/>
      <c r="AL1864" s="35">
        <v>1379</v>
      </c>
      <c r="AM1864" s="35"/>
      <c r="AN1864" s="35"/>
      <c r="AO1864" s="35"/>
      <c r="AP1864" s="35">
        <v>46</v>
      </c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22">
        <f t="shared" si="582"/>
        <v>1690</v>
      </c>
      <c r="BC1864" s="23">
        <v>0</v>
      </c>
      <c r="BD1864" s="130">
        <f t="shared" si="583"/>
        <v>1690</v>
      </c>
      <c r="BE1864" s="130">
        <f t="shared" si="584"/>
        <v>0</v>
      </c>
      <c r="BF1864" s="195" t="e">
        <f t="shared" si="585"/>
        <v>#DIV/0!</v>
      </c>
      <c r="BG1864" s="373"/>
    </row>
    <row r="1865" spans="1:59" s="46" customFormat="1" ht="15.95" customHeight="1">
      <c r="A1865" s="176">
        <v>57</v>
      </c>
      <c r="B1865" s="31" t="s">
        <v>851</v>
      </c>
      <c r="C1865" s="32" t="s">
        <v>917</v>
      </c>
      <c r="D1865" s="322"/>
      <c r="E1865" s="322"/>
      <c r="F1865" s="322"/>
      <c r="G1865" s="322"/>
      <c r="H1865" s="322"/>
      <c r="I1865" s="322"/>
      <c r="J1865" s="322"/>
      <c r="K1865" s="322"/>
      <c r="L1865" s="322"/>
      <c r="M1865" s="322"/>
      <c r="N1865" s="322"/>
      <c r="O1865" s="322"/>
      <c r="P1865" s="322"/>
      <c r="Q1865" s="322"/>
      <c r="R1865" s="322"/>
      <c r="S1865" s="322"/>
      <c r="T1865" s="322"/>
      <c r="U1865" s="322"/>
      <c r="V1865" s="322"/>
      <c r="W1865" s="322"/>
      <c r="X1865" s="322"/>
      <c r="Y1865" s="322"/>
      <c r="Z1865" s="322"/>
      <c r="AA1865" s="322"/>
      <c r="AB1865" s="22">
        <f t="shared" si="581"/>
        <v>0</v>
      </c>
      <c r="AC1865" s="23">
        <v>0</v>
      </c>
      <c r="AD1865" s="35"/>
      <c r="AE1865" s="35"/>
      <c r="AF1865" s="35"/>
      <c r="AG1865" s="35"/>
      <c r="AH1865" s="35"/>
      <c r="AI1865" s="35"/>
      <c r="AJ1865" s="35"/>
      <c r="AK1865" s="35"/>
      <c r="AL1865" s="35">
        <v>1</v>
      </c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22">
        <f t="shared" si="582"/>
        <v>1</v>
      </c>
      <c r="BC1865" s="23">
        <v>120</v>
      </c>
      <c r="BD1865" s="130">
        <f t="shared" si="583"/>
        <v>1</v>
      </c>
      <c r="BE1865" s="130">
        <f t="shared" si="584"/>
        <v>120</v>
      </c>
      <c r="BF1865" s="195">
        <f t="shared" si="585"/>
        <v>0.83333333333333337</v>
      </c>
      <c r="BG1865" s="373">
        <f t="shared" ref="BG1865:BG1904" si="587">BE1865-BD1865</f>
        <v>119</v>
      </c>
    </row>
    <row r="1866" spans="1:59" s="46" customFormat="1" ht="15.95" customHeight="1">
      <c r="A1866" s="176">
        <v>58</v>
      </c>
      <c r="B1866" s="31" t="s">
        <v>3014</v>
      </c>
      <c r="C1866" s="32" t="s">
        <v>3015</v>
      </c>
      <c r="D1866" s="231"/>
      <c r="E1866" s="231"/>
      <c r="F1866" s="231"/>
      <c r="G1866" s="231"/>
      <c r="H1866" s="231"/>
      <c r="I1866" s="231"/>
      <c r="J1866" s="231"/>
      <c r="K1866" s="231"/>
      <c r="L1866" s="231"/>
      <c r="M1866" s="231"/>
      <c r="N1866" s="231"/>
      <c r="O1866" s="231"/>
      <c r="P1866" s="231"/>
      <c r="Q1866" s="231"/>
      <c r="R1866" s="231"/>
      <c r="S1866" s="231"/>
      <c r="T1866" s="231"/>
      <c r="U1866" s="231"/>
      <c r="V1866" s="231"/>
      <c r="W1866" s="231"/>
      <c r="X1866" s="231"/>
      <c r="Y1866" s="231"/>
      <c r="Z1866" s="231"/>
      <c r="AA1866" s="231"/>
      <c r="AB1866" s="22">
        <f t="shared" si="581"/>
        <v>0</v>
      </c>
      <c r="AC1866" s="23">
        <v>0</v>
      </c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22">
        <f t="shared" si="582"/>
        <v>0</v>
      </c>
      <c r="BC1866" s="23">
        <v>1</v>
      </c>
      <c r="BD1866" s="130">
        <f t="shared" si="583"/>
        <v>0</v>
      </c>
      <c r="BE1866" s="130">
        <f t="shared" si="584"/>
        <v>1</v>
      </c>
      <c r="BF1866" s="195">
        <f t="shared" si="585"/>
        <v>0</v>
      </c>
      <c r="BG1866" s="373">
        <f t="shared" si="587"/>
        <v>1</v>
      </c>
    </row>
    <row r="1867" spans="1:59" s="46" customFormat="1" ht="15.95" customHeight="1">
      <c r="A1867" s="176">
        <v>59</v>
      </c>
      <c r="B1867" s="31" t="s">
        <v>1088</v>
      </c>
      <c r="C1867" s="32" t="s">
        <v>1089</v>
      </c>
      <c r="D1867" s="231"/>
      <c r="E1867" s="231"/>
      <c r="F1867" s="231"/>
      <c r="G1867" s="231"/>
      <c r="H1867" s="231"/>
      <c r="I1867" s="231"/>
      <c r="J1867" s="231"/>
      <c r="K1867" s="231"/>
      <c r="L1867" s="231"/>
      <c r="M1867" s="231"/>
      <c r="N1867" s="231"/>
      <c r="O1867" s="231"/>
      <c r="P1867" s="231"/>
      <c r="Q1867" s="231"/>
      <c r="R1867" s="231"/>
      <c r="S1867" s="231"/>
      <c r="T1867" s="231"/>
      <c r="U1867" s="231"/>
      <c r="V1867" s="231"/>
      <c r="W1867" s="231"/>
      <c r="X1867" s="231"/>
      <c r="Y1867" s="231"/>
      <c r="Z1867" s="231"/>
      <c r="AA1867" s="231"/>
      <c r="AB1867" s="22">
        <f t="shared" si="581"/>
        <v>0</v>
      </c>
      <c r="AC1867" s="23">
        <v>0</v>
      </c>
      <c r="AD1867" s="35"/>
      <c r="AE1867" s="35"/>
      <c r="AF1867" s="35"/>
      <c r="AG1867" s="35"/>
      <c r="AH1867" s="35">
        <v>25</v>
      </c>
      <c r="AI1867" s="35"/>
      <c r="AJ1867" s="35"/>
      <c r="AK1867" s="35"/>
      <c r="AL1867" s="35">
        <v>50</v>
      </c>
      <c r="AM1867" s="35"/>
      <c r="AN1867" s="35"/>
      <c r="AO1867" s="35"/>
      <c r="AP1867" s="35">
        <v>30</v>
      </c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22">
        <f t="shared" si="582"/>
        <v>105</v>
      </c>
      <c r="BC1867" s="23">
        <v>217</v>
      </c>
      <c r="BD1867" s="130">
        <f t="shared" si="583"/>
        <v>105</v>
      </c>
      <c r="BE1867" s="130">
        <f t="shared" si="584"/>
        <v>217</v>
      </c>
      <c r="BF1867" s="195">
        <f t="shared" si="585"/>
        <v>48.387096774193552</v>
      </c>
      <c r="BG1867" s="373">
        <f t="shared" si="587"/>
        <v>112</v>
      </c>
    </row>
    <row r="1868" spans="1:59" s="46" customFormat="1" ht="15.95" customHeight="1">
      <c r="A1868" s="176">
        <v>60</v>
      </c>
      <c r="B1868" s="31" t="s">
        <v>1018</v>
      </c>
      <c r="C1868" s="32" t="s">
        <v>1019</v>
      </c>
      <c r="D1868" s="231"/>
      <c r="E1868" s="231"/>
      <c r="F1868" s="231"/>
      <c r="G1868" s="231"/>
      <c r="H1868" s="231"/>
      <c r="I1868" s="231"/>
      <c r="J1868" s="231"/>
      <c r="K1868" s="231"/>
      <c r="L1868" s="231"/>
      <c r="M1868" s="231"/>
      <c r="N1868" s="231"/>
      <c r="O1868" s="231"/>
      <c r="P1868" s="231"/>
      <c r="Q1868" s="231"/>
      <c r="R1868" s="231"/>
      <c r="S1868" s="231"/>
      <c r="T1868" s="231"/>
      <c r="U1868" s="231"/>
      <c r="V1868" s="231"/>
      <c r="W1868" s="231"/>
      <c r="X1868" s="231"/>
      <c r="Y1868" s="231"/>
      <c r="Z1868" s="231"/>
      <c r="AA1868" s="231"/>
      <c r="AB1868" s="22">
        <f t="shared" si="581"/>
        <v>0</v>
      </c>
      <c r="AC1868" s="23">
        <v>0</v>
      </c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22">
        <f t="shared" si="582"/>
        <v>0</v>
      </c>
      <c r="BC1868" s="23">
        <v>1</v>
      </c>
      <c r="BD1868" s="130">
        <f t="shared" si="583"/>
        <v>0</v>
      </c>
      <c r="BE1868" s="130">
        <f t="shared" si="584"/>
        <v>1</v>
      </c>
      <c r="BF1868" s="195">
        <f t="shared" si="585"/>
        <v>0</v>
      </c>
      <c r="BG1868" s="373">
        <f t="shared" si="587"/>
        <v>1</v>
      </c>
    </row>
    <row r="1869" spans="1:59" s="46" customFormat="1" ht="15.95" customHeight="1">
      <c r="A1869" s="176">
        <v>61</v>
      </c>
      <c r="B1869" s="37" t="s">
        <v>970</v>
      </c>
      <c r="C1869" s="38" t="s">
        <v>3714</v>
      </c>
      <c r="D1869" s="292"/>
      <c r="E1869" s="292"/>
      <c r="F1869" s="292"/>
      <c r="G1869" s="292"/>
      <c r="H1869" s="292"/>
      <c r="I1869" s="292"/>
      <c r="J1869" s="292"/>
      <c r="K1869" s="292"/>
      <c r="L1869" s="292"/>
      <c r="M1869" s="292"/>
      <c r="N1869" s="292"/>
      <c r="O1869" s="292"/>
      <c r="P1869" s="292"/>
      <c r="Q1869" s="292"/>
      <c r="R1869" s="292"/>
      <c r="S1869" s="292"/>
      <c r="T1869" s="292"/>
      <c r="U1869" s="292"/>
      <c r="V1869" s="292"/>
      <c r="W1869" s="292"/>
      <c r="X1869" s="292"/>
      <c r="Y1869" s="292"/>
      <c r="Z1869" s="292"/>
      <c r="AA1869" s="292"/>
      <c r="AB1869" s="22">
        <f t="shared" si="581"/>
        <v>0</v>
      </c>
      <c r="AC1869" s="23">
        <v>0</v>
      </c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22">
        <f t="shared" si="582"/>
        <v>0</v>
      </c>
      <c r="BC1869" s="23">
        <v>1</v>
      </c>
      <c r="BD1869" s="130">
        <f t="shared" si="583"/>
        <v>0</v>
      </c>
      <c r="BE1869" s="130">
        <f t="shared" si="584"/>
        <v>1</v>
      </c>
      <c r="BF1869" s="195">
        <f t="shared" si="585"/>
        <v>0</v>
      </c>
      <c r="BG1869" s="373">
        <f t="shared" si="587"/>
        <v>1</v>
      </c>
    </row>
    <row r="1870" spans="1:59" s="46" customFormat="1" ht="16.5" customHeight="1">
      <c r="A1870" s="176">
        <v>62</v>
      </c>
      <c r="B1870" s="31" t="s">
        <v>971</v>
      </c>
      <c r="C1870" s="32" t="s">
        <v>1985</v>
      </c>
      <c r="D1870" s="231"/>
      <c r="E1870" s="231"/>
      <c r="F1870" s="231"/>
      <c r="G1870" s="231"/>
      <c r="H1870" s="231"/>
      <c r="I1870" s="231"/>
      <c r="J1870" s="231"/>
      <c r="K1870" s="231"/>
      <c r="L1870" s="231"/>
      <c r="M1870" s="231"/>
      <c r="N1870" s="231"/>
      <c r="O1870" s="231"/>
      <c r="P1870" s="231"/>
      <c r="Q1870" s="231"/>
      <c r="R1870" s="231"/>
      <c r="S1870" s="231"/>
      <c r="T1870" s="231"/>
      <c r="U1870" s="231"/>
      <c r="V1870" s="231"/>
      <c r="W1870" s="231"/>
      <c r="X1870" s="231"/>
      <c r="Y1870" s="231"/>
      <c r="Z1870" s="231"/>
      <c r="AA1870" s="231"/>
      <c r="AB1870" s="22">
        <f t="shared" si="581"/>
        <v>0</v>
      </c>
      <c r="AC1870" s="23">
        <v>0</v>
      </c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22">
        <f t="shared" si="582"/>
        <v>0</v>
      </c>
      <c r="BC1870" s="23">
        <v>4</v>
      </c>
      <c r="BD1870" s="130">
        <f t="shared" si="583"/>
        <v>0</v>
      </c>
      <c r="BE1870" s="130">
        <f t="shared" si="584"/>
        <v>4</v>
      </c>
      <c r="BF1870" s="195">
        <f t="shared" si="585"/>
        <v>0</v>
      </c>
      <c r="BG1870" s="373">
        <f t="shared" si="587"/>
        <v>4</v>
      </c>
    </row>
    <row r="1871" spans="1:59" s="46" customFormat="1" ht="16.5" customHeight="1">
      <c r="A1871" s="176">
        <v>63</v>
      </c>
      <c r="B1871" s="31" t="s">
        <v>1051</v>
      </c>
      <c r="C1871" s="32" t="s">
        <v>2077</v>
      </c>
      <c r="D1871" s="231"/>
      <c r="E1871" s="231"/>
      <c r="F1871" s="231"/>
      <c r="G1871" s="231"/>
      <c r="H1871" s="231"/>
      <c r="I1871" s="231"/>
      <c r="J1871" s="231"/>
      <c r="K1871" s="231"/>
      <c r="L1871" s="231"/>
      <c r="M1871" s="231"/>
      <c r="N1871" s="231"/>
      <c r="O1871" s="231"/>
      <c r="P1871" s="231"/>
      <c r="Q1871" s="231"/>
      <c r="R1871" s="231"/>
      <c r="S1871" s="231"/>
      <c r="T1871" s="231"/>
      <c r="U1871" s="231"/>
      <c r="V1871" s="231"/>
      <c r="W1871" s="231"/>
      <c r="X1871" s="231"/>
      <c r="Y1871" s="231"/>
      <c r="Z1871" s="231"/>
      <c r="AA1871" s="231"/>
      <c r="AB1871" s="22">
        <f t="shared" si="581"/>
        <v>0</v>
      </c>
      <c r="AC1871" s="23">
        <v>0</v>
      </c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22">
        <f t="shared" si="582"/>
        <v>0</v>
      </c>
      <c r="BC1871" s="23">
        <v>11</v>
      </c>
      <c r="BD1871" s="130">
        <f t="shared" si="583"/>
        <v>0</v>
      </c>
      <c r="BE1871" s="130">
        <f t="shared" si="584"/>
        <v>11</v>
      </c>
      <c r="BF1871" s="195">
        <f t="shared" si="585"/>
        <v>0</v>
      </c>
      <c r="BG1871" s="373">
        <f t="shared" si="587"/>
        <v>11</v>
      </c>
    </row>
    <row r="1872" spans="1:59" s="46" customFormat="1" ht="15.95" customHeight="1">
      <c r="A1872" s="176">
        <v>64</v>
      </c>
      <c r="B1872" s="31" t="s">
        <v>1053</v>
      </c>
      <c r="C1872" s="32" t="s">
        <v>1054</v>
      </c>
      <c r="D1872" s="231"/>
      <c r="E1872" s="231"/>
      <c r="F1872" s="231"/>
      <c r="G1872" s="231"/>
      <c r="H1872" s="231"/>
      <c r="I1872" s="231"/>
      <c r="J1872" s="231"/>
      <c r="K1872" s="231"/>
      <c r="L1872" s="231"/>
      <c r="M1872" s="231"/>
      <c r="N1872" s="231"/>
      <c r="O1872" s="231"/>
      <c r="P1872" s="231"/>
      <c r="Q1872" s="231"/>
      <c r="R1872" s="231"/>
      <c r="S1872" s="231"/>
      <c r="T1872" s="231"/>
      <c r="U1872" s="231"/>
      <c r="V1872" s="231"/>
      <c r="W1872" s="231"/>
      <c r="X1872" s="231"/>
      <c r="Y1872" s="231"/>
      <c r="Z1872" s="231"/>
      <c r="AA1872" s="231"/>
      <c r="AB1872" s="22">
        <f t="shared" si="581"/>
        <v>0</v>
      </c>
      <c r="AC1872" s="23">
        <v>0</v>
      </c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22">
        <f t="shared" si="582"/>
        <v>0</v>
      </c>
      <c r="BC1872" s="23">
        <v>4</v>
      </c>
      <c r="BD1872" s="130">
        <f t="shared" si="583"/>
        <v>0</v>
      </c>
      <c r="BE1872" s="130">
        <f t="shared" si="584"/>
        <v>4</v>
      </c>
      <c r="BF1872" s="195">
        <f t="shared" si="585"/>
        <v>0</v>
      </c>
      <c r="BG1872" s="373">
        <f t="shared" si="587"/>
        <v>4</v>
      </c>
    </row>
    <row r="1873" spans="1:59" s="46" customFormat="1" ht="15.95" customHeight="1">
      <c r="A1873" s="176">
        <v>65</v>
      </c>
      <c r="B1873" s="31" t="s">
        <v>1205</v>
      </c>
      <c r="C1873" s="32" t="s">
        <v>2901</v>
      </c>
      <c r="D1873" s="231"/>
      <c r="E1873" s="231"/>
      <c r="F1873" s="231"/>
      <c r="G1873" s="231"/>
      <c r="H1873" s="231"/>
      <c r="I1873" s="231"/>
      <c r="J1873" s="231"/>
      <c r="K1873" s="231"/>
      <c r="L1873" s="231"/>
      <c r="M1873" s="231"/>
      <c r="N1873" s="231"/>
      <c r="O1873" s="231"/>
      <c r="P1873" s="231"/>
      <c r="Q1873" s="231"/>
      <c r="R1873" s="231"/>
      <c r="S1873" s="231"/>
      <c r="T1873" s="231"/>
      <c r="U1873" s="231"/>
      <c r="V1873" s="231"/>
      <c r="W1873" s="231"/>
      <c r="X1873" s="231"/>
      <c r="Y1873" s="231"/>
      <c r="Z1873" s="231"/>
      <c r="AA1873" s="231"/>
      <c r="AB1873" s="22">
        <f t="shared" ref="AB1873:AB1904" si="588">SUM(D1873:AA1873)</f>
        <v>0</v>
      </c>
      <c r="AC1873" s="23">
        <v>0</v>
      </c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22">
        <f t="shared" ref="BB1873:BB1904" si="589">SUM(AD1873:BA1873)</f>
        <v>0</v>
      </c>
      <c r="BC1873" s="23">
        <v>1</v>
      </c>
      <c r="BD1873" s="130">
        <f t="shared" ref="BD1873:BD1909" si="590">AB1873+BB1873</f>
        <v>0</v>
      </c>
      <c r="BE1873" s="130">
        <f t="shared" ref="BE1873:BE1909" si="591">AC1873+BC1873</f>
        <v>1</v>
      </c>
      <c r="BF1873" s="195">
        <f t="shared" ref="BF1873:BF1904" si="592">BD1873/BE1873*100</f>
        <v>0</v>
      </c>
      <c r="BG1873" s="373">
        <f t="shared" si="587"/>
        <v>1</v>
      </c>
    </row>
    <row r="1874" spans="1:59" s="46" customFormat="1" ht="15.95" customHeight="1">
      <c r="A1874" s="176">
        <v>66</v>
      </c>
      <c r="B1874" s="31" t="s">
        <v>1206</v>
      </c>
      <c r="C1874" s="32" t="s">
        <v>1986</v>
      </c>
      <c r="D1874" s="231"/>
      <c r="E1874" s="231"/>
      <c r="F1874" s="231"/>
      <c r="G1874" s="231"/>
      <c r="H1874" s="231"/>
      <c r="I1874" s="231"/>
      <c r="J1874" s="231"/>
      <c r="K1874" s="231"/>
      <c r="L1874" s="231"/>
      <c r="M1874" s="231"/>
      <c r="N1874" s="231"/>
      <c r="O1874" s="231"/>
      <c r="P1874" s="231"/>
      <c r="Q1874" s="231"/>
      <c r="R1874" s="231"/>
      <c r="S1874" s="231"/>
      <c r="T1874" s="231"/>
      <c r="U1874" s="231"/>
      <c r="V1874" s="231"/>
      <c r="W1874" s="231"/>
      <c r="X1874" s="231"/>
      <c r="Y1874" s="231"/>
      <c r="Z1874" s="231"/>
      <c r="AA1874" s="231"/>
      <c r="AB1874" s="22">
        <f t="shared" si="588"/>
        <v>0</v>
      </c>
      <c r="AC1874" s="23">
        <v>0</v>
      </c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22">
        <f t="shared" si="589"/>
        <v>0</v>
      </c>
      <c r="BC1874" s="23">
        <v>4</v>
      </c>
      <c r="BD1874" s="130">
        <f t="shared" si="590"/>
        <v>0</v>
      </c>
      <c r="BE1874" s="130">
        <f t="shared" si="591"/>
        <v>4</v>
      </c>
      <c r="BF1874" s="195">
        <f t="shared" si="592"/>
        <v>0</v>
      </c>
      <c r="BG1874" s="373">
        <f t="shared" si="587"/>
        <v>4</v>
      </c>
    </row>
    <row r="1875" spans="1:59" s="46" customFormat="1" ht="15.95" customHeight="1">
      <c r="A1875" s="176">
        <v>67</v>
      </c>
      <c r="B1875" s="31" t="s">
        <v>854</v>
      </c>
      <c r="C1875" s="32" t="s">
        <v>2078</v>
      </c>
      <c r="D1875" s="288"/>
      <c r="E1875" s="288"/>
      <c r="F1875" s="288"/>
      <c r="G1875" s="288"/>
      <c r="H1875" s="288"/>
      <c r="I1875" s="288"/>
      <c r="J1875" s="288"/>
      <c r="K1875" s="288"/>
      <c r="L1875" s="288"/>
      <c r="M1875" s="288"/>
      <c r="N1875" s="288"/>
      <c r="O1875" s="288"/>
      <c r="P1875" s="288"/>
      <c r="Q1875" s="288"/>
      <c r="R1875" s="288"/>
      <c r="S1875" s="288"/>
      <c r="T1875" s="288"/>
      <c r="U1875" s="288"/>
      <c r="V1875" s="288"/>
      <c r="W1875" s="288"/>
      <c r="X1875" s="288"/>
      <c r="Y1875" s="288"/>
      <c r="Z1875" s="288"/>
      <c r="AA1875" s="288"/>
      <c r="AB1875" s="22">
        <f t="shared" si="588"/>
        <v>0</v>
      </c>
      <c r="AC1875" s="23">
        <v>1</v>
      </c>
      <c r="AD1875" s="35"/>
      <c r="AE1875" s="35"/>
      <c r="AF1875" s="35"/>
      <c r="AG1875" s="35"/>
      <c r="AH1875" s="35">
        <v>6</v>
      </c>
      <c r="AI1875" s="35"/>
      <c r="AJ1875" s="35"/>
      <c r="AK1875" s="35"/>
      <c r="AL1875" s="35">
        <v>106</v>
      </c>
      <c r="AM1875" s="35"/>
      <c r="AN1875" s="35"/>
      <c r="AO1875" s="35"/>
      <c r="AP1875" s="35">
        <v>2</v>
      </c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22">
        <f t="shared" si="589"/>
        <v>114</v>
      </c>
      <c r="BC1875" s="23">
        <v>1364</v>
      </c>
      <c r="BD1875" s="130">
        <f t="shared" si="590"/>
        <v>114</v>
      </c>
      <c r="BE1875" s="130">
        <f t="shared" si="591"/>
        <v>1365</v>
      </c>
      <c r="BF1875" s="195">
        <f t="shared" si="592"/>
        <v>8.3516483516483504</v>
      </c>
      <c r="BG1875" s="373">
        <f t="shared" si="587"/>
        <v>1251</v>
      </c>
    </row>
    <row r="1876" spans="1:59" s="46" customFormat="1" ht="15.95" customHeight="1">
      <c r="A1876" s="176">
        <v>68</v>
      </c>
      <c r="B1876" s="31" t="s">
        <v>974</v>
      </c>
      <c r="C1876" s="32" t="s">
        <v>2078</v>
      </c>
      <c r="D1876" s="231"/>
      <c r="E1876" s="231"/>
      <c r="F1876" s="231"/>
      <c r="G1876" s="231"/>
      <c r="H1876" s="231"/>
      <c r="I1876" s="231"/>
      <c r="J1876" s="231"/>
      <c r="K1876" s="231"/>
      <c r="L1876" s="231"/>
      <c r="M1876" s="231"/>
      <c r="N1876" s="231"/>
      <c r="O1876" s="231"/>
      <c r="P1876" s="231"/>
      <c r="Q1876" s="231"/>
      <c r="R1876" s="231"/>
      <c r="S1876" s="231"/>
      <c r="T1876" s="231"/>
      <c r="U1876" s="231"/>
      <c r="V1876" s="231"/>
      <c r="W1876" s="231"/>
      <c r="X1876" s="231"/>
      <c r="Y1876" s="231"/>
      <c r="Z1876" s="231"/>
      <c r="AA1876" s="231"/>
      <c r="AB1876" s="22">
        <f t="shared" si="588"/>
        <v>0</v>
      </c>
      <c r="AC1876" s="23">
        <v>0</v>
      </c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22">
        <f t="shared" si="589"/>
        <v>0</v>
      </c>
      <c r="BC1876" s="23">
        <v>2</v>
      </c>
      <c r="BD1876" s="130">
        <f t="shared" si="590"/>
        <v>0</v>
      </c>
      <c r="BE1876" s="130">
        <f t="shared" si="591"/>
        <v>2</v>
      </c>
      <c r="BF1876" s="195">
        <f t="shared" si="592"/>
        <v>0</v>
      </c>
      <c r="BG1876" s="373">
        <f t="shared" si="587"/>
        <v>2</v>
      </c>
    </row>
    <row r="1877" spans="1:59" s="46" customFormat="1" ht="15.95" customHeight="1">
      <c r="A1877" s="176">
        <v>69</v>
      </c>
      <c r="B1877" s="31" t="s">
        <v>1056</v>
      </c>
      <c r="C1877" s="32" t="s">
        <v>1104</v>
      </c>
      <c r="D1877" s="231"/>
      <c r="E1877" s="231"/>
      <c r="F1877" s="231"/>
      <c r="G1877" s="231"/>
      <c r="H1877" s="231"/>
      <c r="I1877" s="231"/>
      <c r="J1877" s="231"/>
      <c r="K1877" s="231"/>
      <c r="L1877" s="231"/>
      <c r="M1877" s="231"/>
      <c r="N1877" s="231"/>
      <c r="O1877" s="231"/>
      <c r="P1877" s="231"/>
      <c r="Q1877" s="231"/>
      <c r="R1877" s="231"/>
      <c r="S1877" s="231"/>
      <c r="T1877" s="231"/>
      <c r="U1877" s="231"/>
      <c r="V1877" s="231"/>
      <c r="W1877" s="231"/>
      <c r="X1877" s="231"/>
      <c r="Y1877" s="231"/>
      <c r="Z1877" s="231"/>
      <c r="AA1877" s="231"/>
      <c r="AB1877" s="22">
        <f t="shared" si="588"/>
        <v>0</v>
      </c>
      <c r="AC1877" s="23">
        <v>0</v>
      </c>
      <c r="AD1877" s="35"/>
      <c r="AE1877" s="35"/>
      <c r="AF1877" s="35"/>
      <c r="AG1877" s="35"/>
      <c r="AH1877" s="35"/>
      <c r="AI1877" s="35"/>
      <c r="AJ1877" s="35"/>
      <c r="AK1877" s="35"/>
      <c r="AL1877" s="35">
        <v>1</v>
      </c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22">
        <f t="shared" si="589"/>
        <v>1</v>
      </c>
      <c r="BC1877" s="23">
        <v>18</v>
      </c>
      <c r="BD1877" s="130">
        <f t="shared" si="590"/>
        <v>1</v>
      </c>
      <c r="BE1877" s="130">
        <f t="shared" si="591"/>
        <v>18</v>
      </c>
      <c r="BF1877" s="195">
        <f t="shared" si="592"/>
        <v>5.5555555555555554</v>
      </c>
      <c r="BG1877" s="373">
        <f t="shared" si="587"/>
        <v>17</v>
      </c>
    </row>
    <row r="1878" spans="1:59" s="46" customFormat="1" ht="15.95" customHeight="1">
      <c r="A1878" s="176">
        <v>70</v>
      </c>
      <c r="B1878" s="31" t="s">
        <v>856</v>
      </c>
      <c r="C1878" s="32" t="s">
        <v>2079</v>
      </c>
      <c r="D1878" s="322"/>
      <c r="E1878" s="322"/>
      <c r="F1878" s="322"/>
      <c r="G1878" s="322"/>
      <c r="H1878" s="322"/>
      <c r="I1878" s="322"/>
      <c r="J1878" s="322"/>
      <c r="K1878" s="322"/>
      <c r="L1878" s="322"/>
      <c r="M1878" s="322"/>
      <c r="N1878" s="322"/>
      <c r="O1878" s="322"/>
      <c r="P1878" s="322"/>
      <c r="Q1878" s="322"/>
      <c r="R1878" s="322"/>
      <c r="S1878" s="322"/>
      <c r="T1878" s="322"/>
      <c r="U1878" s="322"/>
      <c r="V1878" s="322"/>
      <c r="W1878" s="322"/>
      <c r="X1878" s="322"/>
      <c r="Y1878" s="322"/>
      <c r="Z1878" s="322"/>
      <c r="AA1878" s="322"/>
      <c r="AB1878" s="22">
        <f t="shared" si="588"/>
        <v>0</v>
      </c>
      <c r="AC1878" s="23">
        <v>0</v>
      </c>
      <c r="AD1878" s="35"/>
      <c r="AE1878" s="35"/>
      <c r="AF1878" s="35"/>
      <c r="AG1878" s="35"/>
      <c r="AH1878" s="35">
        <v>504</v>
      </c>
      <c r="AI1878" s="35"/>
      <c r="AJ1878" s="35"/>
      <c r="AK1878" s="35"/>
      <c r="AL1878" s="35">
        <v>2416</v>
      </c>
      <c r="AM1878" s="35"/>
      <c r="AN1878" s="35"/>
      <c r="AO1878" s="35"/>
      <c r="AP1878" s="35">
        <v>68</v>
      </c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22">
        <f t="shared" si="589"/>
        <v>2988</v>
      </c>
      <c r="BC1878" s="23">
        <v>14345</v>
      </c>
      <c r="BD1878" s="130">
        <f t="shared" si="590"/>
        <v>2988</v>
      </c>
      <c r="BE1878" s="130">
        <f t="shared" si="591"/>
        <v>14345</v>
      </c>
      <c r="BF1878" s="195">
        <f t="shared" si="592"/>
        <v>20.829557337051238</v>
      </c>
      <c r="BG1878" s="373">
        <f t="shared" si="587"/>
        <v>11357</v>
      </c>
    </row>
    <row r="1879" spans="1:59" s="46" customFormat="1" ht="15.95" customHeight="1">
      <c r="A1879" s="176">
        <v>71</v>
      </c>
      <c r="B1879" s="31" t="s">
        <v>1022</v>
      </c>
      <c r="C1879" s="32" t="s">
        <v>1023</v>
      </c>
      <c r="D1879" s="231"/>
      <c r="E1879" s="231"/>
      <c r="F1879" s="231"/>
      <c r="G1879" s="231"/>
      <c r="H1879" s="231"/>
      <c r="I1879" s="231"/>
      <c r="J1879" s="231"/>
      <c r="K1879" s="231"/>
      <c r="L1879" s="231"/>
      <c r="M1879" s="231"/>
      <c r="N1879" s="231"/>
      <c r="O1879" s="231"/>
      <c r="P1879" s="231"/>
      <c r="Q1879" s="231"/>
      <c r="R1879" s="231"/>
      <c r="S1879" s="231"/>
      <c r="T1879" s="231"/>
      <c r="U1879" s="231"/>
      <c r="V1879" s="231"/>
      <c r="W1879" s="231"/>
      <c r="X1879" s="231"/>
      <c r="Y1879" s="231"/>
      <c r="Z1879" s="231"/>
      <c r="AA1879" s="231"/>
      <c r="AB1879" s="22">
        <f t="shared" si="588"/>
        <v>0</v>
      </c>
      <c r="AC1879" s="23">
        <v>0</v>
      </c>
      <c r="AD1879" s="35"/>
      <c r="AE1879" s="35"/>
      <c r="AF1879" s="35"/>
      <c r="AG1879" s="35"/>
      <c r="AH1879" s="35">
        <v>144</v>
      </c>
      <c r="AI1879" s="35"/>
      <c r="AJ1879" s="35"/>
      <c r="AK1879" s="35"/>
      <c r="AL1879" s="35">
        <v>642</v>
      </c>
      <c r="AM1879" s="35"/>
      <c r="AN1879" s="35"/>
      <c r="AO1879" s="35"/>
      <c r="AP1879" s="35">
        <v>55</v>
      </c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22">
        <f t="shared" si="589"/>
        <v>841</v>
      </c>
      <c r="BC1879" s="23">
        <v>3020</v>
      </c>
      <c r="BD1879" s="130">
        <f t="shared" si="590"/>
        <v>841</v>
      </c>
      <c r="BE1879" s="130">
        <f t="shared" si="591"/>
        <v>3020</v>
      </c>
      <c r="BF1879" s="195">
        <f t="shared" si="592"/>
        <v>27.847682119205295</v>
      </c>
      <c r="BG1879" s="373">
        <f t="shared" si="587"/>
        <v>2179</v>
      </c>
    </row>
    <row r="1880" spans="1:59" s="46" customFormat="1" ht="15.95" customHeight="1">
      <c r="A1880" s="176">
        <v>72</v>
      </c>
      <c r="B1880" s="31" t="s">
        <v>1059</v>
      </c>
      <c r="C1880" s="32" t="s">
        <v>1023</v>
      </c>
      <c r="D1880" s="231"/>
      <c r="E1880" s="231"/>
      <c r="F1880" s="231"/>
      <c r="G1880" s="231"/>
      <c r="H1880" s="231"/>
      <c r="I1880" s="231"/>
      <c r="J1880" s="231"/>
      <c r="K1880" s="231"/>
      <c r="L1880" s="231"/>
      <c r="M1880" s="231"/>
      <c r="N1880" s="231"/>
      <c r="O1880" s="231"/>
      <c r="P1880" s="231"/>
      <c r="Q1880" s="231"/>
      <c r="R1880" s="231"/>
      <c r="S1880" s="231"/>
      <c r="T1880" s="231"/>
      <c r="U1880" s="231"/>
      <c r="V1880" s="231"/>
      <c r="W1880" s="231"/>
      <c r="X1880" s="231"/>
      <c r="Y1880" s="231"/>
      <c r="Z1880" s="231"/>
      <c r="AA1880" s="231"/>
      <c r="AB1880" s="22">
        <f t="shared" si="588"/>
        <v>0</v>
      </c>
      <c r="AC1880" s="23">
        <v>0</v>
      </c>
      <c r="AD1880" s="35"/>
      <c r="AE1880" s="35"/>
      <c r="AF1880" s="35"/>
      <c r="AG1880" s="35"/>
      <c r="AH1880" s="35">
        <v>20</v>
      </c>
      <c r="AI1880" s="35"/>
      <c r="AJ1880" s="35"/>
      <c r="AK1880" s="35"/>
      <c r="AL1880" s="35">
        <v>48</v>
      </c>
      <c r="AM1880" s="35"/>
      <c r="AN1880" s="35"/>
      <c r="AO1880" s="35"/>
      <c r="AP1880" s="35">
        <v>4</v>
      </c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22">
        <f t="shared" si="589"/>
        <v>72</v>
      </c>
      <c r="BC1880" s="23">
        <v>558</v>
      </c>
      <c r="BD1880" s="130">
        <f t="shared" si="590"/>
        <v>72</v>
      </c>
      <c r="BE1880" s="130">
        <f t="shared" si="591"/>
        <v>558</v>
      </c>
      <c r="BF1880" s="195">
        <f t="shared" si="592"/>
        <v>12.903225806451612</v>
      </c>
      <c r="BG1880" s="373">
        <f t="shared" si="587"/>
        <v>486</v>
      </c>
    </row>
    <row r="1881" spans="1:59" s="46" customFormat="1" ht="15.95" customHeight="1">
      <c r="A1881" s="176">
        <v>73</v>
      </c>
      <c r="B1881" s="31" t="s">
        <v>1209</v>
      </c>
      <c r="C1881" s="32" t="s">
        <v>1645</v>
      </c>
      <c r="D1881" s="231"/>
      <c r="E1881" s="231"/>
      <c r="F1881" s="231"/>
      <c r="G1881" s="231"/>
      <c r="H1881" s="231"/>
      <c r="I1881" s="231"/>
      <c r="J1881" s="231"/>
      <c r="K1881" s="231"/>
      <c r="L1881" s="231"/>
      <c r="M1881" s="231"/>
      <c r="N1881" s="231"/>
      <c r="O1881" s="231"/>
      <c r="P1881" s="231"/>
      <c r="Q1881" s="231"/>
      <c r="R1881" s="231"/>
      <c r="S1881" s="231"/>
      <c r="T1881" s="231"/>
      <c r="U1881" s="231"/>
      <c r="V1881" s="231"/>
      <c r="W1881" s="231"/>
      <c r="X1881" s="231"/>
      <c r="Y1881" s="231"/>
      <c r="Z1881" s="231"/>
      <c r="AA1881" s="231"/>
      <c r="AB1881" s="22">
        <f t="shared" si="588"/>
        <v>0</v>
      </c>
      <c r="AC1881" s="23">
        <v>0</v>
      </c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22">
        <f t="shared" si="589"/>
        <v>0</v>
      </c>
      <c r="BC1881" s="23">
        <v>3</v>
      </c>
      <c r="BD1881" s="130">
        <f t="shared" si="590"/>
        <v>0</v>
      </c>
      <c r="BE1881" s="130">
        <f t="shared" si="591"/>
        <v>3</v>
      </c>
      <c r="BF1881" s="195">
        <f t="shared" si="592"/>
        <v>0</v>
      </c>
      <c r="BG1881" s="373">
        <f t="shared" si="587"/>
        <v>3</v>
      </c>
    </row>
    <row r="1882" spans="1:59" s="46" customFormat="1" ht="15.95" customHeight="1">
      <c r="A1882" s="176">
        <v>74</v>
      </c>
      <c r="B1882" s="31" t="s">
        <v>858</v>
      </c>
      <c r="C1882" s="32" t="s">
        <v>859</v>
      </c>
      <c r="D1882" s="231"/>
      <c r="E1882" s="231"/>
      <c r="F1882" s="231"/>
      <c r="G1882" s="231"/>
      <c r="H1882" s="231"/>
      <c r="I1882" s="231"/>
      <c r="J1882" s="231"/>
      <c r="K1882" s="231"/>
      <c r="L1882" s="231"/>
      <c r="M1882" s="231"/>
      <c r="N1882" s="231"/>
      <c r="O1882" s="231"/>
      <c r="P1882" s="231"/>
      <c r="Q1882" s="231"/>
      <c r="R1882" s="231"/>
      <c r="S1882" s="231"/>
      <c r="T1882" s="231"/>
      <c r="U1882" s="231"/>
      <c r="V1882" s="231"/>
      <c r="W1882" s="231"/>
      <c r="X1882" s="231"/>
      <c r="Y1882" s="231"/>
      <c r="Z1882" s="231"/>
      <c r="AA1882" s="231"/>
      <c r="AB1882" s="22">
        <f t="shared" si="588"/>
        <v>0</v>
      </c>
      <c r="AC1882" s="23">
        <v>0</v>
      </c>
      <c r="AD1882" s="35"/>
      <c r="AE1882" s="35"/>
      <c r="AF1882" s="35"/>
      <c r="AG1882" s="35"/>
      <c r="AH1882" s="35">
        <v>42</v>
      </c>
      <c r="AI1882" s="35"/>
      <c r="AJ1882" s="35"/>
      <c r="AK1882" s="35"/>
      <c r="AL1882" s="35">
        <v>493</v>
      </c>
      <c r="AM1882" s="35"/>
      <c r="AN1882" s="35"/>
      <c r="AO1882" s="35"/>
      <c r="AP1882" s="35">
        <v>2</v>
      </c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22">
        <f t="shared" si="589"/>
        <v>537</v>
      </c>
      <c r="BC1882" s="23">
        <v>3674</v>
      </c>
      <c r="BD1882" s="130">
        <f t="shared" si="590"/>
        <v>537</v>
      </c>
      <c r="BE1882" s="130">
        <f t="shared" si="591"/>
        <v>3674</v>
      </c>
      <c r="BF1882" s="195">
        <f t="shared" si="592"/>
        <v>14.616222101252042</v>
      </c>
      <c r="BG1882" s="373">
        <f t="shared" si="587"/>
        <v>3137</v>
      </c>
    </row>
    <row r="1883" spans="1:59" s="46" customFormat="1" ht="15.95" customHeight="1">
      <c r="A1883" s="176">
        <v>75</v>
      </c>
      <c r="B1883" s="31" t="s">
        <v>860</v>
      </c>
      <c r="C1883" s="32" t="s">
        <v>1104</v>
      </c>
      <c r="D1883" s="231"/>
      <c r="E1883" s="231"/>
      <c r="F1883" s="231"/>
      <c r="G1883" s="231"/>
      <c r="H1883" s="231"/>
      <c r="I1883" s="231"/>
      <c r="J1883" s="231"/>
      <c r="K1883" s="231"/>
      <c r="L1883" s="231"/>
      <c r="M1883" s="231"/>
      <c r="N1883" s="231"/>
      <c r="O1883" s="231"/>
      <c r="P1883" s="231"/>
      <c r="Q1883" s="231"/>
      <c r="R1883" s="231"/>
      <c r="S1883" s="231"/>
      <c r="T1883" s="231"/>
      <c r="U1883" s="231"/>
      <c r="V1883" s="231"/>
      <c r="W1883" s="231"/>
      <c r="X1883" s="231"/>
      <c r="Y1883" s="231"/>
      <c r="Z1883" s="231"/>
      <c r="AA1883" s="231"/>
      <c r="AB1883" s="22">
        <f t="shared" si="588"/>
        <v>0</v>
      </c>
      <c r="AC1883" s="23">
        <v>1</v>
      </c>
      <c r="AD1883" s="35"/>
      <c r="AE1883" s="35"/>
      <c r="AF1883" s="35"/>
      <c r="AG1883" s="35"/>
      <c r="AH1883" s="35">
        <v>940</v>
      </c>
      <c r="AI1883" s="35"/>
      <c r="AJ1883" s="35"/>
      <c r="AK1883" s="35"/>
      <c r="AL1883" s="35">
        <v>3443</v>
      </c>
      <c r="AM1883" s="35"/>
      <c r="AN1883" s="35"/>
      <c r="AO1883" s="35"/>
      <c r="AP1883" s="35">
        <v>124</v>
      </c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22">
        <f t="shared" si="589"/>
        <v>4507</v>
      </c>
      <c r="BC1883" s="23">
        <v>34525</v>
      </c>
      <c r="BD1883" s="130">
        <f t="shared" si="590"/>
        <v>4507</v>
      </c>
      <c r="BE1883" s="130">
        <f t="shared" si="591"/>
        <v>34526</v>
      </c>
      <c r="BF1883" s="195">
        <f t="shared" si="592"/>
        <v>13.053930371314371</v>
      </c>
      <c r="BG1883" s="373">
        <f t="shared" si="587"/>
        <v>30019</v>
      </c>
    </row>
    <row r="1884" spans="1:59" s="46" customFormat="1" ht="15.95" customHeight="1">
      <c r="A1884" s="176">
        <v>76</v>
      </c>
      <c r="B1884" s="31" t="s">
        <v>1026</v>
      </c>
      <c r="C1884" s="32" t="s">
        <v>1987</v>
      </c>
      <c r="D1884" s="231"/>
      <c r="E1884" s="231"/>
      <c r="F1884" s="231"/>
      <c r="G1884" s="231"/>
      <c r="H1884" s="231"/>
      <c r="I1884" s="231"/>
      <c r="J1884" s="231"/>
      <c r="K1884" s="231"/>
      <c r="L1884" s="231"/>
      <c r="M1884" s="231"/>
      <c r="N1884" s="231"/>
      <c r="O1884" s="231"/>
      <c r="P1884" s="231"/>
      <c r="Q1884" s="231"/>
      <c r="R1884" s="231"/>
      <c r="S1884" s="231"/>
      <c r="T1884" s="231"/>
      <c r="U1884" s="231"/>
      <c r="V1884" s="231"/>
      <c r="W1884" s="231"/>
      <c r="X1884" s="231"/>
      <c r="Y1884" s="231"/>
      <c r="Z1884" s="231"/>
      <c r="AA1884" s="231"/>
      <c r="AB1884" s="22">
        <f t="shared" si="588"/>
        <v>0</v>
      </c>
      <c r="AC1884" s="23">
        <v>0</v>
      </c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22">
        <f t="shared" si="589"/>
        <v>0</v>
      </c>
      <c r="BC1884" s="23">
        <v>11</v>
      </c>
      <c r="BD1884" s="130">
        <f t="shared" si="590"/>
        <v>0</v>
      </c>
      <c r="BE1884" s="130">
        <f t="shared" si="591"/>
        <v>11</v>
      </c>
      <c r="BF1884" s="195">
        <f t="shared" si="592"/>
        <v>0</v>
      </c>
      <c r="BG1884" s="373">
        <f t="shared" si="587"/>
        <v>11</v>
      </c>
    </row>
    <row r="1885" spans="1:59" s="46" customFormat="1" ht="15.95" customHeight="1">
      <c r="A1885" s="176">
        <v>77</v>
      </c>
      <c r="B1885" s="31" t="s">
        <v>862</v>
      </c>
      <c r="C1885" s="32" t="s">
        <v>1105</v>
      </c>
      <c r="D1885" s="231"/>
      <c r="E1885" s="231"/>
      <c r="F1885" s="231"/>
      <c r="G1885" s="231"/>
      <c r="H1885" s="231"/>
      <c r="I1885" s="231"/>
      <c r="J1885" s="231"/>
      <c r="K1885" s="231"/>
      <c r="L1885" s="231"/>
      <c r="M1885" s="231"/>
      <c r="N1885" s="231"/>
      <c r="O1885" s="231"/>
      <c r="P1885" s="231"/>
      <c r="Q1885" s="231"/>
      <c r="R1885" s="231"/>
      <c r="S1885" s="231"/>
      <c r="T1885" s="231"/>
      <c r="U1885" s="231"/>
      <c r="V1885" s="231"/>
      <c r="W1885" s="231"/>
      <c r="X1885" s="231"/>
      <c r="Y1885" s="231"/>
      <c r="Z1885" s="231"/>
      <c r="AA1885" s="231"/>
      <c r="AB1885" s="22">
        <f t="shared" si="588"/>
        <v>0</v>
      </c>
      <c r="AC1885" s="23">
        <v>0</v>
      </c>
      <c r="AD1885" s="35"/>
      <c r="AE1885" s="35"/>
      <c r="AF1885" s="35"/>
      <c r="AG1885" s="35"/>
      <c r="AH1885" s="35">
        <v>240</v>
      </c>
      <c r="AI1885" s="35"/>
      <c r="AJ1885" s="35"/>
      <c r="AK1885" s="35"/>
      <c r="AL1885" s="35">
        <v>1372</v>
      </c>
      <c r="AM1885" s="35"/>
      <c r="AN1885" s="35"/>
      <c r="AO1885" s="35"/>
      <c r="AP1885" s="35">
        <v>47</v>
      </c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22">
        <f t="shared" si="589"/>
        <v>1659</v>
      </c>
      <c r="BC1885" s="23">
        <v>5084</v>
      </c>
      <c r="BD1885" s="130">
        <f t="shared" si="590"/>
        <v>1659</v>
      </c>
      <c r="BE1885" s="130">
        <f t="shared" si="591"/>
        <v>5084</v>
      </c>
      <c r="BF1885" s="195">
        <f t="shared" si="592"/>
        <v>32.631785995279309</v>
      </c>
      <c r="BG1885" s="373">
        <f t="shared" si="587"/>
        <v>3425</v>
      </c>
    </row>
    <row r="1886" spans="1:59" s="46" customFormat="1" ht="15.95" customHeight="1">
      <c r="A1886" s="176">
        <v>78</v>
      </c>
      <c r="B1886" s="31" t="s">
        <v>1254</v>
      </c>
      <c r="C1886" s="32" t="s">
        <v>1988</v>
      </c>
      <c r="D1886" s="231"/>
      <c r="E1886" s="231"/>
      <c r="F1886" s="231"/>
      <c r="G1886" s="231"/>
      <c r="H1886" s="231"/>
      <c r="I1886" s="231"/>
      <c r="J1886" s="231"/>
      <c r="K1886" s="231"/>
      <c r="L1886" s="231"/>
      <c r="M1886" s="231"/>
      <c r="N1886" s="231"/>
      <c r="O1886" s="231"/>
      <c r="P1886" s="231"/>
      <c r="Q1886" s="231"/>
      <c r="R1886" s="231"/>
      <c r="S1886" s="231"/>
      <c r="T1886" s="231"/>
      <c r="U1886" s="231"/>
      <c r="V1886" s="231"/>
      <c r="W1886" s="231"/>
      <c r="X1886" s="231"/>
      <c r="Y1886" s="231"/>
      <c r="Z1886" s="231"/>
      <c r="AA1886" s="231"/>
      <c r="AB1886" s="22">
        <f t="shared" si="588"/>
        <v>0</v>
      </c>
      <c r="AC1886" s="23">
        <v>0</v>
      </c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22">
        <f t="shared" si="589"/>
        <v>0</v>
      </c>
      <c r="BC1886" s="23">
        <v>8</v>
      </c>
      <c r="BD1886" s="130">
        <f t="shared" si="590"/>
        <v>0</v>
      </c>
      <c r="BE1886" s="130">
        <f t="shared" si="591"/>
        <v>8</v>
      </c>
      <c r="BF1886" s="195">
        <f t="shared" si="592"/>
        <v>0</v>
      </c>
      <c r="BG1886" s="373">
        <f t="shared" si="587"/>
        <v>8</v>
      </c>
    </row>
    <row r="1887" spans="1:59" s="46" customFormat="1" ht="15.95" customHeight="1">
      <c r="A1887" s="176">
        <v>79</v>
      </c>
      <c r="B1887" s="31" t="s">
        <v>1989</v>
      </c>
      <c r="C1887" s="32" t="s">
        <v>1991</v>
      </c>
      <c r="D1887" s="231"/>
      <c r="E1887" s="231"/>
      <c r="F1887" s="231"/>
      <c r="G1887" s="231"/>
      <c r="H1887" s="231"/>
      <c r="I1887" s="231"/>
      <c r="J1887" s="231"/>
      <c r="K1887" s="231"/>
      <c r="L1887" s="231"/>
      <c r="M1887" s="231"/>
      <c r="N1887" s="231"/>
      <c r="O1887" s="231"/>
      <c r="P1887" s="231"/>
      <c r="Q1887" s="231"/>
      <c r="R1887" s="231"/>
      <c r="S1887" s="231"/>
      <c r="T1887" s="231"/>
      <c r="U1887" s="231"/>
      <c r="V1887" s="231"/>
      <c r="W1887" s="231"/>
      <c r="X1887" s="231"/>
      <c r="Y1887" s="231"/>
      <c r="Z1887" s="231"/>
      <c r="AA1887" s="231"/>
      <c r="AB1887" s="22">
        <f t="shared" si="588"/>
        <v>0</v>
      </c>
      <c r="AC1887" s="23">
        <v>0</v>
      </c>
      <c r="AD1887" s="35"/>
      <c r="AE1887" s="35"/>
      <c r="AF1887" s="35"/>
      <c r="AG1887" s="35"/>
      <c r="AH1887" s="35">
        <v>7</v>
      </c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22">
        <f t="shared" si="589"/>
        <v>7</v>
      </c>
      <c r="BC1887" s="23">
        <v>7</v>
      </c>
      <c r="BD1887" s="130">
        <f t="shared" si="590"/>
        <v>7</v>
      </c>
      <c r="BE1887" s="130">
        <f t="shared" si="591"/>
        <v>7</v>
      </c>
      <c r="BF1887" s="195">
        <f t="shared" si="592"/>
        <v>100</v>
      </c>
      <c r="BG1887" s="373">
        <f t="shared" si="587"/>
        <v>0</v>
      </c>
    </row>
    <row r="1888" spans="1:59" s="46" customFormat="1" ht="15.95" customHeight="1">
      <c r="A1888" s="176">
        <v>80</v>
      </c>
      <c r="B1888" s="31" t="s">
        <v>864</v>
      </c>
      <c r="C1888" s="32" t="s">
        <v>1990</v>
      </c>
      <c r="D1888" s="231"/>
      <c r="E1888" s="231"/>
      <c r="F1888" s="231"/>
      <c r="G1888" s="231"/>
      <c r="H1888" s="231"/>
      <c r="I1888" s="231"/>
      <c r="J1888" s="231"/>
      <c r="K1888" s="231"/>
      <c r="L1888" s="231"/>
      <c r="M1888" s="231"/>
      <c r="N1888" s="231"/>
      <c r="O1888" s="231"/>
      <c r="P1888" s="231"/>
      <c r="Q1888" s="231"/>
      <c r="R1888" s="231"/>
      <c r="S1888" s="231"/>
      <c r="T1888" s="231"/>
      <c r="U1888" s="231"/>
      <c r="V1888" s="231"/>
      <c r="W1888" s="231"/>
      <c r="X1888" s="231"/>
      <c r="Y1888" s="231"/>
      <c r="Z1888" s="231"/>
      <c r="AA1888" s="231"/>
      <c r="AB1888" s="22">
        <f t="shared" si="588"/>
        <v>0</v>
      </c>
      <c r="AC1888" s="23">
        <v>0</v>
      </c>
      <c r="AD1888" s="35"/>
      <c r="AE1888" s="35"/>
      <c r="AF1888" s="35"/>
      <c r="AG1888" s="35"/>
      <c r="AH1888" s="35">
        <v>72</v>
      </c>
      <c r="AI1888" s="35"/>
      <c r="AJ1888" s="35"/>
      <c r="AK1888" s="35"/>
      <c r="AL1888" s="35">
        <v>252</v>
      </c>
      <c r="AM1888" s="35"/>
      <c r="AN1888" s="35"/>
      <c r="AO1888" s="35"/>
      <c r="AP1888" s="35">
        <v>30</v>
      </c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22">
        <f t="shared" si="589"/>
        <v>354</v>
      </c>
      <c r="BC1888" s="23">
        <v>2972</v>
      </c>
      <c r="BD1888" s="130">
        <f t="shared" si="590"/>
        <v>354</v>
      </c>
      <c r="BE1888" s="130">
        <f t="shared" si="591"/>
        <v>2972</v>
      </c>
      <c r="BF1888" s="195">
        <f t="shared" si="592"/>
        <v>11.911170928667564</v>
      </c>
      <c r="BG1888" s="373">
        <f t="shared" si="587"/>
        <v>2618</v>
      </c>
    </row>
    <row r="1889" spans="1:59" s="46" customFormat="1" ht="15.95" customHeight="1">
      <c r="A1889" s="176">
        <v>81</v>
      </c>
      <c r="B1889" s="31" t="s">
        <v>1979</v>
      </c>
      <c r="C1889" s="32" t="s">
        <v>1992</v>
      </c>
      <c r="D1889" s="231"/>
      <c r="E1889" s="231"/>
      <c r="F1889" s="231"/>
      <c r="G1889" s="231"/>
      <c r="H1889" s="231"/>
      <c r="I1889" s="231"/>
      <c r="J1889" s="231"/>
      <c r="K1889" s="231"/>
      <c r="L1889" s="231"/>
      <c r="M1889" s="231"/>
      <c r="N1889" s="231"/>
      <c r="O1889" s="231"/>
      <c r="P1889" s="231"/>
      <c r="Q1889" s="231"/>
      <c r="R1889" s="231"/>
      <c r="S1889" s="231"/>
      <c r="T1889" s="231"/>
      <c r="U1889" s="231"/>
      <c r="V1889" s="231"/>
      <c r="W1889" s="231"/>
      <c r="X1889" s="231"/>
      <c r="Y1889" s="231"/>
      <c r="Z1889" s="231"/>
      <c r="AA1889" s="231"/>
      <c r="AB1889" s="22">
        <f t="shared" si="588"/>
        <v>0</v>
      </c>
      <c r="AC1889" s="23">
        <v>0</v>
      </c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22">
        <f t="shared" si="589"/>
        <v>0</v>
      </c>
      <c r="BC1889" s="23">
        <v>1</v>
      </c>
      <c r="BD1889" s="130">
        <f t="shared" si="590"/>
        <v>0</v>
      </c>
      <c r="BE1889" s="130">
        <f t="shared" si="591"/>
        <v>1</v>
      </c>
      <c r="BF1889" s="195">
        <f t="shared" si="592"/>
        <v>0</v>
      </c>
      <c r="BG1889" s="373">
        <f t="shared" si="587"/>
        <v>1</v>
      </c>
    </row>
    <row r="1890" spans="1:59" s="46" customFormat="1" ht="15.95" customHeight="1">
      <c r="A1890" s="176">
        <v>82</v>
      </c>
      <c r="B1890" s="31" t="s">
        <v>865</v>
      </c>
      <c r="C1890" s="34" t="s">
        <v>978</v>
      </c>
      <c r="D1890" s="231"/>
      <c r="E1890" s="231"/>
      <c r="F1890" s="231"/>
      <c r="G1890" s="231"/>
      <c r="H1890" s="231"/>
      <c r="I1890" s="231"/>
      <c r="J1890" s="231"/>
      <c r="K1890" s="231"/>
      <c r="L1890" s="231"/>
      <c r="M1890" s="231"/>
      <c r="N1890" s="231"/>
      <c r="O1890" s="231"/>
      <c r="P1890" s="231"/>
      <c r="Q1890" s="231"/>
      <c r="R1890" s="231"/>
      <c r="S1890" s="231"/>
      <c r="T1890" s="231"/>
      <c r="U1890" s="231"/>
      <c r="V1890" s="231"/>
      <c r="W1890" s="231"/>
      <c r="X1890" s="231"/>
      <c r="Y1890" s="231"/>
      <c r="Z1890" s="231"/>
      <c r="AA1890" s="231"/>
      <c r="AB1890" s="22">
        <f t="shared" si="588"/>
        <v>0</v>
      </c>
      <c r="AC1890" s="23">
        <v>0</v>
      </c>
      <c r="AD1890" s="35"/>
      <c r="AE1890" s="35"/>
      <c r="AF1890" s="35"/>
      <c r="AG1890" s="35"/>
      <c r="AH1890" s="35"/>
      <c r="AI1890" s="35"/>
      <c r="AJ1890" s="35"/>
      <c r="AK1890" s="35"/>
      <c r="AL1890" s="35">
        <v>28</v>
      </c>
      <c r="AM1890" s="35"/>
      <c r="AN1890" s="35"/>
      <c r="AO1890" s="35"/>
      <c r="AP1890" s="35">
        <v>8</v>
      </c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22">
        <f t="shared" si="589"/>
        <v>36</v>
      </c>
      <c r="BC1890" s="23">
        <v>120</v>
      </c>
      <c r="BD1890" s="130">
        <f t="shared" si="590"/>
        <v>36</v>
      </c>
      <c r="BE1890" s="130">
        <f t="shared" si="591"/>
        <v>120</v>
      </c>
      <c r="BF1890" s="195">
        <f t="shared" si="592"/>
        <v>30</v>
      </c>
      <c r="BG1890" s="373">
        <f t="shared" si="587"/>
        <v>84</v>
      </c>
    </row>
    <row r="1891" spans="1:59" s="46" customFormat="1" ht="15.95" customHeight="1">
      <c r="A1891" s="176">
        <v>83</v>
      </c>
      <c r="B1891" s="31" t="s">
        <v>3177</v>
      </c>
      <c r="C1891" s="34" t="s">
        <v>3178</v>
      </c>
      <c r="D1891" s="231"/>
      <c r="E1891" s="231"/>
      <c r="F1891" s="231"/>
      <c r="G1891" s="231"/>
      <c r="H1891" s="231"/>
      <c r="I1891" s="231"/>
      <c r="J1891" s="231"/>
      <c r="K1891" s="231"/>
      <c r="L1891" s="231"/>
      <c r="M1891" s="231"/>
      <c r="N1891" s="231"/>
      <c r="O1891" s="231"/>
      <c r="P1891" s="231"/>
      <c r="Q1891" s="231"/>
      <c r="R1891" s="231"/>
      <c r="S1891" s="231"/>
      <c r="T1891" s="231"/>
      <c r="U1891" s="231"/>
      <c r="V1891" s="231"/>
      <c r="W1891" s="231"/>
      <c r="X1891" s="231"/>
      <c r="Y1891" s="231"/>
      <c r="Z1891" s="231"/>
      <c r="AA1891" s="231"/>
      <c r="AB1891" s="22">
        <f t="shared" si="588"/>
        <v>0</v>
      </c>
      <c r="AC1891" s="23">
        <v>0</v>
      </c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22">
        <f t="shared" si="589"/>
        <v>0</v>
      </c>
      <c r="BC1891" s="23">
        <v>5</v>
      </c>
      <c r="BD1891" s="130">
        <f t="shared" si="590"/>
        <v>0</v>
      </c>
      <c r="BE1891" s="130">
        <f t="shared" si="591"/>
        <v>5</v>
      </c>
      <c r="BF1891" s="195">
        <f t="shared" si="592"/>
        <v>0</v>
      </c>
      <c r="BG1891" s="373">
        <f t="shared" si="587"/>
        <v>5</v>
      </c>
    </row>
    <row r="1892" spans="1:59" s="46" customFormat="1" ht="15.95" customHeight="1">
      <c r="A1892" s="176">
        <v>84</v>
      </c>
      <c r="B1892" s="31" t="s">
        <v>2743</v>
      </c>
      <c r="C1892" s="34" t="s">
        <v>3179</v>
      </c>
      <c r="D1892" s="231"/>
      <c r="E1892" s="231"/>
      <c r="F1892" s="231"/>
      <c r="G1892" s="231"/>
      <c r="H1892" s="231"/>
      <c r="I1892" s="231"/>
      <c r="J1892" s="231"/>
      <c r="K1892" s="231"/>
      <c r="L1892" s="231"/>
      <c r="M1892" s="231"/>
      <c r="N1892" s="231"/>
      <c r="O1892" s="231"/>
      <c r="P1892" s="231"/>
      <c r="Q1892" s="231"/>
      <c r="R1892" s="231"/>
      <c r="S1892" s="231"/>
      <c r="T1892" s="231"/>
      <c r="U1892" s="231"/>
      <c r="V1892" s="231"/>
      <c r="W1892" s="231"/>
      <c r="X1892" s="231"/>
      <c r="Y1892" s="231"/>
      <c r="Z1892" s="231"/>
      <c r="AA1892" s="231"/>
      <c r="AB1892" s="22">
        <f t="shared" si="588"/>
        <v>0</v>
      </c>
      <c r="AC1892" s="23">
        <v>0</v>
      </c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22">
        <f t="shared" si="589"/>
        <v>0</v>
      </c>
      <c r="BC1892" s="23">
        <v>2</v>
      </c>
      <c r="BD1892" s="130">
        <f t="shared" si="590"/>
        <v>0</v>
      </c>
      <c r="BE1892" s="130">
        <f t="shared" si="591"/>
        <v>2</v>
      </c>
      <c r="BF1892" s="195">
        <f t="shared" si="592"/>
        <v>0</v>
      </c>
      <c r="BG1892" s="373">
        <f t="shared" si="587"/>
        <v>2</v>
      </c>
    </row>
    <row r="1893" spans="1:59" s="46" customFormat="1" ht="15.95" customHeight="1">
      <c r="A1893" s="176">
        <v>85</v>
      </c>
      <c r="B1893" s="31" t="s">
        <v>1027</v>
      </c>
      <c r="C1893" s="34" t="s">
        <v>3180</v>
      </c>
      <c r="D1893" s="322"/>
      <c r="E1893" s="322"/>
      <c r="F1893" s="322"/>
      <c r="G1893" s="322"/>
      <c r="H1893" s="322"/>
      <c r="I1893" s="322"/>
      <c r="J1893" s="322"/>
      <c r="K1893" s="322"/>
      <c r="L1893" s="322"/>
      <c r="M1893" s="322"/>
      <c r="N1893" s="322"/>
      <c r="O1893" s="322"/>
      <c r="P1893" s="322"/>
      <c r="Q1893" s="322"/>
      <c r="R1893" s="322"/>
      <c r="S1893" s="322"/>
      <c r="T1893" s="322"/>
      <c r="U1893" s="322"/>
      <c r="V1893" s="322"/>
      <c r="W1893" s="322"/>
      <c r="X1893" s="322"/>
      <c r="Y1893" s="322"/>
      <c r="Z1893" s="322"/>
      <c r="AA1893" s="322"/>
      <c r="AB1893" s="22">
        <f t="shared" si="588"/>
        <v>0</v>
      </c>
      <c r="AC1893" s="23">
        <v>0</v>
      </c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22">
        <f t="shared" si="589"/>
        <v>0</v>
      </c>
      <c r="BC1893" s="23">
        <v>1</v>
      </c>
      <c r="BD1893" s="130">
        <f t="shared" si="590"/>
        <v>0</v>
      </c>
      <c r="BE1893" s="130">
        <f t="shared" si="591"/>
        <v>1</v>
      </c>
      <c r="BF1893" s="195">
        <f t="shared" si="592"/>
        <v>0</v>
      </c>
      <c r="BG1893" s="373">
        <f t="shared" si="587"/>
        <v>1</v>
      </c>
    </row>
    <row r="1894" spans="1:59" s="46" customFormat="1" ht="15.95" customHeight="1">
      <c r="A1894" s="176">
        <v>86</v>
      </c>
      <c r="B1894" s="31" t="s">
        <v>1028</v>
      </c>
      <c r="C1894" s="32" t="s">
        <v>3180</v>
      </c>
      <c r="D1894" s="322"/>
      <c r="E1894" s="322"/>
      <c r="F1894" s="322"/>
      <c r="G1894" s="322"/>
      <c r="H1894" s="322"/>
      <c r="I1894" s="322"/>
      <c r="J1894" s="322"/>
      <c r="K1894" s="322"/>
      <c r="L1894" s="322"/>
      <c r="M1894" s="322"/>
      <c r="N1894" s="322"/>
      <c r="O1894" s="322"/>
      <c r="P1894" s="322"/>
      <c r="Q1894" s="322"/>
      <c r="R1894" s="322"/>
      <c r="S1894" s="322"/>
      <c r="T1894" s="322"/>
      <c r="U1894" s="322"/>
      <c r="V1894" s="322"/>
      <c r="W1894" s="322"/>
      <c r="X1894" s="322"/>
      <c r="Y1894" s="322"/>
      <c r="Z1894" s="322"/>
      <c r="AA1894" s="322"/>
      <c r="AB1894" s="22">
        <f t="shared" si="588"/>
        <v>0</v>
      </c>
      <c r="AC1894" s="23">
        <v>0</v>
      </c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22">
        <f t="shared" si="589"/>
        <v>0</v>
      </c>
      <c r="BC1894" s="23">
        <v>127</v>
      </c>
      <c r="BD1894" s="130">
        <f t="shared" si="590"/>
        <v>0</v>
      </c>
      <c r="BE1894" s="130">
        <f t="shared" si="591"/>
        <v>127</v>
      </c>
      <c r="BF1894" s="195">
        <f t="shared" si="592"/>
        <v>0</v>
      </c>
      <c r="BG1894" s="373">
        <f t="shared" si="587"/>
        <v>127</v>
      </c>
    </row>
    <row r="1895" spans="1:59" s="46" customFormat="1" ht="15.95" customHeight="1">
      <c r="A1895" s="176">
        <v>87</v>
      </c>
      <c r="B1895" s="31" t="s">
        <v>922</v>
      </c>
      <c r="C1895" s="34" t="s">
        <v>1993</v>
      </c>
      <c r="D1895" s="322"/>
      <c r="E1895" s="322"/>
      <c r="F1895" s="322"/>
      <c r="G1895" s="322"/>
      <c r="H1895" s="322"/>
      <c r="I1895" s="322"/>
      <c r="J1895" s="322"/>
      <c r="K1895" s="322"/>
      <c r="L1895" s="322"/>
      <c r="M1895" s="322"/>
      <c r="N1895" s="322"/>
      <c r="O1895" s="322"/>
      <c r="P1895" s="322"/>
      <c r="Q1895" s="322"/>
      <c r="R1895" s="322"/>
      <c r="S1895" s="322"/>
      <c r="T1895" s="322"/>
      <c r="U1895" s="322"/>
      <c r="V1895" s="322"/>
      <c r="W1895" s="322"/>
      <c r="X1895" s="322"/>
      <c r="Y1895" s="322"/>
      <c r="Z1895" s="322"/>
      <c r="AA1895" s="322"/>
      <c r="AB1895" s="22">
        <f t="shared" si="588"/>
        <v>0</v>
      </c>
      <c r="AC1895" s="23">
        <v>0</v>
      </c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22">
        <f t="shared" si="589"/>
        <v>0</v>
      </c>
      <c r="BC1895" s="23">
        <v>1</v>
      </c>
      <c r="BD1895" s="130">
        <f t="shared" si="590"/>
        <v>0</v>
      </c>
      <c r="BE1895" s="130">
        <f t="shared" si="591"/>
        <v>1</v>
      </c>
      <c r="BF1895" s="195">
        <f t="shared" si="592"/>
        <v>0</v>
      </c>
      <c r="BG1895" s="373">
        <f t="shared" si="587"/>
        <v>1</v>
      </c>
    </row>
    <row r="1896" spans="1:59" s="46" customFormat="1" ht="15.95" customHeight="1">
      <c r="A1896" s="176">
        <v>88</v>
      </c>
      <c r="B1896" s="31" t="s">
        <v>1029</v>
      </c>
      <c r="C1896" s="34" t="s">
        <v>1980</v>
      </c>
      <c r="D1896" s="231"/>
      <c r="E1896" s="231"/>
      <c r="F1896" s="231"/>
      <c r="G1896" s="231"/>
      <c r="H1896" s="231"/>
      <c r="I1896" s="231"/>
      <c r="J1896" s="231"/>
      <c r="K1896" s="231"/>
      <c r="L1896" s="231"/>
      <c r="M1896" s="231"/>
      <c r="N1896" s="231"/>
      <c r="O1896" s="231"/>
      <c r="P1896" s="231"/>
      <c r="Q1896" s="231"/>
      <c r="R1896" s="231"/>
      <c r="S1896" s="231"/>
      <c r="T1896" s="231"/>
      <c r="U1896" s="231"/>
      <c r="V1896" s="231"/>
      <c r="W1896" s="231"/>
      <c r="X1896" s="231"/>
      <c r="Y1896" s="231"/>
      <c r="Z1896" s="231"/>
      <c r="AA1896" s="231"/>
      <c r="AB1896" s="22">
        <f t="shared" si="588"/>
        <v>0</v>
      </c>
      <c r="AC1896" s="23">
        <v>0</v>
      </c>
      <c r="AD1896" s="35"/>
      <c r="AE1896" s="35"/>
      <c r="AF1896" s="35"/>
      <c r="AG1896" s="35"/>
      <c r="AH1896" s="35">
        <v>7</v>
      </c>
      <c r="AI1896" s="35"/>
      <c r="AJ1896" s="35"/>
      <c r="AK1896" s="35"/>
      <c r="AL1896" s="35">
        <v>6</v>
      </c>
      <c r="AM1896" s="35"/>
      <c r="AN1896" s="35"/>
      <c r="AO1896" s="35"/>
      <c r="AP1896" s="35">
        <v>1</v>
      </c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22">
        <f t="shared" si="589"/>
        <v>14</v>
      </c>
      <c r="BC1896" s="23">
        <v>1057</v>
      </c>
      <c r="BD1896" s="130">
        <f t="shared" si="590"/>
        <v>14</v>
      </c>
      <c r="BE1896" s="130">
        <f t="shared" si="591"/>
        <v>1057</v>
      </c>
      <c r="BF1896" s="195">
        <f t="shared" si="592"/>
        <v>1.3245033112582782</v>
      </c>
      <c r="BG1896" s="373">
        <f t="shared" si="587"/>
        <v>1043</v>
      </c>
    </row>
    <row r="1897" spans="1:59" s="46" customFormat="1" ht="15.95" customHeight="1">
      <c r="A1897" s="176">
        <v>89</v>
      </c>
      <c r="B1897" s="31" t="s">
        <v>1030</v>
      </c>
      <c r="C1897" s="34" t="s">
        <v>1994</v>
      </c>
      <c r="D1897" s="231"/>
      <c r="E1897" s="231"/>
      <c r="F1897" s="231"/>
      <c r="G1897" s="231"/>
      <c r="H1897" s="231"/>
      <c r="I1897" s="231"/>
      <c r="J1897" s="231"/>
      <c r="K1897" s="231"/>
      <c r="L1897" s="231"/>
      <c r="M1897" s="231"/>
      <c r="N1897" s="231"/>
      <c r="O1897" s="231"/>
      <c r="P1897" s="231"/>
      <c r="Q1897" s="231"/>
      <c r="R1897" s="231"/>
      <c r="S1897" s="231"/>
      <c r="T1897" s="231"/>
      <c r="U1897" s="231"/>
      <c r="V1897" s="231"/>
      <c r="W1897" s="231"/>
      <c r="X1897" s="231"/>
      <c r="Y1897" s="231"/>
      <c r="Z1897" s="231"/>
      <c r="AA1897" s="231"/>
      <c r="AB1897" s="22">
        <f t="shared" si="588"/>
        <v>0</v>
      </c>
      <c r="AC1897" s="23">
        <v>0</v>
      </c>
      <c r="AD1897" s="35"/>
      <c r="AE1897" s="35"/>
      <c r="AF1897" s="35"/>
      <c r="AG1897" s="35"/>
      <c r="AH1897" s="35">
        <v>11</v>
      </c>
      <c r="AI1897" s="35"/>
      <c r="AJ1897" s="35"/>
      <c r="AK1897" s="35"/>
      <c r="AL1897" s="35">
        <v>239</v>
      </c>
      <c r="AM1897" s="35"/>
      <c r="AN1897" s="35"/>
      <c r="AO1897" s="35"/>
      <c r="AP1897" s="35">
        <v>19</v>
      </c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22">
        <f t="shared" si="589"/>
        <v>269</v>
      </c>
      <c r="BC1897" s="23">
        <v>3434</v>
      </c>
      <c r="BD1897" s="130">
        <f t="shared" si="590"/>
        <v>269</v>
      </c>
      <c r="BE1897" s="130">
        <f t="shared" si="591"/>
        <v>3434</v>
      </c>
      <c r="BF1897" s="195">
        <f t="shared" si="592"/>
        <v>7.8334304018637155</v>
      </c>
      <c r="BG1897" s="373">
        <f t="shared" si="587"/>
        <v>3165</v>
      </c>
    </row>
    <row r="1898" spans="1:59" s="46" customFormat="1" ht="15.95" customHeight="1">
      <c r="A1898" s="176">
        <v>90</v>
      </c>
      <c r="B1898" s="31" t="s">
        <v>1032</v>
      </c>
      <c r="C1898" s="34" t="s">
        <v>1033</v>
      </c>
      <c r="D1898" s="231"/>
      <c r="E1898" s="231"/>
      <c r="F1898" s="231"/>
      <c r="G1898" s="231"/>
      <c r="H1898" s="231"/>
      <c r="I1898" s="231"/>
      <c r="J1898" s="231"/>
      <c r="K1898" s="231"/>
      <c r="L1898" s="231"/>
      <c r="M1898" s="231"/>
      <c r="N1898" s="231"/>
      <c r="O1898" s="231"/>
      <c r="P1898" s="231"/>
      <c r="Q1898" s="231"/>
      <c r="R1898" s="231"/>
      <c r="S1898" s="231"/>
      <c r="T1898" s="231"/>
      <c r="U1898" s="231"/>
      <c r="V1898" s="231"/>
      <c r="W1898" s="231"/>
      <c r="X1898" s="231"/>
      <c r="Y1898" s="231"/>
      <c r="Z1898" s="231"/>
      <c r="AA1898" s="231"/>
      <c r="AB1898" s="22">
        <f t="shared" si="588"/>
        <v>0</v>
      </c>
      <c r="AC1898" s="23">
        <v>0</v>
      </c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22">
        <f t="shared" si="589"/>
        <v>0</v>
      </c>
      <c r="BC1898" s="23">
        <v>74</v>
      </c>
      <c r="BD1898" s="130">
        <f t="shared" si="590"/>
        <v>0</v>
      </c>
      <c r="BE1898" s="130">
        <f t="shared" si="591"/>
        <v>74</v>
      </c>
      <c r="BF1898" s="195">
        <f t="shared" si="592"/>
        <v>0</v>
      </c>
      <c r="BG1898" s="373">
        <f t="shared" si="587"/>
        <v>74</v>
      </c>
    </row>
    <row r="1899" spans="1:59" s="46" customFormat="1" ht="15.95" customHeight="1">
      <c r="A1899" s="176">
        <v>91</v>
      </c>
      <c r="B1899" s="31" t="s">
        <v>1654</v>
      </c>
      <c r="C1899" s="34" t="s">
        <v>1983</v>
      </c>
      <c r="D1899" s="231"/>
      <c r="E1899" s="231"/>
      <c r="F1899" s="231"/>
      <c r="G1899" s="231"/>
      <c r="H1899" s="231"/>
      <c r="I1899" s="231"/>
      <c r="J1899" s="231"/>
      <c r="K1899" s="231"/>
      <c r="L1899" s="231"/>
      <c r="M1899" s="231"/>
      <c r="N1899" s="231"/>
      <c r="O1899" s="231"/>
      <c r="P1899" s="231"/>
      <c r="Q1899" s="231"/>
      <c r="R1899" s="231"/>
      <c r="S1899" s="231"/>
      <c r="T1899" s="231"/>
      <c r="U1899" s="231"/>
      <c r="V1899" s="231"/>
      <c r="W1899" s="231"/>
      <c r="X1899" s="231"/>
      <c r="Y1899" s="231"/>
      <c r="Z1899" s="231"/>
      <c r="AA1899" s="231"/>
      <c r="AB1899" s="22">
        <f t="shared" si="588"/>
        <v>0</v>
      </c>
      <c r="AC1899" s="23">
        <v>0</v>
      </c>
      <c r="AD1899" s="35"/>
      <c r="AE1899" s="35"/>
      <c r="AF1899" s="35"/>
      <c r="AG1899" s="35"/>
      <c r="AH1899" s="35">
        <v>6</v>
      </c>
      <c r="AI1899" s="35"/>
      <c r="AJ1899" s="35"/>
      <c r="AK1899" s="35"/>
      <c r="AL1899" s="35">
        <v>46</v>
      </c>
      <c r="AM1899" s="35"/>
      <c r="AN1899" s="35"/>
      <c r="AO1899" s="35"/>
      <c r="AP1899" s="35">
        <v>2</v>
      </c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22">
        <f t="shared" si="589"/>
        <v>54</v>
      </c>
      <c r="BC1899" s="23">
        <v>667</v>
      </c>
      <c r="BD1899" s="130">
        <f t="shared" si="590"/>
        <v>54</v>
      </c>
      <c r="BE1899" s="130">
        <f t="shared" si="591"/>
        <v>667</v>
      </c>
      <c r="BF1899" s="195">
        <f t="shared" si="592"/>
        <v>8.095952023988005</v>
      </c>
      <c r="BG1899" s="373">
        <f t="shared" si="587"/>
        <v>613</v>
      </c>
    </row>
    <row r="1900" spans="1:59" s="46" customFormat="1" ht="15.95" customHeight="1">
      <c r="A1900" s="176">
        <v>92</v>
      </c>
      <c r="B1900" s="31" t="s">
        <v>1656</v>
      </c>
      <c r="C1900" s="34" t="s">
        <v>1657</v>
      </c>
      <c r="D1900" s="231"/>
      <c r="E1900" s="231"/>
      <c r="F1900" s="231"/>
      <c r="G1900" s="231"/>
      <c r="H1900" s="231"/>
      <c r="I1900" s="231"/>
      <c r="J1900" s="231"/>
      <c r="K1900" s="231"/>
      <c r="L1900" s="231"/>
      <c r="M1900" s="231"/>
      <c r="N1900" s="231"/>
      <c r="O1900" s="231"/>
      <c r="P1900" s="231"/>
      <c r="Q1900" s="231"/>
      <c r="R1900" s="231"/>
      <c r="S1900" s="231"/>
      <c r="T1900" s="231"/>
      <c r="U1900" s="231"/>
      <c r="V1900" s="231"/>
      <c r="W1900" s="231"/>
      <c r="X1900" s="231"/>
      <c r="Y1900" s="231"/>
      <c r="Z1900" s="231"/>
      <c r="AA1900" s="231"/>
      <c r="AB1900" s="22">
        <f t="shared" si="588"/>
        <v>0</v>
      </c>
      <c r="AC1900" s="23">
        <v>0</v>
      </c>
      <c r="AD1900" s="35"/>
      <c r="AE1900" s="35"/>
      <c r="AF1900" s="35"/>
      <c r="AG1900" s="35"/>
      <c r="AH1900" s="35"/>
      <c r="AI1900" s="35"/>
      <c r="AJ1900" s="35"/>
      <c r="AK1900" s="35"/>
      <c r="AL1900" s="35">
        <v>2</v>
      </c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22">
        <f t="shared" si="589"/>
        <v>2</v>
      </c>
      <c r="BC1900" s="23">
        <v>34</v>
      </c>
      <c r="BD1900" s="130">
        <f t="shared" si="590"/>
        <v>2</v>
      </c>
      <c r="BE1900" s="130">
        <f t="shared" si="591"/>
        <v>34</v>
      </c>
      <c r="BF1900" s="195">
        <f t="shared" si="592"/>
        <v>5.8823529411764701</v>
      </c>
      <c r="BG1900" s="373">
        <f t="shared" si="587"/>
        <v>32</v>
      </c>
    </row>
    <row r="1901" spans="1:59" s="46" customFormat="1" ht="15.95" customHeight="1">
      <c r="A1901" s="176">
        <v>93</v>
      </c>
      <c r="B1901" s="31" t="s">
        <v>1658</v>
      </c>
      <c r="C1901" s="32" t="s">
        <v>1659</v>
      </c>
      <c r="D1901" s="252"/>
      <c r="E1901" s="252"/>
      <c r="F1901" s="252"/>
      <c r="G1901" s="252"/>
      <c r="H1901" s="252"/>
      <c r="I1901" s="252"/>
      <c r="J1901" s="252"/>
      <c r="K1901" s="252"/>
      <c r="L1901" s="252"/>
      <c r="M1901" s="252"/>
      <c r="N1901" s="252"/>
      <c r="O1901" s="252"/>
      <c r="P1901" s="252"/>
      <c r="Q1901" s="252"/>
      <c r="R1901" s="252"/>
      <c r="S1901" s="252"/>
      <c r="T1901" s="252"/>
      <c r="U1901" s="252"/>
      <c r="V1901" s="252"/>
      <c r="W1901" s="252"/>
      <c r="X1901" s="252"/>
      <c r="Y1901" s="252"/>
      <c r="Z1901" s="252"/>
      <c r="AA1901" s="252"/>
      <c r="AB1901" s="22">
        <f t="shared" si="588"/>
        <v>0</v>
      </c>
      <c r="AC1901" s="23">
        <v>0</v>
      </c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22">
        <f t="shared" si="589"/>
        <v>0</v>
      </c>
      <c r="BC1901" s="23">
        <v>5</v>
      </c>
      <c r="BD1901" s="130">
        <f t="shared" si="590"/>
        <v>0</v>
      </c>
      <c r="BE1901" s="130">
        <f t="shared" si="591"/>
        <v>5</v>
      </c>
      <c r="BF1901" s="195">
        <f t="shared" si="592"/>
        <v>0</v>
      </c>
      <c r="BG1901" s="373">
        <f t="shared" si="587"/>
        <v>5</v>
      </c>
    </row>
    <row r="1902" spans="1:59" s="46" customFormat="1" ht="15.95" customHeight="1">
      <c r="A1902" s="176">
        <v>94</v>
      </c>
      <c r="B1902" s="31" t="s">
        <v>1034</v>
      </c>
      <c r="C1902" s="34" t="s">
        <v>1660</v>
      </c>
      <c r="D1902" s="231"/>
      <c r="E1902" s="231"/>
      <c r="F1902" s="231"/>
      <c r="G1902" s="231"/>
      <c r="H1902" s="231"/>
      <c r="I1902" s="231"/>
      <c r="J1902" s="231"/>
      <c r="K1902" s="231"/>
      <c r="L1902" s="231"/>
      <c r="M1902" s="231"/>
      <c r="N1902" s="231"/>
      <c r="O1902" s="231"/>
      <c r="P1902" s="231"/>
      <c r="Q1902" s="231"/>
      <c r="R1902" s="231"/>
      <c r="S1902" s="231"/>
      <c r="T1902" s="231"/>
      <c r="U1902" s="231"/>
      <c r="V1902" s="231"/>
      <c r="W1902" s="231"/>
      <c r="X1902" s="231"/>
      <c r="Y1902" s="231"/>
      <c r="Z1902" s="231"/>
      <c r="AA1902" s="231"/>
      <c r="AB1902" s="22">
        <f t="shared" si="588"/>
        <v>0</v>
      </c>
      <c r="AC1902" s="23">
        <v>0</v>
      </c>
      <c r="AD1902" s="35"/>
      <c r="AE1902" s="35"/>
      <c r="AF1902" s="35"/>
      <c r="AG1902" s="35"/>
      <c r="AH1902" s="35">
        <v>561</v>
      </c>
      <c r="AI1902" s="35"/>
      <c r="AJ1902" s="35"/>
      <c r="AK1902" s="35"/>
      <c r="AL1902" s="35">
        <v>2347</v>
      </c>
      <c r="AM1902" s="35"/>
      <c r="AN1902" s="35"/>
      <c r="AO1902" s="35"/>
      <c r="AP1902" s="35">
        <v>86</v>
      </c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22">
        <f t="shared" si="589"/>
        <v>2994</v>
      </c>
      <c r="BC1902" s="23">
        <v>34198</v>
      </c>
      <c r="BD1902" s="130">
        <f t="shared" si="590"/>
        <v>2994</v>
      </c>
      <c r="BE1902" s="130">
        <f t="shared" si="591"/>
        <v>34198</v>
      </c>
      <c r="BF1902" s="195">
        <f t="shared" si="592"/>
        <v>8.7548979472483772</v>
      </c>
      <c r="BG1902" s="373">
        <f t="shared" si="587"/>
        <v>31204</v>
      </c>
    </row>
    <row r="1903" spans="1:59" s="46" customFormat="1" ht="15.95" customHeight="1">
      <c r="A1903" s="176">
        <v>95</v>
      </c>
      <c r="B1903" s="31" t="s">
        <v>1035</v>
      </c>
      <c r="C1903" s="34" t="s">
        <v>2317</v>
      </c>
      <c r="D1903" s="231"/>
      <c r="E1903" s="231"/>
      <c r="F1903" s="231"/>
      <c r="G1903" s="231"/>
      <c r="H1903" s="231"/>
      <c r="I1903" s="231"/>
      <c r="J1903" s="231"/>
      <c r="K1903" s="231"/>
      <c r="L1903" s="231"/>
      <c r="M1903" s="231"/>
      <c r="N1903" s="231"/>
      <c r="O1903" s="231"/>
      <c r="P1903" s="231"/>
      <c r="Q1903" s="231"/>
      <c r="R1903" s="231"/>
      <c r="S1903" s="231"/>
      <c r="T1903" s="231"/>
      <c r="U1903" s="231"/>
      <c r="V1903" s="231"/>
      <c r="W1903" s="231"/>
      <c r="X1903" s="231"/>
      <c r="Y1903" s="231"/>
      <c r="Z1903" s="231"/>
      <c r="AA1903" s="231"/>
      <c r="AB1903" s="22">
        <f t="shared" si="588"/>
        <v>0</v>
      </c>
      <c r="AC1903" s="23">
        <v>0</v>
      </c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22">
        <f t="shared" si="589"/>
        <v>0</v>
      </c>
      <c r="BC1903" s="23">
        <v>1</v>
      </c>
      <c r="BD1903" s="130">
        <f t="shared" si="590"/>
        <v>0</v>
      </c>
      <c r="BE1903" s="130">
        <f t="shared" si="591"/>
        <v>1</v>
      </c>
      <c r="BF1903" s="195">
        <f t="shared" si="592"/>
        <v>0</v>
      </c>
      <c r="BG1903" s="373">
        <f t="shared" si="587"/>
        <v>1</v>
      </c>
    </row>
    <row r="1904" spans="1:59" s="46" customFormat="1" ht="15.95" customHeight="1">
      <c r="A1904" s="176">
        <v>96</v>
      </c>
      <c r="B1904" s="31" t="s">
        <v>977</v>
      </c>
      <c r="C1904" s="34" t="s">
        <v>978</v>
      </c>
      <c r="D1904" s="231"/>
      <c r="E1904" s="231"/>
      <c r="F1904" s="231"/>
      <c r="G1904" s="231"/>
      <c r="H1904" s="231"/>
      <c r="I1904" s="231"/>
      <c r="J1904" s="231"/>
      <c r="K1904" s="231"/>
      <c r="L1904" s="231"/>
      <c r="M1904" s="231"/>
      <c r="N1904" s="231"/>
      <c r="O1904" s="231"/>
      <c r="P1904" s="231"/>
      <c r="Q1904" s="231"/>
      <c r="R1904" s="231"/>
      <c r="S1904" s="231"/>
      <c r="T1904" s="231"/>
      <c r="U1904" s="231"/>
      <c r="V1904" s="231"/>
      <c r="W1904" s="231"/>
      <c r="X1904" s="231"/>
      <c r="Y1904" s="231"/>
      <c r="Z1904" s="231"/>
      <c r="AA1904" s="231"/>
      <c r="AB1904" s="22">
        <f t="shared" si="588"/>
        <v>0</v>
      </c>
      <c r="AC1904" s="23">
        <v>0</v>
      </c>
      <c r="AD1904" s="35"/>
      <c r="AE1904" s="35"/>
      <c r="AF1904" s="35"/>
      <c r="AG1904" s="35"/>
      <c r="AH1904" s="35">
        <v>1</v>
      </c>
      <c r="AI1904" s="35"/>
      <c r="AJ1904" s="35"/>
      <c r="AK1904" s="35"/>
      <c r="AL1904" s="35">
        <v>3</v>
      </c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22">
        <f t="shared" si="589"/>
        <v>4</v>
      </c>
      <c r="BC1904" s="23">
        <v>19</v>
      </c>
      <c r="BD1904" s="130">
        <f t="shared" si="590"/>
        <v>4</v>
      </c>
      <c r="BE1904" s="130">
        <f t="shared" si="591"/>
        <v>19</v>
      </c>
      <c r="BF1904" s="195">
        <f t="shared" si="592"/>
        <v>21.052631578947366</v>
      </c>
      <c r="BG1904" s="373">
        <f t="shared" si="587"/>
        <v>15</v>
      </c>
    </row>
    <row r="1905" spans="1:61" s="46" customFormat="1" ht="15.95" customHeight="1">
      <c r="A1905" s="176">
        <v>97</v>
      </c>
      <c r="B1905" s="31" t="s">
        <v>1091</v>
      </c>
      <c r="C1905" s="34" t="s">
        <v>1092</v>
      </c>
      <c r="D1905" s="571"/>
      <c r="E1905" s="571"/>
      <c r="F1905" s="571"/>
      <c r="G1905" s="571"/>
      <c r="H1905" s="571"/>
      <c r="I1905" s="571"/>
      <c r="J1905" s="571"/>
      <c r="K1905" s="571"/>
      <c r="L1905" s="571"/>
      <c r="M1905" s="571"/>
      <c r="N1905" s="571"/>
      <c r="O1905" s="571"/>
      <c r="P1905" s="571"/>
      <c r="Q1905" s="571"/>
      <c r="R1905" s="571"/>
      <c r="S1905" s="571"/>
      <c r="T1905" s="571"/>
      <c r="U1905" s="571"/>
      <c r="V1905" s="571"/>
      <c r="W1905" s="571"/>
      <c r="X1905" s="571"/>
      <c r="Y1905" s="571"/>
      <c r="Z1905" s="571"/>
      <c r="AA1905" s="571"/>
      <c r="AB1905" s="22">
        <f t="shared" ref="AB1905:AB1909" si="593">SUM(D1905:AA1905)</f>
        <v>0</v>
      </c>
      <c r="AC1905" s="23">
        <v>0</v>
      </c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22">
        <f t="shared" ref="BB1905:BB1909" si="594">SUM(AD1905:BA1905)</f>
        <v>0</v>
      </c>
      <c r="BC1905" s="23">
        <v>0</v>
      </c>
      <c r="BD1905" s="130">
        <f t="shared" si="590"/>
        <v>0</v>
      </c>
      <c r="BE1905" s="130">
        <f t="shared" si="591"/>
        <v>0</v>
      </c>
      <c r="BF1905" s="195" t="e">
        <f t="shared" ref="BF1905:BF1909" si="595">BD1905/BE1905*100</f>
        <v>#DIV/0!</v>
      </c>
      <c r="BG1905" s="373"/>
    </row>
    <row r="1906" spans="1:61" s="46" customFormat="1" ht="15.95" customHeight="1">
      <c r="A1906" s="176">
        <v>98</v>
      </c>
      <c r="B1906" s="31" t="s">
        <v>868</v>
      </c>
      <c r="C1906" s="32" t="s">
        <v>979</v>
      </c>
      <c r="D1906" s="231"/>
      <c r="E1906" s="231"/>
      <c r="F1906" s="231"/>
      <c r="G1906" s="231"/>
      <c r="H1906" s="231"/>
      <c r="I1906" s="231"/>
      <c r="J1906" s="231"/>
      <c r="K1906" s="231"/>
      <c r="L1906" s="231"/>
      <c r="M1906" s="231"/>
      <c r="N1906" s="231"/>
      <c r="O1906" s="231"/>
      <c r="P1906" s="231"/>
      <c r="Q1906" s="231"/>
      <c r="R1906" s="231"/>
      <c r="S1906" s="231"/>
      <c r="T1906" s="231"/>
      <c r="U1906" s="231"/>
      <c r="V1906" s="231"/>
      <c r="W1906" s="231"/>
      <c r="X1906" s="231"/>
      <c r="Y1906" s="231"/>
      <c r="Z1906" s="231"/>
      <c r="AA1906" s="231"/>
      <c r="AB1906" s="22">
        <f t="shared" si="593"/>
        <v>0</v>
      </c>
      <c r="AC1906" s="23">
        <v>0</v>
      </c>
      <c r="AD1906" s="35"/>
      <c r="AE1906" s="35"/>
      <c r="AF1906" s="35"/>
      <c r="AG1906" s="35"/>
      <c r="AH1906" s="35">
        <v>5</v>
      </c>
      <c r="AI1906" s="35"/>
      <c r="AJ1906" s="35"/>
      <c r="AK1906" s="35"/>
      <c r="AL1906" s="35">
        <v>2</v>
      </c>
      <c r="AM1906" s="35"/>
      <c r="AN1906" s="35"/>
      <c r="AO1906" s="35"/>
      <c r="AP1906" s="35">
        <v>2</v>
      </c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22">
        <f t="shared" si="594"/>
        <v>9</v>
      </c>
      <c r="BC1906" s="23">
        <v>11</v>
      </c>
      <c r="BD1906" s="130">
        <f t="shared" si="590"/>
        <v>9</v>
      </c>
      <c r="BE1906" s="130">
        <f t="shared" si="591"/>
        <v>11</v>
      </c>
      <c r="BF1906" s="195">
        <f t="shared" si="595"/>
        <v>81.818181818181827</v>
      </c>
      <c r="BG1906" s="373">
        <f>BE1906-BD1906</f>
        <v>2</v>
      </c>
    </row>
    <row r="1907" spans="1:61" s="46" customFormat="1" ht="15.95" customHeight="1">
      <c r="A1907" s="176">
        <v>99</v>
      </c>
      <c r="B1907" s="31" t="s">
        <v>1361</v>
      </c>
      <c r="C1907" s="32" t="s">
        <v>1963</v>
      </c>
      <c r="D1907" s="231"/>
      <c r="E1907" s="231"/>
      <c r="F1907" s="231"/>
      <c r="G1907" s="231"/>
      <c r="H1907" s="231"/>
      <c r="I1907" s="231"/>
      <c r="J1907" s="231"/>
      <c r="K1907" s="231"/>
      <c r="L1907" s="231"/>
      <c r="M1907" s="231"/>
      <c r="N1907" s="231"/>
      <c r="O1907" s="231"/>
      <c r="P1907" s="231"/>
      <c r="Q1907" s="231"/>
      <c r="R1907" s="231"/>
      <c r="S1907" s="231"/>
      <c r="T1907" s="231"/>
      <c r="U1907" s="231"/>
      <c r="V1907" s="231"/>
      <c r="W1907" s="231"/>
      <c r="X1907" s="231"/>
      <c r="Y1907" s="231"/>
      <c r="Z1907" s="231"/>
      <c r="AA1907" s="231"/>
      <c r="AB1907" s="22">
        <f t="shared" si="593"/>
        <v>0</v>
      </c>
      <c r="AC1907" s="23">
        <v>0</v>
      </c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22">
        <f t="shared" si="594"/>
        <v>0</v>
      </c>
      <c r="BC1907" s="23">
        <v>16</v>
      </c>
      <c r="BD1907" s="130">
        <f t="shared" si="590"/>
        <v>0</v>
      </c>
      <c r="BE1907" s="130">
        <f t="shared" si="591"/>
        <v>16</v>
      </c>
      <c r="BF1907" s="195">
        <f t="shared" si="595"/>
        <v>0</v>
      </c>
      <c r="BG1907" s="373">
        <f>BE1907-BD1907</f>
        <v>16</v>
      </c>
    </row>
    <row r="1908" spans="1:61" s="46" customFormat="1" ht="15.95" customHeight="1">
      <c r="A1908" s="176">
        <v>100</v>
      </c>
      <c r="B1908" s="437" t="s">
        <v>3047</v>
      </c>
      <c r="C1908" s="439" t="s">
        <v>3048</v>
      </c>
      <c r="D1908" s="545"/>
      <c r="E1908" s="545"/>
      <c r="F1908" s="545"/>
      <c r="G1908" s="545"/>
      <c r="H1908" s="545"/>
      <c r="I1908" s="545"/>
      <c r="J1908" s="545"/>
      <c r="K1908" s="545"/>
      <c r="L1908" s="545"/>
      <c r="M1908" s="545"/>
      <c r="N1908" s="545"/>
      <c r="O1908" s="545"/>
      <c r="P1908" s="545"/>
      <c r="Q1908" s="545"/>
      <c r="R1908" s="545"/>
      <c r="S1908" s="545"/>
      <c r="T1908" s="545"/>
      <c r="U1908" s="545"/>
      <c r="V1908" s="545"/>
      <c r="W1908" s="545"/>
      <c r="X1908" s="545"/>
      <c r="Y1908" s="545"/>
      <c r="Z1908" s="545"/>
      <c r="AA1908" s="545"/>
      <c r="AB1908" s="22">
        <f t="shared" si="593"/>
        <v>0</v>
      </c>
      <c r="AC1908" s="23">
        <v>100</v>
      </c>
      <c r="AD1908" s="35"/>
      <c r="AE1908" s="35"/>
      <c r="AF1908" s="35"/>
      <c r="AG1908" s="35"/>
      <c r="AH1908" s="35">
        <v>750</v>
      </c>
      <c r="AI1908" s="35"/>
      <c r="AJ1908" s="35"/>
      <c r="AK1908" s="35"/>
      <c r="AL1908" s="35">
        <v>1980</v>
      </c>
      <c r="AM1908" s="35"/>
      <c r="AN1908" s="35"/>
      <c r="AO1908" s="35"/>
      <c r="AP1908" s="35">
        <v>75</v>
      </c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22">
        <f t="shared" si="594"/>
        <v>2805</v>
      </c>
      <c r="BC1908" s="23">
        <v>0</v>
      </c>
      <c r="BD1908" s="130">
        <f t="shared" si="590"/>
        <v>2805</v>
      </c>
      <c r="BE1908" s="130">
        <f t="shared" si="591"/>
        <v>100</v>
      </c>
      <c r="BF1908" s="195">
        <f t="shared" si="595"/>
        <v>2805</v>
      </c>
      <c r="BG1908" s="373">
        <f>BE1908-BD1908</f>
        <v>-2705</v>
      </c>
    </row>
    <row r="1909" spans="1:61" s="46" customFormat="1" ht="15.75" customHeight="1">
      <c r="A1909" s="176">
        <v>101</v>
      </c>
      <c r="B1909" s="31" t="s">
        <v>3252</v>
      </c>
      <c r="C1909" s="32" t="s">
        <v>3978</v>
      </c>
      <c r="D1909" s="231"/>
      <c r="E1909" s="231"/>
      <c r="F1909" s="231"/>
      <c r="G1909" s="231"/>
      <c r="H1909" s="231"/>
      <c r="I1909" s="231"/>
      <c r="J1909" s="231"/>
      <c r="K1909" s="231"/>
      <c r="L1909" s="231"/>
      <c r="M1909" s="231"/>
      <c r="N1909" s="231"/>
      <c r="O1909" s="231"/>
      <c r="P1909" s="231"/>
      <c r="Q1909" s="231"/>
      <c r="R1909" s="231"/>
      <c r="S1909" s="231"/>
      <c r="T1909" s="231"/>
      <c r="U1909" s="231"/>
      <c r="V1909" s="231"/>
      <c r="W1909" s="231"/>
      <c r="X1909" s="231"/>
      <c r="Y1909" s="231"/>
      <c r="Z1909" s="231"/>
      <c r="AA1909" s="231"/>
      <c r="AB1909" s="22">
        <f t="shared" si="593"/>
        <v>0</v>
      </c>
      <c r="AC1909" s="23">
        <v>0</v>
      </c>
      <c r="AD1909" s="35"/>
      <c r="AE1909" s="35"/>
      <c r="AF1909" s="35"/>
      <c r="AG1909" s="35"/>
      <c r="AH1909" s="35"/>
      <c r="AI1909" s="35"/>
      <c r="AJ1909" s="35"/>
      <c r="AK1909" s="35"/>
      <c r="AL1909" s="35">
        <v>1</v>
      </c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22">
        <f t="shared" si="594"/>
        <v>1</v>
      </c>
      <c r="BC1909" s="23">
        <v>0</v>
      </c>
      <c r="BD1909" s="130">
        <f t="shared" si="590"/>
        <v>1</v>
      </c>
      <c r="BE1909" s="130">
        <f t="shared" si="591"/>
        <v>0</v>
      </c>
      <c r="BF1909" s="195" t="e">
        <f t="shared" si="595"/>
        <v>#DIV/0!</v>
      </c>
      <c r="BG1909" s="373"/>
    </row>
    <row r="1910" spans="1:61" s="46" customFormat="1" ht="15.95" customHeight="1">
      <c r="A1910" s="640" t="s">
        <v>1106</v>
      </c>
      <c r="B1910" s="641"/>
      <c r="C1910" s="641"/>
      <c r="D1910" s="98">
        <f t="shared" ref="D1910:AI1910" si="596">SUM(D1911:D2005)</f>
        <v>0</v>
      </c>
      <c r="E1910" s="98">
        <f t="shared" si="596"/>
        <v>0</v>
      </c>
      <c r="F1910" s="98">
        <f t="shared" si="596"/>
        <v>0</v>
      </c>
      <c r="G1910" s="98">
        <f t="shared" si="596"/>
        <v>2</v>
      </c>
      <c r="H1910" s="98">
        <f t="shared" si="596"/>
        <v>359</v>
      </c>
      <c r="I1910" s="98">
        <f t="shared" si="596"/>
        <v>0</v>
      </c>
      <c r="J1910" s="98">
        <f t="shared" si="596"/>
        <v>0</v>
      </c>
      <c r="K1910" s="98">
        <f t="shared" si="596"/>
        <v>1194</v>
      </c>
      <c r="L1910" s="98">
        <f t="shared" si="596"/>
        <v>1197</v>
      </c>
      <c r="M1910" s="98">
        <f t="shared" si="596"/>
        <v>0</v>
      </c>
      <c r="N1910" s="98">
        <f t="shared" si="596"/>
        <v>0</v>
      </c>
      <c r="O1910" s="98">
        <f t="shared" si="596"/>
        <v>4653</v>
      </c>
      <c r="P1910" s="98">
        <f t="shared" si="596"/>
        <v>1559</v>
      </c>
      <c r="Q1910" s="98">
        <f t="shared" si="596"/>
        <v>0</v>
      </c>
      <c r="R1910" s="98">
        <f t="shared" si="596"/>
        <v>0</v>
      </c>
      <c r="S1910" s="98">
        <f t="shared" si="596"/>
        <v>5610</v>
      </c>
      <c r="T1910" s="98">
        <f t="shared" si="596"/>
        <v>0</v>
      </c>
      <c r="U1910" s="98">
        <f t="shared" si="596"/>
        <v>0</v>
      </c>
      <c r="V1910" s="98">
        <f t="shared" si="596"/>
        <v>0</v>
      </c>
      <c r="W1910" s="98">
        <f t="shared" si="596"/>
        <v>0</v>
      </c>
      <c r="X1910" s="98">
        <f t="shared" si="596"/>
        <v>0</v>
      </c>
      <c r="Y1910" s="98">
        <f t="shared" si="596"/>
        <v>0</v>
      </c>
      <c r="Z1910" s="98">
        <f t="shared" si="596"/>
        <v>0</v>
      </c>
      <c r="AA1910" s="98">
        <f t="shared" si="596"/>
        <v>0</v>
      </c>
      <c r="AB1910" s="98">
        <f t="shared" si="596"/>
        <v>14574</v>
      </c>
      <c r="AC1910" s="161">
        <f t="shared" si="596"/>
        <v>13785</v>
      </c>
      <c r="AD1910" s="130">
        <f t="shared" si="596"/>
        <v>0</v>
      </c>
      <c r="AE1910" s="130">
        <f t="shared" si="596"/>
        <v>0</v>
      </c>
      <c r="AF1910" s="130">
        <f t="shared" si="596"/>
        <v>0</v>
      </c>
      <c r="AG1910" s="130">
        <f t="shared" si="596"/>
        <v>0</v>
      </c>
      <c r="AH1910" s="130">
        <f t="shared" si="596"/>
        <v>4613</v>
      </c>
      <c r="AI1910" s="130">
        <f t="shared" si="596"/>
        <v>0</v>
      </c>
      <c r="AJ1910" s="130">
        <f t="shared" ref="AJ1910:BC1910" si="597">SUM(AJ1911:AJ2005)</f>
        <v>0</v>
      </c>
      <c r="AK1910" s="130">
        <f t="shared" si="597"/>
        <v>0</v>
      </c>
      <c r="AL1910" s="130">
        <f t="shared" si="597"/>
        <v>17125</v>
      </c>
      <c r="AM1910" s="130">
        <f t="shared" si="597"/>
        <v>0</v>
      </c>
      <c r="AN1910" s="130">
        <f t="shared" si="597"/>
        <v>0</v>
      </c>
      <c r="AO1910" s="130">
        <f t="shared" si="597"/>
        <v>0</v>
      </c>
      <c r="AP1910" s="130">
        <f t="shared" si="597"/>
        <v>20052</v>
      </c>
      <c r="AQ1910" s="130">
        <f t="shared" si="597"/>
        <v>0</v>
      </c>
      <c r="AR1910" s="130">
        <f t="shared" si="597"/>
        <v>0</v>
      </c>
      <c r="AS1910" s="130">
        <f t="shared" si="597"/>
        <v>0</v>
      </c>
      <c r="AT1910" s="130">
        <f t="shared" si="597"/>
        <v>0</v>
      </c>
      <c r="AU1910" s="130">
        <f t="shared" si="597"/>
        <v>0</v>
      </c>
      <c r="AV1910" s="130">
        <f t="shared" si="597"/>
        <v>0</v>
      </c>
      <c r="AW1910" s="130">
        <f t="shared" si="597"/>
        <v>0</v>
      </c>
      <c r="AX1910" s="130">
        <f t="shared" si="597"/>
        <v>0</v>
      </c>
      <c r="AY1910" s="130">
        <f t="shared" si="597"/>
        <v>0</v>
      </c>
      <c r="AZ1910" s="130">
        <f t="shared" si="597"/>
        <v>0</v>
      </c>
      <c r="BA1910" s="130">
        <f t="shared" si="597"/>
        <v>0</v>
      </c>
      <c r="BB1910" s="130">
        <f t="shared" si="597"/>
        <v>41790</v>
      </c>
      <c r="BC1910" s="103">
        <f t="shared" si="597"/>
        <v>44476</v>
      </c>
      <c r="BD1910" s="130">
        <f t="shared" ref="BD1910" si="598">AB1910+BB1910</f>
        <v>56364</v>
      </c>
      <c r="BE1910" s="130">
        <f t="shared" ref="BE1910" si="599">AC1910+BC1910</f>
        <v>58261</v>
      </c>
      <c r="BF1910" s="195">
        <f t="shared" ref="BF1910" si="600">BD1910/BE1910*100</f>
        <v>96.743962513516763</v>
      </c>
      <c r="BG1910" s="374">
        <f t="shared" ref="BG1910" si="601">BE1910-BD1910</f>
        <v>1897</v>
      </c>
    </row>
    <row r="1911" spans="1:61" s="46" customFormat="1" ht="21" customHeight="1">
      <c r="A1911" s="417">
        <v>1</v>
      </c>
      <c r="B1911" s="418" t="s">
        <v>1266</v>
      </c>
      <c r="C1911" s="423" t="s">
        <v>1267</v>
      </c>
      <c r="D1911" s="231"/>
      <c r="E1911" s="231"/>
      <c r="F1911" s="231"/>
      <c r="G1911" s="231"/>
      <c r="H1911" s="231"/>
      <c r="I1911" s="231"/>
      <c r="J1911" s="231"/>
      <c r="K1911" s="231">
        <v>54</v>
      </c>
      <c r="L1911" s="231"/>
      <c r="M1911" s="231"/>
      <c r="N1911" s="231"/>
      <c r="O1911" s="231">
        <f>2+234</f>
        <v>236</v>
      </c>
      <c r="P1911" s="231"/>
      <c r="Q1911" s="231"/>
      <c r="R1911" s="231"/>
      <c r="S1911" s="231">
        <f>306+6+1</f>
        <v>313</v>
      </c>
      <c r="T1911" s="231"/>
      <c r="U1911" s="231"/>
      <c r="V1911" s="231"/>
      <c r="W1911" s="231"/>
      <c r="X1911" s="231"/>
      <c r="Y1911" s="231"/>
      <c r="Z1911" s="231"/>
      <c r="AA1911" s="231"/>
      <c r="AB1911" s="22">
        <f t="shared" ref="AB1911:AB1947" si="602">SUM(D1911:AA1911)</f>
        <v>603</v>
      </c>
      <c r="AC1911" s="23">
        <f>9+892</f>
        <v>901</v>
      </c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22">
        <f t="shared" ref="BB1911:BB1947" si="603">SUM(AD1911:BA1911)</f>
        <v>0</v>
      </c>
      <c r="BC1911" s="23">
        <v>0</v>
      </c>
      <c r="BD1911" s="130">
        <f t="shared" ref="BD1911:BD1946" si="604">AB1911+BB1911</f>
        <v>603</v>
      </c>
      <c r="BE1911" s="130">
        <f t="shared" ref="BE1911:BE1946" si="605">AC1911+BC1911</f>
        <v>901</v>
      </c>
      <c r="BF1911" s="195">
        <f t="shared" ref="BF1911:BF1946" si="606">BD1911/BE1911*100</f>
        <v>66.925638179800217</v>
      </c>
      <c r="BG1911" s="373">
        <f t="shared" ref="BG1911:BG1934" si="607">BE1911-BD1911</f>
        <v>298</v>
      </c>
      <c r="BH1911" s="421" t="s">
        <v>3675</v>
      </c>
      <c r="BI1911" s="421"/>
    </row>
    <row r="1912" spans="1:61" s="46" customFormat="1" ht="21" customHeight="1">
      <c r="A1912" s="417">
        <v>2</v>
      </c>
      <c r="B1912" s="418" t="s">
        <v>2218</v>
      </c>
      <c r="C1912" s="423" t="s">
        <v>2222</v>
      </c>
      <c r="D1912" s="231"/>
      <c r="E1912" s="231"/>
      <c r="F1912" s="231"/>
      <c r="G1912" s="231"/>
      <c r="H1912" s="231"/>
      <c r="I1912" s="231"/>
      <c r="J1912" s="231"/>
      <c r="K1912" s="231">
        <f>250+676</f>
        <v>926</v>
      </c>
      <c r="L1912" s="231"/>
      <c r="M1912" s="231"/>
      <c r="N1912" s="231"/>
      <c r="O1912" s="231">
        <f>7+2926+594</f>
        <v>3527</v>
      </c>
      <c r="P1912" s="231"/>
      <c r="Q1912" s="231"/>
      <c r="R1912" s="231"/>
      <c r="S1912" s="231">
        <f>2+3322+55+526</f>
        <v>3905</v>
      </c>
      <c r="T1912" s="231"/>
      <c r="U1912" s="231"/>
      <c r="V1912" s="231"/>
      <c r="W1912" s="231"/>
      <c r="X1912" s="231"/>
      <c r="Y1912" s="231"/>
      <c r="Z1912" s="231"/>
      <c r="AA1912" s="231"/>
      <c r="AB1912" s="22">
        <f t="shared" si="602"/>
        <v>8358</v>
      </c>
      <c r="AC1912" s="23">
        <f>1+7107</f>
        <v>7108</v>
      </c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22">
        <f t="shared" si="603"/>
        <v>0</v>
      </c>
      <c r="BC1912" s="23">
        <v>0</v>
      </c>
      <c r="BD1912" s="130">
        <f t="shared" si="604"/>
        <v>8358</v>
      </c>
      <c r="BE1912" s="130">
        <f t="shared" si="605"/>
        <v>7108</v>
      </c>
      <c r="BF1912" s="195">
        <f t="shared" si="606"/>
        <v>117.58581879572311</v>
      </c>
      <c r="BG1912" s="373">
        <f t="shared" si="607"/>
        <v>-1250</v>
      </c>
      <c r="BH1912" s="421" t="s">
        <v>3675</v>
      </c>
      <c r="BI1912" s="421"/>
    </row>
    <row r="1913" spans="1:61" s="46" customFormat="1" ht="21" customHeight="1">
      <c r="A1913" s="417">
        <v>3</v>
      </c>
      <c r="B1913" s="418" t="s">
        <v>2246</v>
      </c>
      <c r="C1913" s="419" t="s">
        <v>2247</v>
      </c>
      <c r="D1913" s="383"/>
      <c r="E1913" s="383"/>
      <c r="F1913" s="383"/>
      <c r="G1913" s="383">
        <v>2</v>
      </c>
      <c r="H1913" s="383"/>
      <c r="I1913" s="383"/>
      <c r="J1913" s="383"/>
      <c r="K1913" s="383">
        <v>214</v>
      </c>
      <c r="L1913" s="383"/>
      <c r="M1913" s="383"/>
      <c r="N1913" s="383"/>
      <c r="O1913" s="383">
        <v>890</v>
      </c>
      <c r="P1913" s="383"/>
      <c r="Q1913" s="383"/>
      <c r="R1913" s="383"/>
      <c r="S1913" s="383">
        <f>674+718</f>
        <v>1392</v>
      </c>
      <c r="T1913" s="383"/>
      <c r="U1913" s="383"/>
      <c r="V1913" s="383"/>
      <c r="W1913" s="383"/>
      <c r="X1913" s="383"/>
      <c r="Y1913" s="383"/>
      <c r="Z1913" s="383"/>
      <c r="AA1913" s="383"/>
      <c r="AB1913" s="22">
        <f t="shared" si="602"/>
        <v>2498</v>
      </c>
      <c r="AC1913" s="23">
        <v>979</v>
      </c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22">
        <f t="shared" si="603"/>
        <v>0</v>
      </c>
      <c r="BC1913" s="23">
        <v>0</v>
      </c>
      <c r="BD1913" s="130">
        <f t="shared" si="604"/>
        <v>2498</v>
      </c>
      <c r="BE1913" s="130">
        <f t="shared" si="605"/>
        <v>979</v>
      </c>
      <c r="BF1913" s="195">
        <f t="shared" si="606"/>
        <v>255.15832482124617</v>
      </c>
      <c r="BG1913" s="373">
        <f t="shared" si="607"/>
        <v>-1519</v>
      </c>
      <c r="BH1913" s="421" t="s">
        <v>3675</v>
      </c>
      <c r="BI1913" s="421"/>
    </row>
    <row r="1914" spans="1:61" s="46" customFormat="1" ht="15.95" customHeight="1">
      <c r="A1914" s="176">
        <v>4</v>
      </c>
      <c r="B1914" s="31" t="s">
        <v>874</v>
      </c>
      <c r="C1914" s="32" t="s">
        <v>875</v>
      </c>
      <c r="D1914" s="383"/>
      <c r="E1914" s="383"/>
      <c r="F1914" s="383"/>
      <c r="G1914" s="383"/>
      <c r="H1914" s="383"/>
      <c r="I1914" s="383"/>
      <c r="J1914" s="383"/>
      <c r="K1914" s="383"/>
      <c r="L1914" s="383">
        <v>1</v>
      </c>
      <c r="M1914" s="383"/>
      <c r="N1914" s="383"/>
      <c r="O1914" s="383"/>
      <c r="P1914" s="383">
        <f>5+1</f>
        <v>6</v>
      </c>
      <c r="Q1914" s="383"/>
      <c r="R1914" s="383"/>
      <c r="S1914" s="383"/>
      <c r="T1914" s="383"/>
      <c r="U1914" s="383"/>
      <c r="V1914" s="383"/>
      <c r="W1914" s="383"/>
      <c r="X1914" s="383"/>
      <c r="Y1914" s="383"/>
      <c r="Z1914" s="383"/>
      <c r="AA1914" s="383"/>
      <c r="AB1914" s="22">
        <f t="shared" si="602"/>
        <v>7</v>
      </c>
      <c r="AC1914" s="23">
        <v>9</v>
      </c>
      <c r="AD1914" s="35"/>
      <c r="AE1914" s="35"/>
      <c r="AF1914" s="35"/>
      <c r="AG1914" s="35"/>
      <c r="AH1914" s="35">
        <v>9</v>
      </c>
      <c r="AI1914" s="35"/>
      <c r="AJ1914" s="35"/>
      <c r="AK1914" s="35"/>
      <c r="AL1914" s="35">
        <f>30+2</f>
        <v>32</v>
      </c>
      <c r="AM1914" s="35"/>
      <c r="AN1914" s="35"/>
      <c r="AO1914" s="35"/>
      <c r="AP1914" s="35">
        <f>95+8</f>
        <v>103</v>
      </c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22">
        <f t="shared" si="603"/>
        <v>144</v>
      </c>
      <c r="BC1914" s="23">
        <v>88</v>
      </c>
      <c r="BD1914" s="130">
        <f t="shared" si="604"/>
        <v>151</v>
      </c>
      <c r="BE1914" s="130">
        <f t="shared" si="605"/>
        <v>97</v>
      </c>
      <c r="BF1914" s="195">
        <f t="shared" si="606"/>
        <v>155.67010309278351</v>
      </c>
      <c r="BG1914" s="373">
        <f t="shared" si="607"/>
        <v>-54</v>
      </c>
    </row>
    <row r="1915" spans="1:61" s="46" customFormat="1" ht="15.95" customHeight="1">
      <c r="A1915" s="176">
        <v>5</v>
      </c>
      <c r="B1915" s="31" t="s">
        <v>4173</v>
      </c>
      <c r="C1915" s="32" t="s">
        <v>4174</v>
      </c>
      <c r="D1915" s="576"/>
      <c r="E1915" s="576"/>
      <c r="F1915" s="576"/>
      <c r="G1915" s="576"/>
      <c r="H1915" s="576"/>
      <c r="I1915" s="576"/>
      <c r="J1915" s="576"/>
      <c r="K1915" s="576"/>
      <c r="L1915" s="576"/>
      <c r="M1915" s="576"/>
      <c r="N1915" s="576"/>
      <c r="O1915" s="576"/>
      <c r="P1915" s="576"/>
      <c r="Q1915" s="576"/>
      <c r="R1915" s="576"/>
      <c r="S1915" s="576"/>
      <c r="T1915" s="576"/>
      <c r="U1915" s="576"/>
      <c r="V1915" s="576"/>
      <c r="W1915" s="576"/>
      <c r="X1915" s="576"/>
      <c r="Y1915" s="576"/>
      <c r="Z1915" s="576"/>
      <c r="AA1915" s="576"/>
      <c r="AB1915" s="22">
        <f t="shared" si="602"/>
        <v>0</v>
      </c>
      <c r="AC1915" s="23">
        <v>0</v>
      </c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>
        <v>6</v>
      </c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22">
        <f t="shared" si="603"/>
        <v>6</v>
      </c>
      <c r="BC1915" s="23">
        <v>0</v>
      </c>
      <c r="BD1915" s="130">
        <f t="shared" ref="BD1915" si="608">AB1915+BB1915</f>
        <v>6</v>
      </c>
      <c r="BE1915" s="130">
        <f t="shared" ref="BE1915" si="609">AC1915+BC1915</f>
        <v>0</v>
      </c>
      <c r="BF1915" s="195" t="e">
        <f t="shared" ref="BF1915" si="610">BD1915/BE1915*100</f>
        <v>#DIV/0!</v>
      </c>
      <c r="BG1915" s="373"/>
    </row>
    <row r="1916" spans="1:61" s="46" customFormat="1" ht="15.95" customHeight="1">
      <c r="A1916" s="176">
        <v>6</v>
      </c>
      <c r="B1916" s="31" t="s">
        <v>4175</v>
      </c>
      <c r="C1916" s="32" t="s">
        <v>4176</v>
      </c>
      <c r="D1916" s="576"/>
      <c r="E1916" s="576"/>
      <c r="F1916" s="576"/>
      <c r="G1916" s="576"/>
      <c r="H1916" s="576"/>
      <c r="I1916" s="576"/>
      <c r="J1916" s="576"/>
      <c r="K1916" s="576"/>
      <c r="L1916" s="576"/>
      <c r="M1916" s="576"/>
      <c r="N1916" s="576"/>
      <c r="O1916" s="576"/>
      <c r="P1916" s="576"/>
      <c r="Q1916" s="576"/>
      <c r="R1916" s="576"/>
      <c r="S1916" s="576"/>
      <c r="T1916" s="576"/>
      <c r="U1916" s="576"/>
      <c r="V1916" s="576"/>
      <c r="W1916" s="576"/>
      <c r="X1916" s="576"/>
      <c r="Y1916" s="576"/>
      <c r="Z1916" s="576"/>
      <c r="AA1916" s="576"/>
      <c r="AB1916" s="22">
        <f t="shared" si="602"/>
        <v>0</v>
      </c>
      <c r="AC1916" s="23">
        <v>0</v>
      </c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>
        <v>6</v>
      </c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22">
        <f t="shared" si="603"/>
        <v>6</v>
      </c>
      <c r="BC1916" s="23">
        <v>0</v>
      </c>
      <c r="BD1916" s="130">
        <f t="shared" ref="BD1916" si="611">AB1916+BB1916</f>
        <v>6</v>
      </c>
      <c r="BE1916" s="130">
        <f t="shared" ref="BE1916" si="612">AC1916+BC1916</f>
        <v>0</v>
      </c>
      <c r="BF1916" s="195" t="e">
        <f t="shared" ref="BF1916" si="613">BD1916/BE1916*100</f>
        <v>#DIV/0!</v>
      </c>
      <c r="BG1916" s="373"/>
    </row>
    <row r="1917" spans="1:61" s="46" customFormat="1" ht="15.95" customHeight="1">
      <c r="A1917" s="176">
        <v>7</v>
      </c>
      <c r="B1917" s="31" t="s">
        <v>738</v>
      </c>
      <c r="C1917" s="32" t="s">
        <v>739</v>
      </c>
      <c r="D1917" s="383"/>
      <c r="E1917" s="383"/>
      <c r="F1917" s="383"/>
      <c r="G1917" s="383"/>
      <c r="H1917" s="383"/>
      <c r="I1917" s="383"/>
      <c r="J1917" s="383"/>
      <c r="K1917" s="383"/>
      <c r="L1917" s="383"/>
      <c r="M1917" s="383"/>
      <c r="N1917" s="383"/>
      <c r="O1917" s="383"/>
      <c r="P1917" s="383"/>
      <c r="Q1917" s="383"/>
      <c r="R1917" s="383"/>
      <c r="S1917" s="383"/>
      <c r="T1917" s="383"/>
      <c r="U1917" s="383"/>
      <c r="V1917" s="383"/>
      <c r="W1917" s="383"/>
      <c r="X1917" s="383"/>
      <c r="Y1917" s="383"/>
      <c r="Z1917" s="383"/>
      <c r="AA1917" s="383"/>
      <c r="AB1917" s="22">
        <f t="shared" si="602"/>
        <v>0</v>
      </c>
      <c r="AC1917" s="23">
        <v>0</v>
      </c>
      <c r="AD1917" s="35"/>
      <c r="AE1917" s="35"/>
      <c r="AF1917" s="35"/>
      <c r="AG1917" s="35"/>
      <c r="AH1917" s="35">
        <v>82</v>
      </c>
      <c r="AI1917" s="35"/>
      <c r="AJ1917" s="35"/>
      <c r="AK1917" s="35"/>
      <c r="AL1917" s="35">
        <v>407</v>
      </c>
      <c r="AM1917" s="35"/>
      <c r="AN1917" s="35"/>
      <c r="AO1917" s="35"/>
      <c r="AP1917" s="35">
        <f>491+2</f>
        <v>493</v>
      </c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22">
        <f t="shared" si="603"/>
        <v>982</v>
      </c>
      <c r="BC1917" s="23">
        <v>7090</v>
      </c>
      <c r="BD1917" s="130">
        <f t="shared" si="604"/>
        <v>982</v>
      </c>
      <c r="BE1917" s="130">
        <f t="shared" si="605"/>
        <v>7090</v>
      </c>
      <c r="BF1917" s="195">
        <f t="shared" si="606"/>
        <v>13.850493653032439</v>
      </c>
      <c r="BG1917" s="373">
        <f t="shared" si="607"/>
        <v>6108</v>
      </c>
    </row>
    <row r="1918" spans="1:61" s="46" customFormat="1" ht="15.95" customHeight="1">
      <c r="A1918" s="176">
        <v>8</v>
      </c>
      <c r="B1918" s="31" t="s">
        <v>740</v>
      </c>
      <c r="C1918" s="32" t="s">
        <v>741</v>
      </c>
      <c r="D1918" s="383"/>
      <c r="E1918" s="383"/>
      <c r="F1918" s="383"/>
      <c r="G1918" s="383"/>
      <c r="H1918" s="383"/>
      <c r="I1918" s="383"/>
      <c r="J1918" s="383"/>
      <c r="K1918" s="383"/>
      <c r="L1918" s="383"/>
      <c r="M1918" s="383"/>
      <c r="N1918" s="383"/>
      <c r="O1918" s="383"/>
      <c r="P1918" s="383"/>
      <c r="Q1918" s="383"/>
      <c r="R1918" s="383"/>
      <c r="S1918" s="383"/>
      <c r="T1918" s="383"/>
      <c r="U1918" s="383"/>
      <c r="V1918" s="383"/>
      <c r="W1918" s="383"/>
      <c r="X1918" s="383"/>
      <c r="Y1918" s="383"/>
      <c r="Z1918" s="383"/>
      <c r="AA1918" s="383"/>
      <c r="AB1918" s="22">
        <f t="shared" si="602"/>
        <v>0</v>
      </c>
      <c r="AC1918" s="23">
        <v>1</v>
      </c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22">
        <f t="shared" si="603"/>
        <v>0</v>
      </c>
      <c r="BC1918" s="23">
        <v>729</v>
      </c>
      <c r="BD1918" s="130">
        <f t="shared" si="604"/>
        <v>0</v>
      </c>
      <c r="BE1918" s="130">
        <f t="shared" si="605"/>
        <v>730</v>
      </c>
      <c r="BF1918" s="195">
        <f t="shared" si="606"/>
        <v>0</v>
      </c>
      <c r="BG1918" s="373">
        <f t="shared" si="607"/>
        <v>730</v>
      </c>
    </row>
    <row r="1919" spans="1:61" s="46" customFormat="1" ht="15.95" customHeight="1">
      <c r="A1919" s="176">
        <v>9</v>
      </c>
      <c r="B1919" s="31" t="s">
        <v>746</v>
      </c>
      <c r="C1919" s="32" t="s">
        <v>747</v>
      </c>
      <c r="D1919" s="383"/>
      <c r="E1919" s="383"/>
      <c r="F1919" s="383"/>
      <c r="G1919" s="383"/>
      <c r="H1919" s="383"/>
      <c r="I1919" s="383"/>
      <c r="J1919" s="383"/>
      <c r="K1919" s="383"/>
      <c r="L1919" s="383">
        <f>1+2</f>
        <v>3</v>
      </c>
      <c r="M1919" s="383"/>
      <c r="N1919" s="383"/>
      <c r="O1919" s="383"/>
      <c r="P1919" s="383"/>
      <c r="Q1919" s="383"/>
      <c r="R1919" s="383"/>
      <c r="S1919" s="383"/>
      <c r="T1919" s="383"/>
      <c r="U1919" s="383"/>
      <c r="V1919" s="383"/>
      <c r="W1919" s="383"/>
      <c r="X1919" s="383"/>
      <c r="Y1919" s="383"/>
      <c r="Z1919" s="383"/>
      <c r="AA1919" s="383"/>
      <c r="AB1919" s="22">
        <f t="shared" si="602"/>
        <v>3</v>
      </c>
      <c r="AC1919" s="23">
        <v>0</v>
      </c>
      <c r="AD1919" s="35"/>
      <c r="AE1919" s="35"/>
      <c r="AF1919" s="35"/>
      <c r="AG1919" s="35"/>
      <c r="AH1919" s="35">
        <v>64</v>
      </c>
      <c r="AI1919" s="35"/>
      <c r="AJ1919" s="35"/>
      <c r="AK1919" s="35"/>
      <c r="AL1919" s="35">
        <v>281</v>
      </c>
      <c r="AM1919" s="35"/>
      <c r="AN1919" s="35"/>
      <c r="AO1919" s="35"/>
      <c r="AP1919" s="35">
        <f>404+11</f>
        <v>415</v>
      </c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22">
        <f t="shared" si="603"/>
        <v>760</v>
      </c>
      <c r="BC1919" s="23">
        <v>42</v>
      </c>
      <c r="BD1919" s="130">
        <f t="shared" si="604"/>
        <v>763</v>
      </c>
      <c r="BE1919" s="130">
        <f t="shared" si="605"/>
        <v>42</v>
      </c>
      <c r="BF1919" s="195">
        <f t="shared" si="606"/>
        <v>1816.6666666666667</v>
      </c>
      <c r="BG1919" s="373">
        <f t="shared" si="607"/>
        <v>-721</v>
      </c>
    </row>
    <row r="1920" spans="1:61" s="46" customFormat="1" ht="15.95" customHeight="1">
      <c r="A1920" s="176">
        <v>10</v>
      </c>
      <c r="B1920" s="31" t="s">
        <v>881</v>
      </c>
      <c r="C1920" s="32" t="s">
        <v>882</v>
      </c>
      <c r="D1920" s="383"/>
      <c r="E1920" s="383"/>
      <c r="F1920" s="383"/>
      <c r="G1920" s="383"/>
      <c r="H1920" s="383"/>
      <c r="I1920" s="383"/>
      <c r="J1920" s="383"/>
      <c r="K1920" s="383"/>
      <c r="L1920" s="383"/>
      <c r="M1920" s="383"/>
      <c r="N1920" s="383"/>
      <c r="O1920" s="383"/>
      <c r="P1920" s="383"/>
      <c r="Q1920" s="383"/>
      <c r="R1920" s="383"/>
      <c r="S1920" s="383"/>
      <c r="T1920" s="383"/>
      <c r="U1920" s="383"/>
      <c r="V1920" s="383"/>
      <c r="W1920" s="383"/>
      <c r="X1920" s="383"/>
      <c r="Y1920" s="383"/>
      <c r="Z1920" s="383"/>
      <c r="AA1920" s="383"/>
      <c r="AB1920" s="22">
        <f t="shared" si="602"/>
        <v>0</v>
      </c>
      <c r="AC1920" s="23">
        <v>0</v>
      </c>
      <c r="AD1920" s="35"/>
      <c r="AE1920" s="35"/>
      <c r="AF1920" s="35"/>
      <c r="AG1920" s="35"/>
      <c r="AH1920" s="35">
        <v>380</v>
      </c>
      <c r="AI1920" s="35"/>
      <c r="AJ1920" s="35"/>
      <c r="AK1920" s="35"/>
      <c r="AL1920" s="35">
        <v>1990</v>
      </c>
      <c r="AM1920" s="35"/>
      <c r="AN1920" s="35"/>
      <c r="AO1920" s="35"/>
      <c r="AP1920" s="35">
        <f>2514+16</f>
        <v>2530</v>
      </c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22">
        <f t="shared" si="603"/>
        <v>4900</v>
      </c>
      <c r="BC1920" s="23">
        <v>5474</v>
      </c>
      <c r="BD1920" s="130">
        <f t="shared" si="604"/>
        <v>4900</v>
      </c>
      <c r="BE1920" s="130">
        <f t="shared" si="605"/>
        <v>5474</v>
      </c>
      <c r="BF1920" s="195">
        <f t="shared" si="606"/>
        <v>89.514066496163679</v>
      </c>
      <c r="BG1920" s="373">
        <f t="shared" si="607"/>
        <v>574</v>
      </c>
    </row>
    <row r="1921" spans="1:59" s="46" customFormat="1" ht="15.95" customHeight="1">
      <c r="A1921" s="176">
        <v>11</v>
      </c>
      <c r="B1921" s="31" t="s">
        <v>750</v>
      </c>
      <c r="C1921" s="34" t="s">
        <v>751</v>
      </c>
      <c r="D1921" s="383"/>
      <c r="E1921" s="383"/>
      <c r="F1921" s="383"/>
      <c r="G1921" s="383"/>
      <c r="H1921" s="383"/>
      <c r="I1921" s="383"/>
      <c r="J1921" s="383"/>
      <c r="K1921" s="383"/>
      <c r="L1921" s="383"/>
      <c r="M1921" s="383"/>
      <c r="N1921" s="383"/>
      <c r="O1921" s="383"/>
      <c r="P1921" s="383"/>
      <c r="Q1921" s="383"/>
      <c r="R1921" s="383"/>
      <c r="S1921" s="383"/>
      <c r="T1921" s="383"/>
      <c r="U1921" s="383"/>
      <c r="V1921" s="383"/>
      <c r="W1921" s="383"/>
      <c r="X1921" s="383"/>
      <c r="Y1921" s="383"/>
      <c r="Z1921" s="383"/>
      <c r="AA1921" s="383"/>
      <c r="AB1921" s="22">
        <f t="shared" si="602"/>
        <v>0</v>
      </c>
      <c r="AC1921" s="23">
        <v>0</v>
      </c>
      <c r="AD1921" s="35"/>
      <c r="AE1921" s="35"/>
      <c r="AF1921" s="35"/>
      <c r="AG1921" s="35"/>
      <c r="AH1921" s="35">
        <v>4</v>
      </c>
      <c r="AI1921" s="35"/>
      <c r="AJ1921" s="35"/>
      <c r="AK1921" s="35"/>
      <c r="AL1921" s="35">
        <v>16</v>
      </c>
      <c r="AM1921" s="35"/>
      <c r="AN1921" s="35"/>
      <c r="AO1921" s="35"/>
      <c r="AP1921" s="35">
        <v>10</v>
      </c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22">
        <f t="shared" si="603"/>
        <v>30</v>
      </c>
      <c r="BC1921" s="23">
        <v>43</v>
      </c>
      <c r="BD1921" s="130">
        <f t="shared" si="604"/>
        <v>30</v>
      </c>
      <c r="BE1921" s="130">
        <f t="shared" si="605"/>
        <v>43</v>
      </c>
      <c r="BF1921" s="195">
        <f t="shared" si="606"/>
        <v>69.767441860465112</v>
      </c>
      <c r="BG1921" s="373">
        <f t="shared" si="607"/>
        <v>13</v>
      </c>
    </row>
    <row r="1922" spans="1:59" s="46" customFormat="1" ht="15.95" customHeight="1">
      <c r="A1922" s="176">
        <v>12</v>
      </c>
      <c r="B1922" s="31" t="s">
        <v>930</v>
      </c>
      <c r="C1922" s="34" t="s">
        <v>931</v>
      </c>
      <c r="D1922" s="383"/>
      <c r="E1922" s="383"/>
      <c r="F1922" s="383"/>
      <c r="G1922" s="383"/>
      <c r="H1922" s="383"/>
      <c r="I1922" s="383"/>
      <c r="J1922" s="383"/>
      <c r="K1922" s="383"/>
      <c r="L1922" s="383"/>
      <c r="M1922" s="383"/>
      <c r="N1922" s="383"/>
      <c r="O1922" s="383"/>
      <c r="P1922" s="383"/>
      <c r="Q1922" s="383"/>
      <c r="R1922" s="383"/>
      <c r="S1922" s="383"/>
      <c r="T1922" s="383"/>
      <c r="U1922" s="383"/>
      <c r="V1922" s="383"/>
      <c r="W1922" s="383"/>
      <c r="X1922" s="383"/>
      <c r="Y1922" s="383"/>
      <c r="Z1922" s="383"/>
      <c r="AA1922" s="383"/>
      <c r="AB1922" s="22">
        <f t="shared" si="602"/>
        <v>0</v>
      </c>
      <c r="AC1922" s="23">
        <v>0</v>
      </c>
      <c r="AD1922" s="35"/>
      <c r="AE1922" s="35"/>
      <c r="AF1922" s="35"/>
      <c r="AG1922" s="35"/>
      <c r="AH1922" s="35">
        <v>1</v>
      </c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22">
        <f t="shared" si="603"/>
        <v>1</v>
      </c>
      <c r="BC1922" s="23">
        <v>12</v>
      </c>
      <c r="BD1922" s="130">
        <f t="shared" si="604"/>
        <v>1</v>
      </c>
      <c r="BE1922" s="130">
        <f t="shared" si="605"/>
        <v>12</v>
      </c>
      <c r="BF1922" s="195">
        <f t="shared" si="606"/>
        <v>8.3333333333333321</v>
      </c>
      <c r="BG1922" s="373">
        <f t="shared" si="607"/>
        <v>11</v>
      </c>
    </row>
    <row r="1923" spans="1:59" s="46" customFormat="1" ht="15.95" customHeight="1">
      <c r="A1923" s="176">
        <v>13</v>
      </c>
      <c r="B1923" s="37" t="s">
        <v>932</v>
      </c>
      <c r="C1923" s="132" t="s">
        <v>933</v>
      </c>
      <c r="D1923" s="383"/>
      <c r="E1923" s="383"/>
      <c r="F1923" s="383"/>
      <c r="G1923" s="383"/>
      <c r="H1923" s="383"/>
      <c r="I1923" s="383"/>
      <c r="J1923" s="383"/>
      <c r="K1923" s="383"/>
      <c r="L1923" s="383"/>
      <c r="M1923" s="383"/>
      <c r="N1923" s="383"/>
      <c r="O1923" s="383"/>
      <c r="P1923" s="383"/>
      <c r="Q1923" s="383"/>
      <c r="R1923" s="383"/>
      <c r="S1923" s="383"/>
      <c r="T1923" s="383"/>
      <c r="U1923" s="383"/>
      <c r="V1923" s="383"/>
      <c r="W1923" s="383"/>
      <c r="X1923" s="383"/>
      <c r="Y1923" s="383"/>
      <c r="Z1923" s="383"/>
      <c r="AA1923" s="383"/>
      <c r="AB1923" s="22">
        <f t="shared" si="602"/>
        <v>0</v>
      </c>
      <c r="AC1923" s="23">
        <v>0</v>
      </c>
      <c r="AD1923" s="35"/>
      <c r="AE1923" s="35"/>
      <c r="AF1923" s="35"/>
      <c r="AG1923" s="35"/>
      <c r="AH1923" s="35"/>
      <c r="AI1923" s="35"/>
      <c r="AJ1923" s="35"/>
      <c r="AK1923" s="35"/>
      <c r="AL1923" s="35">
        <v>1</v>
      </c>
      <c r="AM1923" s="35"/>
      <c r="AN1923" s="35"/>
      <c r="AO1923" s="35"/>
      <c r="AP1923" s="35">
        <v>5</v>
      </c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22">
        <f t="shared" si="603"/>
        <v>6</v>
      </c>
      <c r="BC1923" s="23">
        <v>38</v>
      </c>
      <c r="BD1923" s="130">
        <f t="shared" si="604"/>
        <v>6</v>
      </c>
      <c r="BE1923" s="130">
        <f t="shared" si="605"/>
        <v>38</v>
      </c>
      <c r="BF1923" s="195">
        <f t="shared" si="606"/>
        <v>15.789473684210526</v>
      </c>
      <c r="BG1923" s="373">
        <f t="shared" si="607"/>
        <v>32</v>
      </c>
    </row>
    <row r="1924" spans="1:59" s="46" customFormat="1" ht="15.95" customHeight="1">
      <c r="A1924" s="176">
        <v>14</v>
      </c>
      <c r="B1924" s="31" t="s">
        <v>752</v>
      </c>
      <c r="C1924" s="32" t="s">
        <v>753</v>
      </c>
      <c r="D1924" s="383"/>
      <c r="E1924" s="383"/>
      <c r="F1924" s="383"/>
      <c r="G1924" s="383"/>
      <c r="H1924" s="383"/>
      <c r="I1924" s="383"/>
      <c r="J1924" s="383"/>
      <c r="K1924" s="383"/>
      <c r="L1924" s="383"/>
      <c r="M1924" s="383"/>
      <c r="N1924" s="383"/>
      <c r="O1924" s="383"/>
      <c r="P1924" s="383"/>
      <c r="Q1924" s="383"/>
      <c r="R1924" s="383"/>
      <c r="S1924" s="383"/>
      <c r="T1924" s="383"/>
      <c r="U1924" s="383"/>
      <c r="V1924" s="383"/>
      <c r="W1924" s="383"/>
      <c r="X1924" s="383"/>
      <c r="Y1924" s="383"/>
      <c r="Z1924" s="383"/>
      <c r="AA1924" s="383"/>
      <c r="AB1924" s="22">
        <f t="shared" si="602"/>
        <v>0</v>
      </c>
      <c r="AC1924" s="23">
        <v>0</v>
      </c>
      <c r="AD1924" s="35"/>
      <c r="AE1924" s="35"/>
      <c r="AF1924" s="35"/>
      <c r="AG1924" s="35"/>
      <c r="AH1924" s="35">
        <v>4</v>
      </c>
      <c r="AI1924" s="35"/>
      <c r="AJ1924" s="35"/>
      <c r="AK1924" s="35"/>
      <c r="AL1924" s="35">
        <v>9</v>
      </c>
      <c r="AM1924" s="35"/>
      <c r="AN1924" s="35"/>
      <c r="AO1924" s="35"/>
      <c r="AP1924" s="35">
        <v>16</v>
      </c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22">
        <f t="shared" si="603"/>
        <v>29</v>
      </c>
      <c r="BC1924" s="23">
        <v>43</v>
      </c>
      <c r="BD1924" s="130">
        <f t="shared" si="604"/>
        <v>29</v>
      </c>
      <c r="BE1924" s="130">
        <f t="shared" si="605"/>
        <v>43</v>
      </c>
      <c r="BF1924" s="195">
        <f t="shared" si="606"/>
        <v>67.441860465116278</v>
      </c>
      <c r="BG1924" s="373">
        <f t="shared" si="607"/>
        <v>14</v>
      </c>
    </row>
    <row r="1925" spans="1:59" s="46" customFormat="1" ht="15.95" customHeight="1">
      <c r="A1925" s="176">
        <v>15</v>
      </c>
      <c r="B1925" s="37" t="s">
        <v>754</v>
      </c>
      <c r="C1925" s="38" t="s">
        <v>889</v>
      </c>
      <c r="D1925" s="231"/>
      <c r="E1925" s="231"/>
      <c r="F1925" s="231"/>
      <c r="G1925" s="231"/>
      <c r="H1925" s="231"/>
      <c r="I1925" s="231"/>
      <c r="J1925" s="231"/>
      <c r="K1925" s="231"/>
      <c r="L1925" s="231"/>
      <c r="M1925" s="231"/>
      <c r="N1925" s="231"/>
      <c r="O1925" s="231"/>
      <c r="P1925" s="231"/>
      <c r="Q1925" s="231"/>
      <c r="R1925" s="231"/>
      <c r="S1925" s="231"/>
      <c r="T1925" s="231"/>
      <c r="U1925" s="231"/>
      <c r="V1925" s="231"/>
      <c r="W1925" s="231"/>
      <c r="X1925" s="231"/>
      <c r="Y1925" s="231"/>
      <c r="Z1925" s="231"/>
      <c r="AA1925" s="231"/>
      <c r="AB1925" s="22">
        <f t="shared" si="602"/>
        <v>0</v>
      </c>
      <c r="AC1925" s="23">
        <v>0</v>
      </c>
      <c r="AD1925" s="35"/>
      <c r="AE1925" s="35"/>
      <c r="AF1925" s="35"/>
      <c r="AG1925" s="35"/>
      <c r="AH1925" s="35">
        <v>1</v>
      </c>
      <c r="AI1925" s="35"/>
      <c r="AJ1925" s="35"/>
      <c r="AK1925" s="35"/>
      <c r="AL1925" s="35">
        <v>2</v>
      </c>
      <c r="AM1925" s="35"/>
      <c r="AN1925" s="35"/>
      <c r="AO1925" s="35"/>
      <c r="AP1925" s="35">
        <v>7</v>
      </c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22">
        <f t="shared" si="603"/>
        <v>10</v>
      </c>
      <c r="BC1925" s="23">
        <v>19</v>
      </c>
      <c r="BD1925" s="130">
        <f t="shared" si="604"/>
        <v>10</v>
      </c>
      <c r="BE1925" s="130">
        <f t="shared" si="605"/>
        <v>19</v>
      </c>
      <c r="BF1925" s="195">
        <f t="shared" si="606"/>
        <v>52.631578947368418</v>
      </c>
      <c r="BG1925" s="373">
        <f t="shared" si="607"/>
        <v>9</v>
      </c>
    </row>
    <row r="1926" spans="1:59" s="46" customFormat="1" ht="15.95" customHeight="1">
      <c r="A1926" s="176">
        <v>16</v>
      </c>
      <c r="B1926" s="31" t="s">
        <v>756</v>
      </c>
      <c r="C1926" s="32" t="s">
        <v>757</v>
      </c>
      <c r="D1926" s="231"/>
      <c r="E1926" s="231"/>
      <c r="F1926" s="231"/>
      <c r="G1926" s="231"/>
      <c r="H1926" s="231">
        <v>39</v>
      </c>
      <c r="I1926" s="231"/>
      <c r="J1926" s="231"/>
      <c r="K1926" s="231"/>
      <c r="L1926" s="231">
        <v>204</v>
      </c>
      <c r="M1926" s="231"/>
      <c r="N1926" s="231"/>
      <c r="O1926" s="231"/>
      <c r="P1926" s="231">
        <v>281</v>
      </c>
      <c r="Q1926" s="231"/>
      <c r="R1926" s="231"/>
      <c r="S1926" s="231"/>
      <c r="T1926" s="231"/>
      <c r="U1926" s="231"/>
      <c r="V1926" s="231"/>
      <c r="W1926" s="231"/>
      <c r="X1926" s="231"/>
      <c r="Y1926" s="231"/>
      <c r="Z1926" s="231"/>
      <c r="AA1926" s="231"/>
      <c r="AB1926" s="22">
        <f t="shared" si="602"/>
        <v>524</v>
      </c>
      <c r="AC1926" s="23">
        <v>216</v>
      </c>
      <c r="AD1926" s="35"/>
      <c r="AE1926" s="35"/>
      <c r="AF1926" s="35"/>
      <c r="AG1926" s="35"/>
      <c r="AH1926" s="35">
        <v>296</v>
      </c>
      <c r="AI1926" s="35"/>
      <c r="AJ1926" s="35"/>
      <c r="AK1926" s="35"/>
      <c r="AL1926" s="35">
        <f>2+1205</f>
        <v>1207</v>
      </c>
      <c r="AM1926" s="35"/>
      <c r="AN1926" s="35"/>
      <c r="AO1926" s="35"/>
      <c r="AP1926" s="35">
        <f>1+1430+17</f>
        <v>1448</v>
      </c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22">
        <f t="shared" si="603"/>
        <v>2951</v>
      </c>
      <c r="BC1926" s="23">
        <v>3695</v>
      </c>
      <c r="BD1926" s="130">
        <f t="shared" si="604"/>
        <v>3475</v>
      </c>
      <c r="BE1926" s="130">
        <f t="shared" si="605"/>
        <v>3911</v>
      </c>
      <c r="BF1926" s="195">
        <f t="shared" si="606"/>
        <v>88.851956021477889</v>
      </c>
      <c r="BG1926" s="373">
        <f t="shared" si="607"/>
        <v>436</v>
      </c>
    </row>
    <row r="1927" spans="1:59" s="46" customFormat="1" ht="15.95" customHeight="1">
      <c r="A1927" s="176">
        <v>17</v>
      </c>
      <c r="B1927" s="31" t="s">
        <v>760</v>
      </c>
      <c r="C1927" s="32" t="s">
        <v>761</v>
      </c>
      <c r="D1927" s="576"/>
      <c r="E1927" s="576"/>
      <c r="F1927" s="576"/>
      <c r="G1927" s="576"/>
      <c r="H1927" s="576"/>
      <c r="I1927" s="576"/>
      <c r="J1927" s="576"/>
      <c r="K1927" s="576"/>
      <c r="L1927" s="576"/>
      <c r="M1927" s="576"/>
      <c r="N1927" s="576"/>
      <c r="O1927" s="576"/>
      <c r="P1927" s="576"/>
      <c r="Q1927" s="576"/>
      <c r="R1927" s="576"/>
      <c r="S1927" s="576"/>
      <c r="T1927" s="576"/>
      <c r="U1927" s="576"/>
      <c r="V1927" s="576"/>
      <c r="W1927" s="576"/>
      <c r="X1927" s="576"/>
      <c r="Y1927" s="576"/>
      <c r="Z1927" s="576"/>
      <c r="AA1927" s="576"/>
      <c r="AB1927" s="22">
        <f t="shared" si="602"/>
        <v>0</v>
      </c>
      <c r="AC1927" s="23">
        <v>0</v>
      </c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>
        <v>20</v>
      </c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22">
        <f t="shared" si="603"/>
        <v>20</v>
      </c>
      <c r="BC1927" s="23">
        <v>0</v>
      </c>
      <c r="BD1927" s="130">
        <f t="shared" ref="BD1927" si="614">AB1927+BB1927</f>
        <v>20</v>
      </c>
      <c r="BE1927" s="130">
        <f t="shared" ref="BE1927" si="615">AC1927+BC1927</f>
        <v>0</v>
      </c>
      <c r="BF1927" s="195" t="e">
        <f t="shared" ref="BF1927" si="616">BD1927/BE1927*100</f>
        <v>#DIV/0!</v>
      </c>
      <c r="BG1927" s="373"/>
    </row>
    <row r="1928" spans="1:59" s="46" customFormat="1" ht="15.95" customHeight="1">
      <c r="A1928" s="176">
        <v>18</v>
      </c>
      <c r="B1928" s="31" t="s">
        <v>768</v>
      </c>
      <c r="C1928" s="32" t="s">
        <v>769</v>
      </c>
      <c r="D1928" s="231"/>
      <c r="E1928" s="231"/>
      <c r="F1928" s="231"/>
      <c r="G1928" s="231"/>
      <c r="H1928" s="231"/>
      <c r="I1928" s="231"/>
      <c r="J1928" s="231"/>
      <c r="K1928" s="231"/>
      <c r="L1928" s="231">
        <v>1</v>
      </c>
      <c r="M1928" s="231"/>
      <c r="N1928" s="231"/>
      <c r="O1928" s="231"/>
      <c r="P1928" s="231">
        <v>2</v>
      </c>
      <c r="Q1928" s="231"/>
      <c r="R1928" s="231"/>
      <c r="S1928" s="231"/>
      <c r="T1928" s="231"/>
      <c r="U1928" s="231"/>
      <c r="V1928" s="231"/>
      <c r="W1928" s="231"/>
      <c r="X1928" s="231"/>
      <c r="Y1928" s="231"/>
      <c r="Z1928" s="231"/>
      <c r="AA1928" s="231"/>
      <c r="AB1928" s="22">
        <f t="shared" si="602"/>
        <v>3</v>
      </c>
      <c r="AC1928" s="23">
        <v>0</v>
      </c>
      <c r="AD1928" s="35"/>
      <c r="AE1928" s="35"/>
      <c r="AF1928" s="35"/>
      <c r="AG1928" s="35"/>
      <c r="AH1928" s="35">
        <v>5</v>
      </c>
      <c r="AI1928" s="35"/>
      <c r="AJ1928" s="35"/>
      <c r="AK1928" s="35"/>
      <c r="AL1928" s="35">
        <v>24</v>
      </c>
      <c r="AM1928" s="35"/>
      <c r="AN1928" s="35"/>
      <c r="AO1928" s="35"/>
      <c r="AP1928" s="35">
        <f>20+1</f>
        <v>21</v>
      </c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22">
        <f t="shared" si="603"/>
        <v>50</v>
      </c>
      <c r="BC1928" s="23">
        <v>61</v>
      </c>
      <c r="BD1928" s="130">
        <f t="shared" si="604"/>
        <v>53</v>
      </c>
      <c r="BE1928" s="130">
        <f t="shared" si="605"/>
        <v>61</v>
      </c>
      <c r="BF1928" s="195">
        <f t="shared" si="606"/>
        <v>86.885245901639337</v>
      </c>
      <c r="BG1928" s="373">
        <f t="shared" si="607"/>
        <v>8</v>
      </c>
    </row>
    <row r="1929" spans="1:59" s="46" customFormat="1" ht="15.95" customHeight="1">
      <c r="A1929" s="176">
        <v>19</v>
      </c>
      <c r="B1929" s="31" t="s">
        <v>770</v>
      </c>
      <c r="C1929" s="34" t="s">
        <v>771</v>
      </c>
      <c r="D1929" s="231"/>
      <c r="E1929" s="231"/>
      <c r="F1929" s="231"/>
      <c r="G1929" s="231"/>
      <c r="H1929" s="231"/>
      <c r="I1929" s="231"/>
      <c r="J1929" s="231"/>
      <c r="K1929" s="231"/>
      <c r="L1929" s="231"/>
      <c r="M1929" s="231"/>
      <c r="N1929" s="231"/>
      <c r="O1929" s="231"/>
      <c r="P1929" s="231"/>
      <c r="Q1929" s="231"/>
      <c r="R1929" s="231"/>
      <c r="S1929" s="231"/>
      <c r="T1929" s="231"/>
      <c r="U1929" s="231"/>
      <c r="V1929" s="231"/>
      <c r="W1929" s="231"/>
      <c r="X1929" s="231"/>
      <c r="Y1929" s="231"/>
      <c r="Z1929" s="231"/>
      <c r="AA1929" s="231"/>
      <c r="AB1929" s="22">
        <f t="shared" si="602"/>
        <v>0</v>
      </c>
      <c r="AC1929" s="23">
        <v>0</v>
      </c>
      <c r="AD1929" s="35"/>
      <c r="AE1929" s="35"/>
      <c r="AF1929" s="35"/>
      <c r="AG1929" s="35"/>
      <c r="AH1929" s="35"/>
      <c r="AI1929" s="35"/>
      <c r="AJ1929" s="35"/>
      <c r="AK1929" s="35"/>
      <c r="AL1929" s="35">
        <v>6</v>
      </c>
      <c r="AM1929" s="35"/>
      <c r="AN1929" s="35"/>
      <c r="AO1929" s="35"/>
      <c r="AP1929" s="35">
        <v>17</v>
      </c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22">
        <f t="shared" si="603"/>
        <v>23</v>
      </c>
      <c r="BC1929" s="23">
        <v>10</v>
      </c>
      <c r="BD1929" s="130">
        <f t="shared" si="604"/>
        <v>23</v>
      </c>
      <c r="BE1929" s="130">
        <f t="shared" si="605"/>
        <v>10</v>
      </c>
      <c r="BF1929" s="195">
        <f t="shared" si="606"/>
        <v>229.99999999999997</v>
      </c>
      <c r="BG1929" s="373">
        <f t="shared" si="607"/>
        <v>-13</v>
      </c>
    </row>
    <row r="1930" spans="1:59" s="46" customFormat="1" ht="15.95" customHeight="1">
      <c r="A1930" s="176">
        <v>20</v>
      </c>
      <c r="B1930" s="31" t="s">
        <v>772</v>
      </c>
      <c r="C1930" s="32" t="s">
        <v>773</v>
      </c>
      <c r="D1930" s="231"/>
      <c r="E1930" s="231"/>
      <c r="F1930" s="231"/>
      <c r="G1930" s="231"/>
      <c r="H1930" s="231"/>
      <c r="I1930" s="231"/>
      <c r="J1930" s="231"/>
      <c r="K1930" s="231"/>
      <c r="L1930" s="231"/>
      <c r="M1930" s="231"/>
      <c r="N1930" s="231"/>
      <c r="O1930" s="231"/>
      <c r="P1930" s="231"/>
      <c r="Q1930" s="231"/>
      <c r="R1930" s="231"/>
      <c r="S1930" s="231"/>
      <c r="T1930" s="231"/>
      <c r="U1930" s="231"/>
      <c r="V1930" s="231"/>
      <c r="W1930" s="231"/>
      <c r="X1930" s="231"/>
      <c r="Y1930" s="231"/>
      <c r="Z1930" s="231"/>
      <c r="AA1930" s="231"/>
      <c r="AB1930" s="22">
        <f t="shared" si="602"/>
        <v>0</v>
      </c>
      <c r="AC1930" s="23">
        <v>0</v>
      </c>
      <c r="AD1930" s="35"/>
      <c r="AE1930" s="35"/>
      <c r="AF1930" s="35"/>
      <c r="AG1930" s="35"/>
      <c r="AH1930" s="35">
        <v>87</v>
      </c>
      <c r="AI1930" s="35"/>
      <c r="AJ1930" s="35"/>
      <c r="AK1930" s="35"/>
      <c r="AL1930" s="35">
        <v>324</v>
      </c>
      <c r="AM1930" s="35"/>
      <c r="AN1930" s="35"/>
      <c r="AO1930" s="35"/>
      <c r="AP1930" s="35">
        <f>488+3</f>
        <v>491</v>
      </c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22">
        <f t="shared" si="603"/>
        <v>902</v>
      </c>
      <c r="BC1930" s="23">
        <v>2065</v>
      </c>
      <c r="BD1930" s="130">
        <f t="shared" si="604"/>
        <v>902</v>
      </c>
      <c r="BE1930" s="130">
        <f t="shared" si="605"/>
        <v>2065</v>
      </c>
      <c r="BF1930" s="195">
        <f t="shared" si="606"/>
        <v>43.680387409200968</v>
      </c>
      <c r="BG1930" s="373">
        <f t="shared" si="607"/>
        <v>1163</v>
      </c>
    </row>
    <row r="1931" spans="1:59" s="46" customFormat="1" ht="15.95" customHeight="1">
      <c r="A1931" s="176">
        <v>21</v>
      </c>
      <c r="B1931" s="31" t="s">
        <v>783</v>
      </c>
      <c r="C1931" s="34" t="s">
        <v>1041</v>
      </c>
      <c r="D1931" s="231"/>
      <c r="E1931" s="231"/>
      <c r="F1931" s="231"/>
      <c r="G1931" s="231"/>
      <c r="H1931" s="231">
        <v>2</v>
      </c>
      <c r="I1931" s="231"/>
      <c r="J1931" s="231"/>
      <c r="K1931" s="231"/>
      <c r="L1931" s="231">
        <v>18</v>
      </c>
      <c r="M1931" s="231"/>
      <c r="N1931" s="231"/>
      <c r="O1931" s="231"/>
      <c r="P1931" s="231">
        <v>25</v>
      </c>
      <c r="Q1931" s="231"/>
      <c r="R1931" s="231"/>
      <c r="S1931" s="231"/>
      <c r="T1931" s="231"/>
      <c r="U1931" s="231"/>
      <c r="V1931" s="231"/>
      <c r="W1931" s="231"/>
      <c r="X1931" s="231"/>
      <c r="Y1931" s="231"/>
      <c r="Z1931" s="231"/>
      <c r="AA1931" s="231"/>
      <c r="AB1931" s="22">
        <f t="shared" si="602"/>
        <v>45</v>
      </c>
      <c r="AC1931" s="23">
        <v>5</v>
      </c>
      <c r="AD1931" s="35"/>
      <c r="AE1931" s="35"/>
      <c r="AF1931" s="35"/>
      <c r="AG1931" s="35"/>
      <c r="AH1931" s="35">
        <v>22</v>
      </c>
      <c r="AI1931" s="35"/>
      <c r="AJ1931" s="35"/>
      <c r="AK1931" s="35"/>
      <c r="AL1931" s="35">
        <v>122</v>
      </c>
      <c r="AM1931" s="35"/>
      <c r="AN1931" s="35"/>
      <c r="AO1931" s="35"/>
      <c r="AP1931" s="35">
        <f>157+1</f>
        <v>158</v>
      </c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22">
        <f t="shared" si="603"/>
        <v>302</v>
      </c>
      <c r="BC1931" s="23">
        <v>425</v>
      </c>
      <c r="BD1931" s="130">
        <f t="shared" si="604"/>
        <v>347</v>
      </c>
      <c r="BE1931" s="130">
        <f t="shared" si="605"/>
        <v>430</v>
      </c>
      <c r="BF1931" s="195">
        <f t="shared" si="606"/>
        <v>80.697674418604649</v>
      </c>
      <c r="BG1931" s="373">
        <f t="shared" si="607"/>
        <v>83</v>
      </c>
    </row>
    <row r="1932" spans="1:59" s="46" customFormat="1" ht="15.95" customHeight="1">
      <c r="A1932" s="176">
        <v>22</v>
      </c>
      <c r="B1932" s="37" t="s">
        <v>995</v>
      </c>
      <c r="C1932" s="38" t="s">
        <v>996</v>
      </c>
      <c r="D1932" s="231"/>
      <c r="E1932" s="231"/>
      <c r="F1932" s="231"/>
      <c r="G1932" s="231"/>
      <c r="H1932" s="231"/>
      <c r="I1932" s="231"/>
      <c r="J1932" s="231"/>
      <c r="K1932" s="231"/>
      <c r="L1932" s="231"/>
      <c r="M1932" s="231"/>
      <c r="N1932" s="231"/>
      <c r="O1932" s="231"/>
      <c r="P1932" s="231"/>
      <c r="Q1932" s="231"/>
      <c r="R1932" s="231"/>
      <c r="S1932" s="231"/>
      <c r="T1932" s="231"/>
      <c r="U1932" s="231"/>
      <c r="V1932" s="231"/>
      <c r="W1932" s="231"/>
      <c r="X1932" s="231"/>
      <c r="Y1932" s="231"/>
      <c r="Z1932" s="231"/>
      <c r="AA1932" s="231"/>
      <c r="AB1932" s="22">
        <f t="shared" si="602"/>
        <v>0</v>
      </c>
      <c r="AC1932" s="23">
        <v>0</v>
      </c>
      <c r="AD1932" s="35"/>
      <c r="AE1932" s="35"/>
      <c r="AF1932" s="35"/>
      <c r="AG1932" s="35"/>
      <c r="AH1932" s="35">
        <v>4</v>
      </c>
      <c r="AI1932" s="35"/>
      <c r="AJ1932" s="35"/>
      <c r="AK1932" s="35"/>
      <c r="AL1932" s="35">
        <f>16+7</f>
        <v>23</v>
      </c>
      <c r="AM1932" s="35"/>
      <c r="AN1932" s="35"/>
      <c r="AO1932" s="35"/>
      <c r="AP1932" s="35">
        <v>20</v>
      </c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22">
        <f t="shared" si="603"/>
        <v>47</v>
      </c>
      <c r="BC1932" s="23">
        <v>54</v>
      </c>
      <c r="BD1932" s="130">
        <f t="shared" si="604"/>
        <v>47</v>
      </c>
      <c r="BE1932" s="130">
        <f t="shared" si="605"/>
        <v>54</v>
      </c>
      <c r="BF1932" s="195">
        <f t="shared" si="606"/>
        <v>87.037037037037038</v>
      </c>
      <c r="BG1932" s="373">
        <f t="shared" si="607"/>
        <v>7</v>
      </c>
    </row>
    <row r="1933" spans="1:59" s="46" customFormat="1" ht="15.95" customHeight="1">
      <c r="A1933" s="176">
        <v>23</v>
      </c>
      <c r="B1933" s="31" t="s">
        <v>1535</v>
      </c>
      <c r="C1933" s="32" t="s">
        <v>1693</v>
      </c>
      <c r="D1933" s="231"/>
      <c r="E1933" s="231"/>
      <c r="F1933" s="231"/>
      <c r="G1933" s="231"/>
      <c r="H1933" s="231"/>
      <c r="I1933" s="231"/>
      <c r="J1933" s="231"/>
      <c r="K1933" s="231"/>
      <c r="L1933" s="231"/>
      <c r="M1933" s="231"/>
      <c r="N1933" s="231"/>
      <c r="O1933" s="231"/>
      <c r="P1933" s="231"/>
      <c r="Q1933" s="231"/>
      <c r="R1933" s="231"/>
      <c r="S1933" s="231"/>
      <c r="T1933" s="231"/>
      <c r="U1933" s="231"/>
      <c r="V1933" s="231"/>
      <c r="W1933" s="231"/>
      <c r="X1933" s="231"/>
      <c r="Y1933" s="231"/>
      <c r="Z1933" s="231"/>
      <c r="AA1933" s="231"/>
      <c r="AB1933" s="22">
        <f t="shared" si="602"/>
        <v>0</v>
      </c>
      <c r="AC1933" s="23">
        <v>0</v>
      </c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22">
        <f t="shared" si="603"/>
        <v>0</v>
      </c>
      <c r="BC1933" s="23">
        <v>1</v>
      </c>
      <c r="BD1933" s="130">
        <f t="shared" si="604"/>
        <v>0</v>
      </c>
      <c r="BE1933" s="130">
        <f t="shared" si="605"/>
        <v>1</v>
      </c>
      <c r="BF1933" s="195">
        <f t="shared" si="606"/>
        <v>0</v>
      </c>
      <c r="BG1933" s="373">
        <f t="shared" si="607"/>
        <v>1</v>
      </c>
    </row>
    <row r="1934" spans="1:59" s="46" customFormat="1" ht="15.95" customHeight="1">
      <c r="A1934" s="176">
        <v>24</v>
      </c>
      <c r="B1934" s="31" t="s">
        <v>1538</v>
      </c>
      <c r="C1934" s="32" t="s">
        <v>2926</v>
      </c>
      <c r="D1934" s="231"/>
      <c r="E1934" s="231"/>
      <c r="F1934" s="231"/>
      <c r="G1934" s="231"/>
      <c r="H1934" s="231"/>
      <c r="I1934" s="231"/>
      <c r="J1934" s="231"/>
      <c r="K1934" s="231"/>
      <c r="L1934" s="231"/>
      <c r="M1934" s="231"/>
      <c r="N1934" s="231"/>
      <c r="O1934" s="231"/>
      <c r="P1934" s="231"/>
      <c r="Q1934" s="231"/>
      <c r="R1934" s="231"/>
      <c r="S1934" s="231"/>
      <c r="T1934" s="231"/>
      <c r="U1934" s="231"/>
      <c r="V1934" s="231"/>
      <c r="W1934" s="231"/>
      <c r="X1934" s="231"/>
      <c r="Y1934" s="231"/>
      <c r="Z1934" s="231"/>
      <c r="AA1934" s="231"/>
      <c r="AB1934" s="22">
        <f t="shared" si="602"/>
        <v>0</v>
      </c>
      <c r="AC1934" s="23">
        <v>0</v>
      </c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22">
        <f t="shared" si="603"/>
        <v>0</v>
      </c>
      <c r="BC1934" s="23">
        <v>1</v>
      </c>
      <c r="BD1934" s="130">
        <f t="shared" si="604"/>
        <v>0</v>
      </c>
      <c r="BE1934" s="130">
        <f t="shared" si="605"/>
        <v>1</v>
      </c>
      <c r="BF1934" s="195">
        <f t="shared" si="606"/>
        <v>0</v>
      </c>
      <c r="BG1934" s="373">
        <f t="shared" si="607"/>
        <v>1</v>
      </c>
    </row>
    <row r="1935" spans="1:59" s="46" customFormat="1" ht="15.95" customHeight="1">
      <c r="A1935" s="176">
        <v>25</v>
      </c>
      <c r="B1935" s="31" t="s">
        <v>4005</v>
      </c>
      <c r="C1935" s="32" t="s">
        <v>4006</v>
      </c>
      <c r="D1935" s="552"/>
      <c r="E1935" s="552"/>
      <c r="F1935" s="552"/>
      <c r="G1935" s="552"/>
      <c r="H1935" s="552"/>
      <c r="I1935" s="552"/>
      <c r="J1935" s="552"/>
      <c r="K1935" s="552"/>
      <c r="L1935" s="552"/>
      <c r="M1935" s="552"/>
      <c r="N1935" s="552"/>
      <c r="O1935" s="552"/>
      <c r="P1935" s="552"/>
      <c r="Q1935" s="552"/>
      <c r="R1935" s="552"/>
      <c r="S1935" s="552"/>
      <c r="T1935" s="552"/>
      <c r="U1935" s="552"/>
      <c r="V1935" s="552"/>
      <c r="W1935" s="552"/>
      <c r="X1935" s="552"/>
      <c r="Y1935" s="552"/>
      <c r="Z1935" s="552"/>
      <c r="AA1935" s="552"/>
      <c r="AB1935" s="22">
        <f t="shared" si="602"/>
        <v>0</v>
      </c>
      <c r="AC1935" s="23">
        <v>0</v>
      </c>
      <c r="AD1935" s="35"/>
      <c r="AE1935" s="35"/>
      <c r="AF1935" s="35"/>
      <c r="AG1935" s="35"/>
      <c r="AH1935" s="35"/>
      <c r="AI1935" s="35"/>
      <c r="AJ1935" s="35"/>
      <c r="AK1935" s="35"/>
      <c r="AL1935" s="35">
        <v>2</v>
      </c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22">
        <f t="shared" si="603"/>
        <v>2</v>
      </c>
      <c r="BC1935" s="23">
        <v>0</v>
      </c>
      <c r="BD1935" s="130">
        <f t="shared" si="604"/>
        <v>2</v>
      </c>
      <c r="BE1935" s="130">
        <f t="shared" si="605"/>
        <v>0</v>
      </c>
      <c r="BF1935" s="195" t="e">
        <f t="shared" si="606"/>
        <v>#DIV/0!</v>
      </c>
      <c r="BG1935" s="373"/>
    </row>
    <row r="1936" spans="1:59" s="46" customFormat="1" ht="15.95" customHeight="1">
      <c r="A1936" s="176">
        <v>26</v>
      </c>
      <c r="B1936" s="31" t="s">
        <v>814</v>
      </c>
      <c r="C1936" s="34" t="s">
        <v>1043</v>
      </c>
      <c r="D1936" s="231"/>
      <c r="E1936" s="231"/>
      <c r="F1936" s="231"/>
      <c r="G1936" s="231"/>
      <c r="H1936" s="231"/>
      <c r="I1936" s="231"/>
      <c r="J1936" s="231"/>
      <c r="K1936" s="231"/>
      <c r="L1936" s="231"/>
      <c r="M1936" s="231"/>
      <c r="N1936" s="231"/>
      <c r="O1936" s="231"/>
      <c r="P1936" s="231"/>
      <c r="Q1936" s="231"/>
      <c r="R1936" s="231"/>
      <c r="S1936" s="231"/>
      <c r="T1936" s="231"/>
      <c r="U1936" s="231"/>
      <c r="V1936" s="231"/>
      <c r="W1936" s="231"/>
      <c r="X1936" s="231"/>
      <c r="Y1936" s="231"/>
      <c r="Z1936" s="231"/>
      <c r="AA1936" s="231"/>
      <c r="AB1936" s="22">
        <f t="shared" si="602"/>
        <v>0</v>
      </c>
      <c r="AC1936" s="23">
        <v>0</v>
      </c>
      <c r="AD1936" s="35"/>
      <c r="AE1936" s="35"/>
      <c r="AF1936" s="35"/>
      <c r="AG1936" s="35"/>
      <c r="AH1936" s="35">
        <v>91</v>
      </c>
      <c r="AI1936" s="35"/>
      <c r="AJ1936" s="35"/>
      <c r="AK1936" s="35"/>
      <c r="AL1936" s="35">
        <v>714</v>
      </c>
      <c r="AM1936" s="35"/>
      <c r="AN1936" s="35"/>
      <c r="AO1936" s="35"/>
      <c r="AP1936" s="35">
        <v>463</v>
      </c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22">
        <f t="shared" si="603"/>
        <v>1268</v>
      </c>
      <c r="BC1936" s="23">
        <v>2033</v>
      </c>
      <c r="BD1936" s="130">
        <f t="shared" si="604"/>
        <v>1268</v>
      </c>
      <c r="BE1936" s="130">
        <f t="shared" si="605"/>
        <v>2033</v>
      </c>
      <c r="BF1936" s="195">
        <f t="shared" si="606"/>
        <v>62.370880472208555</v>
      </c>
      <c r="BG1936" s="373">
        <f t="shared" ref="BG1936:BG1951" si="617">BE1936-BD1936</f>
        <v>765</v>
      </c>
    </row>
    <row r="1937" spans="1:59" s="46" customFormat="1" ht="15.95" customHeight="1">
      <c r="A1937" s="176">
        <v>27</v>
      </c>
      <c r="B1937" s="31" t="s">
        <v>819</v>
      </c>
      <c r="C1937" s="32" t="s">
        <v>1074</v>
      </c>
      <c r="D1937" s="231"/>
      <c r="E1937" s="231"/>
      <c r="F1937" s="231"/>
      <c r="G1937" s="231"/>
      <c r="H1937" s="231">
        <v>15</v>
      </c>
      <c r="I1937" s="231"/>
      <c r="J1937" s="231"/>
      <c r="K1937" s="231"/>
      <c r="L1937" s="231">
        <v>65</v>
      </c>
      <c r="M1937" s="231"/>
      <c r="N1937" s="231"/>
      <c r="O1937" s="231"/>
      <c r="P1937" s="231">
        <v>30</v>
      </c>
      <c r="Q1937" s="231"/>
      <c r="R1937" s="231"/>
      <c r="S1937" s="231"/>
      <c r="T1937" s="231"/>
      <c r="U1937" s="231"/>
      <c r="V1937" s="231"/>
      <c r="W1937" s="231"/>
      <c r="X1937" s="231"/>
      <c r="Y1937" s="231"/>
      <c r="Z1937" s="231"/>
      <c r="AA1937" s="231"/>
      <c r="AB1937" s="22">
        <f t="shared" si="602"/>
        <v>110</v>
      </c>
      <c r="AC1937" s="23">
        <v>0</v>
      </c>
      <c r="AD1937" s="35"/>
      <c r="AE1937" s="35"/>
      <c r="AF1937" s="35"/>
      <c r="AG1937" s="35"/>
      <c r="AH1937" s="35">
        <v>186</v>
      </c>
      <c r="AI1937" s="35"/>
      <c r="AJ1937" s="35"/>
      <c r="AK1937" s="35"/>
      <c r="AL1937" s="35">
        <v>599</v>
      </c>
      <c r="AM1937" s="35"/>
      <c r="AN1937" s="35"/>
      <c r="AO1937" s="35"/>
      <c r="AP1937" s="35">
        <f>1190+23</f>
        <v>1213</v>
      </c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22">
        <f t="shared" si="603"/>
        <v>1998</v>
      </c>
      <c r="BC1937" s="23">
        <v>8</v>
      </c>
      <c r="BD1937" s="130">
        <f t="shared" si="604"/>
        <v>2108</v>
      </c>
      <c r="BE1937" s="130">
        <f t="shared" si="605"/>
        <v>8</v>
      </c>
      <c r="BF1937" s="195">
        <f t="shared" si="606"/>
        <v>26350</v>
      </c>
      <c r="BG1937" s="373">
        <f t="shared" si="617"/>
        <v>-2100</v>
      </c>
    </row>
    <row r="1938" spans="1:59" s="46" customFormat="1" ht="15.95" customHeight="1">
      <c r="A1938" s="176">
        <v>28</v>
      </c>
      <c r="B1938" s="31" t="s">
        <v>1375</v>
      </c>
      <c r="C1938" s="32" t="s">
        <v>1376</v>
      </c>
      <c r="D1938" s="231"/>
      <c r="E1938" s="231"/>
      <c r="F1938" s="231"/>
      <c r="G1938" s="231"/>
      <c r="H1938" s="231"/>
      <c r="I1938" s="231"/>
      <c r="J1938" s="231"/>
      <c r="K1938" s="231"/>
      <c r="L1938" s="231"/>
      <c r="M1938" s="231"/>
      <c r="N1938" s="231"/>
      <c r="O1938" s="231"/>
      <c r="P1938" s="231"/>
      <c r="Q1938" s="231"/>
      <c r="R1938" s="231"/>
      <c r="S1938" s="231"/>
      <c r="T1938" s="231"/>
      <c r="U1938" s="231"/>
      <c r="V1938" s="231"/>
      <c r="W1938" s="231"/>
      <c r="X1938" s="231"/>
      <c r="Y1938" s="231"/>
      <c r="Z1938" s="231"/>
      <c r="AA1938" s="231"/>
      <c r="AB1938" s="22">
        <f t="shared" si="602"/>
        <v>0</v>
      </c>
      <c r="AC1938" s="23">
        <v>0</v>
      </c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22">
        <f t="shared" si="603"/>
        <v>0</v>
      </c>
      <c r="BC1938" s="23">
        <v>1</v>
      </c>
      <c r="BD1938" s="130">
        <f t="shared" si="604"/>
        <v>0</v>
      </c>
      <c r="BE1938" s="130">
        <f t="shared" si="605"/>
        <v>1</v>
      </c>
      <c r="BF1938" s="195">
        <f t="shared" si="606"/>
        <v>0</v>
      </c>
      <c r="BG1938" s="373">
        <f t="shared" si="617"/>
        <v>1</v>
      </c>
    </row>
    <row r="1939" spans="1:59" s="46" customFormat="1" ht="15.95" customHeight="1">
      <c r="A1939" s="176">
        <v>29</v>
      </c>
      <c r="B1939" s="31" t="s">
        <v>821</v>
      </c>
      <c r="C1939" s="36" t="s">
        <v>822</v>
      </c>
      <c r="D1939" s="231"/>
      <c r="E1939" s="231"/>
      <c r="F1939" s="231"/>
      <c r="G1939" s="231"/>
      <c r="H1939" s="231"/>
      <c r="I1939" s="231"/>
      <c r="J1939" s="231"/>
      <c r="K1939" s="231"/>
      <c r="L1939" s="231"/>
      <c r="M1939" s="231"/>
      <c r="N1939" s="231"/>
      <c r="O1939" s="231"/>
      <c r="P1939" s="231"/>
      <c r="Q1939" s="231"/>
      <c r="R1939" s="231"/>
      <c r="S1939" s="231"/>
      <c r="T1939" s="231"/>
      <c r="U1939" s="231"/>
      <c r="V1939" s="231"/>
      <c r="W1939" s="231"/>
      <c r="X1939" s="231"/>
      <c r="Y1939" s="231"/>
      <c r="Z1939" s="231"/>
      <c r="AA1939" s="231"/>
      <c r="AB1939" s="22">
        <f t="shared" si="602"/>
        <v>0</v>
      </c>
      <c r="AC1939" s="23">
        <v>0</v>
      </c>
      <c r="AD1939" s="35"/>
      <c r="AE1939" s="35"/>
      <c r="AF1939" s="35"/>
      <c r="AG1939" s="35"/>
      <c r="AH1939" s="35">
        <v>14</v>
      </c>
      <c r="AI1939" s="35"/>
      <c r="AJ1939" s="35"/>
      <c r="AK1939" s="35"/>
      <c r="AL1939" s="35">
        <v>58</v>
      </c>
      <c r="AM1939" s="35"/>
      <c r="AN1939" s="35"/>
      <c r="AO1939" s="35"/>
      <c r="AP1939" s="35">
        <f>113+1</f>
        <v>114</v>
      </c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22">
        <f t="shared" si="603"/>
        <v>186</v>
      </c>
      <c r="BC1939" s="23">
        <v>215</v>
      </c>
      <c r="BD1939" s="130">
        <f t="shared" si="604"/>
        <v>186</v>
      </c>
      <c r="BE1939" s="130">
        <f t="shared" si="605"/>
        <v>215</v>
      </c>
      <c r="BF1939" s="195">
        <f t="shared" si="606"/>
        <v>86.511627906976742</v>
      </c>
      <c r="BG1939" s="373">
        <f t="shared" si="617"/>
        <v>29</v>
      </c>
    </row>
    <row r="1940" spans="1:59" s="46" customFormat="1" ht="15.95" customHeight="1">
      <c r="A1940" s="176">
        <v>30</v>
      </c>
      <c r="B1940" s="31" t="s">
        <v>823</v>
      </c>
      <c r="C1940" s="36" t="s">
        <v>824</v>
      </c>
      <c r="D1940" s="576"/>
      <c r="E1940" s="576"/>
      <c r="F1940" s="576"/>
      <c r="G1940" s="576"/>
      <c r="H1940" s="576"/>
      <c r="I1940" s="576"/>
      <c r="J1940" s="576"/>
      <c r="K1940" s="576"/>
      <c r="L1940" s="576"/>
      <c r="M1940" s="576"/>
      <c r="N1940" s="576"/>
      <c r="O1940" s="576"/>
      <c r="P1940" s="576"/>
      <c r="Q1940" s="576"/>
      <c r="R1940" s="576"/>
      <c r="S1940" s="576"/>
      <c r="T1940" s="576"/>
      <c r="U1940" s="576"/>
      <c r="V1940" s="576"/>
      <c r="W1940" s="576"/>
      <c r="X1940" s="576"/>
      <c r="Y1940" s="576"/>
      <c r="Z1940" s="576"/>
      <c r="AA1940" s="576"/>
      <c r="AB1940" s="22">
        <f t="shared" si="602"/>
        <v>0</v>
      </c>
      <c r="AC1940" s="23">
        <v>0</v>
      </c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>
        <v>1</v>
      </c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22">
        <f t="shared" si="603"/>
        <v>1</v>
      </c>
      <c r="BC1940" s="23">
        <v>0</v>
      </c>
      <c r="BD1940" s="130">
        <f t="shared" ref="BD1940" si="618">AB1940+BB1940</f>
        <v>1</v>
      </c>
      <c r="BE1940" s="130">
        <f t="shared" ref="BE1940" si="619">AC1940+BC1940</f>
        <v>0</v>
      </c>
      <c r="BF1940" s="195" t="e">
        <f t="shared" ref="BF1940" si="620">BD1940/BE1940*100</f>
        <v>#DIV/0!</v>
      </c>
      <c r="BG1940" s="373"/>
    </row>
    <row r="1941" spans="1:59" s="46" customFormat="1" ht="21" customHeight="1">
      <c r="A1941" s="176">
        <v>31</v>
      </c>
      <c r="B1941" s="31" t="s">
        <v>825</v>
      </c>
      <c r="C1941" s="32" t="s">
        <v>907</v>
      </c>
      <c r="D1941" s="231"/>
      <c r="E1941" s="231"/>
      <c r="F1941" s="231"/>
      <c r="G1941" s="231"/>
      <c r="H1941" s="231"/>
      <c r="I1941" s="231"/>
      <c r="J1941" s="231"/>
      <c r="K1941" s="231"/>
      <c r="L1941" s="231"/>
      <c r="M1941" s="231"/>
      <c r="N1941" s="231"/>
      <c r="O1941" s="231"/>
      <c r="P1941" s="231">
        <v>5</v>
      </c>
      <c r="Q1941" s="231"/>
      <c r="R1941" s="231"/>
      <c r="S1941" s="231"/>
      <c r="T1941" s="231"/>
      <c r="U1941" s="231"/>
      <c r="V1941" s="231"/>
      <c r="W1941" s="231"/>
      <c r="X1941" s="231"/>
      <c r="Y1941" s="231"/>
      <c r="Z1941" s="231"/>
      <c r="AA1941" s="231"/>
      <c r="AB1941" s="22">
        <f t="shared" si="602"/>
        <v>5</v>
      </c>
      <c r="AC1941" s="23">
        <v>1</v>
      </c>
      <c r="AD1941" s="35"/>
      <c r="AE1941" s="35"/>
      <c r="AF1941" s="35"/>
      <c r="AG1941" s="35"/>
      <c r="AH1941" s="35">
        <v>49</v>
      </c>
      <c r="AI1941" s="35"/>
      <c r="AJ1941" s="35"/>
      <c r="AK1941" s="35"/>
      <c r="AL1941" s="35">
        <v>185</v>
      </c>
      <c r="AM1941" s="35"/>
      <c r="AN1941" s="35"/>
      <c r="AO1941" s="35"/>
      <c r="AP1941" s="35">
        <f>275+4</f>
        <v>279</v>
      </c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22">
        <f t="shared" si="603"/>
        <v>513</v>
      </c>
      <c r="BC1941" s="23">
        <v>509</v>
      </c>
      <c r="BD1941" s="130">
        <f t="shared" si="604"/>
        <v>518</v>
      </c>
      <c r="BE1941" s="130">
        <f t="shared" si="605"/>
        <v>510</v>
      </c>
      <c r="BF1941" s="195">
        <f t="shared" si="606"/>
        <v>101.56862745098039</v>
      </c>
      <c r="BG1941" s="373">
        <f t="shared" si="617"/>
        <v>-8</v>
      </c>
    </row>
    <row r="1942" spans="1:59" s="46" customFormat="1" ht="15.95" customHeight="1">
      <c r="A1942" s="176">
        <v>32</v>
      </c>
      <c r="B1942" s="31" t="s">
        <v>1451</v>
      </c>
      <c r="C1942" s="32" t="s">
        <v>1452</v>
      </c>
      <c r="D1942" s="231"/>
      <c r="E1942" s="231"/>
      <c r="F1942" s="231"/>
      <c r="G1942" s="231"/>
      <c r="H1942" s="231"/>
      <c r="I1942" s="231"/>
      <c r="J1942" s="231"/>
      <c r="K1942" s="231"/>
      <c r="L1942" s="231"/>
      <c r="M1942" s="231"/>
      <c r="N1942" s="231"/>
      <c r="O1942" s="231"/>
      <c r="P1942" s="231"/>
      <c r="Q1942" s="231"/>
      <c r="R1942" s="231"/>
      <c r="S1942" s="231"/>
      <c r="T1942" s="231"/>
      <c r="U1942" s="231"/>
      <c r="V1942" s="231"/>
      <c r="W1942" s="231"/>
      <c r="X1942" s="231"/>
      <c r="Y1942" s="231"/>
      <c r="Z1942" s="231"/>
      <c r="AA1942" s="231"/>
      <c r="AB1942" s="22">
        <f t="shared" si="602"/>
        <v>0</v>
      </c>
      <c r="AC1942" s="23">
        <v>0</v>
      </c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22">
        <f t="shared" si="603"/>
        <v>0</v>
      </c>
      <c r="BC1942" s="23">
        <f>5+1</f>
        <v>6</v>
      </c>
      <c r="BD1942" s="130">
        <f t="shared" si="604"/>
        <v>0</v>
      </c>
      <c r="BE1942" s="130">
        <f t="shared" si="605"/>
        <v>6</v>
      </c>
      <c r="BF1942" s="195">
        <f t="shared" si="606"/>
        <v>0</v>
      </c>
      <c r="BG1942" s="373">
        <f t="shared" si="617"/>
        <v>6</v>
      </c>
    </row>
    <row r="1943" spans="1:59" s="46" customFormat="1" ht="15.95" customHeight="1">
      <c r="A1943" s="176">
        <v>33</v>
      </c>
      <c r="B1943" s="31" t="s">
        <v>827</v>
      </c>
      <c r="C1943" s="32" t="s">
        <v>828</v>
      </c>
      <c r="D1943" s="231"/>
      <c r="E1943" s="231"/>
      <c r="F1943" s="231"/>
      <c r="G1943" s="231"/>
      <c r="H1943" s="231"/>
      <c r="I1943" s="231"/>
      <c r="J1943" s="231"/>
      <c r="K1943" s="231"/>
      <c r="L1943" s="231"/>
      <c r="M1943" s="231"/>
      <c r="N1943" s="231"/>
      <c r="O1943" s="231"/>
      <c r="P1943" s="231"/>
      <c r="Q1943" s="231"/>
      <c r="R1943" s="231"/>
      <c r="S1943" s="231"/>
      <c r="T1943" s="231"/>
      <c r="U1943" s="231"/>
      <c r="V1943" s="231"/>
      <c r="W1943" s="231"/>
      <c r="X1943" s="231"/>
      <c r="Y1943" s="231"/>
      <c r="Z1943" s="231"/>
      <c r="AA1943" s="231"/>
      <c r="AB1943" s="22">
        <f t="shared" si="602"/>
        <v>0</v>
      </c>
      <c r="AC1943" s="23">
        <v>0</v>
      </c>
      <c r="AD1943" s="35"/>
      <c r="AE1943" s="35"/>
      <c r="AF1943" s="35"/>
      <c r="AG1943" s="35"/>
      <c r="AH1943" s="35">
        <v>8</v>
      </c>
      <c r="AI1943" s="35"/>
      <c r="AJ1943" s="35"/>
      <c r="AK1943" s="35"/>
      <c r="AL1943" s="35">
        <v>42</v>
      </c>
      <c r="AM1943" s="35"/>
      <c r="AN1943" s="35"/>
      <c r="AO1943" s="35"/>
      <c r="AP1943" s="35">
        <v>38</v>
      </c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22">
        <f t="shared" si="603"/>
        <v>88</v>
      </c>
      <c r="BC1943" s="23">
        <v>78</v>
      </c>
      <c r="BD1943" s="130">
        <f t="shared" si="604"/>
        <v>88</v>
      </c>
      <c r="BE1943" s="130">
        <f t="shared" si="605"/>
        <v>78</v>
      </c>
      <c r="BF1943" s="195">
        <f t="shared" si="606"/>
        <v>112.82051282051282</v>
      </c>
      <c r="BG1943" s="373">
        <f t="shared" si="617"/>
        <v>-10</v>
      </c>
    </row>
    <row r="1944" spans="1:59" s="46" customFormat="1" ht="15.95" customHeight="1">
      <c r="A1944" s="176">
        <v>34</v>
      </c>
      <c r="B1944" s="31" t="s">
        <v>835</v>
      </c>
      <c r="C1944" s="32" t="s">
        <v>2608</v>
      </c>
      <c r="D1944" s="576"/>
      <c r="E1944" s="576"/>
      <c r="F1944" s="576"/>
      <c r="G1944" s="576"/>
      <c r="H1944" s="576"/>
      <c r="I1944" s="576"/>
      <c r="J1944" s="576"/>
      <c r="K1944" s="576"/>
      <c r="L1944" s="576"/>
      <c r="M1944" s="576"/>
      <c r="N1944" s="576"/>
      <c r="O1944" s="576"/>
      <c r="P1944" s="576"/>
      <c r="Q1944" s="576"/>
      <c r="R1944" s="576"/>
      <c r="S1944" s="576"/>
      <c r="T1944" s="576"/>
      <c r="U1944" s="576"/>
      <c r="V1944" s="576"/>
      <c r="W1944" s="576"/>
      <c r="X1944" s="576"/>
      <c r="Y1944" s="576"/>
      <c r="Z1944" s="576"/>
      <c r="AA1944" s="576"/>
      <c r="AB1944" s="22">
        <f t="shared" si="602"/>
        <v>0</v>
      </c>
      <c r="AC1944" s="23">
        <v>0</v>
      </c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>
        <f>17+1</f>
        <v>18</v>
      </c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22">
        <f t="shared" si="603"/>
        <v>18</v>
      </c>
      <c r="BC1944" s="23">
        <v>0</v>
      </c>
      <c r="BD1944" s="130">
        <f t="shared" ref="BD1944" si="621">AB1944+BB1944</f>
        <v>18</v>
      </c>
      <c r="BE1944" s="130">
        <f t="shared" ref="BE1944" si="622">AC1944+BC1944</f>
        <v>0</v>
      </c>
      <c r="BF1944" s="195" t="e">
        <f t="shared" ref="BF1944" si="623">BD1944/BE1944*100</f>
        <v>#DIV/0!</v>
      </c>
      <c r="BG1944" s="373"/>
    </row>
    <row r="1945" spans="1:59" s="46" customFormat="1" ht="15.95" customHeight="1">
      <c r="A1945" s="176">
        <v>35</v>
      </c>
      <c r="B1945" s="31" t="s">
        <v>1013</v>
      </c>
      <c r="C1945" s="32" t="s">
        <v>1014</v>
      </c>
      <c r="D1945" s="289"/>
      <c r="E1945" s="289"/>
      <c r="F1945" s="289"/>
      <c r="G1945" s="289"/>
      <c r="H1945" s="289"/>
      <c r="I1945" s="289"/>
      <c r="J1945" s="289"/>
      <c r="K1945" s="289"/>
      <c r="L1945" s="289"/>
      <c r="M1945" s="289"/>
      <c r="N1945" s="289"/>
      <c r="O1945" s="289"/>
      <c r="P1945" s="289"/>
      <c r="Q1945" s="289"/>
      <c r="R1945" s="289"/>
      <c r="S1945" s="289"/>
      <c r="T1945" s="289"/>
      <c r="U1945" s="289"/>
      <c r="V1945" s="289"/>
      <c r="W1945" s="289"/>
      <c r="X1945" s="289"/>
      <c r="Y1945" s="289"/>
      <c r="Z1945" s="289"/>
      <c r="AA1945" s="289"/>
      <c r="AB1945" s="22">
        <f t="shared" si="602"/>
        <v>0</v>
      </c>
      <c r="AC1945" s="23">
        <v>0</v>
      </c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22">
        <f t="shared" si="603"/>
        <v>0</v>
      </c>
      <c r="BC1945" s="23">
        <v>2</v>
      </c>
      <c r="BD1945" s="130">
        <f t="shared" si="604"/>
        <v>0</v>
      </c>
      <c r="BE1945" s="130">
        <f t="shared" si="605"/>
        <v>2</v>
      </c>
      <c r="BF1945" s="195">
        <f t="shared" si="606"/>
        <v>0</v>
      </c>
      <c r="BG1945" s="373">
        <f t="shared" si="617"/>
        <v>2</v>
      </c>
    </row>
    <row r="1946" spans="1:59" s="46" customFormat="1" ht="15.95" customHeight="1">
      <c r="A1946" s="176">
        <v>36</v>
      </c>
      <c r="B1946" s="31" t="s">
        <v>837</v>
      </c>
      <c r="C1946" s="32" t="s">
        <v>908</v>
      </c>
      <c r="D1946" s="289"/>
      <c r="E1946" s="289"/>
      <c r="F1946" s="289"/>
      <c r="G1946" s="289"/>
      <c r="H1946" s="289"/>
      <c r="I1946" s="289"/>
      <c r="J1946" s="289"/>
      <c r="K1946" s="289"/>
      <c r="L1946" s="289"/>
      <c r="M1946" s="289"/>
      <c r="N1946" s="289"/>
      <c r="O1946" s="289"/>
      <c r="P1946" s="289"/>
      <c r="Q1946" s="289"/>
      <c r="R1946" s="289"/>
      <c r="S1946" s="289"/>
      <c r="T1946" s="289"/>
      <c r="U1946" s="289"/>
      <c r="V1946" s="289"/>
      <c r="W1946" s="289"/>
      <c r="X1946" s="289"/>
      <c r="Y1946" s="289"/>
      <c r="Z1946" s="289"/>
      <c r="AA1946" s="289"/>
      <c r="AB1946" s="22">
        <f t="shared" si="602"/>
        <v>0</v>
      </c>
      <c r="AC1946" s="23">
        <v>0</v>
      </c>
      <c r="AD1946" s="35"/>
      <c r="AE1946" s="35"/>
      <c r="AF1946" s="35"/>
      <c r="AG1946" s="35"/>
      <c r="AH1946" s="35">
        <v>11</v>
      </c>
      <c r="AI1946" s="35"/>
      <c r="AJ1946" s="35"/>
      <c r="AK1946" s="35"/>
      <c r="AL1946" s="35">
        <v>15</v>
      </c>
      <c r="AM1946" s="35"/>
      <c r="AN1946" s="35"/>
      <c r="AO1946" s="35"/>
      <c r="AP1946" s="35">
        <v>30</v>
      </c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22">
        <f t="shared" si="603"/>
        <v>56</v>
      </c>
      <c r="BC1946" s="23">
        <v>105</v>
      </c>
      <c r="BD1946" s="130">
        <f t="shared" si="604"/>
        <v>56</v>
      </c>
      <c r="BE1946" s="130">
        <f t="shared" si="605"/>
        <v>105</v>
      </c>
      <c r="BF1946" s="195">
        <f t="shared" si="606"/>
        <v>53.333333333333336</v>
      </c>
      <c r="BG1946" s="373">
        <f t="shared" si="617"/>
        <v>49</v>
      </c>
    </row>
    <row r="1947" spans="1:59" s="46" customFormat="1" ht="15.95" customHeight="1">
      <c r="A1947" s="176">
        <v>37</v>
      </c>
      <c r="B1947" s="31" t="s">
        <v>839</v>
      </c>
      <c r="C1947" s="32" t="s">
        <v>4177</v>
      </c>
      <c r="D1947" s="576"/>
      <c r="E1947" s="576"/>
      <c r="F1947" s="576"/>
      <c r="G1947" s="576"/>
      <c r="H1947" s="576"/>
      <c r="I1947" s="576"/>
      <c r="J1947" s="576"/>
      <c r="K1947" s="576"/>
      <c r="L1947" s="576"/>
      <c r="M1947" s="576"/>
      <c r="N1947" s="576"/>
      <c r="O1947" s="576"/>
      <c r="P1947" s="576"/>
      <c r="Q1947" s="576"/>
      <c r="R1947" s="576"/>
      <c r="S1947" s="576"/>
      <c r="T1947" s="576"/>
      <c r="U1947" s="576"/>
      <c r="V1947" s="576"/>
      <c r="W1947" s="576"/>
      <c r="X1947" s="576"/>
      <c r="Y1947" s="576"/>
      <c r="Z1947" s="576"/>
      <c r="AA1947" s="576"/>
      <c r="AB1947" s="22">
        <f t="shared" si="602"/>
        <v>0</v>
      </c>
      <c r="AC1947" s="23">
        <v>0</v>
      </c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>
        <v>1</v>
      </c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22">
        <f t="shared" si="603"/>
        <v>1</v>
      </c>
      <c r="BC1947" s="23">
        <v>0</v>
      </c>
      <c r="BD1947" s="130">
        <f t="shared" ref="BD1947" si="624">AB1947+BB1947</f>
        <v>1</v>
      </c>
      <c r="BE1947" s="130">
        <f t="shared" ref="BE1947" si="625">AC1947+BC1947</f>
        <v>0</v>
      </c>
      <c r="BF1947" s="195" t="e">
        <f t="shared" ref="BF1947" si="626">BD1947/BE1947*100</f>
        <v>#DIV/0!</v>
      </c>
      <c r="BG1947" s="373"/>
    </row>
    <row r="1948" spans="1:59" s="46" customFormat="1" ht="15.95" customHeight="1">
      <c r="A1948" s="176">
        <v>38</v>
      </c>
      <c r="B1948" s="31" t="s">
        <v>909</v>
      </c>
      <c r="C1948" s="32" t="s">
        <v>910</v>
      </c>
      <c r="D1948" s="366"/>
      <c r="E1948" s="366"/>
      <c r="F1948" s="366"/>
      <c r="G1948" s="366"/>
      <c r="H1948" s="366"/>
      <c r="I1948" s="366"/>
      <c r="J1948" s="366"/>
      <c r="K1948" s="366"/>
      <c r="L1948" s="366"/>
      <c r="M1948" s="366"/>
      <c r="N1948" s="366"/>
      <c r="O1948" s="366"/>
      <c r="P1948" s="366"/>
      <c r="Q1948" s="366"/>
      <c r="R1948" s="366"/>
      <c r="S1948" s="366"/>
      <c r="T1948" s="366"/>
      <c r="U1948" s="366"/>
      <c r="V1948" s="366"/>
      <c r="W1948" s="366"/>
      <c r="X1948" s="366"/>
      <c r="Y1948" s="366"/>
      <c r="Z1948" s="366"/>
      <c r="AA1948" s="366"/>
      <c r="AB1948" s="22">
        <f t="shared" ref="AB1948:AB1983" si="627">SUM(D1948:AA1948)</f>
        <v>0</v>
      </c>
      <c r="AC1948" s="23">
        <v>0</v>
      </c>
      <c r="AD1948" s="35"/>
      <c r="AE1948" s="35"/>
      <c r="AF1948" s="35"/>
      <c r="AG1948" s="35"/>
      <c r="AH1948" s="35"/>
      <c r="AI1948" s="35"/>
      <c r="AJ1948" s="35"/>
      <c r="AK1948" s="35"/>
      <c r="AL1948" s="35">
        <v>3</v>
      </c>
      <c r="AM1948" s="35"/>
      <c r="AN1948" s="35"/>
      <c r="AO1948" s="35"/>
      <c r="AP1948" s="35">
        <v>7</v>
      </c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22">
        <f t="shared" ref="BB1948:BB1983" si="628">SUM(AD1948:BA1948)</f>
        <v>10</v>
      </c>
      <c r="BC1948" s="23">
        <v>8</v>
      </c>
      <c r="BD1948" s="130">
        <f t="shared" ref="BD1948:BD1982" si="629">AB1948+BB1948</f>
        <v>10</v>
      </c>
      <c r="BE1948" s="130">
        <f t="shared" ref="BE1948:BE1982" si="630">AC1948+BC1948</f>
        <v>8</v>
      </c>
      <c r="BF1948" s="195">
        <f t="shared" ref="BF1948:BF1982" si="631">BD1948/BE1948*100</f>
        <v>125</v>
      </c>
      <c r="BG1948" s="373">
        <f t="shared" si="617"/>
        <v>-2</v>
      </c>
    </row>
    <row r="1949" spans="1:59" s="46" customFormat="1" ht="15.95" customHeight="1">
      <c r="A1949" s="176">
        <v>39</v>
      </c>
      <c r="B1949" s="31" t="s">
        <v>1112</v>
      </c>
      <c r="C1949" s="32" t="s">
        <v>1638</v>
      </c>
      <c r="D1949" s="576"/>
      <c r="E1949" s="576"/>
      <c r="F1949" s="576"/>
      <c r="G1949" s="576"/>
      <c r="H1949" s="576"/>
      <c r="I1949" s="576"/>
      <c r="J1949" s="576"/>
      <c r="K1949" s="576"/>
      <c r="L1949" s="576"/>
      <c r="M1949" s="576"/>
      <c r="N1949" s="576"/>
      <c r="O1949" s="576"/>
      <c r="P1949" s="576"/>
      <c r="Q1949" s="576"/>
      <c r="R1949" s="576"/>
      <c r="S1949" s="576"/>
      <c r="T1949" s="576"/>
      <c r="U1949" s="576"/>
      <c r="V1949" s="576"/>
      <c r="W1949" s="576"/>
      <c r="X1949" s="576"/>
      <c r="Y1949" s="576"/>
      <c r="Z1949" s="576"/>
      <c r="AA1949" s="576"/>
      <c r="AB1949" s="22">
        <f t="shared" si="627"/>
        <v>0</v>
      </c>
      <c r="AC1949" s="23">
        <v>0</v>
      </c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>
        <v>1</v>
      </c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22">
        <f t="shared" si="628"/>
        <v>1</v>
      </c>
      <c r="BC1949" s="23">
        <v>0</v>
      </c>
      <c r="BD1949" s="130">
        <f t="shared" ref="BD1949" si="632">AB1949+BB1949</f>
        <v>1</v>
      </c>
      <c r="BE1949" s="130">
        <f t="shared" ref="BE1949" si="633">AC1949+BC1949</f>
        <v>0</v>
      </c>
      <c r="BF1949" s="195" t="e">
        <f t="shared" ref="BF1949" si="634">BD1949/BE1949*100</f>
        <v>#DIV/0!</v>
      </c>
      <c r="BG1949" s="373"/>
    </row>
    <row r="1950" spans="1:59" s="46" customFormat="1" ht="15.95" customHeight="1">
      <c r="A1950" s="176">
        <v>40</v>
      </c>
      <c r="B1950" s="31" t="s">
        <v>1113</v>
      </c>
      <c r="C1950" s="32" t="s">
        <v>1114</v>
      </c>
      <c r="D1950" s="366"/>
      <c r="E1950" s="366"/>
      <c r="F1950" s="366"/>
      <c r="G1950" s="366"/>
      <c r="H1950" s="366"/>
      <c r="I1950" s="366"/>
      <c r="J1950" s="366"/>
      <c r="K1950" s="366"/>
      <c r="L1950" s="366"/>
      <c r="M1950" s="366"/>
      <c r="N1950" s="366"/>
      <c r="O1950" s="366"/>
      <c r="P1950" s="366"/>
      <c r="Q1950" s="366"/>
      <c r="R1950" s="366"/>
      <c r="S1950" s="366"/>
      <c r="T1950" s="366"/>
      <c r="U1950" s="366"/>
      <c r="V1950" s="366"/>
      <c r="W1950" s="366"/>
      <c r="X1950" s="366"/>
      <c r="Y1950" s="366"/>
      <c r="Z1950" s="366"/>
      <c r="AA1950" s="366"/>
      <c r="AB1950" s="22">
        <f t="shared" si="627"/>
        <v>0</v>
      </c>
      <c r="AC1950" s="23">
        <v>0</v>
      </c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22">
        <f t="shared" si="628"/>
        <v>0</v>
      </c>
      <c r="BC1950" s="23">
        <v>5</v>
      </c>
      <c r="BD1950" s="130">
        <f t="shared" si="629"/>
        <v>0</v>
      </c>
      <c r="BE1950" s="130">
        <f t="shared" si="630"/>
        <v>5</v>
      </c>
      <c r="BF1950" s="195">
        <f t="shared" si="631"/>
        <v>0</v>
      </c>
      <c r="BG1950" s="373">
        <f t="shared" si="617"/>
        <v>5</v>
      </c>
    </row>
    <row r="1951" spans="1:59" s="46" customFormat="1" ht="15.95" customHeight="1">
      <c r="A1951" s="176">
        <v>41</v>
      </c>
      <c r="B1951" s="31" t="s">
        <v>1431</v>
      </c>
      <c r="C1951" s="32" t="s">
        <v>3471</v>
      </c>
      <c r="D1951" s="366"/>
      <c r="E1951" s="366"/>
      <c r="F1951" s="366"/>
      <c r="G1951" s="366"/>
      <c r="H1951" s="366"/>
      <c r="I1951" s="366"/>
      <c r="J1951" s="366"/>
      <c r="K1951" s="366"/>
      <c r="L1951" s="366"/>
      <c r="M1951" s="366"/>
      <c r="N1951" s="366"/>
      <c r="O1951" s="366"/>
      <c r="P1951" s="366"/>
      <c r="Q1951" s="366"/>
      <c r="R1951" s="366"/>
      <c r="S1951" s="366"/>
      <c r="T1951" s="366"/>
      <c r="U1951" s="366"/>
      <c r="V1951" s="366"/>
      <c r="W1951" s="366"/>
      <c r="X1951" s="366"/>
      <c r="Y1951" s="366"/>
      <c r="Z1951" s="366"/>
      <c r="AA1951" s="366"/>
      <c r="AB1951" s="22">
        <f t="shared" si="627"/>
        <v>0</v>
      </c>
      <c r="AC1951" s="23">
        <v>0</v>
      </c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22">
        <f t="shared" si="628"/>
        <v>0</v>
      </c>
      <c r="BC1951" s="23">
        <v>2</v>
      </c>
      <c r="BD1951" s="130">
        <f t="shared" si="629"/>
        <v>0</v>
      </c>
      <c r="BE1951" s="130">
        <f t="shared" si="630"/>
        <v>2</v>
      </c>
      <c r="BF1951" s="195">
        <f t="shared" si="631"/>
        <v>0</v>
      </c>
      <c r="BG1951" s="373">
        <f t="shared" si="617"/>
        <v>2</v>
      </c>
    </row>
    <row r="1952" spans="1:59" s="46" customFormat="1" ht="15.95" customHeight="1">
      <c r="A1952" s="176">
        <v>42</v>
      </c>
      <c r="B1952" s="31" t="s">
        <v>843</v>
      </c>
      <c r="C1952" s="32" t="s">
        <v>4178</v>
      </c>
      <c r="D1952" s="576"/>
      <c r="E1952" s="576"/>
      <c r="F1952" s="576"/>
      <c r="G1952" s="576"/>
      <c r="H1952" s="576"/>
      <c r="I1952" s="576"/>
      <c r="J1952" s="576"/>
      <c r="K1952" s="576"/>
      <c r="L1952" s="576"/>
      <c r="M1952" s="576"/>
      <c r="N1952" s="576"/>
      <c r="O1952" s="576"/>
      <c r="P1952" s="576"/>
      <c r="Q1952" s="576"/>
      <c r="R1952" s="576"/>
      <c r="S1952" s="576"/>
      <c r="T1952" s="576"/>
      <c r="U1952" s="576"/>
      <c r="V1952" s="576"/>
      <c r="W1952" s="576"/>
      <c r="X1952" s="576"/>
      <c r="Y1952" s="576"/>
      <c r="Z1952" s="576"/>
      <c r="AA1952" s="576"/>
      <c r="AB1952" s="22">
        <f t="shared" si="627"/>
        <v>0</v>
      </c>
      <c r="AC1952" s="23">
        <v>0</v>
      </c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>
        <v>3</v>
      </c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22">
        <f t="shared" si="628"/>
        <v>3</v>
      </c>
      <c r="BC1952" s="23">
        <v>0</v>
      </c>
      <c r="BD1952" s="130">
        <f t="shared" ref="BD1952" si="635">AB1952+BB1952</f>
        <v>3</v>
      </c>
      <c r="BE1952" s="130">
        <f t="shared" ref="BE1952" si="636">AC1952+BC1952</f>
        <v>0</v>
      </c>
      <c r="BF1952" s="195" t="e">
        <f t="shared" ref="BF1952" si="637">BD1952/BE1952*100</f>
        <v>#DIV/0!</v>
      </c>
      <c r="BG1952" s="373"/>
    </row>
    <row r="1953" spans="1:59" s="46" customFormat="1" ht="15.95" customHeight="1">
      <c r="A1953" s="176">
        <v>43</v>
      </c>
      <c r="B1953" s="31" t="s">
        <v>912</v>
      </c>
      <c r="C1953" s="32" t="s">
        <v>4007</v>
      </c>
      <c r="D1953" s="552"/>
      <c r="E1953" s="552"/>
      <c r="F1953" s="552"/>
      <c r="G1953" s="552"/>
      <c r="H1953" s="552"/>
      <c r="I1953" s="552"/>
      <c r="J1953" s="552"/>
      <c r="K1953" s="552"/>
      <c r="L1953" s="552"/>
      <c r="M1953" s="552"/>
      <c r="N1953" s="552"/>
      <c r="O1953" s="552"/>
      <c r="P1953" s="552"/>
      <c r="Q1953" s="552"/>
      <c r="R1953" s="552"/>
      <c r="S1953" s="552"/>
      <c r="T1953" s="552"/>
      <c r="U1953" s="552"/>
      <c r="V1953" s="552"/>
      <c r="W1953" s="552"/>
      <c r="X1953" s="552"/>
      <c r="Y1953" s="552"/>
      <c r="Z1953" s="552"/>
      <c r="AA1953" s="552"/>
      <c r="AB1953" s="22">
        <f t="shared" si="627"/>
        <v>0</v>
      </c>
      <c r="AC1953" s="23">
        <v>0</v>
      </c>
      <c r="AD1953" s="35"/>
      <c r="AE1953" s="35"/>
      <c r="AF1953" s="35"/>
      <c r="AG1953" s="35"/>
      <c r="AH1953" s="35"/>
      <c r="AI1953" s="35"/>
      <c r="AJ1953" s="35"/>
      <c r="AK1953" s="35"/>
      <c r="AL1953" s="35">
        <v>1</v>
      </c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22">
        <f t="shared" si="628"/>
        <v>1</v>
      </c>
      <c r="BC1953" s="23">
        <v>0</v>
      </c>
      <c r="BD1953" s="130">
        <f t="shared" si="629"/>
        <v>1</v>
      </c>
      <c r="BE1953" s="130">
        <f t="shared" si="630"/>
        <v>0</v>
      </c>
      <c r="BF1953" s="195" t="e">
        <f t="shared" si="631"/>
        <v>#DIV/0!</v>
      </c>
      <c r="BG1953" s="373"/>
    </row>
    <row r="1954" spans="1:59" s="46" customFormat="1" ht="15.95" customHeight="1">
      <c r="A1954" s="176">
        <v>44</v>
      </c>
      <c r="B1954" s="31" t="s">
        <v>913</v>
      </c>
      <c r="C1954" s="32" t="s">
        <v>4179</v>
      </c>
      <c r="D1954" s="576"/>
      <c r="E1954" s="576"/>
      <c r="F1954" s="576"/>
      <c r="G1954" s="576"/>
      <c r="H1954" s="576"/>
      <c r="I1954" s="576"/>
      <c r="J1954" s="576"/>
      <c r="K1954" s="576"/>
      <c r="L1954" s="576"/>
      <c r="M1954" s="576"/>
      <c r="N1954" s="576"/>
      <c r="O1954" s="576"/>
      <c r="P1954" s="576"/>
      <c r="Q1954" s="576"/>
      <c r="R1954" s="576"/>
      <c r="S1954" s="576"/>
      <c r="T1954" s="576"/>
      <c r="U1954" s="576"/>
      <c r="V1954" s="576"/>
      <c r="W1954" s="576"/>
      <c r="X1954" s="576"/>
      <c r="Y1954" s="576"/>
      <c r="Z1954" s="576"/>
      <c r="AA1954" s="576"/>
      <c r="AB1954" s="22">
        <f t="shared" si="627"/>
        <v>0</v>
      </c>
      <c r="AC1954" s="23">
        <v>0</v>
      </c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>
        <v>1</v>
      </c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22">
        <f t="shared" si="628"/>
        <v>1</v>
      </c>
      <c r="BC1954" s="23">
        <v>0</v>
      </c>
      <c r="BD1954" s="130">
        <f t="shared" ref="BD1954" si="638">AB1954+BB1954</f>
        <v>1</v>
      </c>
      <c r="BE1954" s="130">
        <f t="shared" ref="BE1954" si="639">AC1954+BC1954</f>
        <v>0</v>
      </c>
      <c r="BF1954" s="195" t="e">
        <f t="shared" ref="BF1954" si="640">BD1954/BE1954*100</f>
        <v>#DIV/0!</v>
      </c>
      <c r="BG1954" s="373"/>
    </row>
    <row r="1955" spans="1:59" s="46" customFormat="1" ht="15.95" customHeight="1">
      <c r="A1955" s="176">
        <v>45</v>
      </c>
      <c r="B1955" s="31" t="s">
        <v>845</v>
      </c>
      <c r="C1955" s="32" t="s">
        <v>948</v>
      </c>
      <c r="D1955" s="366"/>
      <c r="E1955" s="366"/>
      <c r="F1955" s="366"/>
      <c r="G1955" s="366"/>
      <c r="H1955" s="366"/>
      <c r="I1955" s="366"/>
      <c r="J1955" s="366"/>
      <c r="K1955" s="366"/>
      <c r="L1955" s="366"/>
      <c r="M1955" s="366"/>
      <c r="N1955" s="366"/>
      <c r="O1955" s="366"/>
      <c r="P1955" s="366"/>
      <c r="Q1955" s="366"/>
      <c r="R1955" s="366"/>
      <c r="S1955" s="366"/>
      <c r="T1955" s="366"/>
      <c r="U1955" s="366"/>
      <c r="V1955" s="366"/>
      <c r="W1955" s="366"/>
      <c r="X1955" s="366"/>
      <c r="Y1955" s="366"/>
      <c r="Z1955" s="366"/>
      <c r="AA1955" s="366"/>
      <c r="AB1955" s="22">
        <f t="shared" si="627"/>
        <v>0</v>
      </c>
      <c r="AC1955" s="23">
        <v>0</v>
      </c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22">
        <f t="shared" si="628"/>
        <v>0</v>
      </c>
      <c r="BC1955" s="23">
        <f>1+1</f>
        <v>2</v>
      </c>
      <c r="BD1955" s="130">
        <f t="shared" si="629"/>
        <v>0</v>
      </c>
      <c r="BE1955" s="130">
        <f t="shared" si="630"/>
        <v>2</v>
      </c>
      <c r="BF1955" s="195">
        <f t="shared" si="631"/>
        <v>0</v>
      </c>
      <c r="BG1955" s="373">
        <f t="shared" ref="BG1955:BG1960" si="641">BE1955-BD1955</f>
        <v>2</v>
      </c>
    </row>
    <row r="1956" spans="1:59" s="46" customFormat="1" ht="15.95" customHeight="1">
      <c r="A1956" s="176">
        <v>46</v>
      </c>
      <c r="B1956" s="31" t="s">
        <v>1075</v>
      </c>
      <c r="C1956" s="32" t="s">
        <v>1076</v>
      </c>
      <c r="D1956" s="366"/>
      <c r="E1956" s="366"/>
      <c r="F1956" s="366"/>
      <c r="G1956" s="366"/>
      <c r="H1956" s="366"/>
      <c r="I1956" s="366"/>
      <c r="J1956" s="366"/>
      <c r="K1956" s="366"/>
      <c r="L1956" s="366"/>
      <c r="M1956" s="366"/>
      <c r="N1956" s="366"/>
      <c r="O1956" s="366"/>
      <c r="P1956" s="366"/>
      <c r="Q1956" s="366"/>
      <c r="R1956" s="366"/>
      <c r="S1956" s="366"/>
      <c r="T1956" s="366"/>
      <c r="U1956" s="366"/>
      <c r="V1956" s="366"/>
      <c r="W1956" s="366"/>
      <c r="X1956" s="366"/>
      <c r="Y1956" s="366"/>
      <c r="Z1956" s="366"/>
      <c r="AA1956" s="366"/>
      <c r="AB1956" s="22">
        <f t="shared" si="627"/>
        <v>0</v>
      </c>
      <c r="AC1956" s="23">
        <v>0</v>
      </c>
      <c r="AD1956" s="35"/>
      <c r="AE1956" s="35"/>
      <c r="AF1956" s="35"/>
      <c r="AG1956" s="35"/>
      <c r="AH1956" s="35">
        <v>1</v>
      </c>
      <c r="AI1956" s="35"/>
      <c r="AJ1956" s="35"/>
      <c r="AK1956" s="35"/>
      <c r="AL1956" s="35">
        <v>7</v>
      </c>
      <c r="AM1956" s="35"/>
      <c r="AN1956" s="35"/>
      <c r="AO1956" s="35"/>
      <c r="AP1956" s="35">
        <v>8</v>
      </c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22">
        <f t="shared" si="628"/>
        <v>16</v>
      </c>
      <c r="BC1956" s="23">
        <v>28</v>
      </c>
      <c r="BD1956" s="130">
        <f t="shared" si="629"/>
        <v>16</v>
      </c>
      <c r="BE1956" s="130">
        <f t="shared" si="630"/>
        <v>28</v>
      </c>
      <c r="BF1956" s="195">
        <f t="shared" si="631"/>
        <v>57.142857142857139</v>
      </c>
      <c r="BG1956" s="373">
        <f t="shared" si="641"/>
        <v>12</v>
      </c>
    </row>
    <row r="1957" spans="1:59" s="46" customFormat="1" ht="15.95" customHeight="1">
      <c r="A1957" s="176">
        <v>47</v>
      </c>
      <c r="B1957" s="31" t="s">
        <v>1082</v>
      </c>
      <c r="C1957" s="36" t="s">
        <v>1346</v>
      </c>
      <c r="D1957" s="366"/>
      <c r="E1957" s="366"/>
      <c r="F1957" s="366"/>
      <c r="G1957" s="366"/>
      <c r="H1957" s="366"/>
      <c r="I1957" s="366"/>
      <c r="J1957" s="366"/>
      <c r="K1957" s="366"/>
      <c r="L1957" s="366"/>
      <c r="M1957" s="366"/>
      <c r="N1957" s="366"/>
      <c r="O1957" s="366"/>
      <c r="P1957" s="366"/>
      <c r="Q1957" s="366"/>
      <c r="R1957" s="366"/>
      <c r="S1957" s="366"/>
      <c r="T1957" s="366"/>
      <c r="U1957" s="366"/>
      <c r="V1957" s="366"/>
      <c r="W1957" s="366"/>
      <c r="X1957" s="366"/>
      <c r="Y1957" s="366"/>
      <c r="Z1957" s="366"/>
      <c r="AA1957" s="366"/>
      <c r="AB1957" s="22">
        <f t="shared" si="627"/>
        <v>0</v>
      </c>
      <c r="AC1957" s="23">
        <v>0</v>
      </c>
      <c r="AD1957" s="35"/>
      <c r="AE1957" s="35"/>
      <c r="AF1957" s="35"/>
      <c r="AG1957" s="35"/>
      <c r="AH1957" s="35">
        <v>1</v>
      </c>
      <c r="AI1957" s="35"/>
      <c r="AJ1957" s="35"/>
      <c r="AK1957" s="35"/>
      <c r="AL1957" s="35">
        <v>2</v>
      </c>
      <c r="AM1957" s="35"/>
      <c r="AN1957" s="35"/>
      <c r="AO1957" s="35"/>
      <c r="AP1957" s="35">
        <v>5</v>
      </c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22">
        <f t="shared" si="628"/>
        <v>8</v>
      </c>
      <c r="BC1957" s="23">
        <v>19</v>
      </c>
      <c r="BD1957" s="130">
        <f t="shared" si="629"/>
        <v>8</v>
      </c>
      <c r="BE1957" s="130">
        <f t="shared" si="630"/>
        <v>19</v>
      </c>
      <c r="BF1957" s="195">
        <f t="shared" si="631"/>
        <v>42.105263157894733</v>
      </c>
      <c r="BG1957" s="373">
        <f t="shared" si="641"/>
        <v>11</v>
      </c>
    </row>
    <row r="1958" spans="1:59" s="46" customFormat="1" ht="15.95" customHeight="1">
      <c r="A1958" s="176">
        <v>48</v>
      </c>
      <c r="B1958" s="31" t="s">
        <v>952</v>
      </c>
      <c r="C1958" s="36" t="s">
        <v>953</v>
      </c>
      <c r="D1958" s="366"/>
      <c r="E1958" s="366"/>
      <c r="F1958" s="366"/>
      <c r="G1958" s="366"/>
      <c r="H1958" s="366"/>
      <c r="I1958" s="366"/>
      <c r="J1958" s="366"/>
      <c r="K1958" s="366"/>
      <c r="L1958" s="366"/>
      <c r="M1958" s="366"/>
      <c r="N1958" s="366"/>
      <c r="O1958" s="366"/>
      <c r="P1958" s="366"/>
      <c r="Q1958" s="366"/>
      <c r="R1958" s="366"/>
      <c r="S1958" s="366"/>
      <c r="T1958" s="366"/>
      <c r="U1958" s="366"/>
      <c r="V1958" s="366"/>
      <c r="W1958" s="366"/>
      <c r="X1958" s="366"/>
      <c r="Y1958" s="366"/>
      <c r="Z1958" s="366"/>
      <c r="AA1958" s="366"/>
      <c r="AB1958" s="22">
        <f t="shared" si="627"/>
        <v>0</v>
      </c>
      <c r="AC1958" s="23">
        <v>0</v>
      </c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22">
        <f t="shared" si="628"/>
        <v>0</v>
      </c>
      <c r="BC1958" s="23">
        <v>1</v>
      </c>
      <c r="BD1958" s="130">
        <f t="shared" si="629"/>
        <v>0</v>
      </c>
      <c r="BE1958" s="130">
        <f t="shared" si="630"/>
        <v>1</v>
      </c>
      <c r="BF1958" s="195">
        <f t="shared" si="631"/>
        <v>0</v>
      </c>
      <c r="BG1958" s="373">
        <f t="shared" si="641"/>
        <v>1</v>
      </c>
    </row>
    <row r="1959" spans="1:59" s="46" customFormat="1" ht="15.95" customHeight="1">
      <c r="A1959" s="176">
        <v>49</v>
      </c>
      <c r="B1959" s="31" t="s">
        <v>1398</v>
      </c>
      <c r="C1959" s="32" t="s">
        <v>1399</v>
      </c>
      <c r="D1959" s="366"/>
      <c r="E1959" s="366"/>
      <c r="F1959" s="366"/>
      <c r="G1959" s="366"/>
      <c r="H1959" s="366"/>
      <c r="I1959" s="366"/>
      <c r="J1959" s="366"/>
      <c r="K1959" s="366"/>
      <c r="L1959" s="366"/>
      <c r="M1959" s="366"/>
      <c r="N1959" s="366"/>
      <c r="O1959" s="366"/>
      <c r="P1959" s="366"/>
      <c r="Q1959" s="366"/>
      <c r="R1959" s="366"/>
      <c r="S1959" s="366"/>
      <c r="T1959" s="366"/>
      <c r="U1959" s="366"/>
      <c r="V1959" s="366"/>
      <c r="W1959" s="366"/>
      <c r="X1959" s="366"/>
      <c r="Y1959" s="366"/>
      <c r="Z1959" s="366"/>
      <c r="AA1959" s="366"/>
      <c r="AB1959" s="22">
        <f t="shared" si="627"/>
        <v>0</v>
      </c>
      <c r="AC1959" s="23">
        <v>0</v>
      </c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22">
        <f t="shared" si="628"/>
        <v>0</v>
      </c>
      <c r="BC1959" s="23">
        <v>1</v>
      </c>
      <c r="BD1959" s="130">
        <f t="shared" si="629"/>
        <v>0</v>
      </c>
      <c r="BE1959" s="130">
        <f t="shared" si="630"/>
        <v>1</v>
      </c>
      <c r="BF1959" s="195">
        <f t="shared" si="631"/>
        <v>0</v>
      </c>
      <c r="BG1959" s="373">
        <f t="shared" si="641"/>
        <v>1</v>
      </c>
    </row>
    <row r="1960" spans="1:59" s="46" customFormat="1" ht="15.95" customHeight="1">
      <c r="A1960" s="176">
        <v>50</v>
      </c>
      <c r="B1960" s="31" t="s">
        <v>1398</v>
      </c>
      <c r="C1960" s="36" t="s">
        <v>1399</v>
      </c>
      <c r="D1960" s="366"/>
      <c r="E1960" s="366"/>
      <c r="F1960" s="366"/>
      <c r="G1960" s="366"/>
      <c r="H1960" s="366"/>
      <c r="I1960" s="366"/>
      <c r="J1960" s="366"/>
      <c r="K1960" s="366"/>
      <c r="L1960" s="366"/>
      <c r="M1960" s="366"/>
      <c r="N1960" s="366"/>
      <c r="O1960" s="366"/>
      <c r="P1960" s="366"/>
      <c r="Q1960" s="366"/>
      <c r="R1960" s="366"/>
      <c r="S1960" s="366"/>
      <c r="T1960" s="366"/>
      <c r="U1960" s="366"/>
      <c r="V1960" s="366"/>
      <c r="W1960" s="366"/>
      <c r="X1960" s="366"/>
      <c r="Y1960" s="366"/>
      <c r="Z1960" s="366"/>
      <c r="AA1960" s="366"/>
      <c r="AB1960" s="22">
        <f t="shared" si="627"/>
        <v>0</v>
      </c>
      <c r="AC1960" s="23">
        <v>0</v>
      </c>
      <c r="AD1960" s="35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22">
        <f t="shared" si="628"/>
        <v>0</v>
      </c>
      <c r="BC1960" s="23">
        <v>1</v>
      </c>
      <c r="BD1960" s="130">
        <f t="shared" si="629"/>
        <v>0</v>
      </c>
      <c r="BE1960" s="130">
        <f t="shared" si="630"/>
        <v>1</v>
      </c>
      <c r="BF1960" s="195">
        <f t="shared" si="631"/>
        <v>0</v>
      </c>
      <c r="BG1960" s="373">
        <f t="shared" si="641"/>
        <v>1</v>
      </c>
    </row>
    <row r="1961" spans="1:59" s="46" customFormat="1" ht="15.95" customHeight="1">
      <c r="A1961" s="176">
        <v>51</v>
      </c>
      <c r="B1961" s="31" t="s">
        <v>1049</v>
      </c>
      <c r="C1961" s="36" t="s">
        <v>1050</v>
      </c>
      <c r="D1961" s="526"/>
      <c r="E1961" s="526"/>
      <c r="F1961" s="526"/>
      <c r="G1961" s="526"/>
      <c r="H1961" s="526"/>
      <c r="I1961" s="526"/>
      <c r="J1961" s="526"/>
      <c r="K1961" s="526"/>
      <c r="L1961" s="526"/>
      <c r="M1961" s="526"/>
      <c r="N1961" s="526"/>
      <c r="O1961" s="526"/>
      <c r="P1961" s="526"/>
      <c r="Q1961" s="526"/>
      <c r="R1961" s="526"/>
      <c r="S1961" s="526"/>
      <c r="T1961" s="526"/>
      <c r="U1961" s="526"/>
      <c r="V1961" s="526"/>
      <c r="W1961" s="526"/>
      <c r="X1961" s="526"/>
      <c r="Y1961" s="526"/>
      <c r="Z1961" s="526"/>
      <c r="AA1961" s="526"/>
      <c r="AB1961" s="22">
        <f t="shared" si="627"/>
        <v>0</v>
      </c>
      <c r="AC1961" s="23">
        <v>0</v>
      </c>
      <c r="AD1961" s="35"/>
      <c r="AE1961" s="35"/>
      <c r="AF1961" s="35"/>
      <c r="AG1961" s="35"/>
      <c r="AH1961" s="35">
        <v>310</v>
      </c>
      <c r="AI1961" s="35"/>
      <c r="AJ1961" s="35"/>
      <c r="AK1961" s="35"/>
      <c r="AL1961" s="35">
        <v>413</v>
      </c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22">
        <f t="shared" si="628"/>
        <v>723</v>
      </c>
      <c r="BC1961" s="23">
        <v>0</v>
      </c>
      <c r="BD1961" s="130">
        <f t="shared" si="629"/>
        <v>723</v>
      </c>
      <c r="BE1961" s="130">
        <f t="shared" si="630"/>
        <v>0</v>
      </c>
      <c r="BF1961" s="195" t="e">
        <f t="shared" si="631"/>
        <v>#DIV/0!</v>
      </c>
      <c r="BG1961" s="373"/>
    </row>
    <row r="1962" spans="1:59" s="46" customFormat="1" ht="15.95" customHeight="1">
      <c r="A1962" s="176">
        <v>52</v>
      </c>
      <c r="B1962" s="31" t="s">
        <v>851</v>
      </c>
      <c r="C1962" s="32" t="s">
        <v>917</v>
      </c>
      <c r="D1962" s="366"/>
      <c r="E1962" s="366"/>
      <c r="F1962" s="366"/>
      <c r="G1962" s="366"/>
      <c r="H1962" s="366"/>
      <c r="I1962" s="366"/>
      <c r="J1962" s="366"/>
      <c r="K1962" s="366"/>
      <c r="L1962" s="366"/>
      <c r="M1962" s="366"/>
      <c r="N1962" s="366"/>
      <c r="O1962" s="366"/>
      <c r="P1962" s="366"/>
      <c r="Q1962" s="366"/>
      <c r="R1962" s="366"/>
      <c r="S1962" s="366"/>
      <c r="T1962" s="366"/>
      <c r="U1962" s="366"/>
      <c r="V1962" s="366"/>
      <c r="W1962" s="366"/>
      <c r="X1962" s="366"/>
      <c r="Y1962" s="366"/>
      <c r="Z1962" s="366"/>
      <c r="AA1962" s="366"/>
      <c r="AB1962" s="22">
        <f t="shared" si="627"/>
        <v>0</v>
      </c>
      <c r="AC1962" s="23">
        <v>0</v>
      </c>
      <c r="AD1962" s="35"/>
      <c r="AE1962" s="35"/>
      <c r="AF1962" s="35"/>
      <c r="AG1962" s="35"/>
      <c r="AH1962" s="35">
        <v>21</v>
      </c>
      <c r="AI1962" s="35"/>
      <c r="AJ1962" s="35"/>
      <c r="AK1962" s="35"/>
      <c r="AL1962" s="35">
        <v>75</v>
      </c>
      <c r="AM1962" s="35"/>
      <c r="AN1962" s="35"/>
      <c r="AO1962" s="35"/>
      <c r="AP1962" s="35">
        <v>17</v>
      </c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22">
        <f t="shared" si="628"/>
        <v>113</v>
      </c>
      <c r="BC1962" s="23">
        <v>469</v>
      </c>
      <c r="BD1962" s="130">
        <f t="shared" si="629"/>
        <v>113</v>
      </c>
      <c r="BE1962" s="130">
        <f t="shared" si="630"/>
        <v>469</v>
      </c>
      <c r="BF1962" s="195">
        <f t="shared" si="631"/>
        <v>24.093816631130064</v>
      </c>
      <c r="BG1962" s="373">
        <f t="shared" ref="BG1962:BG1967" si="642">BE1962-BD1962</f>
        <v>356</v>
      </c>
    </row>
    <row r="1963" spans="1:59" s="46" customFormat="1" ht="15.95" customHeight="1">
      <c r="A1963" s="176">
        <v>53</v>
      </c>
      <c r="B1963" s="31" t="s">
        <v>1118</v>
      </c>
      <c r="C1963" s="32" t="s">
        <v>1119</v>
      </c>
      <c r="D1963" s="366"/>
      <c r="E1963" s="366"/>
      <c r="F1963" s="366"/>
      <c r="G1963" s="366"/>
      <c r="H1963" s="366"/>
      <c r="I1963" s="366"/>
      <c r="J1963" s="366"/>
      <c r="K1963" s="366"/>
      <c r="L1963" s="366"/>
      <c r="M1963" s="366"/>
      <c r="N1963" s="366"/>
      <c r="O1963" s="366"/>
      <c r="P1963" s="366"/>
      <c r="Q1963" s="366"/>
      <c r="R1963" s="366"/>
      <c r="S1963" s="366"/>
      <c r="T1963" s="366"/>
      <c r="U1963" s="366"/>
      <c r="V1963" s="366"/>
      <c r="W1963" s="366"/>
      <c r="X1963" s="366"/>
      <c r="Y1963" s="366"/>
      <c r="Z1963" s="366"/>
      <c r="AA1963" s="366"/>
      <c r="AB1963" s="22">
        <f t="shared" si="627"/>
        <v>0</v>
      </c>
      <c r="AC1963" s="23">
        <v>0</v>
      </c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22">
        <f t="shared" si="628"/>
        <v>0</v>
      </c>
      <c r="BC1963" s="23">
        <v>1</v>
      </c>
      <c r="BD1963" s="130">
        <f t="shared" si="629"/>
        <v>0</v>
      </c>
      <c r="BE1963" s="130">
        <f t="shared" si="630"/>
        <v>1</v>
      </c>
      <c r="BF1963" s="195">
        <f t="shared" si="631"/>
        <v>0</v>
      </c>
      <c r="BG1963" s="373">
        <f t="shared" si="642"/>
        <v>1</v>
      </c>
    </row>
    <row r="1964" spans="1:59" s="46" customFormat="1" ht="15.95" customHeight="1">
      <c r="A1964" s="176">
        <v>54</v>
      </c>
      <c r="B1964" s="31" t="s">
        <v>1088</v>
      </c>
      <c r="C1964" s="32" t="s">
        <v>2084</v>
      </c>
      <c r="D1964" s="366"/>
      <c r="E1964" s="366"/>
      <c r="F1964" s="366"/>
      <c r="G1964" s="366"/>
      <c r="H1964" s="366"/>
      <c r="I1964" s="366"/>
      <c r="J1964" s="366"/>
      <c r="K1964" s="366"/>
      <c r="L1964" s="366">
        <v>4</v>
      </c>
      <c r="M1964" s="366"/>
      <c r="N1964" s="366"/>
      <c r="O1964" s="366"/>
      <c r="P1964" s="366">
        <v>8</v>
      </c>
      <c r="Q1964" s="366"/>
      <c r="R1964" s="366"/>
      <c r="S1964" s="366"/>
      <c r="T1964" s="366"/>
      <c r="U1964" s="366"/>
      <c r="V1964" s="366"/>
      <c r="W1964" s="366"/>
      <c r="X1964" s="366"/>
      <c r="Y1964" s="366"/>
      <c r="Z1964" s="366"/>
      <c r="AA1964" s="366"/>
      <c r="AB1964" s="22">
        <f t="shared" si="627"/>
        <v>12</v>
      </c>
      <c r="AC1964" s="23">
        <v>0</v>
      </c>
      <c r="AD1964" s="35"/>
      <c r="AE1964" s="35"/>
      <c r="AF1964" s="35"/>
      <c r="AG1964" s="35"/>
      <c r="AH1964" s="35">
        <v>90</v>
      </c>
      <c r="AI1964" s="35"/>
      <c r="AJ1964" s="35"/>
      <c r="AK1964" s="35"/>
      <c r="AL1964" s="35">
        <v>381</v>
      </c>
      <c r="AM1964" s="35"/>
      <c r="AN1964" s="35"/>
      <c r="AO1964" s="35"/>
      <c r="AP1964" s="35">
        <f>542+3</f>
        <v>545</v>
      </c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22">
        <f t="shared" si="628"/>
        <v>1016</v>
      </c>
      <c r="BC1964" s="23">
        <v>2036</v>
      </c>
      <c r="BD1964" s="130">
        <f t="shared" si="629"/>
        <v>1028</v>
      </c>
      <c r="BE1964" s="130">
        <f t="shared" si="630"/>
        <v>2036</v>
      </c>
      <c r="BF1964" s="195">
        <f t="shared" si="631"/>
        <v>50.491159135559926</v>
      </c>
      <c r="BG1964" s="373">
        <f t="shared" si="642"/>
        <v>1008</v>
      </c>
    </row>
    <row r="1965" spans="1:59" s="46" customFormat="1" ht="15.95" customHeight="1">
      <c r="A1965" s="176">
        <v>55</v>
      </c>
      <c r="B1965" s="31" t="s">
        <v>1773</v>
      </c>
      <c r="C1965" s="32" t="s">
        <v>3465</v>
      </c>
      <c r="D1965" s="366"/>
      <c r="E1965" s="366"/>
      <c r="F1965" s="366"/>
      <c r="G1965" s="366"/>
      <c r="H1965" s="366"/>
      <c r="I1965" s="366"/>
      <c r="J1965" s="366"/>
      <c r="K1965" s="366"/>
      <c r="L1965" s="366"/>
      <c r="M1965" s="366"/>
      <c r="N1965" s="366"/>
      <c r="O1965" s="366"/>
      <c r="P1965" s="366"/>
      <c r="Q1965" s="366"/>
      <c r="R1965" s="366"/>
      <c r="S1965" s="366"/>
      <c r="T1965" s="366"/>
      <c r="U1965" s="366"/>
      <c r="V1965" s="366"/>
      <c r="W1965" s="366"/>
      <c r="X1965" s="366"/>
      <c r="Y1965" s="366"/>
      <c r="Z1965" s="366"/>
      <c r="AA1965" s="366"/>
      <c r="AB1965" s="22">
        <f t="shared" si="627"/>
        <v>0</v>
      </c>
      <c r="AC1965" s="23">
        <v>0</v>
      </c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22">
        <f t="shared" si="628"/>
        <v>0</v>
      </c>
      <c r="BC1965" s="23">
        <v>20</v>
      </c>
      <c r="BD1965" s="130">
        <f t="shared" si="629"/>
        <v>0</v>
      </c>
      <c r="BE1965" s="130">
        <f t="shared" si="630"/>
        <v>20</v>
      </c>
      <c r="BF1965" s="195">
        <f t="shared" si="631"/>
        <v>0</v>
      </c>
      <c r="BG1965" s="373">
        <f t="shared" si="642"/>
        <v>20</v>
      </c>
    </row>
    <row r="1966" spans="1:59" s="46" customFormat="1" ht="15.95" customHeight="1">
      <c r="A1966" s="176">
        <v>56</v>
      </c>
      <c r="B1966" s="31" t="s">
        <v>1018</v>
      </c>
      <c r="C1966" s="32" t="s">
        <v>1019</v>
      </c>
      <c r="D1966" s="366"/>
      <c r="E1966" s="366"/>
      <c r="F1966" s="366"/>
      <c r="G1966" s="366"/>
      <c r="H1966" s="366"/>
      <c r="I1966" s="366"/>
      <c r="J1966" s="366"/>
      <c r="K1966" s="366"/>
      <c r="L1966" s="366"/>
      <c r="M1966" s="366"/>
      <c r="N1966" s="366"/>
      <c r="O1966" s="366"/>
      <c r="P1966" s="366"/>
      <c r="Q1966" s="366"/>
      <c r="R1966" s="366"/>
      <c r="S1966" s="366"/>
      <c r="T1966" s="366"/>
      <c r="U1966" s="366"/>
      <c r="V1966" s="366"/>
      <c r="W1966" s="366"/>
      <c r="X1966" s="366"/>
      <c r="Y1966" s="366"/>
      <c r="Z1966" s="366"/>
      <c r="AA1966" s="366"/>
      <c r="AB1966" s="22">
        <f t="shared" si="627"/>
        <v>0</v>
      </c>
      <c r="AC1966" s="23">
        <v>0</v>
      </c>
      <c r="AD1966" s="35"/>
      <c r="AE1966" s="35"/>
      <c r="AF1966" s="35"/>
      <c r="AG1966" s="35"/>
      <c r="AH1966" s="35"/>
      <c r="AI1966" s="35"/>
      <c r="AJ1966" s="35"/>
      <c r="AK1966" s="35"/>
      <c r="AL1966" s="35">
        <v>5</v>
      </c>
      <c r="AM1966" s="35"/>
      <c r="AN1966" s="35"/>
      <c r="AO1966" s="35"/>
      <c r="AP1966" s="35">
        <v>2</v>
      </c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22">
        <f t="shared" si="628"/>
        <v>7</v>
      </c>
      <c r="BC1966" s="23">
        <v>6</v>
      </c>
      <c r="BD1966" s="130">
        <f t="shared" si="629"/>
        <v>7</v>
      </c>
      <c r="BE1966" s="130">
        <f t="shared" si="630"/>
        <v>6</v>
      </c>
      <c r="BF1966" s="195">
        <f t="shared" si="631"/>
        <v>116.66666666666667</v>
      </c>
      <c r="BG1966" s="373">
        <f t="shared" si="642"/>
        <v>-1</v>
      </c>
    </row>
    <row r="1967" spans="1:59" s="46" customFormat="1" ht="15.95" customHeight="1">
      <c r="A1967" s="176">
        <v>57</v>
      </c>
      <c r="B1967" s="31" t="s">
        <v>1970</v>
      </c>
      <c r="C1967" s="32" t="s">
        <v>1971</v>
      </c>
      <c r="D1967" s="366"/>
      <c r="E1967" s="366"/>
      <c r="F1967" s="366"/>
      <c r="G1967" s="366"/>
      <c r="H1967" s="366"/>
      <c r="I1967" s="366"/>
      <c r="J1967" s="366"/>
      <c r="K1967" s="366"/>
      <c r="L1967" s="366"/>
      <c r="M1967" s="366"/>
      <c r="N1967" s="366"/>
      <c r="O1967" s="366"/>
      <c r="P1967" s="366"/>
      <c r="Q1967" s="366"/>
      <c r="R1967" s="366"/>
      <c r="S1967" s="366"/>
      <c r="T1967" s="366"/>
      <c r="U1967" s="366"/>
      <c r="V1967" s="366"/>
      <c r="W1967" s="366"/>
      <c r="X1967" s="366"/>
      <c r="Y1967" s="366"/>
      <c r="Z1967" s="366"/>
      <c r="AA1967" s="366"/>
      <c r="AB1967" s="22">
        <f t="shared" si="627"/>
        <v>0</v>
      </c>
      <c r="AC1967" s="23">
        <v>0</v>
      </c>
      <c r="AD1967" s="35"/>
      <c r="AE1967" s="35"/>
      <c r="AF1967" s="35"/>
      <c r="AG1967" s="35"/>
      <c r="AH1967" s="35"/>
      <c r="AI1967" s="35"/>
      <c r="AJ1967" s="35"/>
      <c r="AK1967" s="35"/>
      <c r="AL1967" s="35">
        <v>2</v>
      </c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22">
        <f t="shared" si="628"/>
        <v>2</v>
      </c>
      <c r="BC1967" s="23">
        <v>6</v>
      </c>
      <c r="BD1967" s="130">
        <f t="shared" si="629"/>
        <v>2</v>
      </c>
      <c r="BE1967" s="130">
        <f t="shared" si="630"/>
        <v>6</v>
      </c>
      <c r="BF1967" s="195">
        <f t="shared" si="631"/>
        <v>33.333333333333329</v>
      </c>
      <c r="BG1967" s="373">
        <f t="shared" si="642"/>
        <v>4</v>
      </c>
    </row>
    <row r="1968" spans="1:59" s="46" customFormat="1" ht="15.95" customHeight="1">
      <c r="A1968" s="176">
        <v>58</v>
      </c>
      <c r="B1968" s="31" t="s">
        <v>971</v>
      </c>
      <c r="C1968" s="32" t="s">
        <v>1278</v>
      </c>
      <c r="D1968" s="552"/>
      <c r="E1968" s="552"/>
      <c r="F1968" s="552"/>
      <c r="G1968" s="552"/>
      <c r="H1968" s="552"/>
      <c r="I1968" s="552"/>
      <c r="J1968" s="552"/>
      <c r="K1968" s="552"/>
      <c r="L1968" s="552"/>
      <c r="M1968" s="552"/>
      <c r="N1968" s="552"/>
      <c r="O1968" s="552"/>
      <c r="P1968" s="552"/>
      <c r="Q1968" s="552"/>
      <c r="R1968" s="552"/>
      <c r="S1968" s="552"/>
      <c r="T1968" s="552"/>
      <c r="U1968" s="552"/>
      <c r="V1968" s="552"/>
      <c r="W1968" s="552"/>
      <c r="X1968" s="552"/>
      <c r="Y1968" s="552"/>
      <c r="Z1968" s="552"/>
      <c r="AA1968" s="552"/>
      <c r="AB1968" s="22">
        <f t="shared" si="627"/>
        <v>0</v>
      </c>
      <c r="AC1968" s="23">
        <v>0</v>
      </c>
      <c r="AD1968" s="35"/>
      <c r="AE1968" s="35"/>
      <c r="AF1968" s="35"/>
      <c r="AG1968" s="35"/>
      <c r="AH1968" s="35"/>
      <c r="AI1968" s="35"/>
      <c r="AJ1968" s="35"/>
      <c r="AK1968" s="35"/>
      <c r="AL1968" s="35">
        <v>1</v>
      </c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22">
        <f t="shared" si="628"/>
        <v>1</v>
      </c>
      <c r="BC1968" s="23">
        <v>0</v>
      </c>
      <c r="BD1968" s="130">
        <f t="shared" si="629"/>
        <v>1</v>
      </c>
      <c r="BE1968" s="130">
        <f t="shared" si="630"/>
        <v>0</v>
      </c>
      <c r="BF1968" s="195" t="e">
        <f t="shared" si="631"/>
        <v>#DIV/0!</v>
      </c>
      <c r="BG1968" s="373"/>
    </row>
    <row r="1969" spans="1:59" s="46" customFormat="1" ht="15.95" customHeight="1">
      <c r="A1969" s="176">
        <v>59</v>
      </c>
      <c r="B1969" s="31" t="s">
        <v>1120</v>
      </c>
      <c r="C1969" s="34" t="s">
        <v>1121</v>
      </c>
      <c r="D1969" s="366"/>
      <c r="E1969" s="366"/>
      <c r="F1969" s="366"/>
      <c r="G1969" s="366"/>
      <c r="H1969" s="366">
        <v>5</v>
      </c>
      <c r="I1969" s="366"/>
      <c r="J1969" s="366"/>
      <c r="K1969" s="366"/>
      <c r="L1969" s="366">
        <v>1</v>
      </c>
      <c r="M1969" s="366"/>
      <c r="N1969" s="366"/>
      <c r="O1969" s="366"/>
      <c r="P1969" s="366"/>
      <c r="Q1969" s="366"/>
      <c r="R1969" s="366"/>
      <c r="S1969" s="366"/>
      <c r="T1969" s="366"/>
      <c r="U1969" s="366"/>
      <c r="V1969" s="366"/>
      <c r="W1969" s="366"/>
      <c r="X1969" s="366"/>
      <c r="Y1969" s="366"/>
      <c r="Z1969" s="366"/>
      <c r="AA1969" s="366"/>
      <c r="AB1969" s="22">
        <f t="shared" si="627"/>
        <v>6</v>
      </c>
      <c r="AC1969" s="23">
        <v>1</v>
      </c>
      <c r="AD1969" s="35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22">
        <f t="shared" si="628"/>
        <v>0</v>
      </c>
      <c r="BC1969" s="23">
        <v>1</v>
      </c>
      <c r="BD1969" s="130">
        <f t="shared" si="629"/>
        <v>6</v>
      </c>
      <c r="BE1969" s="130">
        <f t="shared" si="630"/>
        <v>2</v>
      </c>
      <c r="BF1969" s="195">
        <f t="shared" si="631"/>
        <v>300</v>
      </c>
      <c r="BG1969" s="373">
        <f t="shared" ref="BG1969:BG1982" si="643">BE1969-BD1969</f>
        <v>-4</v>
      </c>
    </row>
    <row r="1970" spans="1:59" s="46" customFormat="1" ht="15.95" customHeight="1">
      <c r="A1970" s="176">
        <v>60</v>
      </c>
      <c r="B1970" s="31" t="s">
        <v>2601</v>
      </c>
      <c r="C1970" s="34" t="s">
        <v>2739</v>
      </c>
      <c r="D1970" s="366"/>
      <c r="E1970" s="366"/>
      <c r="F1970" s="366"/>
      <c r="G1970" s="366"/>
      <c r="H1970" s="366"/>
      <c r="I1970" s="366"/>
      <c r="J1970" s="366"/>
      <c r="K1970" s="366"/>
      <c r="L1970" s="366"/>
      <c r="M1970" s="366"/>
      <c r="N1970" s="366"/>
      <c r="O1970" s="366"/>
      <c r="P1970" s="366"/>
      <c r="Q1970" s="366"/>
      <c r="R1970" s="366"/>
      <c r="S1970" s="366"/>
      <c r="T1970" s="366"/>
      <c r="U1970" s="366"/>
      <c r="V1970" s="366"/>
      <c r="W1970" s="366"/>
      <c r="X1970" s="366"/>
      <c r="Y1970" s="366"/>
      <c r="Z1970" s="366"/>
      <c r="AA1970" s="366"/>
      <c r="AB1970" s="22">
        <f t="shared" si="627"/>
        <v>0</v>
      </c>
      <c r="AC1970" s="23">
        <v>0</v>
      </c>
      <c r="AD1970" s="35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22">
        <f t="shared" si="628"/>
        <v>0</v>
      </c>
      <c r="BC1970" s="23">
        <v>2</v>
      </c>
      <c r="BD1970" s="130">
        <f t="shared" si="629"/>
        <v>0</v>
      </c>
      <c r="BE1970" s="130">
        <f t="shared" si="630"/>
        <v>2</v>
      </c>
      <c r="BF1970" s="195">
        <f t="shared" si="631"/>
        <v>0</v>
      </c>
      <c r="BG1970" s="373">
        <f t="shared" si="643"/>
        <v>2</v>
      </c>
    </row>
    <row r="1971" spans="1:59" s="46" customFormat="1" ht="15.95" customHeight="1">
      <c r="A1971" s="176">
        <v>61</v>
      </c>
      <c r="B1971" s="31" t="s">
        <v>1205</v>
      </c>
      <c r="C1971" s="34" t="s">
        <v>2010</v>
      </c>
      <c r="D1971" s="366"/>
      <c r="E1971" s="366"/>
      <c r="F1971" s="366"/>
      <c r="G1971" s="366"/>
      <c r="H1971" s="366"/>
      <c r="I1971" s="366"/>
      <c r="J1971" s="366"/>
      <c r="K1971" s="366"/>
      <c r="L1971" s="366"/>
      <c r="M1971" s="366"/>
      <c r="N1971" s="366"/>
      <c r="O1971" s="366"/>
      <c r="P1971" s="366"/>
      <c r="Q1971" s="366"/>
      <c r="R1971" s="366"/>
      <c r="S1971" s="366"/>
      <c r="T1971" s="366"/>
      <c r="U1971" s="366"/>
      <c r="V1971" s="366"/>
      <c r="W1971" s="366"/>
      <c r="X1971" s="366"/>
      <c r="Y1971" s="366"/>
      <c r="Z1971" s="366"/>
      <c r="AA1971" s="366"/>
      <c r="AB1971" s="22">
        <f t="shared" si="627"/>
        <v>0</v>
      </c>
      <c r="AC1971" s="23">
        <v>0</v>
      </c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22">
        <f t="shared" si="628"/>
        <v>0</v>
      </c>
      <c r="BC1971" s="23">
        <v>5</v>
      </c>
      <c r="BD1971" s="130">
        <f t="shared" si="629"/>
        <v>0</v>
      </c>
      <c r="BE1971" s="130">
        <f t="shared" si="630"/>
        <v>5</v>
      </c>
      <c r="BF1971" s="195">
        <f t="shared" si="631"/>
        <v>0</v>
      </c>
      <c r="BG1971" s="373">
        <f t="shared" si="643"/>
        <v>5</v>
      </c>
    </row>
    <row r="1972" spans="1:59" s="46" customFormat="1" ht="15.95" customHeight="1">
      <c r="A1972" s="176">
        <v>62</v>
      </c>
      <c r="B1972" s="31" t="s">
        <v>1206</v>
      </c>
      <c r="C1972" s="34" t="s">
        <v>1986</v>
      </c>
      <c r="D1972" s="231"/>
      <c r="E1972" s="231"/>
      <c r="F1972" s="231"/>
      <c r="G1972" s="231"/>
      <c r="H1972" s="231"/>
      <c r="I1972" s="231"/>
      <c r="J1972" s="231"/>
      <c r="K1972" s="231"/>
      <c r="L1972" s="231"/>
      <c r="M1972" s="231"/>
      <c r="N1972" s="231"/>
      <c r="O1972" s="231"/>
      <c r="P1972" s="231"/>
      <c r="Q1972" s="231"/>
      <c r="R1972" s="231"/>
      <c r="S1972" s="231"/>
      <c r="T1972" s="231"/>
      <c r="U1972" s="231"/>
      <c r="V1972" s="231"/>
      <c r="W1972" s="231"/>
      <c r="X1972" s="231"/>
      <c r="Y1972" s="231"/>
      <c r="Z1972" s="231"/>
      <c r="AA1972" s="231"/>
      <c r="AB1972" s="22">
        <f t="shared" si="627"/>
        <v>0</v>
      </c>
      <c r="AC1972" s="23">
        <v>0</v>
      </c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22">
        <f t="shared" si="628"/>
        <v>0</v>
      </c>
      <c r="BC1972" s="23">
        <v>1</v>
      </c>
      <c r="BD1972" s="130">
        <f t="shared" si="629"/>
        <v>0</v>
      </c>
      <c r="BE1972" s="130">
        <f t="shared" si="630"/>
        <v>1</v>
      </c>
      <c r="BF1972" s="195">
        <f t="shared" si="631"/>
        <v>0</v>
      </c>
      <c r="BG1972" s="373">
        <f t="shared" si="643"/>
        <v>1</v>
      </c>
    </row>
    <row r="1973" spans="1:59" s="46" customFormat="1" ht="15.95" customHeight="1">
      <c r="A1973" s="176">
        <v>63</v>
      </c>
      <c r="B1973" s="31" t="s">
        <v>854</v>
      </c>
      <c r="C1973" s="34" t="s">
        <v>972</v>
      </c>
      <c r="D1973" s="231"/>
      <c r="E1973" s="231"/>
      <c r="F1973" s="231"/>
      <c r="G1973" s="231"/>
      <c r="H1973" s="231">
        <v>77</v>
      </c>
      <c r="I1973" s="231"/>
      <c r="J1973" s="231"/>
      <c r="K1973" s="231"/>
      <c r="L1973" s="231">
        <v>193</v>
      </c>
      <c r="M1973" s="231"/>
      <c r="N1973" s="231"/>
      <c r="O1973" s="231"/>
      <c r="P1973" s="231">
        <v>298</v>
      </c>
      <c r="Q1973" s="231"/>
      <c r="R1973" s="231"/>
      <c r="S1973" s="231"/>
      <c r="T1973" s="231"/>
      <c r="U1973" s="231"/>
      <c r="V1973" s="231"/>
      <c r="W1973" s="231"/>
      <c r="X1973" s="231"/>
      <c r="Y1973" s="231"/>
      <c r="Z1973" s="231"/>
      <c r="AA1973" s="231"/>
      <c r="AB1973" s="22">
        <f t="shared" si="627"/>
        <v>568</v>
      </c>
      <c r="AC1973" s="23">
        <v>1447</v>
      </c>
      <c r="AD1973" s="35"/>
      <c r="AE1973" s="35"/>
      <c r="AF1973" s="35"/>
      <c r="AG1973" s="35"/>
      <c r="AH1973" s="35">
        <v>48</v>
      </c>
      <c r="AI1973" s="35"/>
      <c r="AJ1973" s="35"/>
      <c r="AK1973" s="35"/>
      <c r="AL1973" s="35">
        <f>16+104</f>
        <v>120</v>
      </c>
      <c r="AM1973" s="35"/>
      <c r="AN1973" s="35"/>
      <c r="AO1973" s="35"/>
      <c r="AP1973" s="35">
        <f>127+1</f>
        <v>128</v>
      </c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22">
        <f t="shared" si="628"/>
        <v>296</v>
      </c>
      <c r="BC1973" s="23">
        <v>768</v>
      </c>
      <c r="BD1973" s="130">
        <f t="shared" si="629"/>
        <v>864</v>
      </c>
      <c r="BE1973" s="130">
        <f t="shared" si="630"/>
        <v>2215</v>
      </c>
      <c r="BF1973" s="195">
        <f t="shared" si="631"/>
        <v>39.006772009029348</v>
      </c>
      <c r="BG1973" s="373">
        <f t="shared" si="643"/>
        <v>1351</v>
      </c>
    </row>
    <row r="1974" spans="1:59" s="46" customFormat="1" ht="15.95" customHeight="1">
      <c r="A1974" s="176">
        <v>64</v>
      </c>
      <c r="B1974" s="31" t="s">
        <v>974</v>
      </c>
      <c r="C1974" s="34" t="s">
        <v>2514</v>
      </c>
      <c r="D1974" s="231"/>
      <c r="E1974" s="231"/>
      <c r="F1974" s="231"/>
      <c r="G1974" s="231"/>
      <c r="H1974" s="231"/>
      <c r="I1974" s="231"/>
      <c r="J1974" s="231"/>
      <c r="K1974" s="231"/>
      <c r="L1974" s="231"/>
      <c r="M1974" s="231"/>
      <c r="N1974" s="231"/>
      <c r="O1974" s="231"/>
      <c r="P1974" s="231"/>
      <c r="Q1974" s="231"/>
      <c r="R1974" s="231"/>
      <c r="S1974" s="231"/>
      <c r="T1974" s="231"/>
      <c r="U1974" s="231"/>
      <c r="V1974" s="231"/>
      <c r="W1974" s="231"/>
      <c r="X1974" s="231"/>
      <c r="Y1974" s="231"/>
      <c r="Z1974" s="231"/>
      <c r="AA1974" s="231"/>
      <c r="AB1974" s="22">
        <f t="shared" si="627"/>
        <v>0</v>
      </c>
      <c r="AC1974" s="23">
        <v>0</v>
      </c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22">
        <f t="shared" si="628"/>
        <v>0</v>
      </c>
      <c r="BC1974" s="23">
        <v>1</v>
      </c>
      <c r="BD1974" s="130">
        <f t="shared" si="629"/>
        <v>0</v>
      </c>
      <c r="BE1974" s="130">
        <f t="shared" si="630"/>
        <v>1</v>
      </c>
      <c r="BF1974" s="195">
        <f t="shared" si="631"/>
        <v>0</v>
      </c>
      <c r="BG1974" s="373">
        <f t="shared" si="643"/>
        <v>1</v>
      </c>
    </row>
    <row r="1975" spans="1:59" s="46" customFormat="1" ht="15.95" customHeight="1">
      <c r="A1975" s="176">
        <v>65</v>
      </c>
      <c r="B1975" s="31" t="s">
        <v>1056</v>
      </c>
      <c r="C1975" s="34" t="s">
        <v>1122</v>
      </c>
      <c r="D1975" s="231"/>
      <c r="E1975" s="231"/>
      <c r="F1975" s="231"/>
      <c r="G1975" s="231"/>
      <c r="H1975" s="231"/>
      <c r="I1975" s="231"/>
      <c r="J1975" s="231"/>
      <c r="K1975" s="231"/>
      <c r="L1975" s="231"/>
      <c r="M1975" s="231"/>
      <c r="N1975" s="231"/>
      <c r="O1975" s="231"/>
      <c r="P1975" s="231"/>
      <c r="Q1975" s="231"/>
      <c r="R1975" s="231"/>
      <c r="S1975" s="231"/>
      <c r="T1975" s="231"/>
      <c r="U1975" s="231"/>
      <c r="V1975" s="231"/>
      <c r="W1975" s="231"/>
      <c r="X1975" s="231"/>
      <c r="Y1975" s="231"/>
      <c r="Z1975" s="231"/>
      <c r="AA1975" s="231"/>
      <c r="AB1975" s="22">
        <f t="shared" si="627"/>
        <v>0</v>
      </c>
      <c r="AC1975" s="23">
        <v>0</v>
      </c>
      <c r="AD1975" s="35"/>
      <c r="AE1975" s="35"/>
      <c r="AF1975" s="35"/>
      <c r="AG1975" s="35"/>
      <c r="AH1975" s="35">
        <v>3</v>
      </c>
      <c r="AI1975" s="35"/>
      <c r="AJ1975" s="35"/>
      <c r="AK1975" s="35"/>
      <c r="AL1975" s="35">
        <v>8</v>
      </c>
      <c r="AM1975" s="35"/>
      <c r="AN1975" s="35"/>
      <c r="AO1975" s="35"/>
      <c r="AP1975" s="35">
        <v>7</v>
      </c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22">
        <f t="shared" si="628"/>
        <v>18</v>
      </c>
      <c r="BC1975" s="23">
        <v>37</v>
      </c>
      <c r="BD1975" s="130">
        <f t="shared" si="629"/>
        <v>18</v>
      </c>
      <c r="BE1975" s="130">
        <f t="shared" si="630"/>
        <v>37</v>
      </c>
      <c r="BF1975" s="195">
        <f t="shared" si="631"/>
        <v>48.648648648648653</v>
      </c>
      <c r="BG1975" s="373">
        <f t="shared" si="643"/>
        <v>19</v>
      </c>
    </row>
    <row r="1976" spans="1:59" s="46" customFormat="1" ht="15.95" customHeight="1">
      <c r="A1976" s="176">
        <v>66</v>
      </c>
      <c r="B1976" s="31" t="s">
        <v>856</v>
      </c>
      <c r="C1976" s="32" t="s">
        <v>3472</v>
      </c>
      <c r="D1976" s="231"/>
      <c r="E1976" s="231"/>
      <c r="F1976" s="231"/>
      <c r="G1976" s="231"/>
      <c r="H1976" s="231"/>
      <c r="I1976" s="231"/>
      <c r="J1976" s="231"/>
      <c r="K1976" s="231"/>
      <c r="L1976" s="231"/>
      <c r="M1976" s="231"/>
      <c r="N1976" s="231"/>
      <c r="O1976" s="231"/>
      <c r="P1976" s="231"/>
      <c r="Q1976" s="231"/>
      <c r="R1976" s="231"/>
      <c r="S1976" s="231"/>
      <c r="T1976" s="231"/>
      <c r="U1976" s="231"/>
      <c r="V1976" s="231"/>
      <c r="W1976" s="231"/>
      <c r="X1976" s="231"/>
      <c r="Y1976" s="231"/>
      <c r="Z1976" s="231"/>
      <c r="AA1976" s="231"/>
      <c r="AB1976" s="22">
        <f t="shared" si="627"/>
        <v>0</v>
      </c>
      <c r="AC1976" s="23">
        <v>0</v>
      </c>
      <c r="AD1976" s="35"/>
      <c r="AE1976" s="35"/>
      <c r="AF1976" s="35"/>
      <c r="AG1976" s="35"/>
      <c r="AH1976" s="35">
        <v>47</v>
      </c>
      <c r="AI1976" s="35"/>
      <c r="AJ1976" s="35"/>
      <c r="AK1976" s="35"/>
      <c r="AL1976" s="35">
        <v>177</v>
      </c>
      <c r="AM1976" s="35"/>
      <c r="AN1976" s="35"/>
      <c r="AO1976" s="35"/>
      <c r="AP1976" s="35">
        <v>197</v>
      </c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22">
        <f t="shared" si="628"/>
        <v>421</v>
      </c>
      <c r="BC1976" s="23">
        <v>30</v>
      </c>
      <c r="BD1976" s="130">
        <f t="shared" si="629"/>
        <v>421</v>
      </c>
      <c r="BE1976" s="130">
        <f t="shared" si="630"/>
        <v>30</v>
      </c>
      <c r="BF1976" s="195">
        <f t="shared" si="631"/>
        <v>1403.3333333333333</v>
      </c>
      <c r="BG1976" s="373">
        <f t="shared" si="643"/>
        <v>-391</v>
      </c>
    </row>
    <row r="1977" spans="1:59" s="46" customFormat="1" ht="15.95" customHeight="1">
      <c r="A1977" s="176">
        <v>67</v>
      </c>
      <c r="B1977" s="31" t="s">
        <v>1022</v>
      </c>
      <c r="C1977" s="34" t="s">
        <v>1023</v>
      </c>
      <c r="D1977" s="231"/>
      <c r="E1977" s="231"/>
      <c r="F1977" s="231"/>
      <c r="G1977" s="231"/>
      <c r="H1977" s="231">
        <v>33</v>
      </c>
      <c r="I1977" s="231"/>
      <c r="J1977" s="231"/>
      <c r="K1977" s="231"/>
      <c r="L1977" s="231">
        <v>45</v>
      </c>
      <c r="M1977" s="231"/>
      <c r="N1977" s="231"/>
      <c r="O1977" s="231"/>
      <c r="P1977" s="231">
        <v>40</v>
      </c>
      <c r="Q1977" s="231"/>
      <c r="R1977" s="231"/>
      <c r="S1977" s="231"/>
      <c r="T1977" s="231"/>
      <c r="U1977" s="231"/>
      <c r="V1977" s="231"/>
      <c r="W1977" s="231"/>
      <c r="X1977" s="231"/>
      <c r="Y1977" s="231"/>
      <c r="Z1977" s="231"/>
      <c r="AA1977" s="231"/>
      <c r="AB1977" s="22">
        <f t="shared" si="627"/>
        <v>118</v>
      </c>
      <c r="AC1977" s="23">
        <v>60</v>
      </c>
      <c r="AD1977" s="35"/>
      <c r="AE1977" s="35"/>
      <c r="AF1977" s="35"/>
      <c r="AG1977" s="35"/>
      <c r="AH1977" s="35">
        <f>3+54</f>
        <v>57</v>
      </c>
      <c r="AI1977" s="35"/>
      <c r="AJ1977" s="35"/>
      <c r="AK1977" s="35"/>
      <c r="AL1977" s="35">
        <f>20+141</f>
        <v>161</v>
      </c>
      <c r="AM1977" s="35"/>
      <c r="AN1977" s="35"/>
      <c r="AO1977" s="35"/>
      <c r="AP1977" s="35">
        <f>21+251+2</f>
        <v>274</v>
      </c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22">
        <f t="shared" si="628"/>
        <v>492</v>
      </c>
      <c r="BC1977" s="23">
        <v>144</v>
      </c>
      <c r="BD1977" s="130">
        <f t="shared" si="629"/>
        <v>610</v>
      </c>
      <c r="BE1977" s="130">
        <f t="shared" si="630"/>
        <v>204</v>
      </c>
      <c r="BF1977" s="195">
        <f t="shared" si="631"/>
        <v>299.01960784313724</v>
      </c>
      <c r="BG1977" s="373">
        <f t="shared" si="643"/>
        <v>-406</v>
      </c>
    </row>
    <row r="1978" spans="1:59" s="46" customFormat="1" ht="15.95" customHeight="1">
      <c r="A1978" s="176">
        <v>68</v>
      </c>
      <c r="B1978" s="31" t="s">
        <v>1024</v>
      </c>
      <c r="C1978" s="32" t="s">
        <v>3473</v>
      </c>
      <c r="D1978" s="254"/>
      <c r="E1978" s="254"/>
      <c r="F1978" s="254"/>
      <c r="G1978" s="254"/>
      <c r="H1978" s="254"/>
      <c r="I1978" s="254"/>
      <c r="J1978" s="254"/>
      <c r="K1978" s="254"/>
      <c r="L1978" s="254"/>
      <c r="M1978" s="254"/>
      <c r="N1978" s="254"/>
      <c r="O1978" s="254"/>
      <c r="P1978" s="254"/>
      <c r="Q1978" s="254"/>
      <c r="R1978" s="254"/>
      <c r="S1978" s="254"/>
      <c r="T1978" s="254"/>
      <c r="U1978" s="254"/>
      <c r="V1978" s="254"/>
      <c r="W1978" s="254"/>
      <c r="X1978" s="254"/>
      <c r="Y1978" s="254"/>
      <c r="Z1978" s="254"/>
      <c r="AA1978" s="254"/>
      <c r="AB1978" s="22">
        <f t="shared" si="627"/>
        <v>0</v>
      </c>
      <c r="AC1978" s="23">
        <v>0</v>
      </c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22">
        <f t="shared" si="628"/>
        <v>0</v>
      </c>
      <c r="BC1978" s="23">
        <f>1+1</f>
        <v>2</v>
      </c>
      <c r="BD1978" s="130">
        <f t="shared" si="629"/>
        <v>0</v>
      </c>
      <c r="BE1978" s="130">
        <f t="shared" si="630"/>
        <v>2</v>
      </c>
      <c r="BF1978" s="195">
        <f t="shared" si="631"/>
        <v>0</v>
      </c>
      <c r="BG1978" s="373">
        <f t="shared" si="643"/>
        <v>2</v>
      </c>
    </row>
    <row r="1979" spans="1:59" s="46" customFormat="1" ht="15.95" customHeight="1">
      <c r="A1979" s="176">
        <v>69</v>
      </c>
      <c r="B1979" s="31" t="s">
        <v>1059</v>
      </c>
      <c r="C1979" s="34" t="s">
        <v>1060</v>
      </c>
      <c r="D1979" s="231"/>
      <c r="E1979" s="231"/>
      <c r="F1979" s="231"/>
      <c r="G1979" s="231"/>
      <c r="H1979" s="231"/>
      <c r="I1979" s="231"/>
      <c r="J1979" s="231"/>
      <c r="K1979" s="231"/>
      <c r="L1979" s="231"/>
      <c r="M1979" s="231"/>
      <c r="N1979" s="231"/>
      <c r="O1979" s="231"/>
      <c r="P1979" s="231"/>
      <c r="Q1979" s="231"/>
      <c r="R1979" s="231"/>
      <c r="S1979" s="231"/>
      <c r="T1979" s="231"/>
      <c r="U1979" s="231"/>
      <c r="V1979" s="231"/>
      <c r="W1979" s="231"/>
      <c r="X1979" s="231"/>
      <c r="Y1979" s="231"/>
      <c r="Z1979" s="231"/>
      <c r="AA1979" s="231"/>
      <c r="AB1979" s="22">
        <f t="shared" si="627"/>
        <v>0</v>
      </c>
      <c r="AC1979" s="23">
        <v>0</v>
      </c>
      <c r="AD1979" s="35"/>
      <c r="AE1979" s="35"/>
      <c r="AF1979" s="35"/>
      <c r="AG1979" s="35"/>
      <c r="AH1979" s="35">
        <v>2</v>
      </c>
      <c r="AI1979" s="35"/>
      <c r="AJ1979" s="35"/>
      <c r="AK1979" s="35"/>
      <c r="AL1979" s="35">
        <v>26</v>
      </c>
      <c r="AM1979" s="35"/>
      <c r="AN1979" s="35"/>
      <c r="AO1979" s="35"/>
      <c r="AP1979" s="35">
        <v>38</v>
      </c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22">
        <f t="shared" si="628"/>
        <v>66</v>
      </c>
      <c r="BC1979" s="23">
        <v>61</v>
      </c>
      <c r="BD1979" s="130">
        <f t="shared" si="629"/>
        <v>66</v>
      </c>
      <c r="BE1979" s="130">
        <f t="shared" si="630"/>
        <v>61</v>
      </c>
      <c r="BF1979" s="195">
        <f t="shared" si="631"/>
        <v>108.19672131147541</v>
      </c>
      <c r="BG1979" s="373">
        <f t="shared" si="643"/>
        <v>-5</v>
      </c>
    </row>
    <row r="1980" spans="1:59" s="46" customFormat="1" ht="15.95" customHeight="1">
      <c r="A1980" s="176">
        <v>70</v>
      </c>
      <c r="B1980" s="31" t="s">
        <v>858</v>
      </c>
      <c r="C1980" s="32" t="s">
        <v>859</v>
      </c>
      <c r="D1980" s="231"/>
      <c r="E1980" s="231"/>
      <c r="F1980" s="231"/>
      <c r="G1980" s="231"/>
      <c r="H1980" s="231"/>
      <c r="I1980" s="231"/>
      <c r="J1980" s="231"/>
      <c r="K1980" s="231"/>
      <c r="L1980" s="231"/>
      <c r="M1980" s="231"/>
      <c r="N1980" s="231"/>
      <c r="O1980" s="231"/>
      <c r="P1980" s="231"/>
      <c r="Q1980" s="231"/>
      <c r="R1980" s="231"/>
      <c r="S1980" s="231"/>
      <c r="T1980" s="231"/>
      <c r="U1980" s="231"/>
      <c r="V1980" s="231"/>
      <c r="W1980" s="231"/>
      <c r="X1980" s="231"/>
      <c r="Y1980" s="231"/>
      <c r="Z1980" s="231"/>
      <c r="AA1980" s="231"/>
      <c r="AB1980" s="22">
        <f t="shared" si="627"/>
        <v>0</v>
      </c>
      <c r="AC1980" s="23">
        <v>2</v>
      </c>
      <c r="AD1980" s="35"/>
      <c r="AE1980" s="35"/>
      <c r="AF1980" s="35"/>
      <c r="AG1980" s="35"/>
      <c r="AH1980" s="35">
        <v>24</v>
      </c>
      <c r="AI1980" s="35"/>
      <c r="AJ1980" s="35"/>
      <c r="AK1980" s="35"/>
      <c r="AL1980" s="35">
        <v>234</v>
      </c>
      <c r="AM1980" s="35"/>
      <c r="AN1980" s="35"/>
      <c r="AO1980" s="35"/>
      <c r="AP1980" s="35">
        <f>471+10</f>
        <v>481</v>
      </c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22">
        <f t="shared" si="628"/>
        <v>739</v>
      </c>
      <c r="BC1980" s="23">
        <v>849</v>
      </c>
      <c r="BD1980" s="130">
        <f t="shared" si="629"/>
        <v>739</v>
      </c>
      <c r="BE1980" s="130">
        <f t="shared" si="630"/>
        <v>851</v>
      </c>
      <c r="BF1980" s="195">
        <f t="shared" si="631"/>
        <v>86.839012925969456</v>
      </c>
      <c r="BG1980" s="373">
        <f t="shared" si="643"/>
        <v>112</v>
      </c>
    </row>
    <row r="1981" spans="1:59" s="46" customFormat="1" ht="15.95" customHeight="1">
      <c r="A1981" s="176">
        <v>71</v>
      </c>
      <c r="B1981" s="31" t="s">
        <v>860</v>
      </c>
      <c r="C1981" s="32" t="s">
        <v>921</v>
      </c>
      <c r="D1981" s="231"/>
      <c r="E1981" s="231"/>
      <c r="F1981" s="231"/>
      <c r="G1981" s="231"/>
      <c r="H1981" s="231">
        <v>168</v>
      </c>
      <c r="I1981" s="231"/>
      <c r="J1981" s="231"/>
      <c r="K1981" s="231"/>
      <c r="L1981" s="231">
        <v>573</v>
      </c>
      <c r="M1981" s="231"/>
      <c r="N1981" s="231"/>
      <c r="O1981" s="231"/>
      <c r="P1981" s="231">
        <v>745</v>
      </c>
      <c r="Q1981" s="231"/>
      <c r="R1981" s="231"/>
      <c r="S1981" s="231"/>
      <c r="T1981" s="231"/>
      <c r="U1981" s="231"/>
      <c r="V1981" s="231"/>
      <c r="W1981" s="231"/>
      <c r="X1981" s="231"/>
      <c r="Y1981" s="231"/>
      <c r="Z1981" s="231"/>
      <c r="AA1981" s="231"/>
      <c r="AB1981" s="22">
        <f t="shared" si="627"/>
        <v>1486</v>
      </c>
      <c r="AC1981" s="23">
        <v>2439</v>
      </c>
      <c r="AD1981" s="35"/>
      <c r="AE1981" s="35"/>
      <c r="AF1981" s="35"/>
      <c r="AG1981" s="35"/>
      <c r="AH1981" s="35">
        <f>3+1244</f>
        <v>1247</v>
      </c>
      <c r="AI1981" s="35"/>
      <c r="AJ1981" s="35"/>
      <c r="AK1981" s="35"/>
      <c r="AL1981" s="35">
        <f>29+3685</f>
        <v>3714</v>
      </c>
      <c r="AM1981" s="35"/>
      <c r="AN1981" s="35"/>
      <c r="AO1981" s="35"/>
      <c r="AP1981" s="35">
        <f>12+3606+66</f>
        <v>3684</v>
      </c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22">
        <f t="shared" si="628"/>
        <v>8645</v>
      </c>
      <c r="BC1981" s="23">
        <v>6490</v>
      </c>
      <c r="BD1981" s="130">
        <f t="shared" si="629"/>
        <v>10131</v>
      </c>
      <c r="BE1981" s="130">
        <f t="shared" si="630"/>
        <v>8929</v>
      </c>
      <c r="BF1981" s="195">
        <f t="shared" si="631"/>
        <v>113.46175383581587</v>
      </c>
      <c r="BG1981" s="373">
        <f t="shared" si="643"/>
        <v>-1202</v>
      </c>
    </row>
    <row r="1982" spans="1:59" s="46" customFormat="1" ht="15.95" customHeight="1">
      <c r="A1982" s="176">
        <v>72</v>
      </c>
      <c r="B1982" s="31" t="s">
        <v>862</v>
      </c>
      <c r="C1982" s="34" t="s">
        <v>2029</v>
      </c>
      <c r="D1982" s="231"/>
      <c r="E1982" s="231"/>
      <c r="F1982" s="231"/>
      <c r="G1982" s="231"/>
      <c r="H1982" s="231"/>
      <c r="I1982" s="231"/>
      <c r="J1982" s="231"/>
      <c r="K1982" s="231"/>
      <c r="L1982" s="231"/>
      <c r="M1982" s="231"/>
      <c r="N1982" s="231"/>
      <c r="O1982" s="231"/>
      <c r="P1982" s="231">
        <v>1</v>
      </c>
      <c r="Q1982" s="231"/>
      <c r="R1982" s="231"/>
      <c r="S1982" s="231"/>
      <c r="T1982" s="231"/>
      <c r="U1982" s="231"/>
      <c r="V1982" s="231"/>
      <c r="W1982" s="231"/>
      <c r="X1982" s="231"/>
      <c r="Y1982" s="231"/>
      <c r="Z1982" s="231"/>
      <c r="AA1982" s="231"/>
      <c r="AB1982" s="22">
        <f t="shared" si="627"/>
        <v>1</v>
      </c>
      <c r="AC1982" s="23">
        <v>2</v>
      </c>
      <c r="AD1982" s="35"/>
      <c r="AE1982" s="35"/>
      <c r="AF1982" s="35"/>
      <c r="AG1982" s="35"/>
      <c r="AH1982" s="35">
        <v>87</v>
      </c>
      <c r="AI1982" s="35"/>
      <c r="AJ1982" s="35"/>
      <c r="AK1982" s="35"/>
      <c r="AL1982" s="35">
        <v>788</v>
      </c>
      <c r="AM1982" s="35"/>
      <c r="AN1982" s="35"/>
      <c r="AO1982" s="35"/>
      <c r="AP1982" s="35">
        <f>1219+13</f>
        <v>1232</v>
      </c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22">
        <f t="shared" si="628"/>
        <v>2107</v>
      </c>
      <c r="BC1982" s="23">
        <v>1985</v>
      </c>
      <c r="BD1982" s="130">
        <f t="shared" si="629"/>
        <v>2108</v>
      </c>
      <c r="BE1982" s="130">
        <f t="shared" si="630"/>
        <v>1987</v>
      </c>
      <c r="BF1982" s="195">
        <f t="shared" si="631"/>
        <v>106.08958228485153</v>
      </c>
      <c r="BG1982" s="373">
        <f t="shared" si="643"/>
        <v>-121</v>
      </c>
    </row>
    <row r="1983" spans="1:59" s="46" customFormat="1" ht="15.95" customHeight="1">
      <c r="A1983" s="176">
        <v>73</v>
      </c>
      <c r="B1983" s="31" t="s">
        <v>1254</v>
      </c>
      <c r="C1983" s="34" t="s">
        <v>4180</v>
      </c>
      <c r="D1983" s="576"/>
      <c r="E1983" s="576"/>
      <c r="F1983" s="576"/>
      <c r="G1983" s="576"/>
      <c r="H1983" s="576"/>
      <c r="I1983" s="576"/>
      <c r="J1983" s="576"/>
      <c r="K1983" s="576"/>
      <c r="L1983" s="576"/>
      <c r="M1983" s="576"/>
      <c r="N1983" s="576"/>
      <c r="O1983" s="576"/>
      <c r="P1983" s="576"/>
      <c r="Q1983" s="576"/>
      <c r="R1983" s="576"/>
      <c r="S1983" s="576"/>
      <c r="T1983" s="576"/>
      <c r="U1983" s="576"/>
      <c r="V1983" s="576"/>
      <c r="W1983" s="576"/>
      <c r="X1983" s="576"/>
      <c r="Y1983" s="576"/>
      <c r="Z1983" s="576"/>
      <c r="AA1983" s="576"/>
      <c r="AB1983" s="22">
        <f t="shared" si="627"/>
        <v>0</v>
      </c>
      <c r="AC1983" s="23">
        <v>0</v>
      </c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>
        <v>2</v>
      </c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22">
        <f t="shared" si="628"/>
        <v>2</v>
      </c>
      <c r="BC1983" s="23">
        <v>0</v>
      </c>
      <c r="BD1983" s="130">
        <f t="shared" ref="BD1983" si="644">AB1983+BB1983</f>
        <v>2</v>
      </c>
      <c r="BE1983" s="130">
        <f t="shared" ref="BE1983" si="645">AC1983+BC1983</f>
        <v>0</v>
      </c>
      <c r="BF1983" s="195" t="e">
        <f t="shared" ref="BF1983" si="646">BD1983/BE1983*100</f>
        <v>#DIV/0!</v>
      </c>
      <c r="BG1983" s="373"/>
    </row>
    <row r="1984" spans="1:59" s="46" customFormat="1" ht="15.95" customHeight="1">
      <c r="A1984" s="176">
        <v>74</v>
      </c>
      <c r="B1984" s="31" t="s">
        <v>1989</v>
      </c>
      <c r="C1984" s="34" t="s">
        <v>2030</v>
      </c>
      <c r="D1984" s="552"/>
      <c r="E1984" s="552"/>
      <c r="F1984" s="552"/>
      <c r="G1984" s="552"/>
      <c r="H1984" s="552"/>
      <c r="I1984" s="552"/>
      <c r="J1984" s="552"/>
      <c r="K1984" s="552"/>
      <c r="L1984" s="552"/>
      <c r="M1984" s="552"/>
      <c r="N1984" s="552"/>
      <c r="O1984" s="552"/>
      <c r="P1984" s="552"/>
      <c r="Q1984" s="552"/>
      <c r="R1984" s="552"/>
      <c r="S1984" s="552"/>
      <c r="T1984" s="552"/>
      <c r="U1984" s="552"/>
      <c r="V1984" s="552"/>
      <c r="W1984" s="552"/>
      <c r="X1984" s="552"/>
      <c r="Y1984" s="552"/>
      <c r="Z1984" s="552"/>
      <c r="AA1984" s="552"/>
      <c r="AB1984" s="22">
        <f t="shared" ref="AB1984:AB2005" si="647">SUM(D1984:AA1984)</f>
        <v>0</v>
      </c>
      <c r="AC1984" s="23">
        <v>0</v>
      </c>
      <c r="AD1984" s="35"/>
      <c r="AE1984" s="35"/>
      <c r="AF1984" s="35"/>
      <c r="AG1984" s="35"/>
      <c r="AH1984" s="35"/>
      <c r="AI1984" s="35"/>
      <c r="AJ1984" s="35"/>
      <c r="AK1984" s="35"/>
      <c r="AL1984" s="35">
        <v>1</v>
      </c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22">
        <f t="shared" ref="BB1984:BB2005" si="648">SUM(AD1984:BA1984)</f>
        <v>1</v>
      </c>
      <c r="BC1984" s="23">
        <v>0</v>
      </c>
      <c r="BD1984" s="130">
        <f t="shared" ref="BD1984:BD2005" si="649">AB1984+BB1984</f>
        <v>1</v>
      </c>
      <c r="BE1984" s="130">
        <f t="shared" ref="BE1984:BE2005" si="650">AC1984+BC1984</f>
        <v>0</v>
      </c>
      <c r="BF1984" s="195" t="e">
        <f t="shared" ref="BF1984:BF2005" si="651">BD1984/BE1984*100</f>
        <v>#DIV/0!</v>
      </c>
      <c r="BG1984" s="373"/>
    </row>
    <row r="1985" spans="1:59" s="46" customFormat="1" ht="15.95" customHeight="1">
      <c r="A1985" s="176">
        <v>75</v>
      </c>
      <c r="B1985" s="31" t="s">
        <v>864</v>
      </c>
      <c r="C1985" s="34" t="s">
        <v>2031</v>
      </c>
      <c r="D1985" s="289"/>
      <c r="E1985" s="289"/>
      <c r="F1985" s="289"/>
      <c r="G1985" s="289"/>
      <c r="H1985" s="289"/>
      <c r="I1985" s="289"/>
      <c r="J1985" s="289"/>
      <c r="K1985" s="289"/>
      <c r="L1985" s="289"/>
      <c r="M1985" s="289"/>
      <c r="N1985" s="289"/>
      <c r="O1985" s="289"/>
      <c r="P1985" s="289"/>
      <c r="Q1985" s="289"/>
      <c r="R1985" s="289"/>
      <c r="S1985" s="289"/>
      <c r="T1985" s="289"/>
      <c r="U1985" s="289"/>
      <c r="V1985" s="289"/>
      <c r="W1985" s="289"/>
      <c r="X1985" s="289"/>
      <c r="Y1985" s="289"/>
      <c r="Z1985" s="289"/>
      <c r="AA1985" s="289"/>
      <c r="AB1985" s="22">
        <f t="shared" si="647"/>
        <v>0</v>
      </c>
      <c r="AC1985" s="23">
        <v>0</v>
      </c>
      <c r="AD1985" s="35"/>
      <c r="AE1985" s="35"/>
      <c r="AF1985" s="35"/>
      <c r="AG1985" s="35"/>
      <c r="AH1985" s="35">
        <v>63</v>
      </c>
      <c r="AI1985" s="35"/>
      <c r="AJ1985" s="35"/>
      <c r="AK1985" s="35"/>
      <c r="AL1985" s="35">
        <v>309</v>
      </c>
      <c r="AM1985" s="35"/>
      <c r="AN1985" s="35"/>
      <c r="AO1985" s="35"/>
      <c r="AP1985" s="35">
        <v>435</v>
      </c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22">
        <f t="shared" si="648"/>
        <v>807</v>
      </c>
      <c r="BC1985" s="23">
        <v>874</v>
      </c>
      <c r="BD1985" s="130">
        <f t="shared" si="649"/>
        <v>807</v>
      </c>
      <c r="BE1985" s="130">
        <f t="shared" si="650"/>
        <v>874</v>
      </c>
      <c r="BF1985" s="195">
        <f t="shared" si="651"/>
        <v>92.33409610983982</v>
      </c>
      <c r="BG1985" s="373">
        <f>BE1985-BD1985</f>
        <v>67</v>
      </c>
    </row>
    <row r="1986" spans="1:59" s="46" customFormat="1" ht="15.95" customHeight="1">
      <c r="A1986" s="176">
        <v>76</v>
      </c>
      <c r="B1986" s="31" t="s">
        <v>1979</v>
      </c>
      <c r="C1986" s="34" t="s">
        <v>4008</v>
      </c>
      <c r="D1986" s="552"/>
      <c r="E1986" s="552"/>
      <c r="F1986" s="552"/>
      <c r="G1986" s="552"/>
      <c r="H1986" s="552"/>
      <c r="I1986" s="552"/>
      <c r="J1986" s="552"/>
      <c r="K1986" s="552"/>
      <c r="L1986" s="552"/>
      <c r="M1986" s="552"/>
      <c r="N1986" s="552"/>
      <c r="O1986" s="552"/>
      <c r="P1986" s="552"/>
      <c r="Q1986" s="552"/>
      <c r="R1986" s="552"/>
      <c r="S1986" s="552"/>
      <c r="T1986" s="552"/>
      <c r="U1986" s="552"/>
      <c r="V1986" s="552"/>
      <c r="W1986" s="552"/>
      <c r="X1986" s="552"/>
      <c r="Y1986" s="552"/>
      <c r="Z1986" s="552"/>
      <c r="AA1986" s="552"/>
      <c r="AB1986" s="22">
        <f t="shared" si="647"/>
        <v>0</v>
      </c>
      <c r="AC1986" s="23">
        <v>0</v>
      </c>
      <c r="AD1986" s="35"/>
      <c r="AE1986" s="35"/>
      <c r="AF1986" s="35"/>
      <c r="AG1986" s="35"/>
      <c r="AH1986" s="35"/>
      <c r="AI1986" s="35"/>
      <c r="AJ1986" s="35"/>
      <c r="AK1986" s="35"/>
      <c r="AL1986" s="35">
        <v>1</v>
      </c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22">
        <f t="shared" si="648"/>
        <v>1</v>
      </c>
      <c r="BC1986" s="23">
        <v>0</v>
      </c>
      <c r="BD1986" s="130">
        <f t="shared" si="649"/>
        <v>1</v>
      </c>
      <c r="BE1986" s="130">
        <f t="shared" si="650"/>
        <v>0</v>
      </c>
      <c r="BF1986" s="195" t="e">
        <f t="shared" si="651"/>
        <v>#DIV/0!</v>
      </c>
      <c r="BG1986" s="373"/>
    </row>
    <row r="1987" spans="1:59" s="46" customFormat="1" ht="15.95" customHeight="1">
      <c r="A1987" s="176">
        <v>77</v>
      </c>
      <c r="B1987" s="31" t="s">
        <v>865</v>
      </c>
      <c r="C1987" s="34" t="s">
        <v>2028</v>
      </c>
      <c r="D1987" s="231"/>
      <c r="E1987" s="231"/>
      <c r="F1987" s="231"/>
      <c r="G1987" s="231"/>
      <c r="H1987" s="231"/>
      <c r="I1987" s="231"/>
      <c r="J1987" s="231"/>
      <c r="K1987" s="231"/>
      <c r="L1987" s="231">
        <v>3</v>
      </c>
      <c r="M1987" s="231"/>
      <c r="N1987" s="231"/>
      <c r="O1987" s="231"/>
      <c r="P1987" s="231">
        <v>2</v>
      </c>
      <c r="Q1987" s="231"/>
      <c r="R1987" s="231"/>
      <c r="S1987" s="231"/>
      <c r="T1987" s="231"/>
      <c r="U1987" s="231"/>
      <c r="V1987" s="231"/>
      <c r="W1987" s="231"/>
      <c r="X1987" s="231"/>
      <c r="Y1987" s="231"/>
      <c r="Z1987" s="231"/>
      <c r="AA1987" s="231"/>
      <c r="AB1987" s="22">
        <f t="shared" si="647"/>
        <v>5</v>
      </c>
      <c r="AC1987" s="23">
        <v>1</v>
      </c>
      <c r="AD1987" s="35"/>
      <c r="AE1987" s="35"/>
      <c r="AF1987" s="35"/>
      <c r="AG1987" s="35"/>
      <c r="AH1987" s="35">
        <v>2</v>
      </c>
      <c r="AI1987" s="35"/>
      <c r="AJ1987" s="35"/>
      <c r="AK1987" s="35"/>
      <c r="AL1987" s="35">
        <v>8</v>
      </c>
      <c r="AM1987" s="35"/>
      <c r="AN1987" s="35"/>
      <c r="AO1987" s="35"/>
      <c r="AP1987" s="35">
        <v>2</v>
      </c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22">
        <f t="shared" si="648"/>
        <v>12</v>
      </c>
      <c r="BC1987" s="23">
        <v>25</v>
      </c>
      <c r="BD1987" s="130">
        <f t="shared" si="649"/>
        <v>17</v>
      </c>
      <c r="BE1987" s="130">
        <f t="shared" si="650"/>
        <v>26</v>
      </c>
      <c r="BF1987" s="195">
        <f t="shared" si="651"/>
        <v>65.384615384615387</v>
      </c>
      <c r="BG1987" s="373">
        <f>BE1987-BD1987</f>
        <v>9</v>
      </c>
    </row>
    <row r="1988" spans="1:59" s="46" customFormat="1" ht="15.95" customHeight="1">
      <c r="A1988" s="176">
        <v>78</v>
      </c>
      <c r="B1988" s="31" t="s">
        <v>3568</v>
      </c>
      <c r="C1988" s="34" t="s">
        <v>4009</v>
      </c>
      <c r="D1988" s="552"/>
      <c r="E1988" s="552"/>
      <c r="F1988" s="552"/>
      <c r="G1988" s="552"/>
      <c r="H1988" s="552"/>
      <c r="I1988" s="552"/>
      <c r="J1988" s="552"/>
      <c r="K1988" s="552"/>
      <c r="L1988" s="552"/>
      <c r="M1988" s="552"/>
      <c r="N1988" s="552"/>
      <c r="O1988" s="552"/>
      <c r="P1988" s="552"/>
      <c r="Q1988" s="552"/>
      <c r="R1988" s="552"/>
      <c r="S1988" s="552"/>
      <c r="T1988" s="552"/>
      <c r="U1988" s="552"/>
      <c r="V1988" s="552"/>
      <c r="W1988" s="552"/>
      <c r="X1988" s="552"/>
      <c r="Y1988" s="552"/>
      <c r="Z1988" s="552"/>
      <c r="AA1988" s="552"/>
      <c r="AB1988" s="22">
        <f t="shared" si="647"/>
        <v>0</v>
      </c>
      <c r="AC1988" s="23">
        <v>0</v>
      </c>
      <c r="AD1988" s="35"/>
      <c r="AE1988" s="35"/>
      <c r="AF1988" s="35"/>
      <c r="AG1988" s="35"/>
      <c r="AH1988" s="35"/>
      <c r="AI1988" s="35"/>
      <c r="AJ1988" s="35"/>
      <c r="AK1988" s="35"/>
      <c r="AL1988" s="35">
        <v>1</v>
      </c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22">
        <f t="shared" si="648"/>
        <v>1</v>
      </c>
      <c r="BC1988" s="23">
        <v>0</v>
      </c>
      <c r="BD1988" s="130">
        <f t="shared" si="649"/>
        <v>1</v>
      </c>
      <c r="BE1988" s="130">
        <f t="shared" si="650"/>
        <v>0</v>
      </c>
      <c r="BF1988" s="195" t="e">
        <f t="shared" si="651"/>
        <v>#DIV/0!</v>
      </c>
      <c r="BG1988" s="373"/>
    </row>
    <row r="1989" spans="1:59" s="46" customFormat="1" ht="15.95" customHeight="1">
      <c r="A1989" s="176">
        <v>79</v>
      </c>
      <c r="B1989" s="31" t="s">
        <v>3823</v>
      </c>
      <c r="C1989" s="34" t="s">
        <v>3824</v>
      </c>
      <c r="D1989" s="526"/>
      <c r="E1989" s="526"/>
      <c r="F1989" s="526"/>
      <c r="G1989" s="526"/>
      <c r="H1989" s="526"/>
      <c r="I1989" s="526"/>
      <c r="J1989" s="526"/>
      <c r="K1989" s="526"/>
      <c r="L1989" s="526"/>
      <c r="M1989" s="526"/>
      <c r="N1989" s="526"/>
      <c r="O1989" s="526"/>
      <c r="P1989" s="526"/>
      <c r="Q1989" s="526"/>
      <c r="R1989" s="526"/>
      <c r="S1989" s="526"/>
      <c r="T1989" s="526"/>
      <c r="U1989" s="526"/>
      <c r="V1989" s="526"/>
      <c r="W1989" s="526"/>
      <c r="X1989" s="526"/>
      <c r="Y1989" s="526"/>
      <c r="Z1989" s="526"/>
      <c r="AA1989" s="526"/>
      <c r="AB1989" s="22">
        <f t="shared" si="647"/>
        <v>0</v>
      </c>
      <c r="AC1989" s="23">
        <v>0</v>
      </c>
      <c r="AD1989" s="35"/>
      <c r="AE1989" s="35"/>
      <c r="AF1989" s="35"/>
      <c r="AG1989" s="35"/>
      <c r="AH1989" s="35">
        <v>8</v>
      </c>
      <c r="AI1989" s="35"/>
      <c r="AJ1989" s="35"/>
      <c r="AK1989" s="35"/>
      <c r="AL1989" s="35">
        <v>2</v>
      </c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22">
        <f t="shared" si="648"/>
        <v>10</v>
      </c>
      <c r="BC1989" s="23">
        <v>0</v>
      </c>
      <c r="BD1989" s="130">
        <f t="shared" si="649"/>
        <v>10</v>
      </c>
      <c r="BE1989" s="130">
        <f t="shared" si="650"/>
        <v>0</v>
      </c>
      <c r="BF1989" s="195" t="e">
        <f t="shared" si="651"/>
        <v>#DIV/0!</v>
      </c>
      <c r="BG1989" s="373"/>
    </row>
    <row r="1990" spans="1:59" s="46" customFormat="1" ht="15.95" customHeight="1">
      <c r="A1990" s="176">
        <v>80</v>
      </c>
      <c r="B1990" s="31" t="s">
        <v>1027</v>
      </c>
      <c r="C1990" s="32" t="s">
        <v>3180</v>
      </c>
      <c r="D1990" s="231"/>
      <c r="E1990" s="231"/>
      <c r="F1990" s="231"/>
      <c r="G1990" s="231"/>
      <c r="H1990" s="231"/>
      <c r="I1990" s="231"/>
      <c r="J1990" s="231"/>
      <c r="K1990" s="231"/>
      <c r="L1990" s="231"/>
      <c r="M1990" s="231"/>
      <c r="N1990" s="231"/>
      <c r="O1990" s="231"/>
      <c r="P1990" s="231"/>
      <c r="Q1990" s="231"/>
      <c r="R1990" s="231"/>
      <c r="S1990" s="231"/>
      <c r="T1990" s="231"/>
      <c r="U1990" s="231"/>
      <c r="V1990" s="231"/>
      <c r="W1990" s="231"/>
      <c r="X1990" s="231"/>
      <c r="Y1990" s="231"/>
      <c r="Z1990" s="231"/>
      <c r="AA1990" s="231"/>
      <c r="AB1990" s="22">
        <f t="shared" si="647"/>
        <v>0</v>
      </c>
      <c r="AC1990" s="23">
        <v>0</v>
      </c>
      <c r="AD1990" s="35"/>
      <c r="AE1990" s="35"/>
      <c r="AF1990" s="35"/>
      <c r="AG1990" s="35"/>
      <c r="AH1990" s="35">
        <v>36</v>
      </c>
      <c r="AI1990" s="35"/>
      <c r="AJ1990" s="35"/>
      <c r="AK1990" s="35"/>
      <c r="AL1990" s="35">
        <v>20</v>
      </c>
      <c r="AM1990" s="35"/>
      <c r="AN1990" s="35"/>
      <c r="AO1990" s="35"/>
      <c r="AP1990" s="35">
        <v>26</v>
      </c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22">
        <f t="shared" si="648"/>
        <v>82</v>
      </c>
      <c r="BC1990" s="23">
        <v>30</v>
      </c>
      <c r="BD1990" s="130">
        <f t="shared" si="649"/>
        <v>82</v>
      </c>
      <c r="BE1990" s="130">
        <f t="shared" si="650"/>
        <v>30</v>
      </c>
      <c r="BF1990" s="195">
        <f t="shared" si="651"/>
        <v>273.33333333333331</v>
      </c>
      <c r="BG1990" s="373">
        <f>BE1990-BD1990</f>
        <v>-52</v>
      </c>
    </row>
    <row r="1991" spans="1:59" s="46" customFormat="1" ht="15.95" customHeight="1">
      <c r="A1991" s="176">
        <v>81</v>
      </c>
      <c r="B1991" s="31" t="s">
        <v>2578</v>
      </c>
      <c r="C1991" s="32" t="s">
        <v>4010</v>
      </c>
      <c r="D1991" s="552"/>
      <c r="E1991" s="552"/>
      <c r="F1991" s="552"/>
      <c r="G1991" s="552"/>
      <c r="H1991" s="552"/>
      <c r="I1991" s="552"/>
      <c r="J1991" s="552"/>
      <c r="K1991" s="552"/>
      <c r="L1991" s="552"/>
      <c r="M1991" s="552"/>
      <c r="N1991" s="552"/>
      <c r="O1991" s="552"/>
      <c r="P1991" s="552"/>
      <c r="Q1991" s="552"/>
      <c r="R1991" s="552"/>
      <c r="S1991" s="552"/>
      <c r="T1991" s="552"/>
      <c r="U1991" s="552"/>
      <c r="V1991" s="552"/>
      <c r="W1991" s="552"/>
      <c r="X1991" s="552"/>
      <c r="Y1991" s="552"/>
      <c r="Z1991" s="552"/>
      <c r="AA1991" s="552"/>
      <c r="AB1991" s="22">
        <f t="shared" si="647"/>
        <v>0</v>
      </c>
      <c r="AC1991" s="23">
        <v>0</v>
      </c>
      <c r="AD1991" s="35"/>
      <c r="AE1991" s="35"/>
      <c r="AF1991" s="35"/>
      <c r="AG1991" s="35"/>
      <c r="AH1991" s="35"/>
      <c r="AI1991" s="35"/>
      <c r="AJ1991" s="35"/>
      <c r="AK1991" s="35"/>
      <c r="AL1991" s="35">
        <v>5</v>
      </c>
      <c r="AM1991" s="35"/>
      <c r="AN1991" s="35"/>
      <c r="AO1991" s="35"/>
      <c r="AP1991" s="35">
        <v>12</v>
      </c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22">
        <f t="shared" si="648"/>
        <v>17</v>
      </c>
      <c r="BC1991" s="23">
        <v>0</v>
      </c>
      <c r="BD1991" s="130">
        <f t="shared" si="649"/>
        <v>17</v>
      </c>
      <c r="BE1991" s="130">
        <f t="shared" si="650"/>
        <v>0</v>
      </c>
      <c r="BF1991" s="195" t="e">
        <f t="shared" si="651"/>
        <v>#DIV/0!</v>
      </c>
      <c r="BG1991" s="373"/>
    </row>
    <row r="1992" spans="1:59" s="46" customFormat="1" ht="15.95" customHeight="1">
      <c r="A1992" s="176">
        <v>82</v>
      </c>
      <c r="B1992" s="31" t="s">
        <v>1650</v>
      </c>
      <c r="C1992" s="32" t="s">
        <v>4181</v>
      </c>
      <c r="D1992" s="576"/>
      <c r="E1992" s="576"/>
      <c r="F1992" s="576"/>
      <c r="G1992" s="576"/>
      <c r="H1992" s="576"/>
      <c r="I1992" s="576"/>
      <c r="J1992" s="576"/>
      <c r="K1992" s="576"/>
      <c r="L1992" s="576"/>
      <c r="M1992" s="576"/>
      <c r="N1992" s="576"/>
      <c r="O1992" s="576"/>
      <c r="P1992" s="576"/>
      <c r="Q1992" s="576"/>
      <c r="R1992" s="576"/>
      <c r="S1992" s="576"/>
      <c r="T1992" s="576"/>
      <c r="U1992" s="576"/>
      <c r="V1992" s="576"/>
      <c r="W1992" s="576"/>
      <c r="X1992" s="576"/>
      <c r="Y1992" s="576"/>
      <c r="Z1992" s="576"/>
      <c r="AA1992" s="576"/>
      <c r="AB1992" s="22">
        <f t="shared" si="647"/>
        <v>0</v>
      </c>
      <c r="AC1992" s="23">
        <v>0</v>
      </c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>
        <v>2</v>
      </c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22">
        <f t="shared" si="648"/>
        <v>2</v>
      </c>
      <c r="BC1992" s="23">
        <v>0</v>
      </c>
      <c r="BD1992" s="130">
        <f t="shared" ref="BD1992" si="652">AB1992+BB1992</f>
        <v>2</v>
      </c>
      <c r="BE1992" s="130">
        <f t="shared" ref="BE1992" si="653">AC1992+BC1992</f>
        <v>0</v>
      </c>
      <c r="BF1992" s="195" t="e">
        <f t="shared" ref="BF1992" si="654">BD1992/BE1992*100</f>
        <v>#DIV/0!</v>
      </c>
      <c r="BG1992" s="373"/>
    </row>
    <row r="1993" spans="1:59" s="46" customFormat="1" ht="15.95" customHeight="1">
      <c r="A1993" s="176">
        <v>83</v>
      </c>
      <c r="B1993" s="31" t="s">
        <v>1028</v>
      </c>
      <c r="C1993" s="32" t="s">
        <v>2214</v>
      </c>
      <c r="D1993" s="231"/>
      <c r="E1993" s="231"/>
      <c r="F1993" s="231"/>
      <c r="G1993" s="231"/>
      <c r="H1993" s="231"/>
      <c r="I1993" s="231"/>
      <c r="J1993" s="231"/>
      <c r="K1993" s="231"/>
      <c r="L1993" s="231"/>
      <c r="M1993" s="231"/>
      <c r="N1993" s="231"/>
      <c r="O1993" s="231"/>
      <c r="P1993" s="231"/>
      <c r="Q1993" s="231"/>
      <c r="R1993" s="231"/>
      <c r="S1993" s="231"/>
      <c r="T1993" s="231"/>
      <c r="U1993" s="231"/>
      <c r="V1993" s="231"/>
      <c r="W1993" s="231"/>
      <c r="X1993" s="231"/>
      <c r="Y1993" s="231"/>
      <c r="Z1993" s="231"/>
      <c r="AA1993" s="231"/>
      <c r="AB1993" s="22">
        <f t="shared" si="647"/>
        <v>0</v>
      </c>
      <c r="AC1993" s="23">
        <v>0</v>
      </c>
      <c r="AD1993" s="35"/>
      <c r="AE1993" s="35"/>
      <c r="AF1993" s="35"/>
      <c r="AG1993" s="35"/>
      <c r="AH1993" s="35">
        <v>171</v>
      </c>
      <c r="AI1993" s="35"/>
      <c r="AJ1993" s="35"/>
      <c r="AK1993" s="35"/>
      <c r="AL1993" s="35">
        <v>552</v>
      </c>
      <c r="AM1993" s="35"/>
      <c r="AN1993" s="35"/>
      <c r="AO1993" s="35"/>
      <c r="AP1993" s="35">
        <f>707+2</f>
        <v>709</v>
      </c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22">
        <f t="shared" si="648"/>
        <v>1432</v>
      </c>
      <c r="BC1993" s="23">
        <v>1574</v>
      </c>
      <c r="BD1993" s="130">
        <f t="shared" si="649"/>
        <v>1432</v>
      </c>
      <c r="BE1993" s="130">
        <f t="shared" si="650"/>
        <v>1574</v>
      </c>
      <c r="BF1993" s="195">
        <f t="shared" si="651"/>
        <v>90.978398983481583</v>
      </c>
      <c r="BG1993" s="373">
        <f>BE1993-BD1993</f>
        <v>142</v>
      </c>
    </row>
    <row r="1994" spans="1:59" s="46" customFormat="1" ht="18.75" customHeight="1">
      <c r="A1994" s="176">
        <v>84</v>
      </c>
      <c r="B1994" s="31" t="s">
        <v>922</v>
      </c>
      <c r="C1994" s="34" t="s">
        <v>2013</v>
      </c>
      <c r="D1994" s="231"/>
      <c r="E1994" s="231"/>
      <c r="F1994" s="231"/>
      <c r="G1994" s="231"/>
      <c r="H1994" s="231"/>
      <c r="I1994" s="231"/>
      <c r="J1994" s="231"/>
      <c r="K1994" s="231"/>
      <c r="L1994" s="231"/>
      <c r="M1994" s="231"/>
      <c r="N1994" s="231"/>
      <c r="O1994" s="231"/>
      <c r="P1994" s="231"/>
      <c r="Q1994" s="231"/>
      <c r="R1994" s="231"/>
      <c r="S1994" s="231"/>
      <c r="T1994" s="231"/>
      <c r="U1994" s="231"/>
      <c r="V1994" s="231"/>
      <c r="W1994" s="231"/>
      <c r="X1994" s="231"/>
      <c r="Y1994" s="231"/>
      <c r="Z1994" s="231"/>
      <c r="AA1994" s="231"/>
      <c r="AB1994" s="22">
        <f t="shared" si="647"/>
        <v>0</v>
      </c>
      <c r="AC1994" s="23">
        <v>0</v>
      </c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22">
        <f t="shared" si="648"/>
        <v>0</v>
      </c>
      <c r="BC1994" s="23">
        <v>1</v>
      </c>
      <c r="BD1994" s="130">
        <f t="shared" si="649"/>
        <v>0</v>
      </c>
      <c r="BE1994" s="130">
        <f t="shared" si="650"/>
        <v>1</v>
      </c>
      <c r="BF1994" s="195">
        <f t="shared" si="651"/>
        <v>0</v>
      </c>
      <c r="BG1994" s="373">
        <f>BE1994-BD1994</f>
        <v>1</v>
      </c>
    </row>
    <row r="1995" spans="1:59" s="46" customFormat="1" ht="15.95" customHeight="1">
      <c r="A1995" s="176">
        <v>85</v>
      </c>
      <c r="B1995" s="31" t="s">
        <v>1029</v>
      </c>
      <c r="C1995" s="32" t="s">
        <v>1652</v>
      </c>
      <c r="D1995" s="231"/>
      <c r="E1995" s="231"/>
      <c r="F1995" s="231"/>
      <c r="G1995" s="231"/>
      <c r="H1995" s="231"/>
      <c r="I1995" s="231"/>
      <c r="J1995" s="231"/>
      <c r="K1995" s="231"/>
      <c r="L1995" s="231"/>
      <c r="M1995" s="231"/>
      <c r="N1995" s="231"/>
      <c r="O1995" s="231"/>
      <c r="P1995" s="231"/>
      <c r="Q1995" s="231"/>
      <c r="R1995" s="231"/>
      <c r="S1995" s="231"/>
      <c r="T1995" s="231"/>
      <c r="U1995" s="231"/>
      <c r="V1995" s="231"/>
      <c r="W1995" s="231"/>
      <c r="X1995" s="231"/>
      <c r="Y1995" s="231"/>
      <c r="Z1995" s="231"/>
      <c r="AA1995" s="231"/>
      <c r="AB1995" s="22">
        <f t="shared" si="647"/>
        <v>0</v>
      </c>
      <c r="AC1995" s="23">
        <v>0</v>
      </c>
      <c r="AD1995" s="35"/>
      <c r="AE1995" s="35"/>
      <c r="AF1995" s="35"/>
      <c r="AG1995" s="35"/>
      <c r="AH1995" s="35">
        <v>19</v>
      </c>
      <c r="AI1995" s="35"/>
      <c r="AJ1995" s="35"/>
      <c r="AK1995" s="35"/>
      <c r="AL1995" s="35">
        <v>91</v>
      </c>
      <c r="AM1995" s="35"/>
      <c r="AN1995" s="35"/>
      <c r="AO1995" s="35"/>
      <c r="AP1995" s="35">
        <f>26+7</f>
        <v>33</v>
      </c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22">
        <f t="shared" si="648"/>
        <v>143</v>
      </c>
      <c r="BC1995" s="23">
        <v>2</v>
      </c>
      <c r="BD1995" s="130">
        <f t="shared" si="649"/>
        <v>143</v>
      </c>
      <c r="BE1995" s="130">
        <f t="shared" si="650"/>
        <v>2</v>
      </c>
      <c r="BF1995" s="195">
        <f t="shared" si="651"/>
        <v>7150</v>
      </c>
      <c r="BG1995" s="373">
        <f>BE1995-BD1995</f>
        <v>-141</v>
      </c>
    </row>
    <row r="1996" spans="1:59" s="46" customFormat="1" ht="15.95" customHeight="1">
      <c r="A1996" s="176">
        <v>86</v>
      </c>
      <c r="B1996" s="31" t="s">
        <v>1030</v>
      </c>
      <c r="C1996" s="32" t="s">
        <v>3474</v>
      </c>
      <c r="D1996" s="231"/>
      <c r="E1996" s="231"/>
      <c r="F1996" s="231"/>
      <c r="G1996" s="231"/>
      <c r="H1996" s="231"/>
      <c r="I1996" s="231"/>
      <c r="J1996" s="231"/>
      <c r="K1996" s="231"/>
      <c r="L1996" s="231"/>
      <c r="M1996" s="231"/>
      <c r="N1996" s="231"/>
      <c r="O1996" s="231"/>
      <c r="P1996" s="231"/>
      <c r="Q1996" s="231"/>
      <c r="R1996" s="231"/>
      <c r="S1996" s="231"/>
      <c r="T1996" s="231"/>
      <c r="U1996" s="231"/>
      <c r="V1996" s="231"/>
      <c r="W1996" s="231"/>
      <c r="X1996" s="231"/>
      <c r="Y1996" s="231"/>
      <c r="Z1996" s="231"/>
      <c r="AA1996" s="231"/>
      <c r="AB1996" s="22">
        <f t="shared" si="647"/>
        <v>0</v>
      </c>
      <c r="AC1996" s="23">
        <v>0</v>
      </c>
      <c r="AD1996" s="35"/>
      <c r="AE1996" s="35"/>
      <c r="AF1996" s="35"/>
      <c r="AG1996" s="35"/>
      <c r="AH1996" s="35">
        <v>50</v>
      </c>
      <c r="AI1996" s="35"/>
      <c r="AJ1996" s="35"/>
      <c r="AK1996" s="35"/>
      <c r="AL1996" s="35">
        <v>95</v>
      </c>
      <c r="AM1996" s="35"/>
      <c r="AN1996" s="35"/>
      <c r="AO1996" s="35"/>
      <c r="AP1996" s="35">
        <f>50+3</f>
        <v>53</v>
      </c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22">
        <f t="shared" si="648"/>
        <v>198</v>
      </c>
      <c r="BC1996" s="23">
        <v>291</v>
      </c>
      <c r="BD1996" s="130">
        <f t="shared" si="649"/>
        <v>198</v>
      </c>
      <c r="BE1996" s="130">
        <f t="shared" si="650"/>
        <v>291</v>
      </c>
      <c r="BF1996" s="195">
        <f t="shared" si="651"/>
        <v>68.041237113402062</v>
      </c>
      <c r="BG1996" s="373">
        <f>BE1996-BD1996</f>
        <v>93</v>
      </c>
    </row>
    <row r="1997" spans="1:59" s="46" customFormat="1" ht="15.95" customHeight="1">
      <c r="A1997" s="176">
        <v>87</v>
      </c>
      <c r="B1997" s="31" t="s">
        <v>1032</v>
      </c>
      <c r="C1997" s="32" t="s">
        <v>4011</v>
      </c>
      <c r="D1997" s="552"/>
      <c r="E1997" s="552"/>
      <c r="F1997" s="552"/>
      <c r="G1997" s="552"/>
      <c r="H1997" s="552"/>
      <c r="I1997" s="552"/>
      <c r="J1997" s="552"/>
      <c r="K1997" s="552"/>
      <c r="L1997" s="552"/>
      <c r="M1997" s="552"/>
      <c r="N1997" s="552"/>
      <c r="O1997" s="552"/>
      <c r="P1997" s="552"/>
      <c r="Q1997" s="552"/>
      <c r="R1997" s="552"/>
      <c r="S1997" s="552"/>
      <c r="T1997" s="552"/>
      <c r="U1997" s="552"/>
      <c r="V1997" s="552"/>
      <c r="W1997" s="552"/>
      <c r="X1997" s="552"/>
      <c r="Y1997" s="552"/>
      <c r="Z1997" s="552"/>
      <c r="AA1997" s="552"/>
      <c r="AB1997" s="22">
        <f t="shared" si="647"/>
        <v>0</v>
      </c>
      <c r="AC1997" s="23">
        <v>0</v>
      </c>
      <c r="AD1997" s="35"/>
      <c r="AE1997" s="35"/>
      <c r="AF1997" s="35"/>
      <c r="AG1997" s="35"/>
      <c r="AH1997" s="35"/>
      <c r="AI1997" s="35"/>
      <c r="AJ1997" s="35"/>
      <c r="AK1997" s="35"/>
      <c r="AL1997" s="35">
        <v>15</v>
      </c>
      <c r="AM1997" s="35"/>
      <c r="AN1997" s="35"/>
      <c r="AO1997" s="35"/>
      <c r="AP1997" s="35">
        <v>20</v>
      </c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22">
        <f t="shared" si="648"/>
        <v>35</v>
      </c>
      <c r="BC1997" s="23">
        <v>0</v>
      </c>
      <c r="BD1997" s="130">
        <f t="shared" si="649"/>
        <v>35</v>
      </c>
      <c r="BE1997" s="130">
        <f t="shared" si="650"/>
        <v>0</v>
      </c>
      <c r="BF1997" s="195" t="e">
        <f t="shared" si="651"/>
        <v>#DIV/0!</v>
      </c>
      <c r="BG1997" s="373"/>
    </row>
    <row r="1998" spans="1:59" s="46" customFormat="1" ht="15.95" customHeight="1">
      <c r="A1998" s="176">
        <v>88</v>
      </c>
      <c r="B1998" s="31" t="s">
        <v>1654</v>
      </c>
      <c r="C1998" s="34" t="s">
        <v>1983</v>
      </c>
      <c r="D1998" s="231"/>
      <c r="E1998" s="231"/>
      <c r="F1998" s="231"/>
      <c r="G1998" s="231"/>
      <c r="H1998" s="231"/>
      <c r="I1998" s="231"/>
      <c r="J1998" s="231"/>
      <c r="K1998" s="231"/>
      <c r="L1998" s="231"/>
      <c r="M1998" s="231"/>
      <c r="N1998" s="231"/>
      <c r="O1998" s="231"/>
      <c r="P1998" s="231"/>
      <c r="Q1998" s="231"/>
      <c r="R1998" s="231"/>
      <c r="S1998" s="231"/>
      <c r="T1998" s="231"/>
      <c r="U1998" s="231"/>
      <c r="V1998" s="231"/>
      <c r="W1998" s="231"/>
      <c r="X1998" s="231"/>
      <c r="Y1998" s="231"/>
      <c r="Z1998" s="231"/>
      <c r="AA1998" s="231"/>
      <c r="AB1998" s="22">
        <f t="shared" si="647"/>
        <v>0</v>
      </c>
      <c r="AC1998" s="23">
        <v>0</v>
      </c>
      <c r="AD1998" s="35"/>
      <c r="AE1998" s="35"/>
      <c r="AF1998" s="35"/>
      <c r="AG1998" s="35"/>
      <c r="AH1998" s="35">
        <v>5</v>
      </c>
      <c r="AI1998" s="35"/>
      <c r="AJ1998" s="35"/>
      <c r="AK1998" s="35"/>
      <c r="AL1998" s="35">
        <v>104</v>
      </c>
      <c r="AM1998" s="35"/>
      <c r="AN1998" s="35"/>
      <c r="AO1998" s="35"/>
      <c r="AP1998" s="35">
        <v>48</v>
      </c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22">
        <f t="shared" si="648"/>
        <v>157</v>
      </c>
      <c r="BC1998" s="23">
        <v>1</v>
      </c>
      <c r="BD1998" s="130">
        <f t="shared" si="649"/>
        <v>157</v>
      </c>
      <c r="BE1998" s="130">
        <f t="shared" si="650"/>
        <v>1</v>
      </c>
      <c r="BF1998" s="195">
        <f t="shared" si="651"/>
        <v>15700</v>
      </c>
      <c r="BG1998" s="373">
        <f t="shared" ref="BG1998:BG2005" si="655">BE1998-BD1998</f>
        <v>-156</v>
      </c>
    </row>
    <row r="1999" spans="1:59" s="46" customFormat="1" ht="15.95" customHeight="1">
      <c r="A1999" s="176">
        <v>89</v>
      </c>
      <c r="B1999" s="31" t="s">
        <v>1034</v>
      </c>
      <c r="C1999" s="34" t="s">
        <v>1660</v>
      </c>
      <c r="D1999" s="231"/>
      <c r="E1999" s="231"/>
      <c r="F1999" s="231"/>
      <c r="G1999" s="231"/>
      <c r="H1999" s="231">
        <v>20</v>
      </c>
      <c r="I1999" s="231"/>
      <c r="J1999" s="231"/>
      <c r="K1999" s="231"/>
      <c r="L1999" s="231">
        <v>86</v>
      </c>
      <c r="M1999" s="231"/>
      <c r="N1999" s="231"/>
      <c r="O1999" s="231"/>
      <c r="P1999" s="231">
        <v>104</v>
      </c>
      <c r="Q1999" s="231"/>
      <c r="R1999" s="231"/>
      <c r="S1999" s="231"/>
      <c r="T1999" s="231"/>
      <c r="U1999" s="231"/>
      <c r="V1999" s="231"/>
      <c r="W1999" s="231"/>
      <c r="X1999" s="231"/>
      <c r="Y1999" s="231"/>
      <c r="Z1999" s="231"/>
      <c r="AA1999" s="231"/>
      <c r="AB1999" s="22">
        <f t="shared" si="647"/>
        <v>210</v>
      </c>
      <c r="AC1999" s="23">
        <v>385</v>
      </c>
      <c r="AD1999" s="35"/>
      <c r="AE1999" s="35"/>
      <c r="AF1999" s="35"/>
      <c r="AG1999" s="35"/>
      <c r="AH1999" s="35">
        <v>815</v>
      </c>
      <c r="AI1999" s="35"/>
      <c r="AJ1999" s="35"/>
      <c r="AK1999" s="35"/>
      <c r="AL1999" s="35">
        <f>13+2979</f>
        <v>2992</v>
      </c>
      <c r="AM1999" s="35"/>
      <c r="AN1999" s="35"/>
      <c r="AO1999" s="35"/>
      <c r="AP1999" s="35">
        <f>2904+72</f>
        <v>2976</v>
      </c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22">
        <f t="shared" si="648"/>
        <v>6783</v>
      </c>
      <c r="BC1999" s="23">
        <v>3865</v>
      </c>
      <c r="BD1999" s="130">
        <f t="shared" si="649"/>
        <v>6993</v>
      </c>
      <c r="BE1999" s="130">
        <f t="shared" si="650"/>
        <v>4250</v>
      </c>
      <c r="BF1999" s="195">
        <f t="shared" si="651"/>
        <v>164.54117647058823</v>
      </c>
      <c r="BG1999" s="373">
        <f t="shared" si="655"/>
        <v>-2743</v>
      </c>
    </row>
    <row r="2000" spans="1:59" s="46" customFormat="1" ht="15.95" customHeight="1">
      <c r="A2000" s="176">
        <v>90</v>
      </c>
      <c r="B2000" s="31" t="s">
        <v>4182</v>
      </c>
      <c r="C2000" s="34" t="s">
        <v>978</v>
      </c>
      <c r="D2000" s="576"/>
      <c r="E2000" s="576"/>
      <c r="F2000" s="576"/>
      <c r="G2000" s="576"/>
      <c r="H2000" s="576"/>
      <c r="I2000" s="576"/>
      <c r="J2000" s="576"/>
      <c r="K2000" s="576"/>
      <c r="L2000" s="576"/>
      <c r="M2000" s="576"/>
      <c r="N2000" s="576"/>
      <c r="O2000" s="576"/>
      <c r="P2000" s="576"/>
      <c r="Q2000" s="576"/>
      <c r="R2000" s="576"/>
      <c r="S2000" s="576"/>
      <c r="T2000" s="576"/>
      <c r="U2000" s="576"/>
      <c r="V2000" s="576"/>
      <c r="W2000" s="576"/>
      <c r="X2000" s="576"/>
      <c r="Y2000" s="576"/>
      <c r="Z2000" s="576"/>
      <c r="AA2000" s="576"/>
      <c r="AB2000" s="22">
        <f t="shared" si="647"/>
        <v>0</v>
      </c>
      <c r="AC2000" s="23">
        <v>0</v>
      </c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>
        <v>17</v>
      </c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22">
        <f t="shared" si="648"/>
        <v>17</v>
      </c>
      <c r="BC2000" s="23">
        <v>0</v>
      </c>
      <c r="BD2000" s="130">
        <f t="shared" ref="BD2000" si="656">AB2000+BB2000</f>
        <v>17</v>
      </c>
      <c r="BE2000" s="130">
        <f t="shared" ref="BE2000" si="657">AC2000+BC2000</f>
        <v>0</v>
      </c>
      <c r="BF2000" s="195" t="e">
        <f t="shared" ref="BF2000" si="658">BD2000/BE2000*100</f>
        <v>#DIV/0!</v>
      </c>
      <c r="BG2000" s="373"/>
    </row>
    <row r="2001" spans="1:61" s="46" customFormat="1" ht="15.95" customHeight="1">
      <c r="A2001" s="176">
        <v>91</v>
      </c>
      <c r="B2001" s="31" t="s">
        <v>1361</v>
      </c>
      <c r="C2001" s="32" t="s">
        <v>1362</v>
      </c>
      <c r="D2001" s="231"/>
      <c r="E2001" s="231"/>
      <c r="F2001" s="231"/>
      <c r="G2001" s="231"/>
      <c r="H2001" s="231"/>
      <c r="I2001" s="231"/>
      <c r="J2001" s="231"/>
      <c r="K2001" s="231"/>
      <c r="L2001" s="231"/>
      <c r="M2001" s="231"/>
      <c r="N2001" s="231"/>
      <c r="O2001" s="231"/>
      <c r="P2001" s="231"/>
      <c r="Q2001" s="231"/>
      <c r="R2001" s="231"/>
      <c r="S2001" s="231"/>
      <c r="T2001" s="231"/>
      <c r="U2001" s="231"/>
      <c r="V2001" s="231"/>
      <c r="W2001" s="231"/>
      <c r="X2001" s="231"/>
      <c r="Y2001" s="231"/>
      <c r="Z2001" s="231"/>
      <c r="AA2001" s="231"/>
      <c r="AB2001" s="22">
        <f t="shared" si="647"/>
        <v>0</v>
      </c>
      <c r="AC2001" s="23">
        <v>0</v>
      </c>
      <c r="AD2001" s="35"/>
      <c r="AE2001" s="35"/>
      <c r="AF2001" s="35"/>
      <c r="AG2001" s="35"/>
      <c r="AH2001" s="35">
        <v>77</v>
      </c>
      <c r="AI2001" s="35"/>
      <c r="AJ2001" s="35"/>
      <c r="AK2001" s="35"/>
      <c r="AL2001" s="35">
        <v>311</v>
      </c>
      <c r="AM2001" s="35"/>
      <c r="AN2001" s="35"/>
      <c r="AO2001" s="35"/>
      <c r="AP2001" s="35">
        <f>439+2</f>
        <v>441</v>
      </c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22">
        <f t="shared" si="648"/>
        <v>829</v>
      </c>
      <c r="BC2001" s="23">
        <v>1985</v>
      </c>
      <c r="BD2001" s="130">
        <f t="shared" si="649"/>
        <v>829</v>
      </c>
      <c r="BE2001" s="130">
        <f t="shared" si="650"/>
        <v>1985</v>
      </c>
      <c r="BF2001" s="195">
        <f t="shared" si="651"/>
        <v>41.763224181360201</v>
      </c>
      <c r="BG2001" s="373">
        <f t="shared" si="655"/>
        <v>1156</v>
      </c>
    </row>
    <row r="2002" spans="1:61" s="46" customFormat="1" ht="15.95" customHeight="1">
      <c r="A2002" s="176">
        <v>92</v>
      </c>
      <c r="B2002" s="449" t="s">
        <v>3060</v>
      </c>
      <c r="C2002" s="450" t="s">
        <v>3061</v>
      </c>
      <c r="D2002" s="231"/>
      <c r="E2002" s="231"/>
      <c r="F2002" s="231"/>
      <c r="G2002" s="231"/>
      <c r="H2002" s="231"/>
      <c r="I2002" s="231"/>
      <c r="J2002" s="231"/>
      <c r="K2002" s="231"/>
      <c r="L2002" s="231"/>
      <c r="M2002" s="231"/>
      <c r="N2002" s="231"/>
      <c r="O2002" s="231"/>
      <c r="P2002" s="231"/>
      <c r="Q2002" s="231"/>
      <c r="R2002" s="231"/>
      <c r="S2002" s="231"/>
      <c r="T2002" s="231"/>
      <c r="U2002" s="231"/>
      <c r="V2002" s="231"/>
      <c r="W2002" s="231"/>
      <c r="X2002" s="231"/>
      <c r="Y2002" s="231"/>
      <c r="Z2002" s="231"/>
      <c r="AA2002" s="231"/>
      <c r="AB2002" s="22">
        <f t="shared" si="647"/>
        <v>0</v>
      </c>
      <c r="AC2002" s="23">
        <v>113</v>
      </c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22">
        <f t="shared" si="648"/>
        <v>0</v>
      </c>
      <c r="BC2002" s="23">
        <v>0</v>
      </c>
      <c r="BD2002" s="130">
        <f t="shared" si="649"/>
        <v>0</v>
      </c>
      <c r="BE2002" s="130">
        <f t="shared" si="650"/>
        <v>113</v>
      </c>
      <c r="BF2002" s="195">
        <f t="shared" si="651"/>
        <v>0</v>
      </c>
      <c r="BG2002" s="373">
        <f t="shared" si="655"/>
        <v>113</v>
      </c>
    </row>
    <row r="2003" spans="1:61" s="46" customFormat="1" ht="15.95" customHeight="1">
      <c r="A2003" s="176">
        <v>93</v>
      </c>
      <c r="B2003" s="411" t="s">
        <v>3054</v>
      </c>
      <c r="C2003" s="448" t="s">
        <v>3055</v>
      </c>
      <c r="D2003" s="231"/>
      <c r="E2003" s="231"/>
      <c r="F2003" s="231"/>
      <c r="G2003" s="231"/>
      <c r="H2003" s="231"/>
      <c r="I2003" s="231"/>
      <c r="J2003" s="231"/>
      <c r="K2003" s="231"/>
      <c r="L2003" s="231"/>
      <c r="M2003" s="231"/>
      <c r="N2003" s="231"/>
      <c r="O2003" s="231"/>
      <c r="P2003" s="231"/>
      <c r="Q2003" s="231"/>
      <c r="R2003" s="231"/>
      <c r="S2003" s="231"/>
      <c r="T2003" s="231"/>
      <c r="U2003" s="231"/>
      <c r="V2003" s="231"/>
      <c r="W2003" s="231"/>
      <c r="X2003" s="231"/>
      <c r="Y2003" s="231"/>
      <c r="Z2003" s="231"/>
      <c r="AA2003" s="231"/>
      <c r="AB2003" s="22">
        <f t="shared" si="647"/>
        <v>0</v>
      </c>
      <c r="AC2003" s="23">
        <v>114</v>
      </c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22">
        <f t="shared" si="648"/>
        <v>0</v>
      </c>
      <c r="BC2003" s="23">
        <v>0</v>
      </c>
      <c r="BD2003" s="130">
        <f t="shared" si="649"/>
        <v>0</v>
      </c>
      <c r="BE2003" s="130">
        <f t="shared" si="650"/>
        <v>114</v>
      </c>
      <c r="BF2003" s="195">
        <f t="shared" si="651"/>
        <v>0</v>
      </c>
      <c r="BG2003" s="373">
        <f t="shared" si="655"/>
        <v>114</v>
      </c>
    </row>
    <row r="2004" spans="1:61" s="46" customFormat="1" ht="15.95" customHeight="1">
      <c r="A2004" s="176">
        <v>94</v>
      </c>
      <c r="B2004" s="437" t="s">
        <v>3047</v>
      </c>
      <c r="C2004" s="439" t="s">
        <v>3048</v>
      </c>
      <c r="D2004" s="231"/>
      <c r="E2004" s="231"/>
      <c r="F2004" s="231"/>
      <c r="G2004" s="231"/>
      <c r="H2004" s="231"/>
      <c r="I2004" s="231"/>
      <c r="J2004" s="231"/>
      <c r="K2004" s="231"/>
      <c r="L2004" s="231"/>
      <c r="M2004" s="231"/>
      <c r="N2004" s="231"/>
      <c r="O2004" s="231"/>
      <c r="P2004" s="231">
        <v>12</v>
      </c>
      <c r="Q2004" s="231"/>
      <c r="R2004" s="231"/>
      <c r="S2004" s="231"/>
      <c r="T2004" s="231"/>
      <c r="U2004" s="231"/>
      <c r="V2004" s="231"/>
      <c r="W2004" s="231"/>
      <c r="X2004" s="231"/>
      <c r="Y2004" s="231"/>
      <c r="Z2004" s="231"/>
      <c r="AA2004" s="231"/>
      <c r="AB2004" s="22">
        <f t="shared" si="647"/>
        <v>12</v>
      </c>
      <c r="AC2004" s="23">
        <v>1</v>
      </c>
      <c r="AD2004" s="35"/>
      <c r="AE2004" s="35"/>
      <c r="AF2004" s="35"/>
      <c r="AG2004" s="35"/>
      <c r="AH2004" s="35">
        <v>111</v>
      </c>
      <c r="AI2004" s="35"/>
      <c r="AJ2004" s="35"/>
      <c r="AK2004" s="35"/>
      <c r="AL2004" s="35">
        <v>441</v>
      </c>
      <c r="AM2004" s="35"/>
      <c r="AN2004" s="35"/>
      <c r="AO2004" s="35"/>
      <c r="AP2004" s="35">
        <f>714+9</f>
        <v>723</v>
      </c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22">
        <f t="shared" si="648"/>
        <v>1275</v>
      </c>
      <c r="BC2004" s="23">
        <v>0</v>
      </c>
      <c r="BD2004" s="130">
        <f t="shared" si="649"/>
        <v>1287</v>
      </c>
      <c r="BE2004" s="130">
        <f t="shared" si="650"/>
        <v>1</v>
      </c>
      <c r="BF2004" s="195">
        <f t="shared" si="651"/>
        <v>128700</v>
      </c>
      <c r="BG2004" s="373">
        <f t="shared" si="655"/>
        <v>-1286</v>
      </c>
    </row>
    <row r="2005" spans="1:61" s="46" customFormat="1" ht="15.95" customHeight="1">
      <c r="A2005" s="176">
        <v>95</v>
      </c>
      <c r="B2005" s="37" t="s">
        <v>1124</v>
      </c>
      <c r="C2005" s="38" t="s">
        <v>1125</v>
      </c>
      <c r="D2005" s="231"/>
      <c r="E2005" s="231"/>
      <c r="F2005" s="231"/>
      <c r="G2005" s="231"/>
      <c r="H2005" s="231"/>
      <c r="I2005" s="231"/>
      <c r="J2005" s="231"/>
      <c r="K2005" s="231"/>
      <c r="L2005" s="231"/>
      <c r="M2005" s="231"/>
      <c r="N2005" s="231"/>
      <c r="O2005" s="231"/>
      <c r="P2005" s="231"/>
      <c r="Q2005" s="231"/>
      <c r="R2005" s="231"/>
      <c r="S2005" s="231"/>
      <c r="T2005" s="231"/>
      <c r="U2005" s="231"/>
      <c r="V2005" s="231"/>
      <c r="W2005" s="231"/>
      <c r="X2005" s="231"/>
      <c r="Y2005" s="231"/>
      <c r="Z2005" s="231"/>
      <c r="AA2005" s="231"/>
      <c r="AB2005" s="22">
        <f t="shared" si="647"/>
        <v>0</v>
      </c>
      <c r="AC2005" s="23">
        <v>0</v>
      </c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22">
        <f t="shared" si="648"/>
        <v>0</v>
      </c>
      <c r="BC2005" s="23">
        <v>0</v>
      </c>
      <c r="BD2005" s="130">
        <f t="shared" si="649"/>
        <v>0</v>
      </c>
      <c r="BE2005" s="130">
        <f t="shared" si="650"/>
        <v>0</v>
      </c>
      <c r="BF2005" s="195" t="e">
        <f t="shared" si="651"/>
        <v>#DIV/0!</v>
      </c>
      <c r="BG2005" s="373">
        <f t="shared" si="655"/>
        <v>0</v>
      </c>
    </row>
    <row r="2006" spans="1:61" s="46" customFormat="1" ht="15.95" customHeight="1">
      <c r="A2006" s="638" t="s">
        <v>1126</v>
      </c>
      <c r="B2006" s="639"/>
      <c r="C2006" s="639"/>
      <c r="D2006" s="98">
        <f t="shared" ref="D2006:AI2006" si="659">SUM(D2007:D2008)</f>
        <v>0</v>
      </c>
      <c r="E2006" s="98">
        <f t="shared" si="659"/>
        <v>0</v>
      </c>
      <c r="F2006" s="98">
        <f t="shared" si="659"/>
        <v>0</v>
      </c>
      <c r="G2006" s="98">
        <f t="shared" si="659"/>
        <v>0</v>
      </c>
      <c r="H2006" s="98">
        <f t="shared" si="659"/>
        <v>0</v>
      </c>
      <c r="I2006" s="98">
        <f t="shared" si="659"/>
        <v>0</v>
      </c>
      <c r="J2006" s="98">
        <f t="shared" si="659"/>
        <v>0</v>
      </c>
      <c r="K2006" s="98">
        <f t="shared" si="659"/>
        <v>0</v>
      </c>
      <c r="L2006" s="98">
        <f t="shared" si="659"/>
        <v>0</v>
      </c>
      <c r="M2006" s="98">
        <f t="shared" si="659"/>
        <v>0</v>
      </c>
      <c r="N2006" s="98">
        <f t="shared" si="659"/>
        <v>0</v>
      </c>
      <c r="O2006" s="98">
        <f t="shared" si="659"/>
        <v>0</v>
      </c>
      <c r="P2006" s="98">
        <f t="shared" si="659"/>
        <v>0</v>
      </c>
      <c r="Q2006" s="98">
        <f t="shared" si="659"/>
        <v>0</v>
      </c>
      <c r="R2006" s="98">
        <f t="shared" si="659"/>
        <v>0</v>
      </c>
      <c r="S2006" s="98">
        <f t="shared" si="659"/>
        <v>0</v>
      </c>
      <c r="T2006" s="98">
        <f t="shared" si="659"/>
        <v>0</v>
      </c>
      <c r="U2006" s="98">
        <f t="shared" si="659"/>
        <v>0</v>
      </c>
      <c r="V2006" s="98">
        <f t="shared" si="659"/>
        <v>0</v>
      </c>
      <c r="W2006" s="98">
        <f t="shared" si="659"/>
        <v>0</v>
      </c>
      <c r="X2006" s="98">
        <f t="shared" si="659"/>
        <v>0</v>
      </c>
      <c r="Y2006" s="98">
        <f t="shared" si="659"/>
        <v>0</v>
      </c>
      <c r="Z2006" s="98">
        <f t="shared" si="659"/>
        <v>0</v>
      </c>
      <c r="AA2006" s="98">
        <f t="shared" si="659"/>
        <v>0</v>
      </c>
      <c r="AB2006" s="98">
        <f t="shared" si="659"/>
        <v>0</v>
      </c>
      <c r="AC2006" s="161">
        <f t="shared" si="659"/>
        <v>0</v>
      </c>
      <c r="AD2006" s="130">
        <f t="shared" si="659"/>
        <v>0</v>
      </c>
      <c r="AE2006" s="130">
        <f t="shared" si="659"/>
        <v>0</v>
      </c>
      <c r="AF2006" s="130">
        <f t="shared" si="659"/>
        <v>0</v>
      </c>
      <c r="AG2006" s="130">
        <f t="shared" si="659"/>
        <v>0</v>
      </c>
      <c r="AH2006" s="130">
        <f t="shared" si="659"/>
        <v>0</v>
      </c>
      <c r="AI2006" s="130">
        <f t="shared" si="659"/>
        <v>0</v>
      </c>
      <c r="AJ2006" s="130">
        <f t="shared" ref="AJ2006:BC2006" si="660">SUM(AJ2007:AJ2008)</f>
        <v>0</v>
      </c>
      <c r="AK2006" s="130">
        <f t="shared" si="660"/>
        <v>0</v>
      </c>
      <c r="AL2006" s="130">
        <f t="shared" si="660"/>
        <v>0</v>
      </c>
      <c r="AM2006" s="130">
        <f t="shared" si="660"/>
        <v>0</v>
      </c>
      <c r="AN2006" s="130">
        <f t="shared" si="660"/>
        <v>0</v>
      </c>
      <c r="AO2006" s="130">
        <f t="shared" si="660"/>
        <v>0</v>
      </c>
      <c r="AP2006" s="130">
        <f t="shared" si="660"/>
        <v>0</v>
      </c>
      <c r="AQ2006" s="130">
        <f t="shared" si="660"/>
        <v>0</v>
      </c>
      <c r="AR2006" s="130">
        <f t="shared" si="660"/>
        <v>0</v>
      </c>
      <c r="AS2006" s="130">
        <f t="shared" si="660"/>
        <v>0</v>
      </c>
      <c r="AT2006" s="130">
        <f t="shared" si="660"/>
        <v>0</v>
      </c>
      <c r="AU2006" s="130">
        <f t="shared" si="660"/>
        <v>0</v>
      </c>
      <c r="AV2006" s="130">
        <f t="shared" si="660"/>
        <v>0</v>
      </c>
      <c r="AW2006" s="130">
        <f t="shared" si="660"/>
        <v>0</v>
      </c>
      <c r="AX2006" s="130">
        <f t="shared" si="660"/>
        <v>0</v>
      </c>
      <c r="AY2006" s="130">
        <f t="shared" si="660"/>
        <v>0</v>
      </c>
      <c r="AZ2006" s="130">
        <f t="shared" si="660"/>
        <v>0</v>
      </c>
      <c r="BA2006" s="130">
        <f t="shared" si="660"/>
        <v>0</v>
      </c>
      <c r="BB2006" s="130">
        <f t="shared" si="660"/>
        <v>0</v>
      </c>
      <c r="BC2006" s="103">
        <f t="shared" si="660"/>
        <v>0</v>
      </c>
      <c r="BD2006" s="130">
        <f t="shared" ref="BD2006:BD2007" si="661">AB2006+BB2006</f>
        <v>0</v>
      </c>
      <c r="BE2006" s="130">
        <f t="shared" ref="BE2006:BE2007" si="662">AC2006+BC2006</f>
        <v>0</v>
      </c>
      <c r="BF2006" s="195" t="e">
        <f t="shared" ref="BF2006:BF2007" si="663">BD2006/BE2006*100</f>
        <v>#DIV/0!</v>
      </c>
      <c r="BG2006" s="374">
        <f t="shared" ref="BG2006:BG2009" si="664">BE2006-BD2006</f>
        <v>0</v>
      </c>
    </row>
    <row r="2007" spans="1:61" s="46" customFormat="1" ht="15.95" customHeight="1">
      <c r="A2007" s="176"/>
      <c r="B2007" s="31"/>
      <c r="C2007" s="34"/>
      <c r="D2007" s="231"/>
      <c r="E2007" s="231"/>
      <c r="F2007" s="231"/>
      <c r="G2007" s="231"/>
      <c r="H2007" s="231"/>
      <c r="I2007" s="231"/>
      <c r="J2007" s="231"/>
      <c r="K2007" s="231"/>
      <c r="L2007" s="231"/>
      <c r="M2007" s="231"/>
      <c r="N2007" s="231"/>
      <c r="O2007" s="231"/>
      <c r="P2007" s="231"/>
      <c r="Q2007" s="231"/>
      <c r="R2007" s="231"/>
      <c r="S2007" s="231"/>
      <c r="T2007" s="231"/>
      <c r="U2007" s="231"/>
      <c r="V2007" s="231"/>
      <c r="W2007" s="231"/>
      <c r="X2007" s="231"/>
      <c r="Y2007" s="231"/>
      <c r="Z2007" s="231"/>
      <c r="AA2007" s="231"/>
      <c r="AB2007" s="22">
        <f>SUM(D2007:AA2007)</f>
        <v>0</v>
      </c>
      <c r="AC2007" s="23">
        <v>0</v>
      </c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22">
        <f>SUM(AD2007:BA2007)</f>
        <v>0</v>
      </c>
      <c r="BC2007" s="23">
        <v>0</v>
      </c>
      <c r="BD2007" s="130">
        <f t="shared" si="661"/>
        <v>0</v>
      </c>
      <c r="BE2007" s="130">
        <f t="shared" si="662"/>
        <v>0</v>
      </c>
      <c r="BF2007" s="195" t="e">
        <f t="shared" si="663"/>
        <v>#DIV/0!</v>
      </c>
      <c r="BG2007" s="373">
        <f t="shared" si="664"/>
        <v>0</v>
      </c>
    </row>
    <row r="2008" spans="1:61" s="46" customFormat="1" ht="15.95" customHeight="1">
      <c r="A2008" s="176"/>
      <c r="B2008" s="31"/>
      <c r="C2008" s="34"/>
      <c r="D2008" s="231"/>
      <c r="E2008" s="231"/>
      <c r="F2008" s="231"/>
      <c r="G2008" s="231"/>
      <c r="H2008" s="231"/>
      <c r="I2008" s="231"/>
      <c r="J2008" s="231"/>
      <c r="K2008" s="231"/>
      <c r="L2008" s="231"/>
      <c r="M2008" s="231"/>
      <c r="N2008" s="231"/>
      <c r="O2008" s="231"/>
      <c r="P2008" s="231"/>
      <c r="Q2008" s="231"/>
      <c r="R2008" s="231"/>
      <c r="S2008" s="231"/>
      <c r="T2008" s="231"/>
      <c r="U2008" s="231"/>
      <c r="V2008" s="231"/>
      <c r="W2008" s="231"/>
      <c r="X2008" s="231"/>
      <c r="Y2008" s="231"/>
      <c r="Z2008" s="231"/>
      <c r="AA2008" s="231"/>
      <c r="AB2008" s="22">
        <f>SUM(D2008:AA2008)</f>
        <v>0</v>
      </c>
      <c r="AC2008" s="23">
        <v>0</v>
      </c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22">
        <f t="shared" ref="BB2008" si="665">SUM(AD2008:BA2008)</f>
        <v>0</v>
      </c>
      <c r="BC2008" s="23">
        <v>0</v>
      </c>
      <c r="BD2008" s="130">
        <f t="shared" ref="BD2008:BD2009" si="666">AB2008+BB2008</f>
        <v>0</v>
      </c>
      <c r="BE2008" s="130">
        <f t="shared" ref="BE2008:BE2009" si="667">AC2008+BC2008</f>
        <v>0</v>
      </c>
      <c r="BF2008" s="195" t="e">
        <f t="shared" ref="BF2008:BF2009" si="668">BD2008/BE2008*100</f>
        <v>#DIV/0!</v>
      </c>
      <c r="BG2008" s="373">
        <f t="shared" si="664"/>
        <v>0</v>
      </c>
    </row>
    <row r="2009" spans="1:61" s="46" customFormat="1" ht="15.95" customHeight="1">
      <c r="A2009" s="638" t="s">
        <v>1128</v>
      </c>
      <c r="B2009" s="639"/>
      <c r="C2009" s="639"/>
      <c r="D2009" s="98">
        <f t="shared" ref="D2009:AI2009" si="669">SUM(D2010:D2152)</f>
        <v>158</v>
      </c>
      <c r="E2009" s="98">
        <f t="shared" si="669"/>
        <v>0</v>
      </c>
      <c r="F2009" s="98">
        <f t="shared" si="669"/>
        <v>0</v>
      </c>
      <c r="G2009" s="98">
        <f t="shared" si="669"/>
        <v>288</v>
      </c>
      <c r="H2009" s="98">
        <f t="shared" si="669"/>
        <v>562</v>
      </c>
      <c r="I2009" s="98">
        <f t="shared" si="669"/>
        <v>0</v>
      </c>
      <c r="J2009" s="98">
        <f t="shared" si="669"/>
        <v>0</v>
      </c>
      <c r="K2009" s="98">
        <f t="shared" si="669"/>
        <v>561</v>
      </c>
      <c r="L2009" s="98">
        <f t="shared" si="669"/>
        <v>1423</v>
      </c>
      <c r="M2009" s="98">
        <f t="shared" si="669"/>
        <v>0</v>
      </c>
      <c r="N2009" s="98">
        <f t="shared" si="669"/>
        <v>0</v>
      </c>
      <c r="O2009" s="98">
        <f t="shared" si="669"/>
        <v>1434</v>
      </c>
      <c r="P2009" s="98">
        <f t="shared" si="669"/>
        <v>636</v>
      </c>
      <c r="Q2009" s="98">
        <f t="shared" si="669"/>
        <v>0</v>
      </c>
      <c r="R2009" s="98">
        <f t="shared" si="669"/>
        <v>0</v>
      </c>
      <c r="S2009" s="98">
        <f t="shared" si="669"/>
        <v>707</v>
      </c>
      <c r="T2009" s="98">
        <f t="shared" si="669"/>
        <v>0</v>
      </c>
      <c r="U2009" s="98">
        <f t="shared" si="669"/>
        <v>0</v>
      </c>
      <c r="V2009" s="98">
        <f t="shared" si="669"/>
        <v>0</v>
      </c>
      <c r="W2009" s="98">
        <f t="shared" si="669"/>
        <v>0</v>
      </c>
      <c r="X2009" s="98">
        <f t="shared" si="669"/>
        <v>0</v>
      </c>
      <c r="Y2009" s="98">
        <f t="shared" si="669"/>
        <v>0</v>
      </c>
      <c r="Z2009" s="98">
        <f t="shared" si="669"/>
        <v>0</v>
      </c>
      <c r="AA2009" s="98">
        <f t="shared" si="669"/>
        <v>0</v>
      </c>
      <c r="AB2009" s="98">
        <f t="shared" si="669"/>
        <v>5769</v>
      </c>
      <c r="AC2009" s="161">
        <f t="shared" si="669"/>
        <v>6263</v>
      </c>
      <c r="AD2009" s="130">
        <f t="shared" si="669"/>
        <v>0</v>
      </c>
      <c r="AE2009" s="130">
        <f t="shared" si="669"/>
        <v>0</v>
      </c>
      <c r="AF2009" s="130">
        <f t="shared" si="669"/>
        <v>0</v>
      </c>
      <c r="AG2009" s="130">
        <f t="shared" si="669"/>
        <v>0</v>
      </c>
      <c r="AH2009" s="130">
        <f t="shared" si="669"/>
        <v>943</v>
      </c>
      <c r="AI2009" s="130">
        <f t="shared" si="669"/>
        <v>0</v>
      </c>
      <c r="AJ2009" s="130">
        <f t="shared" ref="AJ2009:BC2009" si="670">SUM(AJ2010:AJ2152)</f>
        <v>0</v>
      </c>
      <c r="AK2009" s="130">
        <f t="shared" si="670"/>
        <v>0</v>
      </c>
      <c r="AL2009" s="130">
        <f t="shared" si="670"/>
        <v>4429</v>
      </c>
      <c r="AM2009" s="130">
        <f t="shared" si="670"/>
        <v>0</v>
      </c>
      <c r="AN2009" s="130">
        <f t="shared" si="670"/>
        <v>0</v>
      </c>
      <c r="AO2009" s="130">
        <f t="shared" si="670"/>
        <v>0</v>
      </c>
      <c r="AP2009" s="130">
        <f t="shared" si="670"/>
        <v>3062</v>
      </c>
      <c r="AQ2009" s="130">
        <f t="shared" si="670"/>
        <v>0</v>
      </c>
      <c r="AR2009" s="130">
        <f t="shared" si="670"/>
        <v>0</v>
      </c>
      <c r="AS2009" s="130">
        <f t="shared" si="670"/>
        <v>0</v>
      </c>
      <c r="AT2009" s="130">
        <f t="shared" si="670"/>
        <v>0</v>
      </c>
      <c r="AU2009" s="130">
        <f t="shared" si="670"/>
        <v>0</v>
      </c>
      <c r="AV2009" s="130">
        <f t="shared" si="670"/>
        <v>0</v>
      </c>
      <c r="AW2009" s="130">
        <f t="shared" si="670"/>
        <v>0</v>
      </c>
      <c r="AX2009" s="130">
        <f t="shared" si="670"/>
        <v>0</v>
      </c>
      <c r="AY2009" s="130">
        <f t="shared" si="670"/>
        <v>0</v>
      </c>
      <c r="AZ2009" s="130">
        <f t="shared" si="670"/>
        <v>0</v>
      </c>
      <c r="BA2009" s="130">
        <f t="shared" si="670"/>
        <v>0</v>
      </c>
      <c r="BB2009" s="130">
        <f t="shared" si="670"/>
        <v>8434</v>
      </c>
      <c r="BC2009" s="103">
        <f t="shared" si="670"/>
        <v>23312</v>
      </c>
      <c r="BD2009" s="130">
        <f t="shared" si="666"/>
        <v>14203</v>
      </c>
      <c r="BE2009" s="130">
        <f t="shared" si="667"/>
        <v>29575</v>
      </c>
      <c r="BF2009" s="195">
        <f t="shared" si="668"/>
        <v>48.023668639053255</v>
      </c>
      <c r="BG2009" s="374">
        <f t="shared" si="664"/>
        <v>15372</v>
      </c>
    </row>
    <row r="2010" spans="1:61" s="46" customFormat="1" ht="21" customHeight="1">
      <c r="A2010" s="417">
        <v>1</v>
      </c>
      <c r="B2010" s="418" t="s">
        <v>926</v>
      </c>
      <c r="C2010" s="423" t="s">
        <v>927</v>
      </c>
      <c r="D2010" s="231"/>
      <c r="E2010" s="231"/>
      <c r="F2010" s="231"/>
      <c r="G2010" s="231">
        <v>28</v>
      </c>
      <c r="H2010" s="231"/>
      <c r="I2010" s="231"/>
      <c r="J2010" s="231"/>
      <c r="K2010" s="231">
        <v>98</v>
      </c>
      <c r="L2010" s="231"/>
      <c r="M2010" s="231"/>
      <c r="N2010" s="231"/>
      <c r="O2010" s="231"/>
      <c r="P2010" s="231"/>
      <c r="Q2010" s="231"/>
      <c r="R2010" s="231"/>
      <c r="S2010" s="231">
        <v>21</v>
      </c>
      <c r="T2010" s="231"/>
      <c r="U2010" s="231"/>
      <c r="V2010" s="231"/>
      <c r="W2010" s="231"/>
      <c r="X2010" s="231"/>
      <c r="Y2010" s="231"/>
      <c r="Z2010" s="231"/>
      <c r="AA2010" s="231"/>
      <c r="AB2010" s="22">
        <f t="shared" ref="AB2010:AB2041" si="671">SUM(D2010:AA2010)</f>
        <v>147</v>
      </c>
      <c r="AC2010" s="23">
        <f>24+7</f>
        <v>31</v>
      </c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22">
        <f t="shared" ref="BB2010:BB2041" si="672">SUM(AD2010:BA2010)</f>
        <v>0</v>
      </c>
      <c r="BC2010" s="23">
        <v>0</v>
      </c>
      <c r="BD2010" s="130">
        <f t="shared" ref="BD2010:BD2041" si="673">AB2010+BB2010</f>
        <v>147</v>
      </c>
      <c r="BE2010" s="130">
        <f t="shared" ref="BE2010:BE2041" si="674">AC2010+BC2010</f>
        <v>31</v>
      </c>
      <c r="BF2010" s="195">
        <f t="shared" ref="BF2010:BF2041" si="675">BD2010/BE2010*100</f>
        <v>474.19354838709683</v>
      </c>
      <c r="BG2010" s="373">
        <f t="shared" ref="BG2010:BG2037" si="676">BE2010-BD2010</f>
        <v>-116</v>
      </c>
      <c r="BH2010" s="426" t="s">
        <v>3675</v>
      </c>
      <c r="BI2010" s="426"/>
    </row>
    <row r="2011" spans="1:61" s="46" customFormat="1" ht="21" customHeight="1">
      <c r="A2011" s="417">
        <v>2</v>
      </c>
      <c r="B2011" s="418" t="s">
        <v>3227</v>
      </c>
      <c r="C2011" s="419" t="s">
        <v>3228</v>
      </c>
      <c r="D2011" s="329"/>
      <c r="E2011" s="329"/>
      <c r="F2011" s="329"/>
      <c r="G2011" s="329"/>
      <c r="H2011" s="329"/>
      <c r="I2011" s="329"/>
      <c r="J2011" s="329"/>
      <c r="K2011" s="329"/>
      <c r="L2011" s="329"/>
      <c r="M2011" s="329"/>
      <c r="N2011" s="329"/>
      <c r="O2011" s="329"/>
      <c r="P2011" s="329"/>
      <c r="Q2011" s="329"/>
      <c r="R2011" s="329"/>
      <c r="S2011" s="329"/>
      <c r="T2011" s="329"/>
      <c r="U2011" s="329"/>
      <c r="V2011" s="329"/>
      <c r="W2011" s="329"/>
      <c r="X2011" s="329"/>
      <c r="Y2011" s="329"/>
      <c r="Z2011" s="329"/>
      <c r="AA2011" s="329"/>
      <c r="AB2011" s="22">
        <f t="shared" si="671"/>
        <v>0</v>
      </c>
      <c r="AC2011" s="23">
        <v>7</v>
      </c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22">
        <f t="shared" si="672"/>
        <v>0</v>
      </c>
      <c r="BC2011" s="23">
        <v>0</v>
      </c>
      <c r="BD2011" s="130">
        <f t="shared" si="673"/>
        <v>0</v>
      </c>
      <c r="BE2011" s="130">
        <f t="shared" si="674"/>
        <v>7</v>
      </c>
      <c r="BF2011" s="195">
        <f t="shared" si="675"/>
        <v>0</v>
      </c>
      <c r="BG2011" s="373">
        <f t="shared" si="676"/>
        <v>7</v>
      </c>
      <c r="BH2011" s="426" t="s">
        <v>3675</v>
      </c>
      <c r="BI2011" s="421"/>
    </row>
    <row r="2012" spans="1:61" s="46" customFormat="1" ht="21" customHeight="1">
      <c r="A2012" s="417">
        <v>3</v>
      </c>
      <c r="B2012" s="418" t="s">
        <v>2806</v>
      </c>
      <c r="C2012" s="423" t="s">
        <v>2807</v>
      </c>
      <c r="D2012" s="265"/>
      <c r="E2012" s="265"/>
      <c r="F2012" s="265"/>
      <c r="G2012" s="265"/>
      <c r="H2012" s="265"/>
      <c r="I2012" s="265"/>
      <c r="J2012" s="265"/>
      <c r="K2012" s="265">
        <v>442</v>
      </c>
      <c r="L2012" s="265"/>
      <c r="M2012" s="265"/>
      <c r="N2012" s="265"/>
      <c r="O2012" s="265">
        <v>1236</v>
      </c>
      <c r="P2012" s="265"/>
      <c r="Q2012" s="265"/>
      <c r="R2012" s="265"/>
      <c r="S2012" s="265"/>
      <c r="T2012" s="265"/>
      <c r="U2012" s="265"/>
      <c r="V2012" s="265"/>
      <c r="W2012" s="265"/>
      <c r="X2012" s="265"/>
      <c r="Y2012" s="265"/>
      <c r="Z2012" s="265"/>
      <c r="AA2012" s="265"/>
      <c r="AB2012" s="22">
        <f t="shared" si="671"/>
        <v>1678</v>
      </c>
      <c r="AC2012" s="23">
        <v>1</v>
      </c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22">
        <f t="shared" si="672"/>
        <v>0</v>
      </c>
      <c r="BC2012" s="23">
        <v>0</v>
      </c>
      <c r="BD2012" s="130">
        <f t="shared" si="673"/>
        <v>1678</v>
      </c>
      <c r="BE2012" s="130">
        <f t="shared" si="674"/>
        <v>1</v>
      </c>
      <c r="BF2012" s="522">
        <f t="shared" si="675"/>
        <v>167800</v>
      </c>
      <c r="BG2012" s="373">
        <f t="shared" si="676"/>
        <v>-1677</v>
      </c>
      <c r="BH2012" s="426" t="s">
        <v>3675</v>
      </c>
      <c r="BI2012" s="425"/>
    </row>
    <row r="2013" spans="1:61" s="46" customFormat="1" ht="21" customHeight="1">
      <c r="A2013" s="417">
        <v>4</v>
      </c>
      <c r="B2013" s="418" t="s">
        <v>1129</v>
      </c>
      <c r="C2013" s="419" t="s">
        <v>3614</v>
      </c>
      <c r="D2013" s="231"/>
      <c r="E2013" s="231"/>
      <c r="F2013" s="231"/>
      <c r="G2013" s="231"/>
      <c r="H2013" s="231"/>
      <c r="I2013" s="231"/>
      <c r="J2013" s="231"/>
      <c r="K2013" s="231">
        <f>7+8</f>
        <v>15</v>
      </c>
      <c r="L2013" s="231"/>
      <c r="M2013" s="231"/>
      <c r="N2013" s="231"/>
      <c r="O2013" s="231">
        <f>2+15+16+3+132</f>
        <v>168</v>
      </c>
      <c r="P2013" s="231"/>
      <c r="Q2013" s="231"/>
      <c r="R2013" s="231"/>
      <c r="S2013" s="231">
        <f>6+17+9</f>
        <v>32</v>
      </c>
      <c r="T2013" s="231"/>
      <c r="U2013" s="231"/>
      <c r="V2013" s="231"/>
      <c r="W2013" s="231"/>
      <c r="X2013" s="231"/>
      <c r="Y2013" s="231"/>
      <c r="Z2013" s="231"/>
      <c r="AA2013" s="231"/>
      <c r="AB2013" s="22">
        <f t="shared" si="671"/>
        <v>215</v>
      </c>
      <c r="AC2013" s="23">
        <f>80+188</f>
        <v>268</v>
      </c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22">
        <f t="shared" si="672"/>
        <v>0</v>
      </c>
      <c r="BC2013" s="23">
        <v>0</v>
      </c>
      <c r="BD2013" s="130">
        <f t="shared" si="673"/>
        <v>215</v>
      </c>
      <c r="BE2013" s="130">
        <f t="shared" si="674"/>
        <v>268</v>
      </c>
      <c r="BF2013" s="195">
        <f t="shared" si="675"/>
        <v>80.223880597014926</v>
      </c>
      <c r="BG2013" s="373">
        <f t="shared" si="676"/>
        <v>53</v>
      </c>
      <c r="BH2013" s="426" t="s">
        <v>3675</v>
      </c>
      <c r="BI2013" s="425"/>
    </row>
    <row r="2014" spans="1:61" s="46" customFormat="1" ht="21" customHeight="1">
      <c r="A2014" s="417">
        <v>5</v>
      </c>
      <c r="B2014" s="418" t="s">
        <v>1266</v>
      </c>
      <c r="C2014" s="419" t="s">
        <v>1267</v>
      </c>
      <c r="D2014" s="231"/>
      <c r="E2014" s="231"/>
      <c r="F2014" s="231"/>
      <c r="G2014" s="231"/>
      <c r="H2014" s="231"/>
      <c r="I2014" s="231"/>
      <c r="J2014" s="231"/>
      <c r="K2014" s="231"/>
      <c r="L2014" s="231"/>
      <c r="M2014" s="231"/>
      <c r="N2014" s="231"/>
      <c r="O2014" s="231"/>
      <c r="P2014" s="231"/>
      <c r="Q2014" s="231"/>
      <c r="R2014" s="231"/>
      <c r="S2014" s="231"/>
      <c r="T2014" s="231"/>
      <c r="U2014" s="231"/>
      <c r="V2014" s="231"/>
      <c r="W2014" s="231"/>
      <c r="X2014" s="231"/>
      <c r="Y2014" s="231"/>
      <c r="Z2014" s="231"/>
      <c r="AA2014" s="231"/>
      <c r="AB2014" s="22">
        <f t="shared" si="671"/>
        <v>0</v>
      </c>
      <c r="AC2014" s="23">
        <v>194</v>
      </c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22">
        <f t="shared" si="672"/>
        <v>0</v>
      </c>
      <c r="BC2014" s="23">
        <v>0</v>
      </c>
      <c r="BD2014" s="130">
        <f t="shared" si="673"/>
        <v>0</v>
      </c>
      <c r="BE2014" s="130">
        <f t="shared" si="674"/>
        <v>194</v>
      </c>
      <c r="BF2014" s="195">
        <f t="shared" si="675"/>
        <v>0</v>
      </c>
      <c r="BG2014" s="373">
        <f t="shared" si="676"/>
        <v>194</v>
      </c>
      <c r="BH2014" s="426" t="s">
        <v>3675</v>
      </c>
      <c r="BI2014" s="421"/>
    </row>
    <row r="2015" spans="1:61" s="46" customFormat="1" ht="21" customHeight="1">
      <c r="A2015" s="417">
        <v>6</v>
      </c>
      <c r="B2015" s="418" t="s">
        <v>2703</v>
      </c>
      <c r="C2015" s="419" t="s">
        <v>3226</v>
      </c>
      <c r="D2015" s="329"/>
      <c r="E2015" s="329"/>
      <c r="F2015" s="329"/>
      <c r="G2015" s="329"/>
      <c r="H2015" s="329"/>
      <c r="I2015" s="329"/>
      <c r="J2015" s="329"/>
      <c r="K2015" s="329"/>
      <c r="L2015" s="329"/>
      <c r="M2015" s="329"/>
      <c r="N2015" s="329"/>
      <c r="O2015" s="329"/>
      <c r="P2015" s="329"/>
      <c r="Q2015" s="329"/>
      <c r="R2015" s="329"/>
      <c r="S2015" s="329"/>
      <c r="T2015" s="329"/>
      <c r="U2015" s="329"/>
      <c r="V2015" s="329"/>
      <c r="W2015" s="329"/>
      <c r="X2015" s="329"/>
      <c r="Y2015" s="329"/>
      <c r="Z2015" s="329"/>
      <c r="AA2015" s="329"/>
      <c r="AB2015" s="22">
        <f t="shared" si="671"/>
        <v>0</v>
      </c>
      <c r="AC2015" s="23">
        <v>1</v>
      </c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22">
        <f t="shared" si="672"/>
        <v>0</v>
      </c>
      <c r="BC2015" s="23">
        <v>0</v>
      </c>
      <c r="BD2015" s="130">
        <f t="shared" si="673"/>
        <v>0</v>
      </c>
      <c r="BE2015" s="130">
        <f t="shared" si="674"/>
        <v>1</v>
      </c>
      <c r="BF2015" s="195">
        <f t="shared" si="675"/>
        <v>0</v>
      </c>
      <c r="BG2015" s="373">
        <f t="shared" si="676"/>
        <v>1</v>
      </c>
      <c r="BH2015" s="426" t="s">
        <v>3675</v>
      </c>
      <c r="BI2015" s="421"/>
    </row>
    <row r="2016" spans="1:61" s="46" customFormat="1" ht="21" customHeight="1">
      <c r="A2016" s="417">
        <v>7</v>
      </c>
      <c r="B2016" s="418" t="s">
        <v>2705</v>
      </c>
      <c r="C2016" s="419" t="s">
        <v>2706</v>
      </c>
      <c r="D2016" s="280"/>
      <c r="E2016" s="280"/>
      <c r="F2016" s="280"/>
      <c r="G2016" s="280"/>
      <c r="H2016" s="280"/>
      <c r="I2016" s="280"/>
      <c r="J2016" s="280"/>
      <c r="K2016" s="280"/>
      <c r="L2016" s="280"/>
      <c r="M2016" s="280"/>
      <c r="N2016" s="280"/>
      <c r="O2016" s="280">
        <v>1</v>
      </c>
      <c r="P2016" s="280"/>
      <c r="Q2016" s="280"/>
      <c r="R2016" s="280"/>
      <c r="S2016" s="280">
        <f>1+1</f>
        <v>2</v>
      </c>
      <c r="T2016" s="280"/>
      <c r="U2016" s="280"/>
      <c r="V2016" s="280"/>
      <c r="W2016" s="280"/>
      <c r="X2016" s="280"/>
      <c r="Y2016" s="280"/>
      <c r="Z2016" s="280"/>
      <c r="AA2016" s="280"/>
      <c r="AB2016" s="22">
        <f t="shared" si="671"/>
        <v>3</v>
      </c>
      <c r="AC2016" s="23">
        <v>1</v>
      </c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22">
        <f t="shared" si="672"/>
        <v>0</v>
      </c>
      <c r="BC2016" s="23">
        <v>0</v>
      </c>
      <c r="BD2016" s="130">
        <f t="shared" si="673"/>
        <v>3</v>
      </c>
      <c r="BE2016" s="130">
        <f t="shared" si="674"/>
        <v>1</v>
      </c>
      <c r="BF2016" s="195">
        <f t="shared" si="675"/>
        <v>300</v>
      </c>
      <c r="BG2016" s="373">
        <f t="shared" si="676"/>
        <v>-2</v>
      </c>
      <c r="BH2016" s="426" t="s">
        <v>3675</v>
      </c>
      <c r="BI2016" s="421"/>
    </row>
    <row r="2017" spans="1:61" s="46" customFormat="1" ht="21" customHeight="1">
      <c r="A2017" s="417">
        <v>8</v>
      </c>
      <c r="B2017" s="418" t="s">
        <v>2218</v>
      </c>
      <c r="C2017" s="419" t="s">
        <v>2222</v>
      </c>
      <c r="D2017" s="231"/>
      <c r="E2017" s="231"/>
      <c r="F2017" s="231"/>
      <c r="G2017" s="231"/>
      <c r="H2017" s="231"/>
      <c r="I2017" s="231"/>
      <c r="J2017" s="231"/>
      <c r="K2017" s="35">
        <v>3</v>
      </c>
      <c r="L2017" s="231"/>
      <c r="M2017" s="231"/>
      <c r="N2017" s="231"/>
      <c r="O2017" s="231">
        <f>15+1</f>
        <v>16</v>
      </c>
      <c r="P2017" s="231"/>
      <c r="Q2017" s="231"/>
      <c r="R2017" s="231"/>
      <c r="S2017" s="231">
        <f>8+1+1</f>
        <v>10</v>
      </c>
      <c r="T2017" s="231"/>
      <c r="U2017" s="231"/>
      <c r="V2017" s="231"/>
      <c r="W2017" s="231"/>
      <c r="X2017" s="231"/>
      <c r="Y2017" s="231"/>
      <c r="Z2017" s="231"/>
      <c r="AA2017" s="231"/>
      <c r="AB2017" s="22">
        <f t="shared" si="671"/>
        <v>29</v>
      </c>
      <c r="AC2017" s="23">
        <f>1+1013+6</f>
        <v>1020</v>
      </c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22">
        <f t="shared" si="672"/>
        <v>0</v>
      </c>
      <c r="BC2017" s="23">
        <v>0</v>
      </c>
      <c r="BD2017" s="130">
        <f t="shared" si="673"/>
        <v>29</v>
      </c>
      <c r="BE2017" s="130">
        <f t="shared" si="674"/>
        <v>1020</v>
      </c>
      <c r="BF2017" s="195">
        <f t="shared" si="675"/>
        <v>2.8431372549019609</v>
      </c>
      <c r="BG2017" s="373">
        <f t="shared" si="676"/>
        <v>991</v>
      </c>
      <c r="BH2017" s="426" t="s">
        <v>3675</v>
      </c>
      <c r="BI2017" s="421"/>
    </row>
    <row r="2018" spans="1:61" s="46" customFormat="1" ht="21" customHeight="1">
      <c r="A2018" s="417">
        <v>9</v>
      </c>
      <c r="B2018" s="418" t="s">
        <v>2246</v>
      </c>
      <c r="C2018" s="419" t="s">
        <v>2247</v>
      </c>
      <c r="D2018" s="231"/>
      <c r="E2018" s="231"/>
      <c r="F2018" s="231"/>
      <c r="G2018" s="231">
        <v>260</v>
      </c>
      <c r="H2018" s="231"/>
      <c r="I2018" s="231"/>
      <c r="J2018" s="231"/>
      <c r="K2018" s="35">
        <v>3</v>
      </c>
      <c r="L2018" s="231"/>
      <c r="M2018" s="231"/>
      <c r="N2018" s="231"/>
      <c r="O2018" s="231">
        <v>13</v>
      </c>
      <c r="P2018" s="231"/>
      <c r="Q2018" s="231"/>
      <c r="R2018" s="231"/>
      <c r="S2018" s="231">
        <f>8+634</f>
        <v>642</v>
      </c>
      <c r="T2018" s="231"/>
      <c r="U2018" s="231"/>
      <c r="V2018" s="231"/>
      <c r="W2018" s="231"/>
      <c r="X2018" s="231"/>
      <c r="Y2018" s="231"/>
      <c r="Z2018" s="231"/>
      <c r="AA2018" s="231"/>
      <c r="AB2018" s="22">
        <f t="shared" si="671"/>
        <v>918</v>
      </c>
      <c r="AC2018" s="23">
        <f>556+7</f>
        <v>563</v>
      </c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22">
        <f t="shared" si="672"/>
        <v>0</v>
      </c>
      <c r="BC2018" s="23">
        <v>0</v>
      </c>
      <c r="BD2018" s="130">
        <f t="shared" si="673"/>
        <v>918</v>
      </c>
      <c r="BE2018" s="130">
        <f t="shared" si="674"/>
        <v>563</v>
      </c>
      <c r="BF2018" s="195">
        <f t="shared" si="675"/>
        <v>163.0550621669627</v>
      </c>
      <c r="BG2018" s="373">
        <f t="shared" si="676"/>
        <v>-355</v>
      </c>
      <c r="BH2018" s="426" t="s">
        <v>3675</v>
      </c>
      <c r="BI2018" s="421"/>
    </row>
    <row r="2019" spans="1:61" s="46" customFormat="1" ht="15.95" customHeight="1">
      <c r="A2019" s="176">
        <v>10</v>
      </c>
      <c r="B2019" s="31" t="s">
        <v>928</v>
      </c>
      <c r="C2019" s="32" t="s">
        <v>929</v>
      </c>
      <c r="D2019" s="231"/>
      <c r="E2019" s="231"/>
      <c r="F2019" s="231"/>
      <c r="G2019" s="231"/>
      <c r="H2019" s="231"/>
      <c r="I2019" s="231"/>
      <c r="J2019" s="231"/>
      <c r="K2019" s="231"/>
      <c r="L2019" s="231"/>
      <c r="M2019" s="231"/>
      <c r="N2019" s="231"/>
      <c r="O2019" s="231"/>
      <c r="P2019" s="231"/>
      <c r="Q2019" s="231"/>
      <c r="R2019" s="231"/>
      <c r="S2019" s="231"/>
      <c r="T2019" s="231"/>
      <c r="U2019" s="231"/>
      <c r="V2019" s="231"/>
      <c r="W2019" s="231"/>
      <c r="X2019" s="231"/>
      <c r="Y2019" s="231"/>
      <c r="Z2019" s="231"/>
      <c r="AA2019" s="231"/>
      <c r="AB2019" s="22">
        <f t="shared" si="671"/>
        <v>0</v>
      </c>
      <c r="AC2019" s="23">
        <v>0</v>
      </c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22">
        <f t="shared" si="672"/>
        <v>0</v>
      </c>
      <c r="BC2019" s="23">
        <v>11</v>
      </c>
      <c r="BD2019" s="130">
        <f t="shared" si="673"/>
        <v>0</v>
      </c>
      <c r="BE2019" s="130">
        <f t="shared" si="674"/>
        <v>11</v>
      </c>
      <c r="BF2019" s="195">
        <f t="shared" si="675"/>
        <v>0</v>
      </c>
      <c r="BG2019" s="373">
        <f t="shared" si="676"/>
        <v>11</v>
      </c>
    </row>
    <row r="2020" spans="1:61" s="46" customFormat="1" ht="15.95" customHeight="1">
      <c r="A2020" s="176">
        <v>11</v>
      </c>
      <c r="B2020" s="31" t="s">
        <v>736</v>
      </c>
      <c r="C2020" s="32" t="s">
        <v>737</v>
      </c>
      <c r="D2020" s="231"/>
      <c r="E2020" s="231"/>
      <c r="F2020" s="231"/>
      <c r="G2020" s="231"/>
      <c r="H2020" s="231"/>
      <c r="I2020" s="231"/>
      <c r="J2020" s="231"/>
      <c r="K2020" s="231"/>
      <c r="L2020" s="231"/>
      <c r="M2020" s="231"/>
      <c r="N2020" s="231"/>
      <c r="O2020" s="231"/>
      <c r="P2020" s="231"/>
      <c r="Q2020" s="231"/>
      <c r="R2020" s="231"/>
      <c r="S2020" s="231"/>
      <c r="T2020" s="231"/>
      <c r="U2020" s="231"/>
      <c r="V2020" s="231"/>
      <c r="W2020" s="231"/>
      <c r="X2020" s="231"/>
      <c r="Y2020" s="231"/>
      <c r="Z2020" s="231"/>
      <c r="AA2020" s="231"/>
      <c r="AB2020" s="22">
        <f t="shared" si="671"/>
        <v>0</v>
      </c>
      <c r="AC2020" s="23">
        <v>0</v>
      </c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22">
        <f t="shared" si="672"/>
        <v>0</v>
      </c>
      <c r="BC2020" s="23">
        <v>40</v>
      </c>
      <c r="BD2020" s="130">
        <f t="shared" si="673"/>
        <v>0</v>
      </c>
      <c r="BE2020" s="130">
        <f t="shared" si="674"/>
        <v>40</v>
      </c>
      <c r="BF2020" s="195">
        <f t="shared" si="675"/>
        <v>0</v>
      </c>
      <c r="BG2020" s="373">
        <f t="shared" si="676"/>
        <v>40</v>
      </c>
    </row>
    <row r="2021" spans="1:61" s="46" customFormat="1" ht="15.95" customHeight="1">
      <c r="A2021" s="176">
        <v>12</v>
      </c>
      <c r="B2021" s="31" t="s">
        <v>738</v>
      </c>
      <c r="C2021" s="32" t="s">
        <v>739</v>
      </c>
      <c r="D2021" s="231"/>
      <c r="E2021" s="231"/>
      <c r="F2021" s="231"/>
      <c r="G2021" s="231"/>
      <c r="H2021" s="231"/>
      <c r="I2021" s="231"/>
      <c r="J2021" s="231"/>
      <c r="K2021" s="231"/>
      <c r="L2021" s="231">
        <f>1+11</f>
        <v>12</v>
      </c>
      <c r="M2021" s="231"/>
      <c r="N2021" s="231"/>
      <c r="O2021" s="231"/>
      <c r="P2021" s="231">
        <v>1</v>
      </c>
      <c r="Q2021" s="231"/>
      <c r="R2021" s="231"/>
      <c r="S2021" s="231"/>
      <c r="T2021" s="231"/>
      <c r="U2021" s="231"/>
      <c r="V2021" s="231"/>
      <c r="W2021" s="231"/>
      <c r="X2021" s="231"/>
      <c r="Y2021" s="231"/>
      <c r="Z2021" s="231"/>
      <c r="AA2021" s="231"/>
      <c r="AB2021" s="22">
        <f t="shared" si="671"/>
        <v>13</v>
      </c>
      <c r="AC2021" s="23">
        <v>27</v>
      </c>
      <c r="AD2021" s="35"/>
      <c r="AE2021" s="35"/>
      <c r="AF2021" s="35"/>
      <c r="AG2021" s="35"/>
      <c r="AH2021" s="35">
        <v>8</v>
      </c>
      <c r="AI2021" s="35"/>
      <c r="AJ2021" s="35"/>
      <c r="AK2021" s="35"/>
      <c r="AL2021" s="35">
        <v>12</v>
      </c>
      <c r="AM2021" s="35"/>
      <c r="AN2021" s="35"/>
      <c r="AO2021" s="35"/>
      <c r="AP2021" s="35">
        <v>11</v>
      </c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22">
        <f t="shared" si="672"/>
        <v>31</v>
      </c>
      <c r="BC2021" s="23">
        <v>8</v>
      </c>
      <c r="BD2021" s="130">
        <f t="shared" si="673"/>
        <v>44</v>
      </c>
      <c r="BE2021" s="130">
        <f t="shared" si="674"/>
        <v>35</v>
      </c>
      <c r="BF2021" s="195">
        <f t="shared" si="675"/>
        <v>125.71428571428571</v>
      </c>
      <c r="BG2021" s="373">
        <f t="shared" si="676"/>
        <v>-9</v>
      </c>
    </row>
    <row r="2022" spans="1:61" s="46" customFormat="1" ht="15.95" customHeight="1">
      <c r="A2022" s="176">
        <v>13</v>
      </c>
      <c r="B2022" s="31" t="s">
        <v>740</v>
      </c>
      <c r="C2022" s="32" t="s">
        <v>741</v>
      </c>
      <c r="D2022" s="390"/>
      <c r="E2022" s="390"/>
      <c r="F2022" s="390"/>
      <c r="G2022" s="390"/>
      <c r="H2022" s="390"/>
      <c r="I2022" s="390"/>
      <c r="J2022" s="390"/>
      <c r="K2022" s="390"/>
      <c r="L2022" s="390"/>
      <c r="M2022" s="390"/>
      <c r="N2022" s="390"/>
      <c r="O2022" s="390"/>
      <c r="P2022" s="390"/>
      <c r="Q2022" s="390"/>
      <c r="R2022" s="390"/>
      <c r="S2022" s="390"/>
      <c r="T2022" s="390"/>
      <c r="U2022" s="390"/>
      <c r="V2022" s="390"/>
      <c r="W2022" s="390"/>
      <c r="X2022" s="390"/>
      <c r="Y2022" s="390"/>
      <c r="Z2022" s="390"/>
      <c r="AA2022" s="390"/>
      <c r="AB2022" s="22">
        <f t="shared" si="671"/>
        <v>0</v>
      </c>
      <c r="AC2022" s="23">
        <v>0</v>
      </c>
      <c r="AD2022" s="35"/>
      <c r="AE2022" s="35"/>
      <c r="AF2022" s="35"/>
      <c r="AG2022" s="35"/>
      <c r="AH2022" s="35">
        <v>8</v>
      </c>
      <c r="AI2022" s="35"/>
      <c r="AJ2022" s="35"/>
      <c r="AK2022" s="35"/>
      <c r="AL2022" s="35">
        <v>17</v>
      </c>
      <c r="AM2022" s="35"/>
      <c r="AN2022" s="35"/>
      <c r="AO2022" s="35"/>
      <c r="AP2022" s="35">
        <v>9</v>
      </c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22">
        <f t="shared" si="672"/>
        <v>34</v>
      </c>
      <c r="BC2022" s="23">
        <v>35</v>
      </c>
      <c r="BD2022" s="130">
        <f t="shared" si="673"/>
        <v>34</v>
      </c>
      <c r="BE2022" s="130">
        <f t="shared" si="674"/>
        <v>35</v>
      </c>
      <c r="BF2022" s="195">
        <f t="shared" si="675"/>
        <v>97.142857142857139</v>
      </c>
      <c r="BG2022" s="373">
        <f t="shared" si="676"/>
        <v>1</v>
      </c>
    </row>
    <row r="2023" spans="1:61" s="46" customFormat="1" ht="15.95" customHeight="1">
      <c r="A2023" s="176">
        <v>14</v>
      </c>
      <c r="B2023" s="31" t="s">
        <v>746</v>
      </c>
      <c r="C2023" s="32" t="s">
        <v>747</v>
      </c>
      <c r="D2023" s="390"/>
      <c r="E2023" s="390"/>
      <c r="F2023" s="390"/>
      <c r="G2023" s="390"/>
      <c r="H2023" s="390"/>
      <c r="I2023" s="390"/>
      <c r="J2023" s="390"/>
      <c r="K2023" s="390"/>
      <c r="L2023" s="390"/>
      <c r="M2023" s="390"/>
      <c r="N2023" s="390"/>
      <c r="O2023" s="390"/>
      <c r="P2023" s="390"/>
      <c r="Q2023" s="390"/>
      <c r="R2023" s="390"/>
      <c r="S2023" s="390"/>
      <c r="T2023" s="390"/>
      <c r="U2023" s="390"/>
      <c r="V2023" s="390"/>
      <c r="W2023" s="390"/>
      <c r="X2023" s="390"/>
      <c r="Y2023" s="390"/>
      <c r="Z2023" s="390"/>
      <c r="AA2023" s="390"/>
      <c r="AB2023" s="22">
        <f t="shared" si="671"/>
        <v>0</v>
      </c>
      <c r="AC2023" s="23">
        <v>5</v>
      </c>
      <c r="AD2023" s="35"/>
      <c r="AE2023" s="35"/>
      <c r="AF2023" s="35"/>
      <c r="AG2023" s="35"/>
      <c r="AH2023" s="35">
        <v>3</v>
      </c>
      <c r="AI2023" s="35"/>
      <c r="AJ2023" s="35"/>
      <c r="AK2023" s="35"/>
      <c r="AL2023" s="35">
        <v>12</v>
      </c>
      <c r="AM2023" s="35"/>
      <c r="AN2023" s="35"/>
      <c r="AO2023" s="35"/>
      <c r="AP2023" s="35">
        <v>8</v>
      </c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22">
        <f t="shared" si="672"/>
        <v>23</v>
      </c>
      <c r="BC2023" s="23">
        <v>39</v>
      </c>
      <c r="BD2023" s="130">
        <f t="shared" si="673"/>
        <v>23</v>
      </c>
      <c r="BE2023" s="130">
        <f t="shared" si="674"/>
        <v>44</v>
      </c>
      <c r="BF2023" s="195">
        <f t="shared" si="675"/>
        <v>52.272727272727273</v>
      </c>
      <c r="BG2023" s="373">
        <f t="shared" si="676"/>
        <v>21</v>
      </c>
    </row>
    <row r="2024" spans="1:61" s="46" customFormat="1" ht="15.95" customHeight="1">
      <c r="A2024" s="176">
        <v>15</v>
      </c>
      <c r="B2024" s="31" t="s">
        <v>881</v>
      </c>
      <c r="C2024" s="32" t="s">
        <v>882</v>
      </c>
      <c r="D2024" s="390"/>
      <c r="E2024" s="390"/>
      <c r="F2024" s="390"/>
      <c r="G2024" s="390"/>
      <c r="H2024" s="390"/>
      <c r="I2024" s="390"/>
      <c r="J2024" s="390"/>
      <c r="K2024" s="390"/>
      <c r="L2024" s="390"/>
      <c r="M2024" s="390"/>
      <c r="N2024" s="390"/>
      <c r="O2024" s="390"/>
      <c r="P2024" s="390"/>
      <c r="Q2024" s="390"/>
      <c r="R2024" s="390"/>
      <c r="S2024" s="390"/>
      <c r="T2024" s="390"/>
      <c r="U2024" s="390"/>
      <c r="V2024" s="390"/>
      <c r="W2024" s="390"/>
      <c r="X2024" s="390"/>
      <c r="Y2024" s="390"/>
      <c r="Z2024" s="390"/>
      <c r="AA2024" s="390"/>
      <c r="AB2024" s="22">
        <f t="shared" si="671"/>
        <v>0</v>
      </c>
      <c r="AC2024" s="23">
        <v>1</v>
      </c>
      <c r="AD2024" s="35"/>
      <c r="AE2024" s="35"/>
      <c r="AF2024" s="35"/>
      <c r="AG2024" s="35"/>
      <c r="AH2024" s="35">
        <v>33</v>
      </c>
      <c r="AI2024" s="35"/>
      <c r="AJ2024" s="35"/>
      <c r="AK2024" s="35"/>
      <c r="AL2024" s="35">
        <v>217</v>
      </c>
      <c r="AM2024" s="35"/>
      <c r="AN2024" s="35"/>
      <c r="AO2024" s="35"/>
      <c r="AP2024" s="35">
        <v>88</v>
      </c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22">
        <f t="shared" si="672"/>
        <v>338</v>
      </c>
      <c r="BC2024" s="23">
        <v>1500</v>
      </c>
      <c r="BD2024" s="130">
        <f t="shared" si="673"/>
        <v>338</v>
      </c>
      <c r="BE2024" s="130">
        <f t="shared" si="674"/>
        <v>1501</v>
      </c>
      <c r="BF2024" s="195">
        <f t="shared" si="675"/>
        <v>22.51832111925383</v>
      </c>
      <c r="BG2024" s="373">
        <f t="shared" si="676"/>
        <v>1163</v>
      </c>
    </row>
    <row r="2025" spans="1:61" s="46" customFormat="1" ht="15.95" customHeight="1">
      <c r="A2025" s="176">
        <v>16</v>
      </c>
      <c r="B2025" s="31" t="s">
        <v>748</v>
      </c>
      <c r="C2025" s="32" t="s">
        <v>749</v>
      </c>
      <c r="D2025" s="390"/>
      <c r="E2025" s="390"/>
      <c r="F2025" s="390"/>
      <c r="G2025" s="390"/>
      <c r="H2025" s="390"/>
      <c r="I2025" s="390"/>
      <c r="J2025" s="390"/>
      <c r="K2025" s="390"/>
      <c r="L2025" s="390"/>
      <c r="M2025" s="390"/>
      <c r="N2025" s="390"/>
      <c r="O2025" s="390"/>
      <c r="P2025" s="390"/>
      <c r="Q2025" s="390"/>
      <c r="R2025" s="390"/>
      <c r="S2025" s="390"/>
      <c r="T2025" s="390"/>
      <c r="U2025" s="390"/>
      <c r="V2025" s="390"/>
      <c r="W2025" s="390"/>
      <c r="X2025" s="390"/>
      <c r="Y2025" s="390"/>
      <c r="Z2025" s="390"/>
      <c r="AA2025" s="390"/>
      <c r="AB2025" s="22">
        <f t="shared" si="671"/>
        <v>0</v>
      </c>
      <c r="AC2025" s="23">
        <v>0</v>
      </c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22">
        <f t="shared" si="672"/>
        <v>0</v>
      </c>
      <c r="BC2025" s="23">
        <v>1</v>
      </c>
      <c r="BD2025" s="130">
        <f t="shared" si="673"/>
        <v>0</v>
      </c>
      <c r="BE2025" s="130">
        <f t="shared" si="674"/>
        <v>1</v>
      </c>
      <c r="BF2025" s="195">
        <f t="shared" si="675"/>
        <v>0</v>
      </c>
      <c r="BG2025" s="373">
        <f t="shared" si="676"/>
        <v>1</v>
      </c>
    </row>
    <row r="2026" spans="1:61" s="46" customFormat="1" ht="15.95" customHeight="1">
      <c r="A2026" s="176">
        <v>17</v>
      </c>
      <c r="B2026" s="31" t="s">
        <v>1066</v>
      </c>
      <c r="C2026" s="32" t="s">
        <v>1067</v>
      </c>
      <c r="D2026" s="390"/>
      <c r="E2026" s="390"/>
      <c r="F2026" s="390"/>
      <c r="G2026" s="390"/>
      <c r="H2026" s="390"/>
      <c r="I2026" s="390"/>
      <c r="J2026" s="390"/>
      <c r="K2026" s="390"/>
      <c r="L2026" s="390"/>
      <c r="M2026" s="390"/>
      <c r="N2026" s="390"/>
      <c r="O2026" s="390"/>
      <c r="P2026" s="390"/>
      <c r="Q2026" s="390"/>
      <c r="R2026" s="390"/>
      <c r="S2026" s="390"/>
      <c r="T2026" s="390"/>
      <c r="U2026" s="390"/>
      <c r="V2026" s="390"/>
      <c r="W2026" s="390"/>
      <c r="X2026" s="390"/>
      <c r="Y2026" s="390"/>
      <c r="Z2026" s="390"/>
      <c r="AA2026" s="390"/>
      <c r="AB2026" s="22">
        <f t="shared" si="671"/>
        <v>0</v>
      </c>
      <c r="AC2026" s="23">
        <v>0</v>
      </c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22">
        <f t="shared" si="672"/>
        <v>0</v>
      </c>
      <c r="BC2026" s="23">
        <v>1</v>
      </c>
      <c r="BD2026" s="130">
        <f t="shared" si="673"/>
        <v>0</v>
      </c>
      <c r="BE2026" s="130">
        <f t="shared" si="674"/>
        <v>1</v>
      </c>
      <c r="BF2026" s="195">
        <f t="shared" si="675"/>
        <v>0</v>
      </c>
      <c r="BG2026" s="373">
        <f t="shared" si="676"/>
        <v>1</v>
      </c>
    </row>
    <row r="2027" spans="1:61" s="46" customFormat="1" ht="15.95" customHeight="1">
      <c r="A2027" s="176">
        <v>18</v>
      </c>
      <c r="B2027" s="31" t="s">
        <v>750</v>
      </c>
      <c r="C2027" s="32" t="s">
        <v>751</v>
      </c>
      <c r="D2027" s="390"/>
      <c r="E2027" s="390"/>
      <c r="F2027" s="390"/>
      <c r="G2027" s="390"/>
      <c r="H2027" s="390"/>
      <c r="I2027" s="390"/>
      <c r="J2027" s="390"/>
      <c r="K2027" s="390"/>
      <c r="L2027" s="390"/>
      <c r="M2027" s="390"/>
      <c r="N2027" s="390"/>
      <c r="O2027" s="390"/>
      <c r="P2027" s="390"/>
      <c r="Q2027" s="390"/>
      <c r="R2027" s="390"/>
      <c r="S2027" s="390"/>
      <c r="T2027" s="390"/>
      <c r="U2027" s="390"/>
      <c r="V2027" s="390"/>
      <c r="W2027" s="390"/>
      <c r="X2027" s="390"/>
      <c r="Y2027" s="390"/>
      <c r="Z2027" s="390"/>
      <c r="AA2027" s="390"/>
      <c r="AB2027" s="22">
        <f t="shared" si="671"/>
        <v>0</v>
      </c>
      <c r="AC2027" s="23">
        <v>0</v>
      </c>
      <c r="AD2027" s="35"/>
      <c r="AE2027" s="35"/>
      <c r="AF2027" s="35"/>
      <c r="AG2027" s="35"/>
      <c r="AH2027" s="35">
        <v>9</v>
      </c>
      <c r="AI2027" s="35"/>
      <c r="AJ2027" s="35"/>
      <c r="AK2027" s="35"/>
      <c r="AL2027" s="35">
        <v>38</v>
      </c>
      <c r="AM2027" s="35"/>
      <c r="AN2027" s="35"/>
      <c r="AO2027" s="35"/>
      <c r="AP2027" s="35">
        <v>11</v>
      </c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22">
        <f t="shared" si="672"/>
        <v>58</v>
      </c>
      <c r="BC2027" s="23">
        <v>129</v>
      </c>
      <c r="BD2027" s="130">
        <f t="shared" si="673"/>
        <v>58</v>
      </c>
      <c r="BE2027" s="130">
        <f t="shared" si="674"/>
        <v>129</v>
      </c>
      <c r="BF2027" s="195">
        <f t="shared" si="675"/>
        <v>44.961240310077521</v>
      </c>
      <c r="BG2027" s="373">
        <f t="shared" si="676"/>
        <v>71</v>
      </c>
    </row>
    <row r="2028" spans="1:61" s="46" customFormat="1" ht="15.95" customHeight="1">
      <c r="A2028" s="176">
        <v>19</v>
      </c>
      <c r="B2028" s="31" t="s">
        <v>930</v>
      </c>
      <c r="C2028" s="32" t="s">
        <v>931</v>
      </c>
      <c r="D2028" s="390"/>
      <c r="E2028" s="390"/>
      <c r="F2028" s="390"/>
      <c r="G2028" s="390"/>
      <c r="H2028" s="390"/>
      <c r="I2028" s="390"/>
      <c r="J2028" s="390"/>
      <c r="K2028" s="390"/>
      <c r="L2028" s="390"/>
      <c r="M2028" s="390"/>
      <c r="N2028" s="390"/>
      <c r="O2028" s="390"/>
      <c r="P2028" s="390"/>
      <c r="Q2028" s="390"/>
      <c r="R2028" s="390"/>
      <c r="S2028" s="390"/>
      <c r="T2028" s="390"/>
      <c r="U2028" s="390"/>
      <c r="V2028" s="390"/>
      <c r="W2028" s="390"/>
      <c r="X2028" s="390"/>
      <c r="Y2028" s="390"/>
      <c r="Z2028" s="390"/>
      <c r="AA2028" s="390"/>
      <c r="AB2028" s="22">
        <f t="shared" si="671"/>
        <v>0</v>
      </c>
      <c r="AC2028" s="23">
        <v>0</v>
      </c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22">
        <f t="shared" si="672"/>
        <v>0</v>
      </c>
      <c r="BC2028" s="23">
        <v>1</v>
      </c>
      <c r="BD2028" s="130">
        <f t="shared" si="673"/>
        <v>0</v>
      </c>
      <c r="BE2028" s="130">
        <f t="shared" si="674"/>
        <v>1</v>
      </c>
      <c r="BF2028" s="195">
        <f t="shared" si="675"/>
        <v>0</v>
      </c>
      <c r="BG2028" s="373">
        <f t="shared" si="676"/>
        <v>1</v>
      </c>
    </row>
    <row r="2029" spans="1:61" s="46" customFormat="1" ht="15.95" customHeight="1">
      <c r="A2029" s="176">
        <v>20</v>
      </c>
      <c r="B2029" s="31" t="s">
        <v>752</v>
      </c>
      <c r="C2029" s="32" t="s">
        <v>753</v>
      </c>
      <c r="D2029" s="231"/>
      <c r="E2029" s="231"/>
      <c r="F2029" s="231"/>
      <c r="G2029" s="231"/>
      <c r="H2029" s="231"/>
      <c r="I2029" s="231"/>
      <c r="J2029" s="231"/>
      <c r="K2029" s="231"/>
      <c r="L2029" s="231"/>
      <c r="M2029" s="231"/>
      <c r="N2029" s="231"/>
      <c r="O2029" s="231"/>
      <c r="P2029" s="231"/>
      <c r="Q2029" s="231"/>
      <c r="R2029" s="231"/>
      <c r="S2029" s="231"/>
      <c r="T2029" s="231"/>
      <c r="U2029" s="231"/>
      <c r="V2029" s="231"/>
      <c r="W2029" s="231"/>
      <c r="X2029" s="231"/>
      <c r="Y2029" s="231"/>
      <c r="Z2029" s="231"/>
      <c r="AA2029" s="231"/>
      <c r="AB2029" s="22">
        <f t="shared" si="671"/>
        <v>0</v>
      </c>
      <c r="AC2029" s="23">
        <v>0</v>
      </c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22">
        <f t="shared" si="672"/>
        <v>0</v>
      </c>
      <c r="BC2029" s="23">
        <v>2</v>
      </c>
      <c r="BD2029" s="130">
        <f t="shared" si="673"/>
        <v>0</v>
      </c>
      <c r="BE2029" s="130">
        <f t="shared" si="674"/>
        <v>2</v>
      </c>
      <c r="BF2029" s="195">
        <f t="shared" si="675"/>
        <v>0</v>
      </c>
      <c r="BG2029" s="373">
        <f t="shared" si="676"/>
        <v>2</v>
      </c>
    </row>
    <row r="2030" spans="1:61" s="46" customFormat="1" ht="15.95" customHeight="1">
      <c r="A2030" s="176">
        <v>21</v>
      </c>
      <c r="B2030" s="37" t="s">
        <v>754</v>
      </c>
      <c r="C2030" s="38" t="s">
        <v>889</v>
      </c>
      <c r="D2030" s="231"/>
      <c r="E2030" s="231"/>
      <c r="F2030" s="231"/>
      <c r="G2030" s="231"/>
      <c r="H2030" s="231"/>
      <c r="I2030" s="231"/>
      <c r="J2030" s="231"/>
      <c r="K2030" s="231"/>
      <c r="L2030" s="231"/>
      <c r="M2030" s="231"/>
      <c r="N2030" s="231"/>
      <c r="O2030" s="231"/>
      <c r="P2030" s="231"/>
      <c r="Q2030" s="231"/>
      <c r="R2030" s="231"/>
      <c r="S2030" s="231"/>
      <c r="T2030" s="231"/>
      <c r="U2030" s="231"/>
      <c r="V2030" s="231"/>
      <c r="W2030" s="231"/>
      <c r="X2030" s="231"/>
      <c r="Y2030" s="231"/>
      <c r="Z2030" s="231"/>
      <c r="AA2030" s="231"/>
      <c r="AB2030" s="22">
        <f t="shared" si="671"/>
        <v>0</v>
      </c>
      <c r="AC2030" s="23">
        <v>0</v>
      </c>
      <c r="AD2030" s="35"/>
      <c r="AE2030" s="35"/>
      <c r="AF2030" s="35"/>
      <c r="AG2030" s="35"/>
      <c r="AH2030" s="35"/>
      <c r="AI2030" s="35"/>
      <c r="AJ2030" s="35"/>
      <c r="AK2030" s="35"/>
      <c r="AL2030" s="35">
        <v>7</v>
      </c>
      <c r="AM2030" s="35"/>
      <c r="AN2030" s="35"/>
      <c r="AO2030" s="35"/>
      <c r="AP2030" s="35">
        <v>2</v>
      </c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22">
        <f t="shared" si="672"/>
        <v>9</v>
      </c>
      <c r="BC2030" s="23">
        <v>16</v>
      </c>
      <c r="BD2030" s="130">
        <f t="shared" si="673"/>
        <v>9</v>
      </c>
      <c r="BE2030" s="130">
        <f t="shared" si="674"/>
        <v>16</v>
      </c>
      <c r="BF2030" s="195">
        <f t="shared" si="675"/>
        <v>56.25</v>
      </c>
      <c r="BG2030" s="373">
        <f t="shared" si="676"/>
        <v>7</v>
      </c>
    </row>
    <row r="2031" spans="1:61" s="46" customFormat="1" ht="15.95" customHeight="1">
      <c r="A2031" s="176">
        <v>22</v>
      </c>
      <c r="B2031" s="31" t="s">
        <v>756</v>
      </c>
      <c r="C2031" s="32" t="s">
        <v>757</v>
      </c>
      <c r="D2031" s="231"/>
      <c r="E2031" s="231"/>
      <c r="F2031" s="231"/>
      <c r="G2031" s="231"/>
      <c r="H2031" s="231">
        <f>35+2</f>
        <v>37</v>
      </c>
      <c r="I2031" s="231"/>
      <c r="J2031" s="231"/>
      <c r="K2031" s="231"/>
      <c r="L2031" s="231">
        <f>91+2+3</f>
        <v>96</v>
      </c>
      <c r="M2031" s="231"/>
      <c r="N2031" s="231"/>
      <c r="O2031" s="231"/>
      <c r="P2031" s="231">
        <v>58</v>
      </c>
      <c r="Q2031" s="231"/>
      <c r="R2031" s="231"/>
      <c r="S2031" s="231"/>
      <c r="T2031" s="231"/>
      <c r="U2031" s="231"/>
      <c r="V2031" s="231"/>
      <c r="W2031" s="231"/>
      <c r="X2031" s="231"/>
      <c r="Y2031" s="231"/>
      <c r="Z2031" s="231"/>
      <c r="AA2031" s="231"/>
      <c r="AB2031" s="22">
        <f t="shared" si="671"/>
        <v>191</v>
      </c>
      <c r="AC2031" s="23">
        <v>162</v>
      </c>
      <c r="AD2031" s="35"/>
      <c r="AE2031" s="35"/>
      <c r="AF2031" s="35"/>
      <c r="AG2031" s="35"/>
      <c r="AH2031" s="35">
        <v>92</v>
      </c>
      <c r="AI2031" s="35"/>
      <c r="AJ2031" s="35"/>
      <c r="AK2031" s="35"/>
      <c r="AL2031" s="35">
        <v>323</v>
      </c>
      <c r="AM2031" s="35"/>
      <c r="AN2031" s="35"/>
      <c r="AO2031" s="35"/>
      <c r="AP2031" s="35">
        <f>1+237</f>
        <v>238</v>
      </c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22">
        <f t="shared" si="672"/>
        <v>653</v>
      </c>
      <c r="BC2031" s="23">
        <v>1835</v>
      </c>
      <c r="BD2031" s="130">
        <f t="shared" si="673"/>
        <v>844</v>
      </c>
      <c r="BE2031" s="130">
        <f t="shared" si="674"/>
        <v>1997</v>
      </c>
      <c r="BF2031" s="195">
        <f t="shared" si="675"/>
        <v>42.263395092638959</v>
      </c>
      <c r="BG2031" s="373">
        <f t="shared" si="676"/>
        <v>1153</v>
      </c>
      <c r="BH2031" s="325"/>
    </row>
    <row r="2032" spans="1:61" s="46" customFormat="1" ht="15.95" customHeight="1">
      <c r="A2032" s="176">
        <v>23</v>
      </c>
      <c r="B2032" s="31" t="s">
        <v>758</v>
      </c>
      <c r="C2032" s="32" t="s">
        <v>1964</v>
      </c>
      <c r="D2032" s="231"/>
      <c r="E2032" s="231"/>
      <c r="F2032" s="231"/>
      <c r="G2032" s="231"/>
      <c r="H2032" s="231"/>
      <c r="I2032" s="231"/>
      <c r="J2032" s="231"/>
      <c r="K2032" s="231"/>
      <c r="L2032" s="231"/>
      <c r="M2032" s="231"/>
      <c r="N2032" s="231"/>
      <c r="O2032" s="231"/>
      <c r="P2032" s="231"/>
      <c r="Q2032" s="231"/>
      <c r="R2032" s="231"/>
      <c r="S2032" s="231"/>
      <c r="T2032" s="231"/>
      <c r="U2032" s="231"/>
      <c r="V2032" s="231"/>
      <c r="W2032" s="231"/>
      <c r="X2032" s="231"/>
      <c r="Y2032" s="231"/>
      <c r="Z2032" s="231"/>
      <c r="AA2032" s="231"/>
      <c r="AB2032" s="22">
        <f t="shared" si="671"/>
        <v>0</v>
      </c>
      <c r="AC2032" s="23">
        <v>5</v>
      </c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>
        <v>5</v>
      </c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22">
        <f t="shared" si="672"/>
        <v>5</v>
      </c>
      <c r="BC2032" s="23">
        <v>42</v>
      </c>
      <c r="BD2032" s="130">
        <f t="shared" si="673"/>
        <v>5</v>
      </c>
      <c r="BE2032" s="130">
        <f t="shared" si="674"/>
        <v>47</v>
      </c>
      <c r="BF2032" s="195">
        <f t="shared" si="675"/>
        <v>10.638297872340425</v>
      </c>
      <c r="BG2032" s="373">
        <f t="shared" si="676"/>
        <v>42</v>
      </c>
    </row>
    <row r="2033" spans="1:60" s="46" customFormat="1" ht="15.95" customHeight="1">
      <c r="A2033" s="176">
        <v>24</v>
      </c>
      <c r="B2033" s="31" t="s">
        <v>760</v>
      </c>
      <c r="C2033" s="32" t="s">
        <v>1130</v>
      </c>
      <c r="D2033" s="231"/>
      <c r="E2033" s="231"/>
      <c r="F2033" s="231"/>
      <c r="G2033" s="231"/>
      <c r="H2033" s="231"/>
      <c r="I2033" s="231"/>
      <c r="J2033" s="231"/>
      <c r="K2033" s="231"/>
      <c r="L2033" s="231"/>
      <c r="M2033" s="231"/>
      <c r="N2033" s="231"/>
      <c r="O2033" s="231"/>
      <c r="P2033" s="231"/>
      <c r="Q2033" s="231"/>
      <c r="R2033" s="231"/>
      <c r="S2033" s="231"/>
      <c r="T2033" s="231"/>
      <c r="U2033" s="231"/>
      <c r="V2033" s="231"/>
      <c r="W2033" s="231"/>
      <c r="X2033" s="231"/>
      <c r="Y2033" s="231"/>
      <c r="Z2033" s="231"/>
      <c r="AA2033" s="231"/>
      <c r="AB2033" s="22">
        <f t="shared" si="671"/>
        <v>0</v>
      </c>
      <c r="AC2033" s="23">
        <v>0</v>
      </c>
      <c r="AD2033" s="35"/>
      <c r="AE2033" s="35"/>
      <c r="AF2033" s="35"/>
      <c r="AG2033" s="35"/>
      <c r="AH2033" s="35"/>
      <c r="AI2033" s="35"/>
      <c r="AJ2033" s="35"/>
      <c r="AK2033" s="35"/>
      <c r="AL2033" s="35">
        <v>3</v>
      </c>
      <c r="AM2033" s="35"/>
      <c r="AN2033" s="35"/>
      <c r="AO2033" s="35"/>
      <c r="AP2033" s="35">
        <v>1</v>
      </c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22">
        <f t="shared" si="672"/>
        <v>4</v>
      </c>
      <c r="BC2033" s="23">
        <v>69</v>
      </c>
      <c r="BD2033" s="130">
        <f t="shared" si="673"/>
        <v>4</v>
      </c>
      <c r="BE2033" s="130">
        <f t="shared" si="674"/>
        <v>69</v>
      </c>
      <c r="BF2033" s="195">
        <f t="shared" si="675"/>
        <v>5.7971014492753623</v>
      </c>
      <c r="BG2033" s="373">
        <f t="shared" si="676"/>
        <v>65</v>
      </c>
    </row>
    <row r="2034" spans="1:60" s="46" customFormat="1" ht="15.95" customHeight="1">
      <c r="A2034" s="176">
        <v>25</v>
      </c>
      <c r="B2034" s="31" t="s">
        <v>763</v>
      </c>
      <c r="C2034" s="32" t="s">
        <v>2465</v>
      </c>
      <c r="D2034" s="231"/>
      <c r="E2034" s="231"/>
      <c r="F2034" s="231"/>
      <c r="G2034" s="231"/>
      <c r="H2034" s="231"/>
      <c r="I2034" s="231"/>
      <c r="J2034" s="231"/>
      <c r="K2034" s="231"/>
      <c r="L2034" s="231"/>
      <c r="M2034" s="231"/>
      <c r="N2034" s="231"/>
      <c r="O2034" s="231"/>
      <c r="P2034" s="231"/>
      <c r="Q2034" s="231"/>
      <c r="R2034" s="231"/>
      <c r="S2034" s="231"/>
      <c r="T2034" s="231"/>
      <c r="U2034" s="231"/>
      <c r="V2034" s="231"/>
      <c r="W2034" s="231"/>
      <c r="X2034" s="231"/>
      <c r="Y2034" s="231"/>
      <c r="Z2034" s="231"/>
      <c r="AA2034" s="231"/>
      <c r="AB2034" s="22">
        <f t="shared" si="671"/>
        <v>0</v>
      </c>
      <c r="AC2034" s="23">
        <v>0</v>
      </c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22">
        <f t="shared" si="672"/>
        <v>0</v>
      </c>
      <c r="BC2034" s="23">
        <v>5</v>
      </c>
      <c r="BD2034" s="130">
        <f t="shared" si="673"/>
        <v>0</v>
      </c>
      <c r="BE2034" s="130">
        <f t="shared" si="674"/>
        <v>5</v>
      </c>
      <c r="BF2034" s="195">
        <f t="shared" si="675"/>
        <v>0</v>
      </c>
      <c r="BG2034" s="373">
        <f t="shared" si="676"/>
        <v>5</v>
      </c>
    </row>
    <row r="2035" spans="1:60" s="46" customFormat="1" ht="15.95" customHeight="1">
      <c r="A2035" s="176">
        <v>26</v>
      </c>
      <c r="B2035" s="31" t="s">
        <v>764</v>
      </c>
      <c r="C2035" s="32" t="s">
        <v>765</v>
      </c>
      <c r="D2035" s="231"/>
      <c r="E2035" s="231"/>
      <c r="F2035" s="231"/>
      <c r="G2035" s="231"/>
      <c r="H2035" s="231"/>
      <c r="I2035" s="231"/>
      <c r="J2035" s="231"/>
      <c r="K2035" s="231"/>
      <c r="L2035" s="231"/>
      <c r="M2035" s="231"/>
      <c r="N2035" s="231"/>
      <c r="O2035" s="231"/>
      <c r="P2035" s="231"/>
      <c r="Q2035" s="231"/>
      <c r="R2035" s="231"/>
      <c r="S2035" s="231"/>
      <c r="T2035" s="231"/>
      <c r="U2035" s="231"/>
      <c r="V2035" s="231"/>
      <c r="W2035" s="231"/>
      <c r="X2035" s="231"/>
      <c r="Y2035" s="231"/>
      <c r="Z2035" s="231"/>
      <c r="AA2035" s="231"/>
      <c r="AB2035" s="22">
        <f t="shared" si="671"/>
        <v>0</v>
      </c>
      <c r="AC2035" s="23">
        <v>0</v>
      </c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>
        <v>2</v>
      </c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22">
        <f t="shared" si="672"/>
        <v>2</v>
      </c>
      <c r="BC2035" s="23">
        <v>6</v>
      </c>
      <c r="BD2035" s="130">
        <f t="shared" si="673"/>
        <v>2</v>
      </c>
      <c r="BE2035" s="130">
        <f t="shared" si="674"/>
        <v>6</v>
      </c>
      <c r="BF2035" s="195">
        <f t="shared" si="675"/>
        <v>33.333333333333329</v>
      </c>
      <c r="BG2035" s="373">
        <f t="shared" si="676"/>
        <v>4</v>
      </c>
    </row>
    <row r="2036" spans="1:60" s="46" customFormat="1" ht="15.95" customHeight="1">
      <c r="A2036" s="176">
        <v>27</v>
      </c>
      <c r="B2036" s="31" t="s">
        <v>1135</v>
      </c>
      <c r="C2036" s="32" t="s">
        <v>1136</v>
      </c>
      <c r="D2036" s="322">
        <v>54</v>
      </c>
      <c r="E2036" s="322"/>
      <c r="F2036" s="322"/>
      <c r="G2036" s="322"/>
      <c r="H2036" s="322">
        <v>102</v>
      </c>
      <c r="I2036" s="322"/>
      <c r="J2036" s="322"/>
      <c r="K2036" s="322"/>
      <c r="L2036" s="322">
        <f>1+408</f>
        <v>409</v>
      </c>
      <c r="M2036" s="322"/>
      <c r="N2036" s="322"/>
      <c r="O2036" s="322"/>
      <c r="P2036" s="322">
        <v>1</v>
      </c>
      <c r="Q2036" s="322"/>
      <c r="R2036" s="322"/>
      <c r="S2036" s="322"/>
      <c r="T2036" s="322"/>
      <c r="U2036" s="322"/>
      <c r="V2036" s="322"/>
      <c r="W2036" s="322"/>
      <c r="X2036" s="322"/>
      <c r="Y2036" s="322"/>
      <c r="Z2036" s="322"/>
      <c r="AA2036" s="322"/>
      <c r="AB2036" s="22">
        <f t="shared" si="671"/>
        <v>566</v>
      </c>
      <c r="AC2036" s="23">
        <v>1037</v>
      </c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22">
        <f t="shared" si="672"/>
        <v>0</v>
      </c>
      <c r="BC2036" s="23">
        <v>0</v>
      </c>
      <c r="BD2036" s="130">
        <f t="shared" si="673"/>
        <v>566</v>
      </c>
      <c r="BE2036" s="130">
        <f t="shared" si="674"/>
        <v>1037</v>
      </c>
      <c r="BF2036" s="195">
        <f t="shared" si="675"/>
        <v>54.580520732883322</v>
      </c>
      <c r="BG2036" s="373">
        <f t="shared" si="676"/>
        <v>471</v>
      </c>
    </row>
    <row r="2037" spans="1:60" s="46" customFormat="1" ht="15.95" customHeight="1">
      <c r="A2037" s="176">
        <v>28</v>
      </c>
      <c r="B2037" s="31" t="s">
        <v>1137</v>
      </c>
      <c r="C2037" s="34" t="s">
        <v>1138</v>
      </c>
      <c r="D2037" s="231"/>
      <c r="E2037" s="231"/>
      <c r="F2037" s="231"/>
      <c r="G2037" s="231"/>
      <c r="H2037" s="231"/>
      <c r="I2037" s="231"/>
      <c r="J2037" s="231"/>
      <c r="K2037" s="231"/>
      <c r="L2037" s="231">
        <v>1</v>
      </c>
      <c r="M2037" s="231"/>
      <c r="N2037" s="231"/>
      <c r="O2037" s="231"/>
      <c r="P2037" s="231"/>
      <c r="Q2037" s="231"/>
      <c r="R2037" s="231"/>
      <c r="S2037" s="231"/>
      <c r="T2037" s="231"/>
      <c r="U2037" s="231"/>
      <c r="V2037" s="231"/>
      <c r="W2037" s="231"/>
      <c r="X2037" s="231"/>
      <c r="Y2037" s="231"/>
      <c r="Z2037" s="231"/>
      <c r="AA2037" s="231"/>
      <c r="AB2037" s="22">
        <f t="shared" si="671"/>
        <v>1</v>
      </c>
      <c r="AC2037" s="23">
        <v>1</v>
      </c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22">
        <f t="shared" si="672"/>
        <v>0</v>
      </c>
      <c r="BC2037" s="23">
        <v>3</v>
      </c>
      <c r="BD2037" s="130">
        <f t="shared" si="673"/>
        <v>1</v>
      </c>
      <c r="BE2037" s="130">
        <f t="shared" si="674"/>
        <v>4</v>
      </c>
      <c r="BF2037" s="195">
        <f t="shared" si="675"/>
        <v>25</v>
      </c>
      <c r="BG2037" s="373">
        <f t="shared" si="676"/>
        <v>3</v>
      </c>
    </row>
    <row r="2038" spans="1:60" s="46" customFormat="1" ht="15.95" customHeight="1">
      <c r="A2038" s="176">
        <v>29</v>
      </c>
      <c r="B2038" s="31" t="s">
        <v>2896</v>
      </c>
      <c r="C2038" s="32" t="s">
        <v>3984</v>
      </c>
      <c r="D2038" s="550"/>
      <c r="E2038" s="550"/>
      <c r="F2038" s="550"/>
      <c r="G2038" s="550"/>
      <c r="H2038" s="550"/>
      <c r="I2038" s="550"/>
      <c r="J2038" s="550"/>
      <c r="K2038" s="550"/>
      <c r="L2038" s="550">
        <v>1</v>
      </c>
      <c r="M2038" s="550"/>
      <c r="N2038" s="550"/>
      <c r="O2038" s="550"/>
      <c r="P2038" s="550">
        <v>1</v>
      </c>
      <c r="Q2038" s="550"/>
      <c r="R2038" s="550"/>
      <c r="S2038" s="550"/>
      <c r="T2038" s="550"/>
      <c r="U2038" s="550"/>
      <c r="V2038" s="550"/>
      <c r="W2038" s="550"/>
      <c r="X2038" s="550"/>
      <c r="Y2038" s="550"/>
      <c r="Z2038" s="550"/>
      <c r="AA2038" s="550"/>
      <c r="AB2038" s="22">
        <f t="shared" si="671"/>
        <v>2</v>
      </c>
      <c r="AC2038" s="23">
        <v>0</v>
      </c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22">
        <f t="shared" si="672"/>
        <v>0</v>
      </c>
      <c r="BC2038" s="23">
        <v>0</v>
      </c>
      <c r="BD2038" s="130">
        <f t="shared" si="673"/>
        <v>2</v>
      </c>
      <c r="BE2038" s="130">
        <f t="shared" si="674"/>
        <v>0</v>
      </c>
      <c r="BF2038" s="195" t="e">
        <f t="shared" si="675"/>
        <v>#DIV/0!</v>
      </c>
      <c r="BG2038" s="373"/>
    </row>
    <row r="2039" spans="1:60" s="325" customFormat="1" ht="15.95" customHeight="1">
      <c r="A2039" s="176">
        <v>30</v>
      </c>
      <c r="B2039" s="31" t="s">
        <v>768</v>
      </c>
      <c r="C2039" s="32" t="s">
        <v>769</v>
      </c>
      <c r="D2039" s="323"/>
      <c r="E2039" s="323"/>
      <c r="F2039" s="323"/>
      <c r="G2039" s="323"/>
      <c r="H2039" s="323"/>
      <c r="I2039" s="323"/>
      <c r="J2039" s="323"/>
      <c r="K2039" s="323"/>
      <c r="L2039" s="323"/>
      <c r="M2039" s="323"/>
      <c r="N2039" s="323"/>
      <c r="O2039" s="323"/>
      <c r="P2039" s="323"/>
      <c r="Q2039" s="323"/>
      <c r="R2039" s="323"/>
      <c r="S2039" s="323"/>
      <c r="T2039" s="323"/>
      <c r="U2039" s="323"/>
      <c r="V2039" s="323"/>
      <c r="W2039" s="323"/>
      <c r="X2039" s="323"/>
      <c r="Y2039" s="323"/>
      <c r="Z2039" s="323"/>
      <c r="AA2039" s="323"/>
      <c r="AB2039" s="22">
        <f t="shared" si="671"/>
        <v>0</v>
      </c>
      <c r="AC2039" s="23">
        <v>0</v>
      </c>
      <c r="AD2039" s="35"/>
      <c r="AE2039" s="35"/>
      <c r="AF2039" s="35"/>
      <c r="AG2039" s="35"/>
      <c r="AH2039" s="35">
        <v>5</v>
      </c>
      <c r="AI2039" s="35"/>
      <c r="AJ2039" s="35"/>
      <c r="AK2039" s="35"/>
      <c r="AL2039" s="35">
        <v>39</v>
      </c>
      <c r="AM2039" s="35"/>
      <c r="AN2039" s="35"/>
      <c r="AO2039" s="35"/>
      <c r="AP2039" s="35">
        <v>14</v>
      </c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22">
        <f t="shared" si="672"/>
        <v>58</v>
      </c>
      <c r="BC2039" s="23">
        <v>173</v>
      </c>
      <c r="BD2039" s="130">
        <f t="shared" si="673"/>
        <v>58</v>
      </c>
      <c r="BE2039" s="130">
        <f t="shared" si="674"/>
        <v>173</v>
      </c>
      <c r="BF2039" s="195">
        <f t="shared" si="675"/>
        <v>33.52601156069364</v>
      </c>
      <c r="BG2039" s="373">
        <f t="shared" ref="BG2039:BG2076" si="677">BE2039-BD2039</f>
        <v>115</v>
      </c>
      <c r="BH2039" s="46"/>
    </row>
    <row r="2040" spans="1:60" s="46" customFormat="1" ht="15.95" customHeight="1">
      <c r="A2040" s="176">
        <v>31</v>
      </c>
      <c r="B2040" s="31" t="s">
        <v>770</v>
      </c>
      <c r="C2040" s="32" t="s">
        <v>1139</v>
      </c>
      <c r="D2040" s="231"/>
      <c r="E2040" s="231"/>
      <c r="F2040" s="231"/>
      <c r="G2040" s="231"/>
      <c r="H2040" s="231"/>
      <c r="I2040" s="231"/>
      <c r="J2040" s="231"/>
      <c r="K2040" s="231"/>
      <c r="L2040" s="231"/>
      <c r="M2040" s="231"/>
      <c r="N2040" s="231"/>
      <c r="O2040" s="231"/>
      <c r="P2040" s="231"/>
      <c r="Q2040" s="231"/>
      <c r="R2040" s="231"/>
      <c r="S2040" s="231"/>
      <c r="T2040" s="231"/>
      <c r="U2040" s="231"/>
      <c r="V2040" s="231"/>
      <c r="W2040" s="231"/>
      <c r="X2040" s="231"/>
      <c r="Y2040" s="231"/>
      <c r="Z2040" s="231"/>
      <c r="AA2040" s="231"/>
      <c r="AB2040" s="22">
        <f t="shared" si="671"/>
        <v>0</v>
      </c>
      <c r="AC2040" s="23">
        <v>0</v>
      </c>
      <c r="AD2040" s="35"/>
      <c r="AE2040" s="35"/>
      <c r="AF2040" s="35"/>
      <c r="AG2040" s="35"/>
      <c r="AH2040" s="35">
        <v>5</v>
      </c>
      <c r="AI2040" s="35"/>
      <c r="AJ2040" s="35"/>
      <c r="AK2040" s="35"/>
      <c r="AL2040" s="35">
        <v>42</v>
      </c>
      <c r="AM2040" s="35"/>
      <c r="AN2040" s="35"/>
      <c r="AO2040" s="35"/>
      <c r="AP2040" s="35">
        <v>14</v>
      </c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22">
        <f t="shared" si="672"/>
        <v>61</v>
      </c>
      <c r="BC2040" s="23">
        <v>186</v>
      </c>
      <c r="BD2040" s="130">
        <f t="shared" si="673"/>
        <v>61</v>
      </c>
      <c r="BE2040" s="130">
        <f t="shared" si="674"/>
        <v>186</v>
      </c>
      <c r="BF2040" s="195">
        <f t="shared" si="675"/>
        <v>32.795698924731184</v>
      </c>
      <c r="BG2040" s="373">
        <f t="shared" si="677"/>
        <v>125</v>
      </c>
    </row>
    <row r="2041" spans="1:60" s="46" customFormat="1" ht="15.95" customHeight="1">
      <c r="A2041" s="176">
        <v>32</v>
      </c>
      <c r="B2041" s="31" t="s">
        <v>1140</v>
      </c>
      <c r="C2041" s="34" t="s">
        <v>1141</v>
      </c>
      <c r="D2041" s="231"/>
      <c r="E2041" s="231"/>
      <c r="F2041" s="231"/>
      <c r="G2041" s="231"/>
      <c r="H2041" s="231"/>
      <c r="I2041" s="231"/>
      <c r="J2041" s="231"/>
      <c r="K2041" s="231"/>
      <c r="L2041" s="231"/>
      <c r="M2041" s="231"/>
      <c r="N2041" s="231"/>
      <c r="O2041" s="231"/>
      <c r="P2041" s="231"/>
      <c r="Q2041" s="231"/>
      <c r="R2041" s="231"/>
      <c r="S2041" s="231"/>
      <c r="T2041" s="231"/>
      <c r="U2041" s="231"/>
      <c r="V2041" s="231"/>
      <c r="W2041" s="231"/>
      <c r="X2041" s="231"/>
      <c r="Y2041" s="231"/>
      <c r="Z2041" s="231"/>
      <c r="AA2041" s="231"/>
      <c r="AB2041" s="22">
        <f t="shared" si="671"/>
        <v>0</v>
      </c>
      <c r="AC2041" s="23">
        <v>1</v>
      </c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>
        <v>1</v>
      </c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22">
        <f t="shared" si="672"/>
        <v>1</v>
      </c>
      <c r="BC2041" s="23">
        <v>2</v>
      </c>
      <c r="BD2041" s="130">
        <f t="shared" si="673"/>
        <v>1</v>
      </c>
      <c r="BE2041" s="130">
        <f t="shared" si="674"/>
        <v>3</v>
      </c>
      <c r="BF2041" s="195">
        <f t="shared" si="675"/>
        <v>33.333333333333329</v>
      </c>
      <c r="BG2041" s="373">
        <f t="shared" si="677"/>
        <v>2</v>
      </c>
    </row>
    <row r="2042" spans="1:60" s="46" customFormat="1" ht="15.95" customHeight="1">
      <c r="A2042" s="176">
        <v>33</v>
      </c>
      <c r="B2042" s="31" t="s">
        <v>772</v>
      </c>
      <c r="C2042" s="32" t="s">
        <v>773</v>
      </c>
      <c r="D2042" s="231">
        <v>1</v>
      </c>
      <c r="E2042" s="231"/>
      <c r="F2042" s="231"/>
      <c r="G2042" s="231"/>
      <c r="H2042" s="231">
        <v>1</v>
      </c>
      <c r="I2042" s="231"/>
      <c r="J2042" s="231"/>
      <c r="K2042" s="231"/>
      <c r="L2042" s="231">
        <f>14+23</f>
        <v>37</v>
      </c>
      <c r="M2042" s="231"/>
      <c r="N2042" s="231"/>
      <c r="O2042" s="231"/>
      <c r="P2042" s="231">
        <v>51</v>
      </c>
      <c r="Q2042" s="231"/>
      <c r="R2042" s="231"/>
      <c r="S2042" s="231"/>
      <c r="T2042" s="231"/>
      <c r="U2042" s="231"/>
      <c r="V2042" s="231"/>
      <c r="W2042" s="231"/>
      <c r="X2042" s="231"/>
      <c r="Y2042" s="231"/>
      <c r="Z2042" s="231"/>
      <c r="AA2042" s="231"/>
      <c r="AB2042" s="22">
        <f t="shared" ref="AB2042:AB2074" si="678">SUM(D2042:AA2042)</f>
        <v>90</v>
      </c>
      <c r="AC2042" s="23">
        <v>80</v>
      </c>
      <c r="AD2042" s="35"/>
      <c r="AE2042" s="35"/>
      <c r="AF2042" s="35"/>
      <c r="AG2042" s="35"/>
      <c r="AH2042" s="35">
        <v>19</v>
      </c>
      <c r="AI2042" s="35"/>
      <c r="AJ2042" s="35"/>
      <c r="AK2042" s="35"/>
      <c r="AL2042" s="35">
        <v>102</v>
      </c>
      <c r="AM2042" s="35"/>
      <c r="AN2042" s="35"/>
      <c r="AO2042" s="35"/>
      <c r="AP2042" s="35">
        <v>89</v>
      </c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22">
        <f t="shared" ref="BB2042:BB2074" si="679">SUM(AD2042:BA2042)</f>
        <v>210</v>
      </c>
      <c r="BC2042" s="23">
        <v>461</v>
      </c>
      <c r="BD2042" s="130">
        <f t="shared" ref="BD2042:BD2074" si="680">AB2042+BB2042</f>
        <v>300</v>
      </c>
      <c r="BE2042" s="130">
        <f t="shared" ref="BE2042:BE2074" si="681">AC2042+BC2042</f>
        <v>541</v>
      </c>
      <c r="BF2042" s="195">
        <f t="shared" ref="BF2042:BF2074" si="682">BD2042/BE2042*100</f>
        <v>55.452865064695011</v>
      </c>
      <c r="BG2042" s="373">
        <f t="shared" si="677"/>
        <v>241</v>
      </c>
    </row>
    <row r="2043" spans="1:60" s="46" customFormat="1" ht="15.95" customHeight="1">
      <c r="A2043" s="176">
        <v>34</v>
      </c>
      <c r="B2043" s="31" t="s">
        <v>2902</v>
      </c>
      <c r="C2043" s="32" t="s">
        <v>2903</v>
      </c>
      <c r="D2043" s="288"/>
      <c r="E2043" s="288"/>
      <c r="F2043" s="288"/>
      <c r="G2043" s="288"/>
      <c r="H2043" s="288"/>
      <c r="I2043" s="288"/>
      <c r="J2043" s="288"/>
      <c r="K2043" s="288"/>
      <c r="L2043" s="288"/>
      <c r="M2043" s="288"/>
      <c r="N2043" s="288"/>
      <c r="O2043" s="288"/>
      <c r="P2043" s="288"/>
      <c r="Q2043" s="288"/>
      <c r="R2043" s="288"/>
      <c r="S2043" s="288"/>
      <c r="T2043" s="288"/>
      <c r="U2043" s="288"/>
      <c r="V2043" s="288"/>
      <c r="W2043" s="288"/>
      <c r="X2043" s="288"/>
      <c r="Y2043" s="288"/>
      <c r="Z2043" s="288"/>
      <c r="AA2043" s="288"/>
      <c r="AB2043" s="22">
        <f t="shared" si="678"/>
        <v>0</v>
      </c>
      <c r="AC2043" s="23">
        <v>0</v>
      </c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22">
        <f t="shared" si="679"/>
        <v>0</v>
      </c>
      <c r="BC2043" s="23">
        <v>1</v>
      </c>
      <c r="BD2043" s="130">
        <f t="shared" si="680"/>
        <v>0</v>
      </c>
      <c r="BE2043" s="130">
        <f t="shared" si="681"/>
        <v>1</v>
      </c>
      <c r="BF2043" s="195">
        <f t="shared" si="682"/>
        <v>0</v>
      </c>
      <c r="BG2043" s="373">
        <f t="shared" si="677"/>
        <v>1</v>
      </c>
    </row>
    <row r="2044" spans="1:60" s="46" customFormat="1" ht="15.95" customHeight="1">
      <c r="A2044" s="176">
        <v>35</v>
      </c>
      <c r="B2044" s="31" t="s">
        <v>1142</v>
      </c>
      <c r="C2044" s="32" t="s">
        <v>3475</v>
      </c>
      <c r="D2044" s="231"/>
      <c r="E2044" s="231"/>
      <c r="F2044" s="231"/>
      <c r="G2044" s="231"/>
      <c r="H2044" s="231"/>
      <c r="I2044" s="231"/>
      <c r="J2044" s="231"/>
      <c r="K2044" s="231"/>
      <c r="L2044" s="231"/>
      <c r="M2044" s="231"/>
      <c r="N2044" s="231"/>
      <c r="O2044" s="231"/>
      <c r="P2044" s="231"/>
      <c r="Q2044" s="231"/>
      <c r="R2044" s="231"/>
      <c r="S2044" s="231"/>
      <c r="T2044" s="231"/>
      <c r="U2044" s="231"/>
      <c r="V2044" s="231"/>
      <c r="W2044" s="231"/>
      <c r="X2044" s="231"/>
      <c r="Y2044" s="231"/>
      <c r="Z2044" s="231"/>
      <c r="AA2044" s="231"/>
      <c r="AB2044" s="22">
        <f t="shared" si="678"/>
        <v>0</v>
      </c>
      <c r="AC2044" s="23">
        <v>2</v>
      </c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22">
        <f t="shared" si="679"/>
        <v>0</v>
      </c>
      <c r="BC2044" s="23">
        <v>0</v>
      </c>
      <c r="BD2044" s="130">
        <f t="shared" si="680"/>
        <v>0</v>
      </c>
      <c r="BE2044" s="130">
        <f t="shared" si="681"/>
        <v>2</v>
      </c>
      <c r="BF2044" s="195">
        <f t="shared" si="682"/>
        <v>0</v>
      </c>
      <c r="BG2044" s="373">
        <f t="shared" si="677"/>
        <v>2</v>
      </c>
    </row>
    <row r="2045" spans="1:60" s="46" customFormat="1" ht="15.95" customHeight="1">
      <c r="A2045" s="176">
        <v>36</v>
      </c>
      <c r="B2045" s="31" t="s">
        <v>2085</v>
      </c>
      <c r="C2045" s="32" t="s">
        <v>2086</v>
      </c>
      <c r="D2045" s="231"/>
      <c r="E2045" s="231"/>
      <c r="F2045" s="231"/>
      <c r="G2045" s="231"/>
      <c r="H2045" s="231"/>
      <c r="I2045" s="231"/>
      <c r="J2045" s="231"/>
      <c r="K2045" s="231"/>
      <c r="L2045" s="231"/>
      <c r="M2045" s="231"/>
      <c r="N2045" s="231"/>
      <c r="O2045" s="231"/>
      <c r="P2045" s="231"/>
      <c r="Q2045" s="231"/>
      <c r="R2045" s="231"/>
      <c r="S2045" s="231"/>
      <c r="T2045" s="231"/>
      <c r="U2045" s="231"/>
      <c r="V2045" s="231"/>
      <c r="W2045" s="231"/>
      <c r="X2045" s="231"/>
      <c r="Y2045" s="231"/>
      <c r="Z2045" s="231"/>
      <c r="AA2045" s="231"/>
      <c r="AB2045" s="22">
        <f t="shared" si="678"/>
        <v>0</v>
      </c>
      <c r="AC2045" s="23">
        <v>0</v>
      </c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22">
        <f t="shared" si="679"/>
        <v>0</v>
      </c>
      <c r="BC2045" s="23">
        <v>2</v>
      </c>
      <c r="BD2045" s="130">
        <f t="shared" si="680"/>
        <v>0</v>
      </c>
      <c r="BE2045" s="130">
        <f t="shared" si="681"/>
        <v>2</v>
      </c>
      <c r="BF2045" s="195">
        <f t="shared" si="682"/>
        <v>0</v>
      </c>
      <c r="BG2045" s="373">
        <f t="shared" si="677"/>
        <v>2</v>
      </c>
    </row>
    <row r="2046" spans="1:60" s="46" customFormat="1" ht="15.95" customHeight="1">
      <c r="A2046" s="176">
        <v>37</v>
      </c>
      <c r="B2046" s="31" t="s">
        <v>1288</v>
      </c>
      <c r="C2046" s="32" t="s">
        <v>4155</v>
      </c>
      <c r="D2046" s="571"/>
      <c r="E2046" s="571"/>
      <c r="F2046" s="571"/>
      <c r="G2046" s="571"/>
      <c r="H2046" s="571"/>
      <c r="I2046" s="571"/>
      <c r="J2046" s="571"/>
      <c r="K2046" s="571"/>
      <c r="L2046" s="571"/>
      <c r="M2046" s="571"/>
      <c r="N2046" s="571"/>
      <c r="O2046" s="571"/>
      <c r="P2046" s="571">
        <v>1</v>
      </c>
      <c r="Q2046" s="571"/>
      <c r="R2046" s="571"/>
      <c r="S2046" s="571"/>
      <c r="T2046" s="571"/>
      <c r="U2046" s="571"/>
      <c r="V2046" s="571"/>
      <c r="W2046" s="571"/>
      <c r="X2046" s="571"/>
      <c r="Y2046" s="571"/>
      <c r="Z2046" s="571"/>
      <c r="AA2046" s="571"/>
      <c r="AB2046" s="22">
        <f t="shared" si="678"/>
        <v>1</v>
      </c>
      <c r="AC2046" s="23">
        <v>0</v>
      </c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22">
        <f t="shared" si="679"/>
        <v>0</v>
      </c>
      <c r="BC2046" s="23">
        <v>0</v>
      </c>
      <c r="BD2046" s="130">
        <f t="shared" ref="BD2046" si="683">AB2046+BB2046</f>
        <v>1</v>
      </c>
      <c r="BE2046" s="130">
        <f t="shared" ref="BE2046" si="684">AC2046+BC2046</f>
        <v>0</v>
      </c>
      <c r="BF2046" s="195" t="e">
        <f t="shared" ref="BF2046" si="685">BD2046/BE2046*100</f>
        <v>#DIV/0!</v>
      </c>
      <c r="BG2046" s="373"/>
    </row>
    <row r="2047" spans="1:60" s="46" customFormat="1" ht="15.95" customHeight="1">
      <c r="A2047" s="176">
        <v>38</v>
      </c>
      <c r="B2047" s="31" t="s">
        <v>1290</v>
      </c>
      <c r="C2047" s="32" t="s">
        <v>1291</v>
      </c>
      <c r="D2047" s="231"/>
      <c r="E2047" s="231"/>
      <c r="F2047" s="231"/>
      <c r="G2047" s="231"/>
      <c r="H2047" s="231"/>
      <c r="I2047" s="231"/>
      <c r="J2047" s="231"/>
      <c r="K2047" s="231"/>
      <c r="L2047" s="231"/>
      <c r="M2047" s="231"/>
      <c r="N2047" s="231"/>
      <c r="O2047" s="231"/>
      <c r="P2047" s="231"/>
      <c r="Q2047" s="231"/>
      <c r="R2047" s="231"/>
      <c r="S2047" s="231"/>
      <c r="T2047" s="231"/>
      <c r="U2047" s="231"/>
      <c r="V2047" s="231"/>
      <c r="W2047" s="231"/>
      <c r="X2047" s="231"/>
      <c r="Y2047" s="231"/>
      <c r="Z2047" s="231"/>
      <c r="AA2047" s="231"/>
      <c r="AB2047" s="22">
        <f t="shared" si="678"/>
        <v>0</v>
      </c>
      <c r="AC2047" s="23">
        <v>0</v>
      </c>
      <c r="AD2047" s="35"/>
      <c r="AE2047" s="35"/>
      <c r="AF2047" s="35"/>
      <c r="AG2047" s="35"/>
      <c r="AH2047" s="35"/>
      <c r="AI2047" s="35"/>
      <c r="AJ2047" s="35"/>
      <c r="AK2047" s="35"/>
      <c r="AL2047" s="35">
        <v>6</v>
      </c>
      <c r="AM2047" s="35"/>
      <c r="AN2047" s="35"/>
      <c r="AO2047" s="35"/>
      <c r="AP2047" s="35">
        <v>1</v>
      </c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22">
        <f t="shared" si="679"/>
        <v>7</v>
      </c>
      <c r="BC2047" s="23">
        <v>26</v>
      </c>
      <c r="BD2047" s="130">
        <f t="shared" si="680"/>
        <v>7</v>
      </c>
      <c r="BE2047" s="130">
        <f t="shared" si="681"/>
        <v>26</v>
      </c>
      <c r="BF2047" s="195">
        <f t="shared" si="682"/>
        <v>26.923076923076923</v>
      </c>
      <c r="BG2047" s="373">
        <f t="shared" si="677"/>
        <v>19</v>
      </c>
    </row>
    <row r="2048" spans="1:60" s="46" customFormat="1" ht="15.95" customHeight="1">
      <c r="A2048" s="176">
        <v>39</v>
      </c>
      <c r="B2048" s="31" t="s">
        <v>780</v>
      </c>
      <c r="C2048" s="32" t="s">
        <v>991</v>
      </c>
      <c r="D2048" s="231"/>
      <c r="E2048" s="231"/>
      <c r="F2048" s="231"/>
      <c r="G2048" s="231"/>
      <c r="H2048" s="231"/>
      <c r="I2048" s="231"/>
      <c r="J2048" s="231"/>
      <c r="K2048" s="231"/>
      <c r="L2048" s="231"/>
      <c r="M2048" s="231"/>
      <c r="N2048" s="231"/>
      <c r="O2048" s="231"/>
      <c r="P2048" s="231">
        <v>3</v>
      </c>
      <c r="Q2048" s="231"/>
      <c r="R2048" s="231"/>
      <c r="S2048" s="231"/>
      <c r="T2048" s="231"/>
      <c r="U2048" s="231"/>
      <c r="V2048" s="231"/>
      <c r="W2048" s="231"/>
      <c r="X2048" s="231"/>
      <c r="Y2048" s="231"/>
      <c r="Z2048" s="231"/>
      <c r="AA2048" s="231"/>
      <c r="AB2048" s="22">
        <f t="shared" si="678"/>
        <v>3</v>
      </c>
      <c r="AC2048" s="23">
        <v>8</v>
      </c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>
        <v>1</v>
      </c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22">
        <f t="shared" si="679"/>
        <v>1</v>
      </c>
      <c r="BC2048" s="23">
        <v>0</v>
      </c>
      <c r="BD2048" s="130">
        <f t="shared" si="680"/>
        <v>4</v>
      </c>
      <c r="BE2048" s="130">
        <f t="shared" si="681"/>
        <v>8</v>
      </c>
      <c r="BF2048" s="195">
        <f t="shared" si="682"/>
        <v>50</v>
      </c>
      <c r="BG2048" s="373">
        <f t="shared" si="677"/>
        <v>4</v>
      </c>
    </row>
    <row r="2049" spans="1:59" s="46" customFormat="1" ht="15.95" customHeight="1">
      <c r="A2049" s="176">
        <v>40</v>
      </c>
      <c r="B2049" s="31" t="s">
        <v>1094</v>
      </c>
      <c r="C2049" s="32" t="s">
        <v>1095</v>
      </c>
      <c r="D2049" s="231"/>
      <c r="E2049" s="231"/>
      <c r="F2049" s="231"/>
      <c r="G2049" s="231"/>
      <c r="H2049" s="231"/>
      <c r="I2049" s="231"/>
      <c r="J2049" s="231"/>
      <c r="K2049" s="231"/>
      <c r="L2049" s="231"/>
      <c r="M2049" s="231"/>
      <c r="N2049" s="231"/>
      <c r="O2049" s="231"/>
      <c r="P2049" s="231"/>
      <c r="Q2049" s="231"/>
      <c r="R2049" s="231"/>
      <c r="S2049" s="231"/>
      <c r="T2049" s="231"/>
      <c r="U2049" s="231"/>
      <c r="V2049" s="231"/>
      <c r="W2049" s="231"/>
      <c r="X2049" s="231"/>
      <c r="Y2049" s="231"/>
      <c r="Z2049" s="231"/>
      <c r="AA2049" s="231"/>
      <c r="AB2049" s="22">
        <f t="shared" si="678"/>
        <v>0</v>
      </c>
      <c r="AC2049" s="23">
        <v>0</v>
      </c>
      <c r="AD2049" s="35"/>
      <c r="AE2049" s="35"/>
      <c r="AF2049" s="35"/>
      <c r="AG2049" s="35"/>
      <c r="AH2049" s="35"/>
      <c r="AI2049" s="35"/>
      <c r="AJ2049" s="35"/>
      <c r="AK2049" s="35"/>
      <c r="AL2049" s="35">
        <v>2</v>
      </c>
      <c r="AM2049" s="35"/>
      <c r="AN2049" s="35"/>
      <c r="AO2049" s="35"/>
      <c r="AP2049" s="35">
        <v>1</v>
      </c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22">
        <f t="shared" si="679"/>
        <v>3</v>
      </c>
      <c r="BC2049" s="23">
        <v>2</v>
      </c>
      <c r="BD2049" s="130">
        <f t="shared" si="680"/>
        <v>3</v>
      </c>
      <c r="BE2049" s="130">
        <f t="shared" si="681"/>
        <v>2</v>
      </c>
      <c r="BF2049" s="195">
        <f t="shared" si="682"/>
        <v>150</v>
      </c>
      <c r="BG2049" s="373">
        <f t="shared" si="677"/>
        <v>-1</v>
      </c>
    </row>
    <row r="2050" spans="1:59" s="46" customFormat="1" ht="15.95" customHeight="1">
      <c r="A2050" s="176">
        <v>41</v>
      </c>
      <c r="B2050" s="31" t="s">
        <v>1143</v>
      </c>
      <c r="C2050" s="32" t="s">
        <v>1144</v>
      </c>
      <c r="D2050" s="231">
        <v>39</v>
      </c>
      <c r="E2050" s="231"/>
      <c r="F2050" s="231"/>
      <c r="G2050" s="231"/>
      <c r="H2050" s="231">
        <f>120+74</f>
        <v>194</v>
      </c>
      <c r="I2050" s="231"/>
      <c r="J2050" s="231"/>
      <c r="K2050" s="231"/>
      <c r="L2050" s="231">
        <f>269+9+1+170</f>
        <v>449</v>
      </c>
      <c r="M2050" s="231"/>
      <c r="N2050" s="231"/>
      <c r="O2050" s="231"/>
      <c r="P2050" s="231">
        <f>247+1+128+1</f>
        <v>377</v>
      </c>
      <c r="Q2050" s="231"/>
      <c r="R2050" s="231"/>
      <c r="S2050" s="231"/>
      <c r="T2050" s="231"/>
      <c r="U2050" s="231"/>
      <c r="V2050" s="231"/>
      <c r="W2050" s="231"/>
      <c r="X2050" s="231"/>
      <c r="Y2050" s="231"/>
      <c r="Z2050" s="231"/>
      <c r="AA2050" s="231"/>
      <c r="AB2050" s="22">
        <f t="shared" si="678"/>
        <v>1059</v>
      </c>
      <c r="AC2050" s="23">
        <v>1590</v>
      </c>
      <c r="AD2050" s="35"/>
      <c r="AE2050" s="35"/>
      <c r="AF2050" s="35"/>
      <c r="AG2050" s="35"/>
      <c r="AH2050" s="35">
        <v>17</v>
      </c>
      <c r="AI2050" s="35"/>
      <c r="AJ2050" s="35"/>
      <c r="AK2050" s="35"/>
      <c r="AL2050" s="35">
        <f>1+41</f>
        <v>42</v>
      </c>
      <c r="AM2050" s="35"/>
      <c r="AN2050" s="35"/>
      <c r="AO2050" s="35"/>
      <c r="AP2050" s="35">
        <f>16+1</f>
        <v>17</v>
      </c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22">
        <f t="shared" si="679"/>
        <v>76</v>
      </c>
      <c r="BC2050" s="23">
        <v>108</v>
      </c>
      <c r="BD2050" s="130">
        <f t="shared" si="680"/>
        <v>1135</v>
      </c>
      <c r="BE2050" s="130">
        <f t="shared" si="681"/>
        <v>1698</v>
      </c>
      <c r="BF2050" s="195">
        <f t="shared" si="682"/>
        <v>66.84334511189634</v>
      </c>
      <c r="BG2050" s="373">
        <f t="shared" si="677"/>
        <v>563</v>
      </c>
    </row>
    <row r="2051" spans="1:59" s="46" customFormat="1" ht="15.95" customHeight="1">
      <c r="A2051" s="176">
        <v>42</v>
      </c>
      <c r="B2051" s="31" t="s">
        <v>1145</v>
      </c>
      <c r="C2051" s="32" t="s">
        <v>1146</v>
      </c>
      <c r="D2051" s="288"/>
      <c r="E2051" s="288"/>
      <c r="F2051" s="288"/>
      <c r="G2051" s="288"/>
      <c r="H2051" s="288">
        <v>1</v>
      </c>
      <c r="I2051" s="288"/>
      <c r="J2051" s="288"/>
      <c r="K2051" s="288"/>
      <c r="L2051" s="288">
        <v>2</v>
      </c>
      <c r="M2051" s="288"/>
      <c r="N2051" s="288"/>
      <c r="O2051" s="288"/>
      <c r="P2051" s="288">
        <v>1</v>
      </c>
      <c r="Q2051" s="288"/>
      <c r="R2051" s="288"/>
      <c r="S2051" s="288"/>
      <c r="T2051" s="288"/>
      <c r="U2051" s="288"/>
      <c r="V2051" s="288"/>
      <c r="W2051" s="288"/>
      <c r="X2051" s="288"/>
      <c r="Y2051" s="288"/>
      <c r="Z2051" s="288"/>
      <c r="AA2051" s="288"/>
      <c r="AB2051" s="22">
        <f t="shared" si="678"/>
        <v>4</v>
      </c>
      <c r="AC2051" s="23">
        <v>9</v>
      </c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22">
        <f t="shared" si="679"/>
        <v>0</v>
      </c>
      <c r="BC2051" s="23">
        <v>8</v>
      </c>
      <c r="BD2051" s="130">
        <f t="shared" si="680"/>
        <v>4</v>
      </c>
      <c r="BE2051" s="130">
        <f t="shared" si="681"/>
        <v>17</v>
      </c>
      <c r="BF2051" s="195">
        <f t="shared" si="682"/>
        <v>23.52941176470588</v>
      </c>
      <c r="BG2051" s="373">
        <f t="shared" si="677"/>
        <v>13</v>
      </c>
    </row>
    <row r="2052" spans="1:59" s="46" customFormat="1" ht="15.95" customHeight="1">
      <c r="A2052" s="176">
        <v>43</v>
      </c>
      <c r="B2052" s="31" t="s">
        <v>1152</v>
      </c>
      <c r="C2052" s="32" t="s">
        <v>1153</v>
      </c>
      <c r="D2052" s="252"/>
      <c r="E2052" s="252"/>
      <c r="F2052" s="252"/>
      <c r="G2052" s="252"/>
      <c r="H2052" s="252"/>
      <c r="I2052" s="252"/>
      <c r="J2052" s="252"/>
      <c r="K2052" s="252"/>
      <c r="L2052" s="252"/>
      <c r="M2052" s="252"/>
      <c r="N2052" s="252"/>
      <c r="O2052" s="252"/>
      <c r="P2052" s="252"/>
      <c r="Q2052" s="252"/>
      <c r="R2052" s="252"/>
      <c r="S2052" s="252"/>
      <c r="T2052" s="252"/>
      <c r="U2052" s="252"/>
      <c r="V2052" s="252"/>
      <c r="W2052" s="252"/>
      <c r="X2052" s="252"/>
      <c r="Y2052" s="252"/>
      <c r="Z2052" s="252"/>
      <c r="AA2052" s="252"/>
      <c r="AB2052" s="22">
        <f t="shared" si="678"/>
        <v>0</v>
      </c>
      <c r="AC2052" s="23">
        <v>1</v>
      </c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22">
        <f t="shared" si="679"/>
        <v>0</v>
      </c>
      <c r="BC2052" s="23">
        <v>0</v>
      </c>
      <c r="BD2052" s="130">
        <f t="shared" si="680"/>
        <v>0</v>
      </c>
      <c r="BE2052" s="130">
        <f t="shared" si="681"/>
        <v>1</v>
      </c>
      <c r="BF2052" s="195">
        <f t="shared" si="682"/>
        <v>0</v>
      </c>
      <c r="BG2052" s="373">
        <f t="shared" si="677"/>
        <v>1</v>
      </c>
    </row>
    <row r="2053" spans="1:59" s="46" customFormat="1" ht="15.95" customHeight="1">
      <c r="A2053" s="176">
        <v>44</v>
      </c>
      <c r="B2053" s="31" t="s">
        <v>2080</v>
      </c>
      <c r="C2053" s="32" t="s">
        <v>2081</v>
      </c>
      <c r="D2053" s="231"/>
      <c r="E2053" s="231"/>
      <c r="F2053" s="231"/>
      <c r="G2053" s="231"/>
      <c r="H2053" s="231"/>
      <c r="I2053" s="231"/>
      <c r="J2053" s="231"/>
      <c r="K2053" s="231"/>
      <c r="L2053" s="231"/>
      <c r="M2053" s="231"/>
      <c r="N2053" s="231"/>
      <c r="O2053" s="231"/>
      <c r="P2053" s="231"/>
      <c r="Q2053" s="231"/>
      <c r="R2053" s="231"/>
      <c r="S2053" s="231"/>
      <c r="T2053" s="231"/>
      <c r="U2053" s="231"/>
      <c r="V2053" s="231"/>
      <c r="W2053" s="231"/>
      <c r="X2053" s="231"/>
      <c r="Y2053" s="231"/>
      <c r="Z2053" s="231"/>
      <c r="AA2053" s="231"/>
      <c r="AB2053" s="22">
        <f t="shared" si="678"/>
        <v>0</v>
      </c>
      <c r="AC2053" s="23">
        <v>0</v>
      </c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>
        <v>1</v>
      </c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22">
        <f t="shared" si="679"/>
        <v>1</v>
      </c>
      <c r="BC2053" s="23">
        <v>4</v>
      </c>
      <c r="BD2053" s="130">
        <f t="shared" si="680"/>
        <v>1</v>
      </c>
      <c r="BE2053" s="130">
        <f t="shared" si="681"/>
        <v>4</v>
      </c>
      <c r="BF2053" s="195">
        <f t="shared" si="682"/>
        <v>25</v>
      </c>
      <c r="BG2053" s="373">
        <f t="shared" si="677"/>
        <v>3</v>
      </c>
    </row>
    <row r="2054" spans="1:59" s="46" customFormat="1" ht="15.95" customHeight="1">
      <c r="A2054" s="176">
        <v>45</v>
      </c>
      <c r="B2054" s="31" t="s">
        <v>3476</v>
      </c>
      <c r="C2054" s="32" t="s">
        <v>3477</v>
      </c>
      <c r="D2054" s="231">
        <v>28</v>
      </c>
      <c r="E2054" s="231"/>
      <c r="F2054" s="231"/>
      <c r="G2054" s="231"/>
      <c r="H2054" s="231">
        <v>73</v>
      </c>
      <c r="I2054" s="231"/>
      <c r="J2054" s="231"/>
      <c r="K2054" s="231"/>
      <c r="L2054" s="231">
        <v>100</v>
      </c>
      <c r="M2054" s="231"/>
      <c r="N2054" s="231"/>
      <c r="O2054" s="231"/>
      <c r="P2054" s="231">
        <v>15</v>
      </c>
      <c r="Q2054" s="231"/>
      <c r="R2054" s="231"/>
      <c r="S2054" s="231"/>
      <c r="T2054" s="231"/>
      <c r="U2054" s="231"/>
      <c r="V2054" s="231"/>
      <c r="W2054" s="231"/>
      <c r="X2054" s="231"/>
      <c r="Y2054" s="231"/>
      <c r="Z2054" s="231"/>
      <c r="AA2054" s="231"/>
      <c r="AB2054" s="22">
        <f t="shared" si="678"/>
        <v>216</v>
      </c>
      <c r="AC2054" s="23">
        <v>146</v>
      </c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22">
        <f t="shared" si="679"/>
        <v>0</v>
      </c>
      <c r="BC2054" s="23">
        <v>0</v>
      </c>
      <c r="BD2054" s="130">
        <f t="shared" si="680"/>
        <v>216</v>
      </c>
      <c r="BE2054" s="130">
        <f t="shared" si="681"/>
        <v>146</v>
      </c>
      <c r="BF2054" s="195">
        <f t="shared" si="682"/>
        <v>147.94520547945206</v>
      </c>
      <c r="BG2054" s="373">
        <f t="shared" si="677"/>
        <v>-70</v>
      </c>
    </row>
    <row r="2055" spans="1:59" s="46" customFormat="1" ht="15.95" customHeight="1">
      <c r="A2055" s="176">
        <v>46</v>
      </c>
      <c r="B2055" s="31" t="s">
        <v>783</v>
      </c>
      <c r="C2055" s="34" t="s">
        <v>784</v>
      </c>
      <c r="D2055" s="231"/>
      <c r="E2055" s="231"/>
      <c r="F2055" s="231"/>
      <c r="G2055" s="231"/>
      <c r="H2055" s="231"/>
      <c r="I2055" s="231"/>
      <c r="J2055" s="231"/>
      <c r="K2055" s="231"/>
      <c r="L2055" s="231"/>
      <c r="M2055" s="231"/>
      <c r="N2055" s="231"/>
      <c r="O2055" s="231"/>
      <c r="P2055" s="231">
        <v>1</v>
      </c>
      <c r="Q2055" s="231"/>
      <c r="R2055" s="231"/>
      <c r="S2055" s="231"/>
      <c r="T2055" s="231"/>
      <c r="U2055" s="231"/>
      <c r="V2055" s="231"/>
      <c r="W2055" s="231"/>
      <c r="X2055" s="231"/>
      <c r="Y2055" s="231"/>
      <c r="Z2055" s="231"/>
      <c r="AA2055" s="231"/>
      <c r="AB2055" s="22">
        <f t="shared" si="678"/>
        <v>1</v>
      </c>
      <c r="AC2055" s="23">
        <v>6</v>
      </c>
      <c r="AD2055" s="35"/>
      <c r="AE2055" s="35"/>
      <c r="AF2055" s="35"/>
      <c r="AG2055" s="35"/>
      <c r="AH2055" s="35">
        <v>7</v>
      </c>
      <c r="AI2055" s="35"/>
      <c r="AJ2055" s="35"/>
      <c r="AK2055" s="35"/>
      <c r="AL2055" s="35">
        <v>50</v>
      </c>
      <c r="AM2055" s="35"/>
      <c r="AN2055" s="35"/>
      <c r="AO2055" s="35"/>
      <c r="AP2055" s="35">
        <v>17</v>
      </c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22">
        <f t="shared" si="679"/>
        <v>74</v>
      </c>
      <c r="BC2055" s="23">
        <v>170</v>
      </c>
      <c r="BD2055" s="130">
        <f t="shared" si="680"/>
        <v>75</v>
      </c>
      <c r="BE2055" s="130">
        <f t="shared" si="681"/>
        <v>176</v>
      </c>
      <c r="BF2055" s="195">
        <f t="shared" si="682"/>
        <v>42.613636363636367</v>
      </c>
      <c r="BG2055" s="373">
        <f t="shared" si="677"/>
        <v>101</v>
      </c>
    </row>
    <row r="2056" spans="1:59" s="46" customFormat="1" ht="15.95" customHeight="1">
      <c r="A2056" s="176">
        <v>47</v>
      </c>
      <c r="B2056" s="31" t="s">
        <v>2813</v>
      </c>
      <c r="C2056" s="34" t="s">
        <v>2814</v>
      </c>
      <c r="D2056" s="231"/>
      <c r="E2056" s="231"/>
      <c r="F2056" s="231"/>
      <c r="G2056" s="231"/>
      <c r="H2056" s="231"/>
      <c r="I2056" s="231"/>
      <c r="J2056" s="231"/>
      <c r="K2056" s="231"/>
      <c r="L2056" s="231"/>
      <c r="M2056" s="231"/>
      <c r="N2056" s="231"/>
      <c r="O2056" s="231"/>
      <c r="P2056" s="231"/>
      <c r="Q2056" s="231"/>
      <c r="R2056" s="231"/>
      <c r="S2056" s="231"/>
      <c r="T2056" s="231"/>
      <c r="U2056" s="231"/>
      <c r="V2056" s="231"/>
      <c r="W2056" s="231"/>
      <c r="X2056" s="231"/>
      <c r="Y2056" s="231"/>
      <c r="Z2056" s="231"/>
      <c r="AA2056" s="231"/>
      <c r="AB2056" s="22">
        <f t="shared" si="678"/>
        <v>0</v>
      </c>
      <c r="AC2056" s="23">
        <v>0</v>
      </c>
      <c r="AD2056" s="35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22">
        <f t="shared" si="679"/>
        <v>0</v>
      </c>
      <c r="BC2056" s="23">
        <v>2</v>
      </c>
      <c r="BD2056" s="130">
        <f t="shared" si="680"/>
        <v>0</v>
      </c>
      <c r="BE2056" s="130">
        <f t="shared" si="681"/>
        <v>2</v>
      </c>
      <c r="BF2056" s="195">
        <f t="shared" si="682"/>
        <v>0</v>
      </c>
      <c r="BG2056" s="373">
        <f t="shared" si="677"/>
        <v>2</v>
      </c>
    </row>
    <row r="2057" spans="1:59" s="46" customFormat="1" ht="15.95" customHeight="1">
      <c r="A2057" s="176">
        <v>48</v>
      </c>
      <c r="B2057" s="31" t="s">
        <v>999</v>
      </c>
      <c r="C2057" s="32" t="s">
        <v>1000</v>
      </c>
      <c r="D2057" s="231"/>
      <c r="E2057" s="231"/>
      <c r="F2057" s="231"/>
      <c r="G2057" s="231"/>
      <c r="H2057" s="231"/>
      <c r="I2057" s="231"/>
      <c r="J2057" s="231"/>
      <c r="K2057" s="231"/>
      <c r="L2057" s="231"/>
      <c r="M2057" s="231"/>
      <c r="N2057" s="231"/>
      <c r="O2057" s="231"/>
      <c r="P2057" s="231"/>
      <c r="Q2057" s="231"/>
      <c r="R2057" s="231"/>
      <c r="S2057" s="231"/>
      <c r="T2057" s="231"/>
      <c r="U2057" s="231"/>
      <c r="V2057" s="231"/>
      <c r="W2057" s="231"/>
      <c r="X2057" s="231"/>
      <c r="Y2057" s="231"/>
      <c r="Z2057" s="231"/>
      <c r="AA2057" s="231"/>
      <c r="AB2057" s="22">
        <f t="shared" si="678"/>
        <v>0</v>
      </c>
      <c r="AC2057" s="23">
        <v>1</v>
      </c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22">
        <f t="shared" si="679"/>
        <v>0</v>
      </c>
      <c r="BC2057" s="23">
        <v>0</v>
      </c>
      <c r="BD2057" s="130">
        <f t="shared" si="680"/>
        <v>0</v>
      </c>
      <c r="BE2057" s="130">
        <f t="shared" si="681"/>
        <v>1</v>
      </c>
      <c r="BF2057" s="195">
        <f t="shared" si="682"/>
        <v>0</v>
      </c>
      <c r="BG2057" s="373">
        <f t="shared" si="677"/>
        <v>1</v>
      </c>
    </row>
    <row r="2058" spans="1:59" s="46" customFormat="1" ht="15.95" customHeight="1">
      <c r="A2058" s="176">
        <v>49</v>
      </c>
      <c r="B2058" s="31" t="s">
        <v>1725</v>
      </c>
      <c r="C2058" s="32" t="s">
        <v>2153</v>
      </c>
      <c r="D2058" s="231"/>
      <c r="E2058" s="231"/>
      <c r="F2058" s="231"/>
      <c r="G2058" s="231"/>
      <c r="H2058" s="231"/>
      <c r="I2058" s="231"/>
      <c r="J2058" s="231"/>
      <c r="K2058" s="231"/>
      <c r="L2058" s="231"/>
      <c r="M2058" s="231"/>
      <c r="N2058" s="231"/>
      <c r="O2058" s="231"/>
      <c r="P2058" s="231"/>
      <c r="Q2058" s="231"/>
      <c r="R2058" s="231"/>
      <c r="S2058" s="231"/>
      <c r="T2058" s="231"/>
      <c r="U2058" s="231"/>
      <c r="V2058" s="231"/>
      <c r="W2058" s="231"/>
      <c r="X2058" s="231"/>
      <c r="Y2058" s="231"/>
      <c r="Z2058" s="231"/>
      <c r="AA2058" s="231"/>
      <c r="AB2058" s="22">
        <f t="shared" si="678"/>
        <v>0</v>
      </c>
      <c r="AC2058" s="23">
        <v>1</v>
      </c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22">
        <f t="shared" si="679"/>
        <v>0</v>
      </c>
      <c r="BC2058" s="23">
        <v>0</v>
      </c>
      <c r="BD2058" s="130">
        <f t="shared" si="680"/>
        <v>0</v>
      </c>
      <c r="BE2058" s="130">
        <f t="shared" si="681"/>
        <v>1</v>
      </c>
      <c r="BF2058" s="195">
        <f t="shared" si="682"/>
        <v>0</v>
      </c>
      <c r="BG2058" s="373">
        <f t="shared" si="677"/>
        <v>1</v>
      </c>
    </row>
    <row r="2059" spans="1:59" s="46" customFormat="1" ht="15.95" customHeight="1">
      <c r="A2059" s="176">
        <v>50</v>
      </c>
      <c r="B2059" s="31" t="s">
        <v>814</v>
      </c>
      <c r="C2059" s="34" t="s">
        <v>1162</v>
      </c>
      <c r="D2059" s="231"/>
      <c r="E2059" s="231"/>
      <c r="F2059" s="231"/>
      <c r="G2059" s="231"/>
      <c r="H2059" s="231"/>
      <c r="I2059" s="231"/>
      <c r="J2059" s="231"/>
      <c r="K2059" s="231"/>
      <c r="L2059" s="231"/>
      <c r="M2059" s="231"/>
      <c r="N2059" s="231"/>
      <c r="O2059" s="231"/>
      <c r="P2059" s="231"/>
      <c r="Q2059" s="231"/>
      <c r="R2059" s="231"/>
      <c r="S2059" s="231"/>
      <c r="T2059" s="231"/>
      <c r="U2059" s="231"/>
      <c r="V2059" s="231"/>
      <c r="W2059" s="231"/>
      <c r="X2059" s="231"/>
      <c r="Y2059" s="231"/>
      <c r="Z2059" s="231"/>
      <c r="AA2059" s="231"/>
      <c r="AB2059" s="22">
        <f t="shared" si="678"/>
        <v>0</v>
      </c>
      <c r="AC2059" s="23">
        <v>0</v>
      </c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22">
        <f t="shared" si="679"/>
        <v>0</v>
      </c>
      <c r="BC2059" s="23">
        <v>7</v>
      </c>
      <c r="BD2059" s="130">
        <f t="shared" si="680"/>
        <v>0</v>
      </c>
      <c r="BE2059" s="130">
        <f t="shared" si="681"/>
        <v>7</v>
      </c>
      <c r="BF2059" s="195">
        <f t="shared" si="682"/>
        <v>0</v>
      </c>
      <c r="BG2059" s="373">
        <f t="shared" si="677"/>
        <v>7</v>
      </c>
    </row>
    <row r="2060" spans="1:59" s="46" customFormat="1" ht="15.95" customHeight="1">
      <c r="A2060" s="176">
        <v>51</v>
      </c>
      <c r="B2060" s="31" t="s">
        <v>110</v>
      </c>
      <c r="C2060" s="32" t="s">
        <v>1163</v>
      </c>
      <c r="D2060" s="231"/>
      <c r="E2060" s="231"/>
      <c r="F2060" s="231"/>
      <c r="G2060" s="231"/>
      <c r="H2060" s="231"/>
      <c r="I2060" s="231"/>
      <c r="J2060" s="231"/>
      <c r="K2060" s="231"/>
      <c r="L2060" s="231"/>
      <c r="M2060" s="231"/>
      <c r="N2060" s="231"/>
      <c r="O2060" s="231"/>
      <c r="P2060" s="231"/>
      <c r="Q2060" s="231"/>
      <c r="R2060" s="231"/>
      <c r="S2060" s="231"/>
      <c r="T2060" s="231"/>
      <c r="U2060" s="231"/>
      <c r="V2060" s="231"/>
      <c r="W2060" s="231"/>
      <c r="X2060" s="231"/>
      <c r="Y2060" s="231"/>
      <c r="Z2060" s="231"/>
      <c r="AA2060" s="231"/>
      <c r="AB2060" s="22">
        <f t="shared" si="678"/>
        <v>0</v>
      </c>
      <c r="AC2060" s="23">
        <v>0</v>
      </c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22">
        <f t="shared" si="679"/>
        <v>0</v>
      </c>
      <c r="BC2060" s="23">
        <v>2</v>
      </c>
      <c r="BD2060" s="130">
        <f t="shared" si="680"/>
        <v>0</v>
      </c>
      <c r="BE2060" s="130">
        <f t="shared" si="681"/>
        <v>2</v>
      </c>
      <c r="BF2060" s="195">
        <f t="shared" si="682"/>
        <v>0</v>
      </c>
      <c r="BG2060" s="373">
        <f t="shared" si="677"/>
        <v>2</v>
      </c>
    </row>
    <row r="2061" spans="1:59" s="46" customFormat="1" ht="15.95" customHeight="1">
      <c r="A2061" s="176">
        <v>52</v>
      </c>
      <c r="B2061" s="31" t="s">
        <v>1072</v>
      </c>
      <c r="C2061" s="32" t="s">
        <v>1073</v>
      </c>
      <c r="D2061" s="390"/>
      <c r="E2061" s="390"/>
      <c r="F2061" s="390"/>
      <c r="G2061" s="390"/>
      <c r="H2061" s="390"/>
      <c r="I2061" s="390"/>
      <c r="J2061" s="390"/>
      <c r="K2061" s="390"/>
      <c r="L2061" s="390"/>
      <c r="M2061" s="390"/>
      <c r="N2061" s="390"/>
      <c r="O2061" s="390"/>
      <c r="P2061" s="390"/>
      <c r="Q2061" s="390"/>
      <c r="R2061" s="390"/>
      <c r="S2061" s="390"/>
      <c r="T2061" s="390"/>
      <c r="U2061" s="390"/>
      <c r="V2061" s="390"/>
      <c r="W2061" s="390"/>
      <c r="X2061" s="390"/>
      <c r="Y2061" s="390"/>
      <c r="Z2061" s="390"/>
      <c r="AA2061" s="390"/>
      <c r="AB2061" s="22">
        <f t="shared" si="678"/>
        <v>0</v>
      </c>
      <c r="AC2061" s="23">
        <v>1</v>
      </c>
      <c r="AD2061" s="35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22">
        <f t="shared" si="679"/>
        <v>0</v>
      </c>
      <c r="BC2061" s="23">
        <v>0</v>
      </c>
      <c r="BD2061" s="130">
        <f t="shared" si="680"/>
        <v>0</v>
      </c>
      <c r="BE2061" s="130">
        <f t="shared" si="681"/>
        <v>1</v>
      </c>
      <c r="BF2061" s="195">
        <f t="shared" si="682"/>
        <v>0</v>
      </c>
      <c r="BG2061" s="373">
        <f t="shared" si="677"/>
        <v>1</v>
      </c>
    </row>
    <row r="2062" spans="1:59" s="46" customFormat="1" ht="15.95" customHeight="1">
      <c r="A2062" s="176">
        <v>53</v>
      </c>
      <c r="B2062" s="31" t="s">
        <v>819</v>
      </c>
      <c r="C2062" s="32" t="s">
        <v>1074</v>
      </c>
      <c r="D2062" s="390"/>
      <c r="E2062" s="390"/>
      <c r="F2062" s="390"/>
      <c r="G2062" s="390"/>
      <c r="H2062" s="390">
        <f>10+3</f>
        <v>13</v>
      </c>
      <c r="I2062" s="390"/>
      <c r="J2062" s="390"/>
      <c r="K2062" s="390"/>
      <c r="L2062" s="390">
        <f>17+5+5+1</f>
        <v>28</v>
      </c>
      <c r="M2062" s="390"/>
      <c r="N2062" s="390"/>
      <c r="O2062" s="390"/>
      <c r="P2062" s="390">
        <f>10+3</f>
        <v>13</v>
      </c>
      <c r="Q2062" s="390"/>
      <c r="R2062" s="390"/>
      <c r="S2062" s="390"/>
      <c r="T2062" s="390"/>
      <c r="U2062" s="390"/>
      <c r="V2062" s="390"/>
      <c r="W2062" s="390"/>
      <c r="X2062" s="390"/>
      <c r="Y2062" s="390"/>
      <c r="Z2062" s="390"/>
      <c r="AA2062" s="390"/>
      <c r="AB2062" s="22">
        <f t="shared" si="678"/>
        <v>54</v>
      </c>
      <c r="AC2062" s="23">
        <v>100</v>
      </c>
      <c r="AD2062" s="35"/>
      <c r="AE2062" s="35"/>
      <c r="AF2062" s="35"/>
      <c r="AG2062" s="35"/>
      <c r="AH2062" s="35">
        <f>12+48</f>
        <v>60</v>
      </c>
      <c r="AI2062" s="35"/>
      <c r="AJ2062" s="35"/>
      <c r="AK2062" s="35"/>
      <c r="AL2062" s="35">
        <f>40+199</f>
        <v>239</v>
      </c>
      <c r="AM2062" s="35"/>
      <c r="AN2062" s="35"/>
      <c r="AO2062" s="35"/>
      <c r="AP2062" s="35">
        <f>29+119</f>
        <v>148</v>
      </c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22">
        <f t="shared" si="679"/>
        <v>447</v>
      </c>
      <c r="BC2062" s="23">
        <v>1235</v>
      </c>
      <c r="BD2062" s="130">
        <f t="shared" si="680"/>
        <v>501</v>
      </c>
      <c r="BE2062" s="130">
        <f t="shared" si="681"/>
        <v>1335</v>
      </c>
      <c r="BF2062" s="195">
        <f t="shared" si="682"/>
        <v>37.528089887640448</v>
      </c>
      <c r="BG2062" s="373">
        <f t="shared" si="677"/>
        <v>834</v>
      </c>
    </row>
    <row r="2063" spans="1:59" s="46" customFormat="1" ht="15.95" customHeight="1">
      <c r="A2063" s="176">
        <v>54</v>
      </c>
      <c r="B2063" s="31" t="s">
        <v>3478</v>
      </c>
      <c r="C2063" s="32" t="s">
        <v>3479</v>
      </c>
      <c r="D2063" s="366"/>
      <c r="E2063" s="366"/>
      <c r="F2063" s="366"/>
      <c r="G2063" s="366"/>
      <c r="H2063" s="366"/>
      <c r="I2063" s="366"/>
      <c r="J2063" s="366"/>
      <c r="K2063" s="366"/>
      <c r="L2063" s="366"/>
      <c r="M2063" s="366"/>
      <c r="N2063" s="366"/>
      <c r="O2063" s="366"/>
      <c r="P2063" s="366"/>
      <c r="Q2063" s="366"/>
      <c r="R2063" s="366"/>
      <c r="S2063" s="366"/>
      <c r="T2063" s="366"/>
      <c r="U2063" s="366"/>
      <c r="V2063" s="366"/>
      <c r="W2063" s="366"/>
      <c r="X2063" s="366"/>
      <c r="Y2063" s="366"/>
      <c r="Z2063" s="366"/>
      <c r="AA2063" s="366"/>
      <c r="AB2063" s="22">
        <f t="shared" si="678"/>
        <v>0</v>
      </c>
      <c r="AC2063" s="23">
        <v>0</v>
      </c>
      <c r="AD2063" s="35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22">
        <f t="shared" si="679"/>
        <v>0</v>
      </c>
      <c r="BC2063" s="23">
        <v>1</v>
      </c>
      <c r="BD2063" s="130">
        <f t="shared" si="680"/>
        <v>0</v>
      </c>
      <c r="BE2063" s="130">
        <f t="shared" si="681"/>
        <v>1</v>
      </c>
      <c r="BF2063" s="195">
        <f t="shared" si="682"/>
        <v>0</v>
      </c>
      <c r="BG2063" s="373">
        <f t="shared" si="677"/>
        <v>1</v>
      </c>
    </row>
    <row r="2064" spans="1:59" s="46" customFormat="1" ht="15.95" customHeight="1">
      <c r="A2064" s="176">
        <v>55</v>
      </c>
      <c r="B2064" s="31" t="s">
        <v>1221</v>
      </c>
      <c r="C2064" s="32" t="s">
        <v>1222</v>
      </c>
      <c r="D2064" s="366"/>
      <c r="E2064" s="366"/>
      <c r="F2064" s="366"/>
      <c r="G2064" s="366"/>
      <c r="H2064" s="366"/>
      <c r="I2064" s="366"/>
      <c r="J2064" s="366"/>
      <c r="K2064" s="366"/>
      <c r="L2064" s="366"/>
      <c r="M2064" s="366"/>
      <c r="N2064" s="366"/>
      <c r="O2064" s="366"/>
      <c r="P2064" s="366"/>
      <c r="Q2064" s="366"/>
      <c r="R2064" s="366"/>
      <c r="S2064" s="366"/>
      <c r="T2064" s="366"/>
      <c r="U2064" s="366"/>
      <c r="V2064" s="366"/>
      <c r="W2064" s="366"/>
      <c r="X2064" s="366"/>
      <c r="Y2064" s="366"/>
      <c r="Z2064" s="366"/>
      <c r="AA2064" s="366"/>
      <c r="AB2064" s="22">
        <f t="shared" si="678"/>
        <v>0</v>
      </c>
      <c r="AC2064" s="23">
        <v>0</v>
      </c>
      <c r="AD2064" s="35"/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22">
        <f t="shared" si="679"/>
        <v>0</v>
      </c>
      <c r="BC2064" s="23">
        <v>1</v>
      </c>
      <c r="BD2064" s="130">
        <f t="shared" si="680"/>
        <v>0</v>
      </c>
      <c r="BE2064" s="130">
        <f t="shared" si="681"/>
        <v>1</v>
      </c>
      <c r="BF2064" s="195">
        <f t="shared" si="682"/>
        <v>0</v>
      </c>
      <c r="BG2064" s="373">
        <f t="shared" si="677"/>
        <v>1</v>
      </c>
    </row>
    <row r="2065" spans="1:59" s="46" customFormat="1" ht="15.95" customHeight="1">
      <c r="A2065" s="176">
        <v>56</v>
      </c>
      <c r="B2065" s="31" t="s">
        <v>1231</v>
      </c>
      <c r="C2065" s="34" t="s">
        <v>2506</v>
      </c>
      <c r="D2065" s="366"/>
      <c r="E2065" s="366"/>
      <c r="F2065" s="366"/>
      <c r="G2065" s="366"/>
      <c r="H2065" s="366"/>
      <c r="I2065" s="366"/>
      <c r="J2065" s="366"/>
      <c r="K2065" s="366"/>
      <c r="L2065" s="366"/>
      <c r="M2065" s="366"/>
      <c r="N2065" s="366"/>
      <c r="O2065" s="366"/>
      <c r="P2065" s="366">
        <f>1+1</f>
        <v>2</v>
      </c>
      <c r="Q2065" s="366"/>
      <c r="R2065" s="366"/>
      <c r="S2065" s="366"/>
      <c r="T2065" s="366"/>
      <c r="U2065" s="366"/>
      <c r="V2065" s="366"/>
      <c r="W2065" s="366"/>
      <c r="X2065" s="366"/>
      <c r="Y2065" s="366"/>
      <c r="Z2065" s="366"/>
      <c r="AA2065" s="366"/>
      <c r="AB2065" s="22">
        <f t="shared" si="678"/>
        <v>2</v>
      </c>
      <c r="AC2065" s="23">
        <v>0</v>
      </c>
      <c r="AD2065" s="35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22">
        <f t="shared" si="679"/>
        <v>0</v>
      </c>
      <c r="BC2065" s="23">
        <v>2</v>
      </c>
      <c r="BD2065" s="130">
        <f t="shared" si="680"/>
        <v>2</v>
      </c>
      <c r="BE2065" s="130">
        <f t="shared" si="681"/>
        <v>2</v>
      </c>
      <c r="BF2065" s="195">
        <f t="shared" si="682"/>
        <v>100</v>
      </c>
      <c r="BG2065" s="373">
        <f t="shared" si="677"/>
        <v>0</v>
      </c>
    </row>
    <row r="2066" spans="1:59" s="46" customFormat="1" ht="15.95" customHeight="1">
      <c r="A2066" s="176">
        <v>57</v>
      </c>
      <c r="B2066" s="31" t="s">
        <v>136</v>
      </c>
      <c r="C2066" s="34" t="s">
        <v>137</v>
      </c>
      <c r="D2066" s="366"/>
      <c r="E2066" s="366"/>
      <c r="F2066" s="366"/>
      <c r="G2066" s="366"/>
      <c r="H2066" s="366"/>
      <c r="I2066" s="366"/>
      <c r="J2066" s="366"/>
      <c r="K2066" s="366"/>
      <c r="L2066" s="366"/>
      <c r="M2066" s="366"/>
      <c r="N2066" s="366"/>
      <c r="O2066" s="366"/>
      <c r="P2066" s="366"/>
      <c r="Q2066" s="366"/>
      <c r="R2066" s="366"/>
      <c r="S2066" s="366"/>
      <c r="T2066" s="366"/>
      <c r="U2066" s="366"/>
      <c r="V2066" s="366"/>
      <c r="W2066" s="366"/>
      <c r="X2066" s="366"/>
      <c r="Y2066" s="366"/>
      <c r="Z2066" s="366"/>
      <c r="AA2066" s="366"/>
      <c r="AB2066" s="22">
        <f t="shared" si="678"/>
        <v>0</v>
      </c>
      <c r="AC2066" s="23">
        <v>0</v>
      </c>
      <c r="AD2066" s="35"/>
      <c r="AE2066" s="35"/>
      <c r="AF2066" s="35"/>
      <c r="AG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22">
        <f t="shared" si="679"/>
        <v>0</v>
      </c>
      <c r="BC2066" s="23">
        <v>1</v>
      </c>
      <c r="BD2066" s="130">
        <f t="shared" si="680"/>
        <v>0</v>
      </c>
      <c r="BE2066" s="130">
        <f t="shared" si="681"/>
        <v>1</v>
      </c>
      <c r="BF2066" s="195">
        <f t="shared" si="682"/>
        <v>0</v>
      </c>
      <c r="BG2066" s="373">
        <f t="shared" si="677"/>
        <v>1</v>
      </c>
    </row>
    <row r="2067" spans="1:59" s="46" customFormat="1" ht="15.95" customHeight="1">
      <c r="A2067" s="176">
        <v>58</v>
      </c>
      <c r="B2067" s="312" t="s">
        <v>945</v>
      </c>
      <c r="C2067" s="391" t="s">
        <v>946</v>
      </c>
      <c r="D2067" s="313"/>
      <c r="E2067" s="313"/>
      <c r="F2067" s="313"/>
      <c r="G2067" s="313"/>
      <c r="H2067" s="313">
        <v>2</v>
      </c>
      <c r="I2067" s="313"/>
      <c r="J2067" s="313"/>
      <c r="K2067" s="313"/>
      <c r="L2067" s="313">
        <f>19+4</f>
        <v>23</v>
      </c>
      <c r="M2067" s="313"/>
      <c r="N2067" s="313"/>
      <c r="O2067" s="313"/>
      <c r="P2067" s="313">
        <f>8+1</f>
        <v>9</v>
      </c>
      <c r="Q2067" s="313"/>
      <c r="R2067" s="313"/>
      <c r="S2067" s="313"/>
      <c r="T2067" s="313"/>
      <c r="U2067" s="313"/>
      <c r="V2067" s="313"/>
      <c r="W2067" s="313"/>
      <c r="X2067" s="313"/>
      <c r="Y2067" s="313"/>
      <c r="Z2067" s="313"/>
      <c r="AA2067" s="313"/>
      <c r="AB2067" s="306">
        <f t="shared" si="678"/>
        <v>34</v>
      </c>
      <c r="AC2067" s="309">
        <v>50</v>
      </c>
      <c r="AD2067" s="318"/>
      <c r="AE2067" s="318"/>
      <c r="AF2067" s="318"/>
      <c r="AG2067" s="318"/>
      <c r="AH2067" s="318"/>
      <c r="AI2067" s="318"/>
      <c r="AJ2067" s="318"/>
      <c r="AK2067" s="318"/>
      <c r="AL2067" s="318">
        <v>8</v>
      </c>
      <c r="AM2067" s="318"/>
      <c r="AN2067" s="318"/>
      <c r="AO2067" s="318"/>
      <c r="AP2067" s="318">
        <v>3</v>
      </c>
      <c r="AQ2067" s="318"/>
      <c r="AR2067" s="318"/>
      <c r="AS2067" s="318"/>
      <c r="AT2067" s="318"/>
      <c r="AU2067" s="318"/>
      <c r="AV2067" s="318"/>
      <c r="AW2067" s="318"/>
      <c r="AX2067" s="318"/>
      <c r="AY2067" s="318"/>
      <c r="AZ2067" s="318"/>
      <c r="BA2067" s="318"/>
      <c r="BB2067" s="306">
        <f t="shared" si="679"/>
        <v>11</v>
      </c>
      <c r="BC2067" s="309">
        <v>30</v>
      </c>
      <c r="BD2067" s="310">
        <f t="shared" si="680"/>
        <v>45</v>
      </c>
      <c r="BE2067" s="310">
        <f t="shared" si="681"/>
        <v>80</v>
      </c>
      <c r="BF2067" s="195">
        <f t="shared" si="682"/>
        <v>56.25</v>
      </c>
      <c r="BG2067" s="373">
        <f t="shared" si="677"/>
        <v>35</v>
      </c>
    </row>
    <row r="2068" spans="1:59" s="46" customFormat="1" ht="15.95" customHeight="1">
      <c r="A2068" s="176">
        <v>59</v>
      </c>
      <c r="B2068" s="312" t="s">
        <v>1099</v>
      </c>
      <c r="C2068" s="317" t="s">
        <v>1100</v>
      </c>
      <c r="D2068" s="313"/>
      <c r="E2068" s="313"/>
      <c r="F2068" s="313"/>
      <c r="G2068" s="313"/>
      <c r="H2068" s="313"/>
      <c r="I2068" s="313"/>
      <c r="J2068" s="313"/>
      <c r="K2068" s="313"/>
      <c r="L2068" s="313"/>
      <c r="M2068" s="313"/>
      <c r="N2068" s="313"/>
      <c r="O2068" s="313"/>
      <c r="P2068" s="313"/>
      <c r="Q2068" s="313"/>
      <c r="R2068" s="313"/>
      <c r="S2068" s="313"/>
      <c r="T2068" s="313"/>
      <c r="U2068" s="313"/>
      <c r="V2068" s="313"/>
      <c r="W2068" s="313"/>
      <c r="X2068" s="313"/>
      <c r="Y2068" s="313"/>
      <c r="Z2068" s="313"/>
      <c r="AA2068" s="313"/>
      <c r="AB2068" s="306">
        <f t="shared" si="678"/>
        <v>0</v>
      </c>
      <c r="AC2068" s="309">
        <v>0</v>
      </c>
      <c r="AD2068" s="318"/>
      <c r="AE2068" s="318"/>
      <c r="AF2068" s="318"/>
      <c r="AG2068" s="318"/>
      <c r="AH2068" s="318">
        <v>2</v>
      </c>
      <c r="AI2068" s="318"/>
      <c r="AJ2068" s="318"/>
      <c r="AK2068" s="318"/>
      <c r="AL2068" s="318">
        <v>1</v>
      </c>
      <c r="AM2068" s="318"/>
      <c r="AN2068" s="318"/>
      <c r="AO2068" s="318"/>
      <c r="AP2068" s="318">
        <v>1</v>
      </c>
      <c r="AQ2068" s="318"/>
      <c r="AR2068" s="318"/>
      <c r="AS2068" s="318"/>
      <c r="AT2068" s="318"/>
      <c r="AU2068" s="318"/>
      <c r="AV2068" s="318"/>
      <c r="AW2068" s="318"/>
      <c r="AX2068" s="318"/>
      <c r="AY2068" s="318"/>
      <c r="AZ2068" s="318"/>
      <c r="BA2068" s="318"/>
      <c r="BB2068" s="306">
        <f t="shared" si="679"/>
        <v>4</v>
      </c>
      <c r="BC2068" s="309">
        <v>8</v>
      </c>
      <c r="BD2068" s="310">
        <f t="shared" si="680"/>
        <v>4</v>
      </c>
      <c r="BE2068" s="310">
        <f t="shared" si="681"/>
        <v>8</v>
      </c>
      <c r="BF2068" s="195">
        <f t="shared" si="682"/>
        <v>50</v>
      </c>
      <c r="BG2068" s="373">
        <f t="shared" si="677"/>
        <v>4</v>
      </c>
    </row>
    <row r="2069" spans="1:59" s="46" customFormat="1" ht="15.95" customHeight="1">
      <c r="A2069" s="176">
        <v>60</v>
      </c>
      <c r="B2069" s="31" t="s">
        <v>821</v>
      </c>
      <c r="C2069" s="32" t="s">
        <v>822</v>
      </c>
      <c r="D2069" s="231"/>
      <c r="E2069" s="231"/>
      <c r="F2069" s="231"/>
      <c r="G2069" s="231"/>
      <c r="H2069" s="231"/>
      <c r="I2069" s="231"/>
      <c r="J2069" s="231"/>
      <c r="K2069" s="231"/>
      <c r="L2069" s="231"/>
      <c r="M2069" s="231"/>
      <c r="N2069" s="231"/>
      <c r="O2069" s="231"/>
      <c r="P2069" s="231"/>
      <c r="Q2069" s="231"/>
      <c r="R2069" s="231"/>
      <c r="S2069" s="231"/>
      <c r="T2069" s="231"/>
      <c r="U2069" s="231"/>
      <c r="V2069" s="231"/>
      <c r="W2069" s="231"/>
      <c r="X2069" s="231"/>
      <c r="Y2069" s="231"/>
      <c r="Z2069" s="231"/>
      <c r="AA2069" s="231"/>
      <c r="AB2069" s="22">
        <f t="shared" si="678"/>
        <v>0</v>
      </c>
      <c r="AC2069" s="23">
        <v>0</v>
      </c>
      <c r="AD2069" s="35"/>
      <c r="AE2069" s="35"/>
      <c r="AF2069" s="35"/>
      <c r="AG2069" s="35"/>
      <c r="AH2069" s="35">
        <v>2</v>
      </c>
      <c r="AI2069" s="35"/>
      <c r="AJ2069" s="35"/>
      <c r="AK2069" s="35"/>
      <c r="AL2069" s="35">
        <v>8</v>
      </c>
      <c r="AM2069" s="35"/>
      <c r="AN2069" s="35"/>
      <c r="AO2069" s="35"/>
      <c r="AP2069" s="35">
        <v>4</v>
      </c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22">
        <f t="shared" si="679"/>
        <v>14</v>
      </c>
      <c r="BC2069" s="23">
        <v>17</v>
      </c>
      <c r="BD2069" s="130">
        <f t="shared" si="680"/>
        <v>14</v>
      </c>
      <c r="BE2069" s="130">
        <f t="shared" si="681"/>
        <v>17</v>
      </c>
      <c r="BF2069" s="195">
        <f t="shared" si="682"/>
        <v>82.35294117647058</v>
      </c>
      <c r="BG2069" s="373">
        <f t="shared" si="677"/>
        <v>3</v>
      </c>
    </row>
    <row r="2070" spans="1:59" s="46" customFormat="1" ht="15.95" customHeight="1">
      <c r="A2070" s="176">
        <v>61</v>
      </c>
      <c r="B2070" s="31" t="s">
        <v>1010</v>
      </c>
      <c r="C2070" s="32" t="s">
        <v>1011</v>
      </c>
      <c r="D2070" s="231"/>
      <c r="E2070" s="231"/>
      <c r="F2070" s="231"/>
      <c r="G2070" s="231"/>
      <c r="H2070" s="231"/>
      <c r="I2070" s="231"/>
      <c r="J2070" s="231"/>
      <c r="K2070" s="231"/>
      <c r="L2070" s="231"/>
      <c r="M2070" s="231"/>
      <c r="N2070" s="231"/>
      <c r="O2070" s="231"/>
      <c r="P2070" s="231"/>
      <c r="Q2070" s="231"/>
      <c r="R2070" s="231"/>
      <c r="S2070" s="231"/>
      <c r="T2070" s="231"/>
      <c r="U2070" s="231"/>
      <c r="V2070" s="231"/>
      <c r="W2070" s="231"/>
      <c r="X2070" s="231"/>
      <c r="Y2070" s="231"/>
      <c r="Z2070" s="231"/>
      <c r="AA2070" s="231"/>
      <c r="AB2070" s="22">
        <f t="shared" si="678"/>
        <v>0</v>
      </c>
      <c r="AC2070" s="23">
        <v>0</v>
      </c>
      <c r="AD2070" s="35"/>
      <c r="AE2070" s="35"/>
      <c r="AF2070" s="35"/>
      <c r="AG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22">
        <f t="shared" si="679"/>
        <v>0</v>
      </c>
      <c r="BC2070" s="23">
        <v>1</v>
      </c>
      <c r="BD2070" s="130">
        <f t="shared" si="680"/>
        <v>0</v>
      </c>
      <c r="BE2070" s="130">
        <f t="shared" si="681"/>
        <v>1</v>
      </c>
      <c r="BF2070" s="195">
        <f t="shared" si="682"/>
        <v>0</v>
      </c>
      <c r="BG2070" s="373">
        <f t="shared" si="677"/>
        <v>1</v>
      </c>
    </row>
    <row r="2071" spans="1:59" s="46" customFormat="1" ht="15.95" customHeight="1">
      <c r="A2071" s="176">
        <v>62</v>
      </c>
      <c r="B2071" s="31" t="s">
        <v>1377</v>
      </c>
      <c r="C2071" s="32" t="s">
        <v>2112</v>
      </c>
      <c r="D2071" s="231"/>
      <c r="E2071" s="231"/>
      <c r="F2071" s="231"/>
      <c r="G2071" s="231"/>
      <c r="H2071" s="231"/>
      <c r="I2071" s="231"/>
      <c r="J2071" s="231"/>
      <c r="K2071" s="231"/>
      <c r="L2071" s="231"/>
      <c r="M2071" s="231"/>
      <c r="N2071" s="231"/>
      <c r="O2071" s="231"/>
      <c r="P2071" s="231"/>
      <c r="Q2071" s="231"/>
      <c r="R2071" s="231"/>
      <c r="S2071" s="231"/>
      <c r="T2071" s="231"/>
      <c r="U2071" s="231"/>
      <c r="V2071" s="231"/>
      <c r="W2071" s="231"/>
      <c r="X2071" s="231"/>
      <c r="Y2071" s="231"/>
      <c r="Z2071" s="231"/>
      <c r="AA2071" s="231"/>
      <c r="AB2071" s="22">
        <f t="shared" si="678"/>
        <v>0</v>
      </c>
      <c r="AC2071" s="23">
        <v>0</v>
      </c>
      <c r="AD2071" s="35"/>
      <c r="AE2071" s="35"/>
      <c r="AF2071" s="35"/>
      <c r="AG2071" s="35"/>
      <c r="AH2071" s="35">
        <v>2</v>
      </c>
      <c r="AI2071" s="35"/>
      <c r="AJ2071" s="35"/>
      <c r="AK2071" s="35"/>
      <c r="AL2071" s="35">
        <v>1</v>
      </c>
      <c r="AM2071" s="35"/>
      <c r="AN2071" s="35"/>
      <c r="AO2071" s="35"/>
      <c r="AP2071" s="35">
        <v>1</v>
      </c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22">
        <f t="shared" si="679"/>
        <v>4</v>
      </c>
      <c r="BC2071" s="23">
        <v>8</v>
      </c>
      <c r="BD2071" s="130">
        <f t="shared" si="680"/>
        <v>4</v>
      </c>
      <c r="BE2071" s="130">
        <f t="shared" si="681"/>
        <v>8</v>
      </c>
      <c r="BF2071" s="195">
        <f t="shared" si="682"/>
        <v>50</v>
      </c>
      <c r="BG2071" s="373">
        <f t="shared" si="677"/>
        <v>4</v>
      </c>
    </row>
    <row r="2072" spans="1:59" s="46" customFormat="1" ht="15.95" customHeight="1">
      <c r="A2072" s="176">
        <v>63</v>
      </c>
      <c r="B2072" s="31" t="s">
        <v>823</v>
      </c>
      <c r="C2072" s="32" t="s">
        <v>824</v>
      </c>
      <c r="D2072" s="231"/>
      <c r="E2072" s="231"/>
      <c r="F2072" s="231"/>
      <c r="G2072" s="231"/>
      <c r="H2072" s="231"/>
      <c r="I2072" s="231"/>
      <c r="J2072" s="231"/>
      <c r="K2072" s="231"/>
      <c r="L2072" s="231"/>
      <c r="M2072" s="231"/>
      <c r="N2072" s="231"/>
      <c r="O2072" s="231"/>
      <c r="P2072" s="231"/>
      <c r="Q2072" s="231"/>
      <c r="R2072" s="231"/>
      <c r="S2072" s="231"/>
      <c r="T2072" s="231"/>
      <c r="U2072" s="231"/>
      <c r="V2072" s="231"/>
      <c r="W2072" s="231"/>
      <c r="X2072" s="231"/>
      <c r="Y2072" s="231"/>
      <c r="Z2072" s="231"/>
      <c r="AA2072" s="231"/>
      <c r="AB2072" s="22">
        <f t="shared" si="678"/>
        <v>0</v>
      </c>
      <c r="AC2072" s="23">
        <v>0</v>
      </c>
      <c r="AD2072" s="35"/>
      <c r="AE2072" s="35"/>
      <c r="AF2072" s="35"/>
      <c r="AG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22">
        <f t="shared" si="679"/>
        <v>0</v>
      </c>
      <c r="BC2072" s="23">
        <v>23</v>
      </c>
      <c r="BD2072" s="130">
        <f t="shared" si="680"/>
        <v>0</v>
      </c>
      <c r="BE2072" s="130">
        <f t="shared" si="681"/>
        <v>23</v>
      </c>
      <c r="BF2072" s="195">
        <f t="shared" si="682"/>
        <v>0</v>
      </c>
      <c r="BG2072" s="373">
        <f t="shared" si="677"/>
        <v>23</v>
      </c>
    </row>
    <row r="2073" spans="1:59" s="46" customFormat="1" ht="15.95" customHeight="1">
      <c r="A2073" s="176">
        <v>64</v>
      </c>
      <c r="B2073" s="31" t="s">
        <v>825</v>
      </c>
      <c r="C2073" s="32" t="s">
        <v>907</v>
      </c>
      <c r="D2073" s="231"/>
      <c r="E2073" s="231"/>
      <c r="F2073" s="231"/>
      <c r="G2073" s="231"/>
      <c r="H2073" s="231">
        <v>10</v>
      </c>
      <c r="I2073" s="231"/>
      <c r="J2073" s="231"/>
      <c r="K2073" s="231"/>
      <c r="L2073" s="231">
        <f>17+2</f>
        <v>19</v>
      </c>
      <c r="M2073" s="231"/>
      <c r="N2073" s="231"/>
      <c r="O2073" s="231"/>
      <c r="P2073" s="231">
        <v>7</v>
      </c>
      <c r="Q2073" s="231"/>
      <c r="R2073" s="231"/>
      <c r="S2073" s="231"/>
      <c r="T2073" s="231"/>
      <c r="U2073" s="231"/>
      <c r="V2073" s="231"/>
      <c r="W2073" s="231"/>
      <c r="X2073" s="231"/>
      <c r="Y2073" s="231"/>
      <c r="Z2073" s="231"/>
      <c r="AA2073" s="231"/>
      <c r="AB2073" s="22">
        <f t="shared" si="678"/>
        <v>36</v>
      </c>
      <c r="AC2073" s="23">
        <v>61</v>
      </c>
      <c r="AD2073" s="35"/>
      <c r="AE2073" s="35"/>
      <c r="AF2073" s="35"/>
      <c r="AG2073" s="35"/>
      <c r="AH2073" s="35">
        <f>11+13</f>
        <v>24</v>
      </c>
      <c r="AI2073" s="35"/>
      <c r="AJ2073" s="35"/>
      <c r="AK2073" s="35"/>
      <c r="AL2073" s="35">
        <f>34+46</f>
        <v>80</v>
      </c>
      <c r="AM2073" s="35"/>
      <c r="AN2073" s="35"/>
      <c r="AO2073" s="35"/>
      <c r="AP2073" s="35">
        <f>24+32</f>
        <v>56</v>
      </c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22">
        <f t="shared" si="679"/>
        <v>160</v>
      </c>
      <c r="BC2073" s="23">
        <v>411</v>
      </c>
      <c r="BD2073" s="130">
        <f t="shared" si="680"/>
        <v>196</v>
      </c>
      <c r="BE2073" s="130">
        <f t="shared" si="681"/>
        <v>472</v>
      </c>
      <c r="BF2073" s="195">
        <f t="shared" si="682"/>
        <v>41.525423728813557</v>
      </c>
      <c r="BG2073" s="373">
        <f t="shared" si="677"/>
        <v>276</v>
      </c>
    </row>
    <row r="2074" spans="1:59" s="46" customFormat="1" ht="15.95" customHeight="1">
      <c r="A2074" s="176">
        <v>65</v>
      </c>
      <c r="B2074" s="31" t="s">
        <v>827</v>
      </c>
      <c r="C2074" s="32" t="s">
        <v>2297</v>
      </c>
      <c r="D2074" s="288"/>
      <c r="E2074" s="288"/>
      <c r="F2074" s="288"/>
      <c r="G2074" s="288"/>
      <c r="H2074" s="288"/>
      <c r="I2074" s="288"/>
      <c r="J2074" s="288"/>
      <c r="K2074" s="288"/>
      <c r="L2074" s="288"/>
      <c r="M2074" s="288"/>
      <c r="N2074" s="288"/>
      <c r="O2074" s="288"/>
      <c r="P2074" s="288"/>
      <c r="Q2074" s="288"/>
      <c r="R2074" s="288"/>
      <c r="S2074" s="288"/>
      <c r="T2074" s="288"/>
      <c r="U2074" s="288"/>
      <c r="V2074" s="288"/>
      <c r="W2074" s="288"/>
      <c r="X2074" s="288"/>
      <c r="Y2074" s="288"/>
      <c r="Z2074" s="288"/>
      <c r="AA2074" s="288"/>
      <c r="AB2074" s="22">
        <f t="shared" si="678"/>
        <v>0</v>
      </c>
      <c r="AC2074" s="23">
        <v>0</v>
      </c>
      <c r="AD2074" s="35"/>
      <c r="AE2074" s="35"/>
      <c r="AF2074" s="35"/>
      <c r="AG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22">
        <f t="shared" si="679"/>
        <v>0</v>
      </c>
      <c r="BC2074" s="23">
        <v>2</v>
      </c>
      <c r="BD2074" s="130">
        <f t="shared" si="680"/>
        <v>0</v>
      </c>
      <c r="BE2074" s="130">
        <f t="shared" si="681"/>
        <v>2</v>
      </c>
      <c r="BF2074" s="195">
        <f t="shared" si="682"/>
        <v>0</v>
      </c>
      <c r="BG2074" s="373">
        <f t="shared" si="677"/>
        <v>2</v>
      </c>
    </row>
    <row r="2075" spans="1:59" s="46" customFormat="1" ht="15.95" customHeight="1">
      <c r="A2075" s="176">
        <v>66</v>
      </c>
      <c r="B2075" s="31" t="s">
        <v>829</v>
      </c>
      <c r="C2075" s="32" t="s">
        <v>830</v>
      </c>
      <c r="D2075" s="231"/>
      <c r="E2075" s="231"/>
      <c r="F2075" s="231"/>
      <c r="G2075" s="231"/>
      <c r="H2075" s="231"/>
      <c r="I2075" s="231"/>
      <c r="J2075" s="231"/>
      <c r="K2075" s="231"/>
      <c r="L2075" s="231"/>
      <c r="M2075" s="231"/>
      <c r="N2075" s="231"/>
      <c r="O2075" s="231"/>
      <c r="P2075" s="231"/>
      <c r="Q2075" s="231"/>
      <c r="R2075" s="231"/>
      <c r="S2075" s="231"/>
      <c r="T2075" s="231"/>
      <c r="U2075" s="231"/>
      <c r="V2075" s="231"/>
      <c r="W2075" s="231"/>
      <c r="X2075" s="231"/>
      <c r="Y2075" s="231"/>
      <c r="Z2075" s="231"/>
      <c r="AA2075" s="231"/>
      <c r="AB2075" s="22">
        <f t="shared" ref="AB2075:AB2106" si="686">SUM(D2075:AA2075)</f>
        <v>0</v>
      </c>
      <c r="AC2075" s="23">
        <v>0</v>
      </c>
      <c r="AD2075" s="35"/>
      <c r="AE2075" s="35"/>
      <c r="AF2075" s="35"/>
      <c r="AG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22">
        <f t="shared" ref="BB2075:BB2106" si="687">SUM(AD2075:BA2075)</f>
        <v>0</v>
      </c>
      <c r="BC2075" s="23">
        <v>2</v>
      </c>
      <c r="BD2075" s="130">
        <f t="shared" ref="BD2075:BD2106" si="688">AB2075+BB2075</f>
        <v>0</v>
      </c>
      <c r="BE2075" s="130">
        <f t="shared" ref="BE2075:BE2106" si="689">AC2075+BC2075</f>
        <v>2</v>
      </c>
      <c r="BF2075" s="195">
        <f t="shared" ref="BF2075:BF2106" si="690">BD2075/BE2075*100</f>
        <v>0</v>
      </c>
      <c r="BG2075" s="373">
        <f t="shared" si="677"/>
        <v>2</v>
      </c>
    </row>
    <row r="2076" spans="1:59" s="46" customFormat="1" ht="15.95" customHeight="1">
      <c r="A2076" s="176">
        <v>67</v>
      </c>
      <c r="B2076" s="31" t="s">
        <v>835</v>
      </c>
      <c r="C2076" s="32" t="s">
        <v>947</v>
      </c>
      <c r="D2076" s="231"/>
      <c r="E2076" s="231"/>
      <c r="F2076" s="231"/>
      <c r="G2076" s="231"/>
      <c r="H2076" s="231"/>
      <c r="I2076" s="231"/>
      <c r="J2076" s="231"/>
      <c r="K2076" s="231"/>
      <c r="L2076" s="231"/>
      <c r="M2076" s="231"/>
      <c r="N2076" s="231"/>
      <c r="O2076" s="231"/>
      <c r="P2076" s="231"/>
      <c r="Q2076" s="231"/>
      <c r="R2076" s="231"/>
      <c r="S2076" s="231"/>
      <c r="T2076" s="231"/>
      <c r="U2076" s="231"/>
      <c r="V2076" s="231"/>
      <c r="W2076" s="231"/>
      <c r="X2076" s="231"/>
      <c r="Y2076" s="231"/>
      <c r="Z2076" s="231"/>
      <c r="AA2076" s="231"/>
      <c r="AB2076" s="22">
        <f t="shared" si="686"/>
        <v>0</v>
      </c>
      <c r="AC2076" s="23">
        <v>0</v>
      </c>
      <c r="AD2076" s="35"/>
      <c r="AE2076" s="35"/>
      <c r="AF2076" s="35"/>
      <c r="AG2076" s="35"/>
      <c r="AH2076" s="35"/>
      <c r="AI2076" s="35"/>
      <c r="AJ2076" s="35"/>
      <c r="AK2076" s="35"/>
      <c r="AL2076" s="35">
        <v>5</v>
      </c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22">
        <f t="shared" si="687"/>
        <v>5</v>
      </c>
      <c r="BC2076" s="23">
        <v>50</v>
      </c>
      <c r="BD2076" s="130">
        <f t="shared" si="688"/>
        <v>5</v>
      </c>
      <c r="BE2076" s="130">
        <f t="shared" si="689"/>
        <v>50</v>
      </c>
      <c r="BF2076" s="195">
        <f t="shared" si="690"/>
        <v>10</v>
      </c>
      <c r="BG2076" s="373">
        <f t="shared" si="677"/>
        <v>45</v>
      </c>
    </row>
    <row r="2077" spans="1:59" s="46" customFormat="1" ht="15.95" customHeight="1">
      <c r="A2077" s="176">
        <v>68</v>
      </c>
      <c r="B2077" s="31" t="s">
        <v>1013</v>
      </c>
      <c r="C2077" s="32" t="s">
        <v>1632</v>
      </c>
      <c r="D2077" s="550"/>
      <c r="E2077" s="550"/>
      <c r="F2077" s="550"/>
      <c r="G2077" s="550"/>
      <c r="H2077" s="550"/>
      <c r="I2077" s="550"/>
      <c r="J2077" s="550"/>
      <c r="K2077" s="550"/>
      <c r="L2077" s="550"/>
      <c r="M2077" s="550"/>
      <c r="N2077" s="550"/>
      <c r="O2077" s="550"/>
      <c r="P2077" s="550"/>
      <c r="Q2077" s="550"/>
      <c r="R2077" s="550"/>
      <c r="S2077" s="550"/>
      <c r="T2077" s="550"/>
      <c r="U2077" s="550"/>
      <c r="V2077" s="550"/>
      <c r="W2077" s="550"/>
      <c r="X2077" s="550"/>
      <c r="Y2077" s="550"/>
      <c r="Z2077" s="550"/>
      <c r="AA2077" s="550"/>
      <c r="AB2077" s="22">
        <f t="shared" si="686"/>
        <v>0</v>
      </c>
      <c r="AC2077" s="23">
        <v>0</v>
      </c>
      <c r="AD2077" s="35"/>
      <c r="AE2077" s="35"/>
      <c r="AF2077" s="35"/>
      <c r="AG2077" s="35"/>
      <c r="AH2077" s="35"/>
      <c r="AI2077" s="35"/>
      <c r="AJ2077" s="35"/>
      <c r="AK2077" s="35"/>
      <c r="AL2077" s="35">
        <v>6</v>
      </c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22">
        <f t="shared" si="687"/>
        <v>6</v>
      </c>
      <c r="BC2077" s="23">
        <v>0</v>
      </c>
      <c r="BD2077" s="130">
        <f t="shared" si="688"/>
        <v>6</v>
      </c>
      <c r="BE2077" s="130">
        <f t="shared" si="689"/>
        <v>0</v>
      </c>
      <c r="BF2077" s="195" t="e">
        <f t="shared" si="690"/>
        <v>#DIV/0!</v>
      </c>
      <c r="BG2077" s="373"/>
    </row>
    <row r="2078" spans="1:59" s="46" customFormat="1" ht="15.95" customHeight="1">
      <c r="A2078" s="176">
        <v>69</v>
      </c>
      <c r="B2078" s="31" t="s">
        <v>837</v>
      </c>
      <c r="C2078" s="32" t="s">
        <v>908</v>
      </c>
      <c r="D2078" s="231"/>
      <c r="E2078" s="231"/>
      <c r="F2078" s="231"/>
      <c r="G2078" s="231"/>
      <c r="H2078" s="231"/>
      <c r="I2078" s="231"/>
      <c r="J2078" s="231"/>
      <c r="K2078" s="231"/>
      <c r="L2078" s="231"/>
      <c r="M2078" s="231"/>
      <c r="N2078" s="231"/>
      <c r="O2078" s="231"/>
      <c r="P2078" s="231"/>
      <c r="Q2078" s="231"/>
      <c r="R2078" s="231"/>
      <c r="S2078" s="231"/>
      <c r="T2078" s="231"/>
      <c r="U2078" s="231"/>
      <c r="V2078" s="231"/>
      <c r="W2078" s="231"/>
      <c r="X2078" s="231"/>
      <c r="Y2078" s="231"/>
      <c r="Z2078" s="231"/>
      <c r="AA2078" s="231"/>
      <c r="AB2078" s="22">
        <f t="shared" si="686"/>
        <v>0</v>
      </c>
      <c r="AC2078" s="23">
        <v>0</v>
      </c>
      <c r="AD2078" s="35"/>
      <c r="AE2078" s="35"/>
      <c r="AF2078" s="35"/>
      <c r="AG2078" s="35"/>
      <c r="AH2078" s="35">
        <v>2</v>
      </c>
      <c r="AI2078" s="35"/>
      <c r="AJ2078" s="35"/>
      <c r="AK2078" s="35"/>
      <c r="AL2078" s="35">
        <v>4</v>
      </c>
      <c r="AM2078" s="35"/>
      <c r="AN2078" s="35"/>
      <c r="AO2078" s="35"/>
      <c r="AP2078" s="35">
        <v>2</v>
      </c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22">
        <f t="shared" si="687"/>
        <v>8</v>
      </c>
      <c r="BC2078" s="23">
        <v>13</v>
      </c>
      <c r="BD2078" s="130">
        <f t="shared" si="688"/>
        <v>8</v>
      </c>
      <c r="BE2078" s="130">
        <f t="shared" si="689"/>
        <v>13</v>
      </c>
      <c r="BF2078" s="195">
        <f t="shared" si="690"/>
        <v>61.53846153846154</v>
      </c>
      <c r="BG2078" s="373">
        <f t="shared" ref="BG2078:BG2120" si="691">BE2078-BD2078</f>
        <v>5</v>
      </c>
    </row>
    <row r="2079" spans="1:59" s="46" customFormat="1" ht="15.95" customHeight="1">
      <c r="A2079" s="176">
        <v>70</v>
      </c>
      <c r="B2079" s="31" t="s">
        <v>839</v>
      </c>
      <c r="C2079" s="32" t="s">
        <v>2082</v>
      </c>
      <c r="D2079" s="231"/>
      <c r="E2079" s="231"/>
      <c r="F2079" s="231"/>
      <c r="G2079" s="231"/>
      <c r="H2079" s="231"/>
      <c r="I2079" s="231"/>
      <c r="J2079" s="231"/>
      <c r="K2079" s="231"/>
      <c r="L2079" s="231"/>
      <c r="M2079" s="231"/>
      <c r="N2079" s="231"/>
      <c r="O2079" s="231"/>
      <c r="P2079" s="231"/>
      <c r="Q2079" s="231"/>
      <c r="R2079" s="231"/>
      <c r="S2079" s="231"/>
      <c r="T2079" s="231"/>
      <c r="U2079" s="231"/>
      <c r="V2079" s="231"/>
      <c r="W2079" s="231"/>
      <c r="X2079" s="231"/>
      <c r="Y2079" s="231"/>
      <c r="Z2079" s="231"/>
      <c r="AA2079" s="231"/>
      <c r="AB2079" s="22">
        <f t="shared" si="686"/>
        <v>0</v>
      </c>
      <c r="AC2079" s="23">
        <v>0</v>
      </c>
      <c r="AD2079" s="35"/>
      <c r="AE2079" s="35"/>
      <c r="AF2079" s="35"/>
      <c r="AG2079" s="35"/>
      <c r="AH2079" s="35">
        <v>1</v>
      </c>
      <c r="AI2079" s="35"/>
      <c r="AJ2079" s="35"/>
      <c r="AK2079" s="35"/>
      <c r="AL2079" s="35">
        <v>1</v>
      </c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22">
        <f t="shared" si="687"/>
        <v>2</v>
      </c>
      <c r="BC2079" s="23">
        <v>5</v>
      </c>
      <c r="BD2079" s="130">
        <f t="shared" si="688"/>
        <v>2</v>
      </c>
      <c r="BE2079" s="130">
        <f t="shared" si="689"/>
        <v>5</v>
      </c>
      <c r="BF2079" s="195">
        <f t="shared" si="690"/>
        <v>40</v>
      </c>
      <c r="BG2079" s="373">
        <f t="shared" si="691"/>
        <v>3</v>
      </c>
    </row>
    <row r="2080" spans="1:59" s="46" customFormat="1" ht="15.95" customHeight="1">
      <c r="A2080" s="176">
        <v>71</v>
      </c>
      <c r="B2080" s="31" t="s">
        <v>909</v>
      </c>
      <c r="C2080" s="32" t="s">
        <v>910</v>
      </c>
      <c r="D2080" s="322"/>
      <c r="E2080" s="322"/>
      <c r="F2080" s="322"/>
      <c r="G2080" s="322"/>
      <c r="H2080" s="322"/>
      <c r="I2080" s="322"/>
      <c r="J2080" s="322"/>
      <c r="K2080" s="322"/>
      <c r="L2080" s="322"/>
      <c r="M2080" s="322"/>
      <c r="N2080" s="322"/>
      <c r="O2080" s="322"/>
      <c r="P2080" s="322"/>
      <c r="Q2080" s="322"/>
      <c r="R2080" s="322"/>
      <c r="S2080" s="322"/>
      <c r="T2080" s="322"/>
      <c r="U2080" s="322"/>
      <c r="V2080" s="322"/>
      <c r="W2080" s="322"/>
      <c r="X2080" s="322"/>
      <c r="Y2080" s="322"/>
      <c r="Z2080" s="322"/>
      <c r="AA2080" s="322"/>
      <c r="AB2080" s="22">
        <f t="shared" si="686"/>
        <v>0</v>
      </c>
      <c r="AC2080" s="23">
        <v>1</v>
      </c>
      <c r="AD2080" s="35"/>
      <c r="AE2080" s="35"/>
      <c r="AF2080" s="35"/>
      <c r="AG2080" s="35"/>
      <c r="AH2080" s="35">
        <v>9</v>
      </c>
      <c r="AI2080" s="35"/>
      <c r="AJ2080" s="35"/>
      <c r="AK2080" s="35"/>
      <c r="AL2080" s="35">
        <v>71</v>
      </c>
      <c r="AM2080" s="35"/>
      <c r="AN2080" s="35"/>
      <c r="AO2080" s="35"/>
      <c r="AP2080" s="35">
        <v>18</v>
      </c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22">
        <f t="shared" si="687"/>
        <v>98</v>
      </c>
      <c r="BC2080" s="23">
        <v>259</v>
      </c>
      <c r="BD2080" s="130">
        <f t="shared" si="688"/>
        <v>98</v>
      </c>
      <c r="BE2080" s="130">
        <f t="shared" si="689"/>
        <v>260</v>
      </c>
      <c r="BF2080" s="195">
        <f t="shared" si="690"/>
        <v>37.692307692307693</v>
      </c>
      <c r="BG2080" s="373">
        <f t="shared" si="691"/>
        <v>162</v>
      </c>
    </row>
    <row r="2081" spans="1:59" s="46" customFormat="1" ht="15.95" customHeight="1">
      <c r="A2081" s="176">
        <v>72</v>
      </c>
      <c r="B2081" s="31" t="s">
        <v>841</v>
      </c>
      <c r="C2081" s="32" t="s">
        <v>842</v>
      </c>
      <c r="D2081" s="231"/>
      <c r="E2081" s="231"/>
      <c r="F2081" s="231"/>
      <c r="G2081" s="231"/>
      <c r="H2081" s="231"/>
      <c r="I2081" s="231"/>
      <c r="J2081" s="231"/>
      <c r="K2081" s="231"/>
      <c r="L2081" s="231"/>
      <c r="M2081" s="231"/>
      <c r="N2081" s="231"/>
      <c r="O2081" s="231"/>
      <c r="P2081" s="231"/>
      <c r="Q2081" s="231"/>
      <c r="R2081" s="231"/>
      <c r="S2081" s="231"/>
      <c r="T2081" s="231"/>
      <c r="U2081" s="231"/>
      <c r="V2081" s="231"/>
      <c r="W2081" s="231"/>
      <c r="X2081" s="231"/>
      <c r="Y2081" s="231"/>
      <c r="Z2081" s="231"/>
      <c r="AA2081" s="231"/>
      <c r="AB2081" s="22">
        <f t="shared" si="686"/>
        <v>0</v>
      </c>
      <c r="AC2081" s="23">
        <v>0</v>
      </c>
      <c r="AD2081" s="35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22">
        <f t="shared" si="687"/>
        <v>0</v>
      </c>
      <c r="BC2081" s="23">
        <v>5</v>
      </c>
      <c r="BD2081" s="130">
        <f t="shared" si="688"/>
        <v>0</v>
      </c>
      <c r="BE2081" s="130">
        <f t="shared" si="689"/>
        <v>5</v>
      </c>
      <c r="BF2081" s="195">
        <f t="shared" si="690"/>
        <v>0</v>
      </c>
      <c r="BG2081" s="373">
        <f t="shared" si="691"/>
        <v>5</v>
      </c>
    </row>
    <row r="2082" spans="1:59" s="46" customFormat="1" ht="15.95" customHeight="1">
      <c r="A2082" s="176">
        <v>73</v>
      </c>
      <c r="B2082" s="31" t="s">
        <v>1176</v>
      </c>
      <c r="C2082" s="32" t="s">
        <v>1177</v>
      </c>
      <c r="D2082" s="231"/>
      <c r="E2082" s="231"/>
      <c r="F2082" s="231"/>
      <c r="G2082" s="231"/>
      <c r="H2082" s="231"/>
      <c r="I2082" s="231"/>
      <c r="J2082" s="231"/>
      <c r="K2082" s="231"/>
      <c r="L2082" s="231">
        <v>1</v>
      </c>
      <c r="M2082" s="231"/>
      <c r="N2082" s="231"/>
      <c r="O2082" s="231"/>
      <c r="P2082" s="231"/>
      <c r="Q2082" s="231"/>
      <c r="R2082" s="231"/>
      <c r="S2082" s="231"/>
      <c r="T2082" s="231"/>
      <c r="U2082" s="231"/>
      <c r="V2082" s="231"/>
      <c r="W2082" s="231"/>
      <c r="X2082" s="231"/>
      <c r="Y2082" s="231"/>
      <c r="Z2082" s="231"/>
      <c r="AA2082" s="231"/>
      <c r="AB2082" s="22">
        <f t="shared" si="686"/>
        <v>1</v>
      </c>
      <c r="AC2082" s="23">
        <v>0</v>
      </c>
      <c r="AD2082" s="35"/>
      <c r="AE2082" s="35"/>
      <c r="AF2082" s="35"/>
      <c r="AG2082" s="35"/>
      <c r="AH2082" s="35"/>
      <c r="AI2082" s="35"/>
      <c r="AJ2082" s="35"/>
      <c r="AK2082" s="35"/>
      <c r="AL2082" s="35">
        <v>8</v>
      </c>
      <c r="AM2082" s="35"/>
      <c r="AN2082" s="35"/>
      <c r="AO2082" s="35"/>
      <c r="AP2082" s="35">
        <v>3</v>
      </c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22">
        <f t="shared" si="687"/>
        <v>11</v>
      </c>
      <c r="BC2082" s="23">
        <v>80</v>
      </c>
      <c r="BD2082" s="130">
        <f t="shared" si="688"/>
        <v>12</v>
      </c>
      <c r="BE2082" s="130">
        <f t="shared" si="689"/>
        <v>80</v>
      </c>
      <c r="BF2082" s="195">
        <f t="shared" si="690"/>
        <v>15</v>
      </c>
      <c r="BG2082" s="373">
        <f t="shared" si="691"/>
        <v>68</v>
      </c>
    </row>
    <row r="2083" spans="1:59" s="46" customFormat="1" ht="15.95" customHeight="1">
      <c r="A2083" s="176">
        <v>74</v>
      </c>
      <c r="B2083" s="31" t="s">
        <v>1178</v>
      </c>
      <c r="C2083" s="32" t="s">
        <v>1179</v>
      </c>
      <c r="D2083" s="231"/>
      <c r="E2083" s="231"/>
      <c r="F2083" s="231"/>
      <c r="G2083" s="231"/>
      <c r="H2083" s="231"/>
      <c r="I2083" s="231"/>
      <c r="J2083" s="231"/>
      <c r="K2083" s="231"/>
      <c r="L2083" s="231">
        <v>1</v>
      </c>
      <c r="M2083" s="231"/>
      <c r="N2083" s="231"/>
      <c r="O2083" s="231"/>
      <c r="P2083" s="231">
        <v>3</v>
      </c>
      <c r="Q2083" s="231"/>
      <c r="R2083" s="231"/>
      <c r="S2083" s="231"/>
      <c r="T2083" s="231"/>
      <c r="U2083" s="231"/>
      <c r="V2083" s="231"/>
      <c r="W2083" s="231"/>
      <c r="X2083" s="231"/>
      <c r="Y2083" s="231"/>
      <c r="Z2083" s="231"/>
      <c r="AA2083" s="231"/>
      <c r="AB2083" s="22">
        <f t="shared" si="686"/>
        <v>4</v>
      </c>
      <c r="AC2083" s="23">
        <v>4</v>
      </c>
      <c r="AD2083" s="35"/>
      <c r="AE2083" s="35"/>
      <c r="AF2083" s="35"/>
      <c r="AG2083" s="35"/>
      <c r="AH2083" s="35">
        <v>3</v>
      </c>
      <c r="AI2083" s="35"/>
      <c r="AJ2083" s="35"/>
      <c r="AK2083" s="35"/>
      <c r="AL2083" s="35">
        <v>8</v>
      </c>
      <c r="AM2083" s="35"/>
      <c r="AN2083" s="35"/>
      <c r="AO2083" s="35"/>
      <c r="AP2083" s="35">
        <f>1+10</f>
        <v>11</v>
      </c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22">
        <f t="shared" si="687"/>
        <v>22</v>
      </c>
      <c r="BC2083" s="23">
        <v>55</v>
      </c>
      <c r="BD2083" s="130">
        <f t="shared" si="688"/>
        <v>26</v>
      </c>
      <c r="BE2083" s="130">
        <f t="shared" si="689"/>
        <v>59</v>
      </c>
      <c r="BF2083" s="195">
        <f t="shared" si="690"/>
        <v>44.067796610169488</v>
      </c>
      <c r="BG2083" s="373">
        <f t="shared" si="691"/>
        <v>33</v>
      </c>
    </row>
    <row r="2084" spans="1:59" s="46" customFormat="1" ht="15.95" customHeight="1">
      <c r="A2084" s="176">
        <v>75</v>
      </c>
      <c r="B2084" s="31" t="s">
        <v>3480</v>
      </c>
      <c r="C2084" s="32" t="s">
        <v>3481</v>
      </c>
      <c r="D2084" s="231">
        <v>8</v>
      </c>
      <c r="E2084" s="231"/>
      <c r="F2084" s="231"/>
      <c r="G2084" s="231"/>
      <c r="H2084" s="231">
        <f>2+3</f>
        <v>5</v>
      </c>
      <c r="I2084" s="231"/>
      <c r="J2084" s="231"/>
      <c r="K2084" s="231"/>
      <c r="L2084" s="231">
        <f>3+4</f>
        <v>7</v>
      </c>
      <c r="M2084" s="231"/>
      <c r="N2084" s="231"/>
      <c r="O2084" s="231"/>
      <c r="P2084" s="231">
        <f>1+2</f>
        <v>3</v>
      </c>
      <c r="Q2084" s="231"/>
      <c r="R2084" s="231"/>
      <c r="S2084" s="231"/>
      <c r="T2084" s="231"/>
      <c r="U2084" s="231"/>
      <c r="V2084" s="231"/>
      <c r="W2084" s="231"/>
      <c r="X2084" s="231"/>
      <c r="Y2084" s="231"/>
      <c r="Z2084" s="231"/>
      <c r="AA2084" s="231"/>
      <c r="AB2084" s="22">
        <f t="shared" si="686"/>
        <v>23</v>
      </c>
      <c r="AC2084" s="23">
        <v>1</v>
      </c>
      <c r="AD2084" s="35"/>
      <c r="AE2084" s="35"/>
      <c r="AF2084" s="35"/>
      <c r="AG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22">
        <f t="shared" si="687"/>
        <v>0</v>
      </c>
      <c r="BC2084" s="23">
        <v>0</v>
      </c>
      <c r="BD2084" s="130">
        <f t="shared" si="688"/>
        <v>23</v>
      </c>
      <c r="BE2084" s="130">
        <f t="shared" si="689"/>
        <v>1</v>
      </c>
      <c r="BF2084" s="195">
        <f t="shared" si="690"/>
        <v>2300</v>
      </c>
      <c r="BG2084" s="373">
        <f t="shared" si="691"/>
        <v>-22</v>
      </c>
    </row>
    <row r="2085" spans="1:59" s="46" customFormat="1" ht="15.95" customHeight="1">
      <c r="A2085" s="176">
        <v>76</v>
      </c>
      <c r="B2085" s="31" t="s">
        <v>2467</v>
      </c>
      <c r="C2085" s="32" t="s">
        <v>2468</v>
      </c>
      <c r="D2085" s="231"/>
      <c r="E2085" s="231"/>
      <c r="F2085" s="231"/>
      <c r="G2085" s="231"/>
      <c r="H2085" s="231">
        <v>3</v>
      </c>
      <c r="I2085" s="231"/>
      <c r="J2085" s="231"/>
      <c r="K2085" s="231"/>
      <c r="L2085" s="231">
        <v>1</v>
      </c>
      <c r="M2085" s="231"/>
      <c r="N2085" s="231"/>
      <c r="O2085" s="231"/>
      <c r="P2085" s="231"/>
      <c r="Q2085" s="231"/>
      <c r="R2085" s="231"/>
      <c r="S2085" s="231"/>
      <c r="T2085" s="231"/>
      <c r="U2085" s="231"/>
      <c r="V2085" s="231"/>
      <c r="W2085" s="231"/>
      <c r="X2085" s="231"/>
      <c r="Y2085" s="231"/>
      <c r="Z2085" s="231"/>
      <c r="AA2085" s="231"/>
      <c r="AB2085" s="22">
        <f t="shared" si="686"/>
        <v>4</v>
      </c>
      <c r="AC2085" s="23">
        <v>4</v>
      </c>
      <c r="AD2085" s="35"/>
      <c r="AE2085" s="35"/>
      <c r="AF2085" s="35"/>
      <c r="AG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22">
        <f t="shared" si="687"/>
        <v>0</v>
      </c>
      <c r="BC2085" s="23">
        <v>0</v>
      </c>
      <c r="BD2085" s="130">
        <f t="shared" si="688"/>
        <v>4</v>
      </c>
      <c r="BE2085" s="130">
        <f t="shared" si="689"/>
        <v>4</v>
      </c>
      <c r="BF2085" s="195">
        <f t="shared" si="690"/>
        <v>100</v>
      </c>
      <c r="BG2085" s="373">
        <f t="shared" si="691"/>
        <v>0</v>
      </c>
    </row>
    <row r="2086" spans="1:59" s="46" customFormat="1" ht="15.95" customHeight="1">
      <c r="A2086" s="176">
        <v>77</v>
      </c>
      <c r="B2086" s="31" t="s">
        <v>1180</v>
      </c>
      <c r="C2086" s="32" t="s">
        <v>1181</v>
      </c>
      <c r="D2086" s="231"/>
      <c r="E2086" s="231"/>
      <c r="F2086" s="231"/>
      <c r="G2086" s="231"/>
      <c r="H2086" s="231"/>
      <c r="I2086" s="231"/>
      <c r="J2086" s="231"/>
      <c r="K2086" s="231"/>
      <c r="L2086" s="231"/>
      <c r="M2086" s="231"/>
      <c r="N2086" s="231"/>
      <c r="O2086" s="231"/>
      <c r="P2086" s="231"/>
      <c r="Q2086" s="231"/>
      <c r="R2086" s="231"/>
      <c r="S2086" s="231"/>
      <c r="T2086" s="231"/>
      <c r="U2086" s="231"/>
      <c r="V2086" s="231"/>
      <c r="W2086" s="231"/>
      <c r="X2086" s="231"/>
      <c r="Y2086" s="231"/>
      <c r="Z2086" s="231"/>
      <c r="AA2086" s="231"/>
      <c r="AB2086" s="22">
        <f t="shared" si="686"/>
        <v>0</v>
      </c>
      <c r="AC2086" s="23">
        <v>0</v>
      </c>
      <c r="AD2086" s="35"/>
      <c r="AE2086" s="35"/>
      <c r="AF2086" s="35"/>
      <c r="AG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22">
        <f t="shared" si="687"/>
        <v>0</v>
      </c>
      <c r="BC2086" s="23">
        <v>1</v>
      </c>
      <c r="BD2086" s="130">
        <f t="shared" si="688"/>
        <v>0</v>
      </c>
      <c r="BE2086" s="130">
        <f t="shared" si="689"/>
        <v>1</v>
      </c>
      <c r="BF2086" s="195">
        <f t="shared" si="690"/>
        <v>0</v>
      </c>
      <c r="BG2086" s="373">
        <f t="shared" si="691"/>
        <v>1</v>
      </c>
    </row>
    <row r="2087" spans="1:59" s="46" customFormat="1" ht="15.95" customHeight="1">
      <c r="A2087" s="176">
        <v>78</v>
      </c>
      <c r="B2087" s="31" t="s">
        <v>1182</v>
      </c>
      <c r="C2087" s="32" t="s">
        <v>1183</v>
      </c>
      <c r="D2087" s="231"/>
      <c r="E2087" s="231"/>
      <c r="F2087" s="231"/>
      <c r="G2087" s="231"/>
      <c r="H2087" s="231"/>
      <c r="I2087" s="231"/>
      <c r="J2087" s="231"/>
      <c r="K2087" s="231"/>
      <c r="L2087" s="231"/>
      <c r="M2087" s="231"/>
      <c r="N2087" s="231"/>
      <c r="O2087" s="231"/>
      <c r="P2087" s="231"/>
      <c r="Q2087" s="231"/>
      <c r="R2087" s="231"/>
      <c r="S2087" s="231"/>
      <c r="T2087" s="231"/>
      <c r="U2087" s="231"/>
      <c r="V2087" s="231"/>
      <c r="W2087" s="231"/>
      <c r="X2087" s="231"/>
      <c r="Y2087" s="231"/>
      <c r="Z2087" s="231"/>
      <c r="AA2087" s="231"/>
      <c r="AB2087" s="22">
        <f t="shared" si="686"/>
        <v>0</v>
      </c>
      <c r="AC2087" s="23">
        <v>0</v>
      </c>
      <c r="AD2087" s="35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>
        <v>2</v>
      </c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22">
        <f t="shared" si="687"/>
        <v>2</v>
      </c>
      <c r="BC2087" s="23">
        <v>4</v>
      </c>
      <c r="BD2087" s="130">
        <f t="shared" si="688"/>
        <v>2</v>
      </c>
      <c r="BE2087" s="130">
        <f t="shared" si="689"/>
        <v>4</v>
      </c>
      <c r="BF2087" s="195">
        <f t="shared" si="690"/>
        <v>50</v>
      </c>
      <c r="BG2087" s="373">
        <f t="shared" si="691"/>
        <v>2</v>
      </c>
    </row>
    <row r="2088" spans="1:59" s="46" customFormat="1" ht="15.95" customHeight="1">
      <c r="A2088" s="176">
        <v>79</v>
      </c>
      <c r="B2088" s="31" t="s">
        <v>1184</v>
      </c>
      <c r="C2088" s="32" t="s">
        <v>2905</v>
      </c>
      <c r="D2088" s="231"/>
      <c r="E2088" s="231"/>
      <c r="F2088" s="231"/>
      <c r="G2088" s="231"/>
      <c r="H2088" s="231"/>
      <c r="I2088" s="231"/>
      <c r="J2088" s="231"/>
      <c r="K2088" s="231"/>
      <c r="L2088" s="231"/>
      <c r="M2088" s="231"/>
      <c r="N2088" s="231"/>
      <c r="O2088" s="231"/>
      <c r="P2088" s="231"/>
      <c r="Q2088" s="231"/>
      <c r="R2088" s="231"/>
      <c r="S2088" s="231"/>
      <c r="T2088" s="231"/>
      <c r="U2088" s="231"/>
      <c r="V2088" s="231"/>
      <c r="W2088" s="231"/>
      <c r="X2088" s="231"/>
      <c r="Y2088" s="231"/>
      <c r="Z2088" s="231"/>
      <c r="AA2088" s="231"/>
      <c r="AB2088" s="22">
        <f t="shared" si="686"/>
        <v>0</v>
      </c>
      <c r="AC2088" s="23">
        <v>2</v>
      </c>
      <c r="AD2088" s="35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22">
        <f t="shared" si="687"/>
        <v>0</v>
      </c>
      <c r="BC2088" s="23">
        <v>0</v>
      </c>
      <c r="BD2088" s="130">
        <f t="shared" si="688"/>
        <v>0</v>
      </c>
      <c r="BE2088" s="130">
        <f t="shared" si="689"/>
        <v>2</v>
      </c>
      <c r="BF2088" s="195">
        <f t="shared" si="690"/>
        <v>0</v>
      </c>
      <c r="BG2088" s="373">
        <f t="shared" si="691"/>
        <v>2</v>
      </c>
    </row>
    <row r="2089" spans="1:59" s="46" customFormat="1" ht="15.95" customHeight="1">
      <c r="A2089" s="176">
        <v>80</v>
      </c>
      <c r="B2089" s="31" t="s">
        <v>1112</v>
      </c>
      <c r="C2089" s="32" t="s">
        <v>1638</v>
      </c>
      <c r="D2089" s="231"/>
      <c r="E2089" s="231"/>
      <c r="F2089" s="231"/>
      <c r="G2089" s="231"/>
      <c r="H2089" s="231"/>
      <c r="I2089" s="231"/>
      <c r="J2089" s="231"/>
      <c r="K2089" s="231"/>
      <c r="L2089" s="231"/>
      <c r="M2089" s="231"/>
      <c r="N2089" s="231"/>
      <c r="O2089" s="231"/>
      <c r="P2089" s="231"/>
      <c r="Q2089" s="231"/>
      <c r="R2089" s="231"/>
      <c r="S2089" s="231"/>
      <c r="T2089" s="231"/>
      <c r="U2089" s="231"/>
      <c r="V2089" s="231"/>
      <c r="W2089" s="231"/>
      <c r="X2089" s="231"/>
      <c r="Y2089" s="231"/>
      <c r="Z2089" s="231"/>
      <c r="AA2089" s="231"/>
      <c r="AB2089" s="22">
        <f t="shared" si="686"/>
        <v>0</v>
      </c>
      <c r="AC2089" s="23">
        <v>0</v>
      </c>
      <c r="AD2089" s="35"/>
      <c r="AE2089" s="35"/>
      <c r="AF2089" s="35"/>
      <c r="AG2089" s="35"/>
      <c r="AH2089" s="35"/>
      <c r="AI2089" s="35"/>
      <c r="AJ2089" s="35"/>
      <c r="AK2089" s="35"/>
      <c r="AL2089" s="35">
        <v>20</v>
      </c>
      <c r="AM2089" s="35"/>
      <c r="AN2089" s="35"/>
      <c r="AO2089" s="35"/>
      <c r="AP2089" s="35">
        <v>18</v>
      </c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22">
        <f t="shared" si="687"/>
        <v>38</v>
      </c>
      <c r="BC2089" s="23">
        <v>8</v>
      </c>
      <c r="BD2089" s="130">
        <f t="shared" si="688"/>
        <v>38</v>
      </c>
      <c r="BE2089" s="130">
        <f t="shared" si="689"/>
        <v>8</v>
      </c>
      <c r="BF2089" s="195">
        <f t="shared" si="690"/>
        <v>475</v>
      </c>
      <c r="BG2089" s="373">
        <f t="shared" si="691"/>
        <v>-30</v>
      </c>
    </row>
    <row r="2090" spans="1:59" s="46" customFormat="1" ht="15.95" customHeight="1">
      <c r="A2090" s="176">
        <v>81</v>
      </c>
      <c r="B2090" s="31" t="s">
        <v>3482</v>
      </c>
      <c r="C2090" s="32" t="s">
        <v>3483</v>
      </c>
      <c r="D2090" s="231"/>
      <c r="E2090" s="231"/>
      <c r="F2090" s="231"/>
      <c r="G2090" s="231"/>
      <c r="H2090" s="231"/>
      <c r="I2090" s="231"/>
      <c r="J2090" s="231"/>
      <c r="K2090" s="231"/>
      <c r="L2090" s="231"/>
      <c r="M2090" s="231"/>
      <c r="N2090" s="231"/>
      <c r="O2090" s="231"/>
      <c r="P2090" s="231"/>
      <c r="Q2090" s="231"/>
      <c r="R2090" s="231"/>
      <c r="S2090" s="231"/>
      <c r="T2090" s="231"/>
      <c r="U2090" s="231"/>
      <c r="V2090" s="231"/>
      <c r="W2090" s="231"/>
      <c r="X2090" s="231"/>
      <c r="Y2090" s="231"/>
      <c r="Z2090" s="231"/>
      <c r="AA2090" s="231"/>
      <c r="AB2090" s="22">
        <f t="shared" si="686"/>
        <v>0</v>
      </c>
      <c r="AC2090" s="23">
        <v>1</v>
      </c>
      <c r="AD2090" s="35"/>
      <c r="AE2090" s="35"/>
      <c r="AF2090" s="35"/>
      <c r="AG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22">
        <f t="shared" si="687"/>
        <v>0</v>
      </c>
      <c r="BC2090" s="23">
        <v>0</v>
      </c>
      <c r="BD2090" s="130">
        <f t="shared" si="688"/>
        <v>0</v>
      </c>
      <c r="BE2090" s="130">
        <f t="shared" si="689"/>
        <v>1</v>
      </c>
      <c r="BF2090" s="195">
        <f t="shared" si="690"/>
        <v>0</v>
      </c>
      <c r="BG2090" s="373">
        <f t="shared" si="691"/>
        <v>1</v>
      </c>
    </row>
    <row r="2091" spans="1:59" s="46" customFormat="1" ht="15.95" customHeight="1">
      <c r="A2091" s="176">
        <v>82</v>
      </c>
      <c r="B2091" s="31" t="s">
        <v>1185</v>
      </c>
      <c r="C2091" s="32" t="s">
        <v>1186</v>
      </c>
      <c r="D2091" s="231">
        <v>28</v>
      </c>
      <c r="E2091" s="231"/>
      <c r="F2091" s="231"/>
      <c r="G2091" s="231"/>
      <c r="H2091" s="231">
        <v>73</v>
      </c>
      <c r="I2091" s="231"/>
      <c r="J2091" s="231"/>
      <c r="K2091" s="231"/>
      <c r="L2091" s="231">
        <v>100</v>
      </c>
      <c r="M2091" s="231"/>
      <c r="N2091" s="231"/>
      <c r="O2091" s="231"/>
      <c r="P2091" s="231">
        <v>15</v>
      </c>
      <c r="Q2091" s="231"/>
      <c r="R2091" s="231"/>
      <c r="S2091" s="231"/>
      <c r="T2091" s="231"/>
      <c r="U2091" s="231"/>
      <c r="V2091" s="231"/>
      <c r="W2091" s="231"/>
      <c r="X2091" s="231"/>
      <c r="Y2091" s="231"/>
      <c r="Z2091" s="231"/>
      <c r="AA2091" s="231"/>
      <c r="AB2091" s="22">
        <f t="shared" si="686"/>
        <v>216</v>
      </c>
      <c r="AC2091" s="23">
        <v>1</v>
      </c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22">
        <f t="shared" si="687"/>
        <v>0</v>
      </c>
      <c r="BC2091" s="23">
        <v>0</v>
      </c>
      <c r="BD2091" s="130">
        <f t="shared" si="688"/>
        <v>216</v>
      </c>
      <c r="BE2091" s="130">
        <f t="shared" si="689"/>
        <v>1</v>
      </c>
      <c r="BF2091" s="195">
        <f t="shared" si="690"/>
        <v>21600</v>
      </c>
      <c r="BG2091" s="373">
        <f t="shared" si="691"/>
        <v>-215</v>
      </c>
    </row>
    <row r="2092" spans="1:59" s="46" customFormat="1" ht="15.95" customHeight="1">
      <c r="A2092" s="176">
        <v>83</v>
      </c>
      <c r="B2092" s="31" t="s">
        <v>2065</v>
      </c>
      <c r="C2092" s="32" t="s">
        <v>2083</v>
      </c>
      <c r="D2092" s="231"/>
      <c r="E2092" s="231"/>
      <c r="F2092" s="231"/>
      <c r="G2092" s="231"/>
      <c r="H2092" s="231"/>
      <c r="I2092" s="231"/>
      <c r="J2092" s="231"/>
      <c r="K2092" s="231"/>
      <c r="L2092" s="231"/>
      <c r="M2092" s="231"/>
      <c r="N2092" s="231"/>
      <c r="O2092" s="231"/>
      <c r="P2092" s="231"/>
      <c r="Q2092" s="231"/>
      <c r="R2092" s="231"/>
      <c r="S2092" s="231"/>
      <c r="T2092" s="231"/>
      <c r="U2092" s="231"/>
      <c r="V2092" s="231"/>
      <c r="W2092" s="231"/>
      <c r="X2092" s="231"/>
      <c r="Y2092" s="231"/>
      <c r="Z2092" s="231"/>
      <c r="AA2092" s="231"/>
      <c r="AB2092" s="22">
        <f t="shared" si="686"/>
        <v>0</v>
      </c>
      <c r="AC2092" s="23">
        <v>0</v>
      </c>
      <c r="AD2092" s="35"/>
      <c r="AE2092" s="35"/>
      <c r="AF2092" s="35"/>
      <c r="AG2092" s="35"/>
      <c r="AH2092" s="35">
        <v>5</v>
      </c>
      <c r="AI2092" s="35"/>
      <c r="AJ2092" s="35"/>
      <c r="AK2092" s="35"/>
      <c r="AL2092" s="35">
        <v>75</v>
      </c>
      <c r="AM2092" s="35"/>
      <c r="AN2092" s="35"/>
      <c r="AO2092" s="35"/>
      <c r="AP2092" s="35">
        <v>40</v>
      </c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22">
        <f t="shared" si="687"/>
        <v>120</v>
      </c>
      <c r="BC2092" s="23">
        <v>191</v>
      </c>
      <c r="BD2092" s="130">
        <f t="shared" si="688"/>
        <v>120</v>
      </c>
      <c r="BE2092" s="130">
        <f t="shared" si="689"/>
        <v>191</v>
      </c>
      <c r="BF2092" s="195">
        <f t="shared" si="690"/>
        <v>62.827225130890049</v>
      </c>
      <c r="BG2092" s="373">
        <f t="shared" si="691"/>
        <v>71</v>
      </c>
    </row>
    <row r="2093" spans="1:59" s="46" customFormat="1" ht="15.95" customHeight="1">
      <c r="A2093" s="176">
        <v>84</v>
      </c>
      <c r="B2093" s="31" t="s">
        <v>1187</v>
      </c>
      <c r="C2093" s="32" t="s">
        <v>1188</v>
      </c>
      <c r="D2093" s="231"/>
      <c r="E2093" s="231"/>
      <c r="F2093" s="231"/>
      <c r="G2093" s="231"/>
      <c r="H2093" s="231">
        <v>2</v>
      </c>
      <c r="I2093" s="231"/>
      <c r="J2093" s="231"/>
      <c r="K2093" s="231"/>
      <c r="L2093" s="231">
        <f>20+4</f>
        <v>24</v>
      </c>
      <c r="M2093" s="231"/>
      <c r="N2093" s="231"/>
      <c r="O2093" s="231"/>
      <c r="P2093" s="231">
        <f>9+1</f>
        <v>10</v>
      </c>
      <c r="Q2093" s="231"/>
      <c r="R2093" s="231"/>
      <c r="S2093" s="231"/>
      <c r="T2093" s="231"/>
      <c r="U2093" s="231"/>
      <c r="V2093" s="231"/>
      <c r="W2093" s="231"/>
      <c r="X2093" s="231"/>
      <c r="Y2093" s="231"/>
      <c r="Z2093" s="231"/>
      <c r="AA2093" s="231"/>
      <c r="AB2093" s="22">
        <f t="shared" si="686"/>
        <v>36</v>
      </c>
      <c r="AC2093" s="23">
        <v>59</v>
      </c>
      <c r="AD2093" s="35"/>
      <c r="AE2093" s="35"/>
      <c r="AF2093" s="35"/>
      <c r="AG2093" s="35"/>
      <c r="AH2093" s="35"/>
      <c r="AI2093" s="35"/>
      <c r="AJ2093" s="35"/>
      <c r="AK2093" s="35"/>
      <c r="AL2093" s="35">
        <v>8</v>
      </c>
      <c r="AM2093" s="35"/>
      <c r="AN2093" s="35"/>
      <c r="AO2093" s="35"/>
      <c r="AP2093" s="35">
        <v>3</v>
      </c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22">
        <f t="shared" si="687"/>
        <v>11</v>
      </c>
      <c r="BC2093" s="23">
        <v>31</v>
      </c>
      <c r="BD2093" s="130">
        <f t="shared" si="688"/>
        <v>47</v>
      </c>
      <c r="BE2093" s="130">
        <f t="shared" si="689"/>
        <v>90</v>
      </c>
      <c r="BF2093" s="195">
        <f t="shared" si="690"/>
        <v>52.222222222222229</v>
      </c>
      <c r="BG2093" s="373">
        <f t="shared" si="691"/>
        <v>43</v>
      </c>
    </row>
    <row r="2094" spans="1:59" s="46" customFormat="1" ht="15.95" customHeight="1">
      <c r="A2094" s="176">
        <v>85</v>
      </c>
      <c r="B2094" s="31" t="s">
        <v>845</v>
      </c>
      <c r="C2094" s="32" t="s">
        <v>948</v>
      </c>
      <c r="D2094" s="288"/>
      <c r="E2094" s="288"/>
      <c r="F2094" s="288"/>
      <c r="G2094" s="288"/>
      <c r="H2094" s="288">
        <v>10</v>
      </c>
      <c r="I2094" s="288"/>
      <c r="J2094" s="288"/>
      <c r="K2094" s="288"/>
      <c r="L2094" s="288">
        <f>17+1</f>
        <v>18</v>
      </c>
      <c r="M2094" s="288"/>
      <c r="N2094" s="288"/>
      <c r="O2094" s="288"/>
      <c r="P2094" s="288">
        <v>9</v>
      </c>
      <c r="Q2094" s="288"/>
      <c r="R2094" s="288"/>
      <c r="S2094" s="288"/>
      <c r="T2094" s="288"/>
      <c r="U2094" s="288"/>
      <c r="V2094" s="288"/>
      <c r="W2094" s="288"/>
      <c r="X2094" s="288"/>
      <c r="Y2094" s="288"/>
      <c r="Z2094" s="288"/>
      <c r="AA2094" s="288"/>
      <c r="AB2094" s="22">
        <f t="shared" si="686"/>
        <v>37</v>
      </c>
      <c r="AC2094" s="23">
        <v>57</v>
      </c>
      <c r="AD2094" s="35"/>
      <c r="AE2094" s="35"/>
      <c r="AF2094" s="35"/>
      <c r="AG2094" s="35"/>
      <c r="AH2094" s="35">
        <f>11+10</f>
        <v>21</v>
      </c>
      <c r="AI2094" s="35"/>
      <c r="AJ2094" s="35"/>
      <c r="AK2094" s="35"/>
      <c r="AL2094" s="35">
        <f>35+47</f>
        <v>82</v>
      </c>
      <c r="AM2094" s="35"/>
      <c r="AN2094" s="35"/>
      <c r="AO2094" s="35"/>
      <c r="AP2094" s="35">
        <f>18+16</f>
        <v>34</v>
      </c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22">
        <f t="shared" si="687"/>
        <v>137</v>
      </c>
      <c r="BC2094" s="23">
        <v>370</v>
      </c>
      <c r="BD2094" s="130">
        <f t="shared" si="688"/>
        <v>174</v>
      </c>
      <c r="BE2094" s="130">
        <f t="shared" si="689"/>
        <v>427</v>
      </c>
      <c r="BF2094" s="195">
        <f t="shared" si="690"/>
        <v>40.749414519906324</v>
      </c>
      <c r="BG2094" s="373">
        <f t="shared" si="691"/>
        <v>253</v>
      </c>
    </row>
    <row r="2095" spans="1:59" s="46" customFormat="1" ht="15.95" customHeight="1">
      <c r="A2095" s="176">
        <v>86</v>
      </c>
      <c r="B2095" s="31" t="s">
        <v>1075</v>
      </c>
      <c r="C2095" s="32" t="s">
        <v>1076</v>
      </c>
      <c r="D2095" s="231"/>
      <c r="E2095" s="231"/>
      <c r="F2095" s="231"/>
      <c r="G2095" s="231"/>
      <c r="H2095" s="231"/>
      <c r="I2095" s="231"/>
      <c r="J2095" s="231"/>
      <c r="K2095" s="231"/>
      <c r="L2095" s="231">
        <v>1</v>
      </c>
      <c r="M2095" s="231"/>
      <c r="N2095" s="231"/>
      <c r="O2095" s="231"/>
      <c r="P2095" s="231"/>
      <c r="Q2095" s="231"/>
      <c r="R2095" s="231"/>
      <c r="S2095" s="231"/>
      <c r="T2095" s="231"/>
      <c r="U2095" s="231"/>
      <c r="V2095" s="231"/>
      <c r="W2095" s="231"/>
      <c r="X2095" s="231"/>
      <c r="Y2095" s="231"/>
      <c r="Z2095" s="231"/>
      <c r="AA2095" s="231"/>
      <c r="AB2095" s="22">
        <f t="shared" si="686"/>
        <v>1</v>
      </c>
      <c r="AC2095" s="23">
        <v>16</v>
      </c>
      <c r="AD2095" s="35"/>
      <c r="AE2095" s="35"/>
      <c r="AF2095" s="35"/>
      <c r="AG2095" s="35"/>
      <c r="AH2095" s="35">
        <f>1+7</f>
        <v>8</v>
      </c>
      <c r="AI2095" s="35"/>
      <c r="AJ2095" s="35"/>
      <c r="AK2095" s="35"/>
      <c r="AL2095" s="35">
        <f>4+27</f>
        <v>31</v>
      </c>
      <c r="AM2095" s="35"/>
      <c r="AN2095" s="35"/>
      <c r="AO2095" s="35"/>
      <c r="AP2095" s="35">
        <f>8+23</f>
        <v>31</v>
      </c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22">
        <f t="shared" si="687"/>
        <v>70</v>
      </c>
      <c r="BC2095" s="23">
        <v>177</v>
      </c>
      <c r="BD2095" s="130">
        <f t="shared" si="688"/>
        <v>71</v>
      </c>
      <c r="BE2095" s="130">
        <f t="shared" si="689"/>
        <v>193</v>
      </c>
      <c r="BF2095" s="195">
        <f t="shared" si="690"/>
        <v>36.787564766839374</v>
      </c>
      <c r="BG2095" s="373">
        <f t="shared" si="691"/>
        <v>122</v>
      </c>
    </row>
    <row r="2096" spans="1:59" s="46" customFormat="1" ht="15.95" customHeight="1">
      <c r="A2096" s="176">
        <v>87</v>
      </c>
      <c r="B2096" s="31" t="s">
        <v>1384</v>
      </c>
      <c r="C2096" s="32" t="s">
        <v>2466</v>
      </c>
      <c r="D2096" s="231"/>
      <c r="E2096" s="231"/>
      <c r="F2096" s="231"/>
      <c r="G2096" s="231"/>
      <c r="H2096" s="231"/>
      <c r="I2096" s="231"/>
      <c r="J2096" s="231"/>
      <c r="K2096" s="231"/>
      <c r="L2096" s="231"/>
      <c r="M2096" s="231"/>
      <c r="N2096" s="231"/>
      <c r="O2096" s="231"/>
      <c r="P2096" s="231"/>
      <c r="Q2096" s="231"/>
      <c r="R2096" s="231"/>
      <c r="S2096" s="231"/>
      <c r="T2096" s="231"/>
      <c r="U2096" s="231"/>
      <c r="V2096" s="231"/>
      <c r="W2096" s="231"/>
      <c r="X2096" s="231"/>
      <c r="Y2096" s="231"/>
      <c r="Z2096" s="231"/>
      <c r="AA2096" s="231"/>
      <c r="AB2096" s="22">
        <f t="shared" si="686"/>
        <v>0</v>
      </c>
      <c r="AC2096" s="23">
        <v>0</v>
      </c>
      <c r="AD2096" s="35"/>
      <c r="AE2096" s="35"/>
      <c r="AF2096" s="35"/>
      <c r="AG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22">
        <f t="shared" si="687"/>
        <v>0</v>
      </c>
      <c r="BC2096" s="23">
        <v>3</v>
      </c>
      <c r="BD2096" s="130">
        <f t="shared" si="688"/>
        <v>0</v>
      </c>
      <c r="BE2096" s="130">
        <f t="shared" si="689"/>
        <v>3</v>
      </c>
      <c r="BF2096" s="195">
        <f t="shared" si="690"/>
        <v>0</v>
      </c>
      <c r="BG2096" s="373">
        <f t="shared" si="691"/>
        <v>3</v>
      </c>
    </row>
    <row r="2097" spans="1:59" s="46" customFormat="1" ht="15.95" customHeight="1">
      <c r="A2097" s="176">
        <v>88</v>
      </c>
      <c r="B2097" s="31" t="s">
        <v>1248</v>
      </c>
      <c r="C2097" s="32" t="s">
        <v>2173</v>
      </c>
      <c r="D2097" s="231"/>
      <c r="E2097" s="231"/>
      <c r="F2097" s="231"/>
      <c r="G2097" s="231"/>
      <c r="H2097" s="231"/>
      <c r="I2097" s="231"/>
      <c r="J2097" s="231"/>
      <c r="K2097" s="231"/>
      <c r="L2097" s="231"/>
      <c r="M2097" s="231"/>
      <c r="N2097" s="231"/>
      <c r="O2097" s="231"/>
      <c r="P2097" s="231"/>
      <c r="Q2097" s="231"/>
      <c r="R2097" s="231"/>
      <c r="S2097" s="231"/>
      <c r="T2097" s="231"/>
      <c r="U2097" s="231"/>
      <c r="V2097" s="231"/>
      <c r="W2097" s="231"/>
      <c r="X2097" s="231"/>
      <c r="Y2097" s="231"/>
      <c r="Z2097" s="231"/>
      <c r="AA2097" s="231"/>
      <c r="AB2097" s="22">
        <f t="shared" si="686"/>
        <v>0</v>
      </c>
      <c r="AC2097" s="23">
        <v>0</v>
      </c>
      <c r="AD2097" s="35"/>
      <c r="AE2097" s="35"/>
      <c r="AF2097" s="35"/>
      <c r="AG2097" s="35"/>
      <c r="AH2097" s="35"/>
      <c r="AI2097" s="35"/>
      <c r="AJ2097" s="35"/>
      <c r="AK2097" s="35"/>
      <c r="AL2097" s="35">
        <v>1</v>
      </c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22">
        <f t="shared" si="687"/>
        <v>1</v>
      </c>
      <c r="BC2097" s="23">
        <v>15</v>
      </c>
      <c r="BD2097" s="130">
        <f t="shared" si="688"/>
        <v>1</v>
      </c>
      <c r="BE2097" s="130">
        <f t="shared" si="689"/>
        <v>15</v>
      </c>
      <c r="BF2097" s="195">
        <f t="shared" si="690"/>
        <v>6.666666666666667</v>
      </c>
      <c r="BG2097" s="373">
        <f t="shared" si="691"/>
        <v>14</v>
      </c>
    </row>
    <row r="2098" spans="1:59" s="46" customFormat="1" ht="15.95" customHeight="1">
      <c r="A2098" s="176">
        <v>89</v>
      </c>
      <c r="B2098" s="31" t="s">
        <v>1337</v>
      </c>
      <c r="C2098" s="32" t="s">
        <v>2059</v>
      </c>
      <c r="D2098" s="231"/>
      <c r="E2098" s="231"/>
      <c r="F2098" s="231"/>
      <c r="G2098" s="231"/>
      <c r="H2098" s="231"/>
      <c r="I2098" s="231"/>
      <c r="J2098" s="231"/>
      <c r="K2098" s="231"/>
      <c r="L2098" s="231"/>
      <c r="M2098" s="231"/>
      <c r="N2098" s="231"/>
      <c r="O2098" s="231"/>
      <c r="P2098" s="231"/>
      <c r="Q2098" s="231"/>
      <c r="R2098" s="231"/>
      <c r="S2098" s="231"/>
      <c r="T2098" s="231"/>
      <c r="U2098" s="231"/>
      <c r="V2098" s="231"/>
      <c r="W2098" s="231"/>
      <c r="X2098" s="231"/>
      <c r="Y2098" s="231"/>
      <c r="Z2098" s="231"/>
      <c r="AA2098" s="231"/>
      <c r="AB2098" s="22">
        <f t="shared" si="686"/>
        <v>0</v>
      </c>
      <c r="AC2098" s="23">
        <v>0</v>
      </c>
      <c r="AD2098" s="35"/>
      <c r="AE2098" s="35"/>
      <c r="AF2098" s="35"/>
      <c r="AG2098" s="35"/>
      <c r="AH2098" s="35"/>
      <c r="AI2098" s="35"/>
      <c r="AJ2098" s="35"/>
      <c r="AK2098" s="35"/>
      <c r="AL2098" s="35">
        <v>1</v>
      </c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22">
        <f t="shared" si="687"/>
        <v>1</v>
      </c>
      <c r="BC2098" s="23">
        <v>6</v>
      </c>
      <c r="BD2098" s="130">
        <f t="shared" si="688"/>
        <v>1</v>
      </c>
      <c r="BE2098" s="130">
        <f t="shared" si="689"/>
        <v>6</v>
      </c>
      <c r="BF2098" s="195">
        <f t="shared" si="690"/>
        <v>16.666666666666664</v>
      </c>
      <c r="BG2098" s="373">
        <f t="shared" si="691"/>
        <v>5</v>
      </c>
    </row>
    <row r="2099" spans="1:59" s="46" customFormat="1" ht="15.95" customHeight="1">
      <c r="A2099" s="176">
        <v>90</v>
      </c>
      <c r="B2099" s="31" t="s">
        <v>915</v>
      </c>
      <c r="C2099" s="32" t="s">
        <v>1101</v>
      </c>
      <c r="D2099" s="231"/>
      <c r="E2099" s="231"/>
      <c r="F2099" s="231"/>
      <c r="G2099" s="231"/>
      <c r="H2099" s="231"/>
      <c r="I2099" s="231"/>
      <c r="J2099" s="231"/>
      <c r="K2099" s="231"/>
      <c r="L2099" s="231"/>
      <c r="M2099" s="231"/>
      <c r="N2099" s="231"/>
      <c r="O2099" s="231"/>
      <c r="P2099" s="231">
        <v>1</v>
      </c>
      <c r="Q2099" s="231"/>
      <c r="R2099" s="231"/>
      <c r="S2099" s="231"/>
      <c r="T2099" s="231"/>
      <c r="U2099" s="231"/>
      <c r="V2099" s="231"/>
      <c r="W2099" s="231"/>
      <c r="X2099" s="231"/>
      <c r="Y2099" s="231"/>
      <c r="Z2099" s="231"/>
      <c r="AA2099" s="231"/>
      <c r="AB2099" s="22">
        <f t="shared" si="686"/>
        <v>1</v>
      </c>
      <c r="AC2099" s="23">
        <v>8</v>
      </c>
      <c r="AD2099" s="35"/>
      <c r="AE2099" s="35"/>
      <c r="AF2099" s="35"/>
      <c r="AG2099" s="35"/>
      <c r="AH2099" s="35">
        <v>2</v>
      </c>
      <c r="AI2099" s="35"/>
      <c r="AJ2099" s="35"/>
      <c r="AK2099" s="35"/>
      <c r="AL2099" s="35">
        <v>1</v>
      </c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22">
        <f t="shared" si="687"/>
        <v>3</v>
      </c>
      <c r="BC2099" s="23">
        <v>8</v>
      </c>
      <c r="BD2099" s="130">
        <f t="shared" si="688"/>
        <v>4</v>
      </c>
      <c r="BE2099" s="130">
        <f t="shared" si="689"/>
        <v>16</v>
      </c>
      <c r="BF2099" s="195">
        <f t="shared" si="690"/>
        <v>25</v>
      </c>
      <c r="BG2099" s="373">
        <f t="shared" si="691"/>
        <v>12</v>
      </c>
    </row>
    <row r="2100" spans="1:59" s="46" customFormat="1" ht="15.95" customHeight="1">
      <c r="A2100" s="176">
        <v>91</v>
      </c>
      <c r="B2100" s="31" t="s">
        <v>1191</v>
      </c>
      <c r="C2100" s="32" t="s">
        <v>1192</v>
      </c>
      <c r="D2100" s="231"/>
      <c r="E2100" s="231"/>
      <c r="F2100" s="231"/>
      <c r="G2100" s="231"/>
      <c r="H2100" s="231">
        <f>1+3</f>
        <v>4</v>
      </c>
      <c r="I2100" s="231"/>
      <c r="J2100" s="231"/>
      <c r="K2100" s="231"/>
      <c r="L2100" s="231">
        <f>2+11</f>
        <v>13</v>
      </c>
      <c r="M2100" s="231"/>
      <c r="N2100" s="231"/>
      <c r="O2100" s="231"/>
      <c r="P2100" s="231">
        <f>1+4</f>
        <v>5</v>
      </c>
      <c r="Q2100" s="231"/>
      <c r="R2100" s="231"/>
      <c r="S2100" s="231"/>
      <c r="T2100" s="231"/>
      <c r="U2100" s="231"/>
      <c r="V2100" s="231"/>
      <c r="W2100" s="231"/>
      <c r="X2100" s="231"/>
      <c r="Y2100" s="231"/>
      <c r="Z2100" s="231"/>
      <c r="AA2100" s="231"/>
      <c r="AB2100" s="22">
        <f t="shared" si="686"/>
        <v>22</v>
      </c>
      <c r="AC2100" s="23">
        <v>81</v>
      </c>
      <c r="AD2100" s="35"/>
      <c r="AE2100" s="35"/>
      <c r="AF2100" s="35"/>
      <c r="AG2100" s="35"/>
      <c r="AH2100" s="35">
        <f>1+1</f>
        <v>2</v>
      </c>
      <c r="AI2100" s="35"/>
      <c r="AJ2100" s="35"/>
      <c r="AK2100" s="35"/>
      <c r="AL2100" s="35">
        <f>8+7</f>
        <v>15</v>
      </c>
      <c r="AM2100" s="35"/>
      <c r="AN2100" s="35"/>
      <c r="AO2100" s="35"/>
      <c r="AP2100" s="35">
        <f>1+3</f>
        <v>4</v>
      </c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22">
        <f t="shared" si="687"/>
        <v>21</v>
      </c>
      <c r="BC2100" s="23">
        <v>143</v>
      </c>
      <c r="BD2100" s="130">
        <f t="shared" si="688"/>
        <v>43</v>
      </c>
      <c r="BE2100" s="130">
        <f t="shared" si="689"/>
        <v>224</v>
      </c>
      <c r="BF2100" s="195">
        <f t="shared" si="690"/>
        <v>19.196428571428573</v>
      </c>
      <c r="BG2100" s="373">
        <f t="shared" si="691"/>
        <v>181</v>
      </c>
    </row>
    <row r="2101" spans="1:59" s="46" customFormat="1" ht="15.95" customHeight="1">
      <c r="A2101" s="176">
        <v>92</v>
      </c>
      <c r="B2101" s="31" t="s">
        <v>1193</v>
      </c>
      <c r="C2101" s="32" t="s">
        <v>1194</v>
      </c>
      <c r="D2101" s="231"/>
      <c r="E2101" s="231"/>
      <c r="F2101" s="231"/>
      <c r="G2101" s="231"/>
      <c r="H2101" s="231"/>
      <c r="I2101" s="231"/>
      <c r="J2101" s="231"/>
      <c r="K2101" s="231"/>
      <c r="L2101" s="231"/>
      <c r="M2101" s="231"/>
      <c r="N2101" s="231"/>
      <c r="O2101" s="231"/>
      <c r="P2101" s="231"/>
      <c r="Q2101" s="231"/>
      <c r="R2101" s="231"/>
      <c r="S2101" s="231"/>
      <c r="T2101" s="231"/>
      <c r="U2101" s="231"/>
      <c r="V2101" s="231"/>
      <c r="W2101" s="231"/>
      <c r="X2101" s="231"/>
      <c r="Y2101" s="231"/>
      <c r="Z2101" s="231"/>
      <c r="AA2101" s="231"/>
      <c r="AB2101" s="22">
        <f t="shared" si="686"/>
        <v>0</v>
      </c>
      <c r="AC2101" s="23">
        <v>1</v>
      </c>
      <c r="AD2101" s="35"/>
      <c r="AE2101" s="35"/>
      <c r="AF2101" s="35"/>
      <c r="AG2101" s="35"/>
      <c r="AH2101" s="35"/>
      <c r="AI2101" s="35"/>
      <c r="AJ2101" s="35"/>
      <c r="AK2101" s="35"/>
      <c r="AL2101" s="35"/>
      <c r="AM2101" s="35"/>
      <c r="AN2101" s="35"/>
      <c r="AO2101" s="35"/>
      <c r="AP2101" s="35">
        <v>1</v>
      </c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22">
        <f t="shared" si="687"/>
        <v>1</v>
      </c>
      <c r="BC2101" s="23">
        <v>0</v>
      </c>
      <c r="BD2101" s="130">
        <f t="shared" si="688"/>
        <v>1</v>
      </c>
      <c r="BE2101" s="130">
        <f t="shared" si="689"/>
        <v>1</v>
      </c>
      <c r="BF2101" s="195">
        <f t="shared" si="690"/>
        <v>100</v>
      </c>
      <c r="BG2101" s="373">
        <f t="shared" si="691"/>
        <v>0</v>
      </c>
    </row>
    <row r="2102" spans="1:59" s="46" customFormat="1" ht="15.95" customHeight="1">
      <c r="A2102" s="176">
        <v>93</v>
      </c>
      <c r="B2102" s="31" t="s">
        <v>1078</v>
      </c>
      <c r="C2102" s="32" t="s">
        <v>1079</v>
      </c>
      <c r="D2102" s="231"/>
      <c r="E2102" s="231"/>
      <c r="F2102" s="231"/>
      <c r="G2102" s="231"/>
      <c r="H2102" s="231"/>
      <c r="I2102" s="231"/>
      <c r="J2102" s="231"/>
      <c r="K2102" s="231"/>
      <c r="L2102" s="231"/>
      <c r="M2102" s="231"/>
      <c r="N2102" s="231"/>
      <c r="O2102" s="231"/>
      <c r="P2102" s="231"/>
      <c r="Q2102" s="231"/>
      <c r="R2102" s="231"/>
      <c r="S2102" s="231"/>
      <c r="T2102" s="231"/>
      <c r="U2102" s="231"/>
      <c r="V2102" s="231"/>
      <c r="W2102" s="231"/>
      <c r="X2102" s="231"/>
      <c r="Y2102" s="231"/>
      <c r="Z2102" s="231"/>
      <c r="AA2102" s="231"/>
      <c r="AB2102" s="22">
        <f t="shared" si="686"/>
        <v>0</v>
      </c>
      <c r="AC2102" s="23">
        <v>0</v>
      </c>
      <c r="AD2102" s="35"/>
      <c r="AE2102" s="35"/>
      <c r="AF2102" s="35"/>
      <c r="AG2102" s="35"/>
      <c r="AH2102" s="35">
        <v>1</v>
      </c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22">
        <f t="shared" si="687"/>
        <v>1</v>
      </c>
      <c r="BC2102" s="23">
        <v>6</v>
      </c>
      <c r="BD2102" s="130">
        <f t="shared" si="688"/>
        <v>1</v>
      </c>
      <c r="BE2102" s="130">
        <f t="shared" si="689"/>
        <v>6</v>
      </c>
      <c r="BF2102" s="195">
        <f t="shared" si="690"/>
        <v>16.666666666666664</v>
      </c>
      <c r="BG2102" s="373">
        <f t="shared" si="691"/>
        <v>5</v>
      </c>
    </row>
    <row r="2103" spans="1:59" s="46" customFormat="1" ht="15.95" customHeight="1">
      <c r="A2103" s="176">
        <v>94</v>
      </c>
      <c r="B2103" s="31" t="s">
        <v>1080</v>
      </c>
      <c r="C2103" s="32" t="s">
        <v>1081</v>
      </c>
      <c r="D2103" s="231"/>
      <c r="E2103" s="231"/>
      <c r="F2103" s="231"/>
      <c r="G2103" s="231"/>
      <c r="H2103" s="231"/>
      <c r="I2103" s="231"/>
      <c r="J2103" s="231"/>
      <c r="K2103" s="231"/>
      <c r="L2103" s="231"/>
      <c r="M2103" s="231"/>
      <c r="N2103" s="231"/>
      <c r="O2103" s="231"/>
      <c r="P2103" s="231"/>
      <c r="Q2103" s="231"/>
      <c r="R2103" s="231"/>
      <c r="S2103" s="231"/>
      <c r="T2103" s="231"/>
      <c r="U2103" s="231"/>
      <c r="V2103" s="231"/>
      <c r="W2103" s="231"/>
      <c r="X2103" s="231"/>
      <c r="Y2103" s="231"/>
      <c r="Z2103" s="231"/>
      <c r="AA2103" s="231"/>
      <c r="AB2103" s="22">
        <f t="shared" si="686"/>
        <v>0</v>
      </c>
      <c r="AC2103" s="23">
        <v>2</v>
      </c>
      <c r="AD2103" s="35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22">
        <f t="shared" si="687"/>
        <v>0</v>
      </c>
      <c r="BC2103" s="23">
        <v>0</v>
      </c>
      <c r="BD2103" s="130">
        <f t="shared" si="688"/>
        <v>0</v>
      </c>
      <c r="BE2103" s="130">
        <f t="shared" si="689"/>
        <v>2</v>
      </c>
      <c r="BF2103" s="195">
        <f t="shared" si="690"/>
        <v>0</v>
      </c>
      <c r="BG2103" s="373">
        <f t="shared" si="691"/>
        <v>2</v>
      </c>
    </row>
    <row r="2104" spans="1:59" s="46" customFormat="1" ht="15.95" customHeight="1">
      <c r="A2104" s="176">
        <v>95</v>
      </c>
      <c r="B2104" s="31" t="s">
        <v>1082</v>
      </c>
      <c r="C2104" s="32" t="s">
        <v>1083</v>
      </c>
      <c r="D2104" s="231"/>
      <c r="E2104" s="231"/>
      <c r="F2104" s="231"/>
      <c r="G2104" s="231"/>
      <c r="H2104" s="231"/>
      <c r="I2104" s="231"/>
      <c r="J2104" s="231"/>
      <c r="K2104" s="231"/>
      <c r="L2104" s="231"/>
      <c r="M2104" s="231"/>
      <c r="N2104" s="231"/>
      <c r="O2104" s="231"/>
      <c r="P2104" s="231"/>
      <c r="Q2104" s="231"/>
      <c r="R2104" s="231"/>
      <c r="S2104" s="231"/>
      <c r="T2104" s="231"/>
      <c r="U2104" s="231"/>
      <c r="V2104" s="231"/>
      <c r="W2104" s="231"/>
      <c r="X2104" s="231"/>
      <c r="Y2104" s="231"/>
      <c r="Z2104" s="231"/>
      <c r="AA2104" s="231"/>
      <c r="AB2104" s="22">
        <f t="shared" si="686"/>
        <v>0</v>
      </c>
      <c r="AC2104" s="23">
        <v>0</v>
      </c>
      <c r="AD2104" s="35"/>
      <c r="AE2104" s="35"/>
      <c r="AF2104" s="35"/>
      <c r="AG2104" s="35"/>
      <c r="AH2104" s="35"/>
      <c r="AI2104" s="35"/>
      <c r="AJ2104" s="35"/>
      <c r="AK2104" s="35"/>
      <c r="AL2104" s="35">
        <f>1+2</f>
        <v>3</v>
      </c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22">
        <f t="shared" si="687"/>
        <v>3</v>
      </c>
      <c r="BC2104" s="23">
        <v>2</v>
      </c>
      <c r="BD2104" s="130">
        <f t="shared" si="688"/>
        <v>3</v>
      </c>
      <c r="BE2104" s="130">
        <f t="shared" si="689"/>
        <v>2</v>
      </c>
      <c r="BF2104" s="195">
        <f t="shared" si="690"/>
        <v>150</v>
      </c>
      <c r="BG2104" s="373">
        <f t="shared" si="691"/>
        <v>-1</v>
      </c>
    </row>
    <row r="2105" spans="1:59" s="46" customFormat="1" ht="15.95" customHeight="1">
      <c r="A2105" s="176">
        <v>96</v>
      </c>
      <c r="B2105" s="31" t="s">
        <v>1084</v>
      </c>
      <c r="C2105" s="32" t="s">
        <v>1085</v>
      </c>
      <c r="D2105" s="231"/>
      <c r="E2105" s="231"/>
      <c r="F2105" s="231"/>
      <c r="G2105" s="231"/>
      <c r="H2105" s="231"/>
      <c r="I2105" s="231"/>
      <c r="J2105" s="231"/>
      <c r="K2105" s="231"/>
      <c r="L2105" s="231"/>
      <c r="M2105" s="231"/>
      <c r="N2105" s="231"/>
      <c r="O2105" s="231"/>
      <c r="P2105" s="231"/>
      <c r="Q2105" s="231"/>
      <c r="R2105" s="231"/>
      <c r="S2105" s="231"/>
      <c r="T2105" s="231"/>
      <c r="U2105" s="231"/>
      <c r="V2105" s="231"/>
      <c r="W2105" s="231"/>
      <c r="X2105" s="231"/>
      <c r="Y2105" s="231"/>
      <c r="Z2105" s="231"/>
      <c r="AA2105" s="231"/>
      <c r="AB2105" s="22">
        <f t="shared" si="686"/>
        <v>0</v>
      </c>
      <c r="AC2105" s="23">
        <v>1</v>
      </c>
      <c r="AD2105" s="35"/>
      <c r="AE2105" s="35"/>
      <c r="AF2105" s="35"/>
      <c r="AG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22">
        <f t="shared" si="687"/>
        <v>0</v>
      </c>
      <c r="BC2105" s="23">
        <v>1</v>
      </c>
      <c r="BD2105" s="130">
        <f t="shared" si="688"/>
        <v>0</v>
      </c>
      <c r="BE2105" s="130">
        <f t="shared" si="689"/>
        <v>2</v>
      </c>
      <c r="BF2105" s="195">
        <f t="shared" si="690"/>
        <v>0</v>
      </c>
      <c r="BG2105" s="373">
        <f t="shared" si="691"/>
        <v>2</v>
      </c>
    </row>
    <row r="2106" spans="1:59" s="46" customFormat="1" ht="15.95" customHeight="1">
      <c r="A2106" s="176">
        <v>97</v>
      </c>
      <c r="B2106" s="31" t="s">
        <v>2298</v>
      </c>
      <c r="C2106" s="32" t="s">
        <v>2299</v>
      </c>
      <c r="D2106" s="231"/>
      <c r="E2106" s="231"/>
      <c r="F2106" s="231"/>
      <c r="G2106" s="231"/>
      <c r="H2106" s="231"/>
      <c r="I2106" s="231"/>
      <c r="J2106" s="231"/>
      <c r="K2106" s="231"/>
      <c r="L2106" s="231"/>
      <c r="M2106" s="231"/>
      <c r="N2106" s="231"/>
      <c r="O2106" s="231"/>
      <c r="P2106" s="231"/>
      <c r="Q2106" s="231"/>
      <c r="R2106" s="231"/>
      <c r="S2106" s="231"/>
      <c r="T2106" s="231"/>
      <c r="U2106" s="231"/>
      <c r="V2106" s="231"/>
      <c r="W2106" s="231"/>
      <c r="X2106" s="231"/>
      <c r="Y2106" s="231"/>
      <c r="Z2106" s="231"/>
      <c r="AA2106" s="231"/>
      <c r="AB2106" s="22">
        <f t="shared" si="686"/>
        <v>0</v>
      </c>
      <c r="AC2106" s="23">
        <v>0</v>
      </c>
      <c r="AD2106" s="35"/>
      <c r="AE2106" s="35"/>
      <c r="AF2106" s="35"/>
      <c r="AG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22">
        <f t="shared" si="687"/>
        <v>0</v>
      </c>
      <c r="BC2106" s="23">
        <v>1</v>
      </c>
      <c r="BD2106" s="130">
        <f t="shared" si="688"/>
        <v>0</v>
      </c>
      <c r="BE2106" s="130">
        <f t="shared" si="689"/>
        <v>1</v>
      </c>
      <c r="BF2106" s="195">
        <f t="shared" si="690"/>
        <v>0</v>
      </c>
      <c r="BG2106" s="373">
        <f t="shared" si="691"/>
        <v>1</v>
      </c>
    </row>
    <row r="2107" spans="1:59" s="46" customFormat="1" ht="15.95" customHeight="1">
      <c r="A2107" s="176">
        <v>98</v>
      </c>
      <c r="B2107" s="31" t="s">
        <v>949</v>
      </c>
      <c r="C2107" s="32" t="s">
        <v>1196</v>
      </c>
      <c r="D2107" s="231"/>
      <c r="E2107" s="231"/>
      <c r="F2107" s="231"/>
      <c r="G2107" s="231"/>
      <c r="H2107" s="231"/>
      <c r="I2107" s="231"/>
      <c r="J2107" s="231"/>
      <c r="K2107" s="231"/>
      <c r="L2107" s="231"/>
      <c r="M2107" s="231"/>
      <c r="N2107" s="231"/>
      <c r="O2107" s="231"/>
      <c r="P2107" s="231"/>
      <c r="Q2107" s="231"/>
      <c r="R2107" s="231"/>
      <c r="S2107" s="231"/>
      <c r="T2107" s="231"/>
      <c r="U2107" s="231"/>
      <c r="V2107" s="231"/>
      <c r="W2107" s="231"/>
      <c r="X2107" s="231"/>
      <c r="Y2107" s="231"/>
      <c r="Z2107" s="231"/>
      <c r="AA2107" s="231"/>
      <c r="AB2107" s="22">
        <f t="shared" ref="AB2107:AB2138" si="692">SUM(D2107:AA2107)</f>
        <v>0</v>
      </c>
      <c r="AC2107" s="23">
        <v>0</v>
      </c>
      <c r="AD2107" s="35"/>
      <c r="AE2107" s="35"/>
      <c r="AF2107" s="35"/>
      <c r="AG2107" s="35"/>
      <c r="AH2107" s="35">
        <v>1</v>
      </c>
      <c r="AI2107" s="35"/>
      <c r="AJ2107" s="35"/>
      <c r="AK2107" s="35"/>
      <c r="AL2107" s="35">
        <v>2</v>
      </c>
      <c r="AM2107" s="35"/>
      <c r="AN2107" s="35"/>
      <c r="AO2107" s="35"/>
      <c r="AP2107" s="35">
        <v>3</v>
      </c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22">
        <f t="shared" ref="BB2107:BB2138" si="693">SUM(AD2107:BA2107)</f>
        <v>6</v>
      </c>
      <c r="BC2107" s="23">
        <v>7</v>
      </c>
      <c r="BD2107" s="130">
        <f t="shared" ref="BD2107:BD2138" si="694">AB2107+BB2107</f>
        <v>6</v>
      </c>
      <c r="BE2107" s="130">
        <f t="shared" ref="BE2107:BE2138" si="695">AC2107+BC2107</f>
        <v>7</v>
      </c>
      <c r="BF2107" s="195">
        <f t="shared" ref="BF2107:BF2138" si="696">BD2107/BE2107*100</f>
        <v>85.714285714285708</v>
      </c>
      <c r="BG2107" s="373">
        <f t="shared" si="691"/>
        <v>1</v>
      </c>
    </row>
    <row r="2108" spans="1:59" s="46" customFormat="1" ht="15.95" customHeight="1">
      <c r="A2108" s="176">
        <v>99</v>
      </c>
      <c r="B2108" s="31" t="s">
        <v>1197</v>
      </c>
      <c r="C2108" s="32" t="s">
        <v>1198</v>
      </c>
      <c r="D2108" s="231"/>
      <c r="E2108" s="231"/>
      <c r="F2108" s="231"/>
      <c r="G2108" s="231"/>
      <c r="H2108" s="231"/>
      <c r="I2108" s="231"/>
      <c r="J2108" s="231"/>
      <c r="K2108" s="231"/>
      <c r="L2108" s="231"/>
      <c r="M2108" s="231"/>
      <c r="N2108" s="231"/>
      <c r="O2108" s="231"/>
      <c r="P2108" s="231"/>
      <c r="Q2108" s="231"/>
      <c r="R2108" s="231"/>
      <c r="S2108" s="231"/>
      <c r="T2108" s="231"/>
      <c r="U2108" s="231"/>
      <c r="V2108" s="231"/>
      <c r="W2108" s="231"/>
      <c r="X2108" s="231"/>
      <c r="Y2108" s="231"/>
      <c r="Z2108" s="231"/>
      <c r="AA2108" s="231"/>
      <c r="AB2108" s="22">
        <f t="shared" si="692"/>
        <v>0</v>
      </c>
      <c r="AC2108" s="23">
        <v>0</v>
      </c>
      <c r="AD2108" s="35"/>
      <c r="AE2108" s="35"/>
      <c r="AF2108" s="35"/>
      <c r="AG2108" s="35"/>
      <c r="AH2108" s="35">
        <v>2</v>
      </c>
      <c r="AI2108" s="35"/>
      <c r="AJ2108" s="35"/>
      <c r="AK2108" s="35"/>
      <c r="AL2108" s="35">
        <v>10</v>
      </c>
      <c r="AM2108" s="35"/>
      <c r="AN2108" s="35"/>
      <c r="AO2108" s="35"/>
      <c r="AP2108" s="35">
        <v>1</v>
      </c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22">
        <f t="shared" si="693"/>
        <v>13</v>
      </c>
      <c r="BC2108" s="23">
        <v>19</v>
      </c>
      <c r="BD2108" s="130">
        <f t="shared" si="694"/>
        <v>13</v>
      </c>
      <c r="BE2108" s="130">
        <f t="shared" si="695"/>
        <v>19</v>
      </c>
      <c r="BF2108" s="195">
        <f t="shared" si="696"/>
        <v>68.421052631578945</v>
      </c>
      <c r="BG2108" s="373">
        <f t="shared" si="691"/>
        <v>6</v>
      </c>
    </row>
    <row r="2109" spans="1:59" s="46" customFormat="1" ht="15.95" customHeight="1">
      <c r="A2109" s="176">
        <v>100</v>
      </c>
      <c r="B2109" s="31" t="s">
        <v>1251</v>
      </c>
      <c r="C2109" s="32" t="s">
        <v>2134</v>
      </c>
      <c r="D2109" s="231"/>
      <c r="E2109" s="231"/>
      <c r="F2109" s="231"/>
      <c r="G2109" s="231"/>
      <c r="H2109" s="231"/>
      <c r="I2109" s="231"/>
      <c r="J2109" s="231"/>
      <c r="K2109" s="231"/>
      <c r="L2109" s="231"/>
      <c r="M2109" s="231"/>
      <c r="N2109" s="231"/>
      <c r="O2109" s="231"/>
      <c r="P2109" s="231"/>
      <c r="Q2109" s="231"/>
      <c r="R2109" s="231"/>
      <c r="S2109" s="231"/>
      <c r="T2109" s="231"/>
      <c r="U2109" s="231"/>
      <c r="V2109" s="231"/>
      <c r="W2109" s="231"/>
      <c r="X2109" s="231"/>
      <c r="Y2109" s="231"/>
      <c r="Z2109" s="231"/>
      <c r="AA2109" s="231"/>
      <c r="AB2109" s="22">
        <f t="shared" si="692"/>
        <v>0</v>
      </c>
      <c r="AC2109" s="23">
        <v>0</v>
      </c>
      <c r="AD2109" s="35"/>
      <c r="AE2109" s="35"/>
      <c r="AF2109" s="35"/>
      <c r="AG2109" s="35"/>
      <c r="AH2109" s="35"/>
      <c r="AI2109" s="35"/>
      <c r="AJ2109" s="35"/>
      <c r="AK2109" s="35"/>
      <c r="AL2109" s="35">
        <v>3</v>
      </c>
      <c r="AM2109" s="35"/>
      <c r="AN2109" s="35"/>
      <c r="AO2109" s="35"/>
      <c r="AP2109" s="35">
        <v>3</v>
      </c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22">
        <f t="shared" si="693"/>
        <v>6</v>
      </c>
      <c r="BC2109" s="23">
        <v>14</v>
      </c>
      <c r="BD2109" s="130">
        <f t="shared" si="694"/>
        <v>6</v>
      </c>
      <c r="BE2109" s="130">
        <f t="shared" si="695"/>
        <v>14</v>
      </c>
      <c r="BF2109" s="195">
        <f t="shared" si="696"/>
        <v>42.857142857142854</v>
      </c>
      <c r="BG2109" s="373">
        <f t="shared" si="691"/>
        <v>8</v>
      </c>
    </row>
    <row r="2110" spans="1:59" s="46" customFormat="1" ht="15.95" customHeight="1">
      <c r="A2110" s="176">
        <v>101</v>
      </c>
      <c r="B2110" s="31" t="s">
        <v>1016</v>
      </c>
      <c r="C2110" s="32" t="s">
        <v>1017</v>
      </c>
      <c r="D2110" s="231"/>
      <c r="E2110" s="231"/>
      <c r="F2110" s="231"/>
      <c r="G2110" s="231"/>
      <c r="H2110" s="231"/>
      <c r="I2110" s="231"/>
      <c r="J2110" s="231"/>
      <c r="K2110" s="231"/>
      <c r="L2110" s="231"/>
      <c r="M2110" s="231"/>
      <c r="N2110" s="231"/>
      <c r="O2110" s="231"/>
      <c r="P2110" s="231"/>
      <c r="Q2110" s="231"/>
      <c r="R2110" s="231"/>
      <c r="S2110" s="231"/>
      <c r="T2110" s="231"/>
      <c r="U2110" s="231"/>
      <c r="V2110" s="231"/>
      <c r="W2110" s="231"/>
      <c r="X2110" s="231"/>
      <c r="Y2110" s="231"/>
      <c r="Z2110" s="231"/>
      <c r="AA2110" s="231"/>
      <c r="AB2110" s="22">
        <f t="shared" si="692"/>
        <v>0</v>
      </c>
      <c r="AC2110" s="23">
        <v>0</v>
      </c>
      <c r="AD2110" s="35"/>
      <c r="AE2110" s="35"/>
      <c r="AF2110" s="35"/>
      <c r="AG2110" s="35"/>
      <c r="AH2110" s="35">
        <v>2</v>
      </c>
      <c r="AI2110" s="35"/>
      <c r="AJ2110" s="35"/>
      <c r="AK2110" s="35"/>
      <c r="AL2110" s="35">
        <v>18</v>
      </c>
      <c r="AM2110" s="35"/>
      <c r="AN2110" s="35"/>
      <c r="AO2110" s="35"/>
      <c r="AP2110" s="35">
        <v>7</v>
      </c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22">
        <f t="shared" si="693"/>
        <v>27</v>
      </c>
      <c r="BC2110" s="23">
        <v>81</v>
      </c>
      <c r="BD2110" s="130">
        <f t="shared" si="694"/>
        <v>27</v>
      </c>
      <c r="BE2110" s="130">
        <f t="shared" si="695"/>
        <v>81</v>
      </c>
      <c r="BF2110" s="195">
        <f t="shared" si="696"/>
        <v>33.333333333333329</v>
      </c>
      <c r="BG2110" s="373">
        <f t="shared" si="691"/>
        <v>54</v>
      </c>
    </row>
    <row r="2111" spans="1:59" s="46" customFormat="1" ht="15.95" customHeight="1">
      <c r="A2111" s="176">
        <v>102</v>
      </c>
      <c r="B2111" s="31" t="s">
        <v>1347</v>
      </c>
      <c r="C2111" s="32" t="s">
        <v>1348</v>
      </c>
      <c r="D2111" s="231"/>
      <c r="E2111" s="231"/>
      <c r="F2111" s="231"/>
      <c r="G2111" s="231"/>
      <c r="H2111" s="231"/>
      <c r="I2111" s="231"/>
      <c r="J2111" s="231"/>
      <c r="K2111" s="231"/>
      <c r="L2111" s="231"/>
      <c r="M2111" s="231"/>
      <c r="N2111" s="231"/>
      <c r="O2111" s="231"/>
      <c r="P2111" s="231"/>
      <c r="Q2111" s="231"/>
      <c r="R2111" s="231"/>
      <c r="S2111" s="231"/>
      <c r="T2111" s="231"/>
      <c r="U2111" s="231"/>
      <c r="V2111" s="231"/>
      <c r="W2111" s="231"/>
      <c r="X2111" s="231"/>
      <c r="Y2111" s="231"/>
      <c r="Z2111" s="231"/>
      <c r="AA2111" s="231"/>
      <c r="AB2111" s="22">
        <f t="shared" si="692"/>
        <v>0</v>
      </c>
      <c r="AC2111" s="23">
        <v>0</v>
      </c>
      <c r="AD2111" s="35"/>
      <c r="AE2111" s="35"/>
      <c r="AF2111" s="35"/>
      <c r="AG2111" s="35"/>
      <c r="AH2111" s="35"/>
      <c r="AI2111" s="35"/>
      <c r="AJ2111" s="35"/>
      <c r="AK2111" s="35"/>
      <c r="AL2111" s="35">
        <v>1</v>
      </c>
      <c r="AM2111" s="35"/>
      <c r="AN2111" s="35"/>
      <c r="AO2111" s="35"/>
      <c r="AP2111" s="35">
        <v>1</v>
      </c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22">
        <f t="shared" si="693"/>
        <v>2</v>
      </c>
      <c r="BC2111" s="23">
        <v>2</v>
      </c>
      <c r="BD2111" s="130">
        <f t="shared" si="694"/>
        <v>2</v>
      </c>
      <c r="BE2111" s="130">
        <f t="shared" si="695"/>
        <v>2</v>
      </c>
      <c r="BF2111" s="195">
        <f t="shared" si="696"/>
        <v>100</v>
      </c>
      <c r="BG2111" s="373">
        <f t="shared" si="691"/>
        <v>0</v>
      </c>
    </row>
    <row r="2112" spans="1:59" s="46" customFormat="1" ht="15.95" customHeight="1">
      <c r="A2112" s="176">
        <v>103</v>
      </c>
      <c r="B2112" s="31" t="s">
        <v>950</v>
      </c>
      <c r="C2112" s="32" t="s">
        <v>951</v>
      </c>
      <c r="D2112" s="231"/>
      <c r="E2112" s="231"/>
      <c r="F2112" s="231"/>
      <c r="G2112" s="231"/>
      <c r="H2112" s="231"/>
      <c r="I2112" s="231"/>
      <c r="J2112" s="231"/>
      <c r="K2112" s="231"/>
      <c r="L2112" s="231"/>
      <c r="M2112" s="231"/>
      <c r="N2112" s="231"/>
      <c r="O2112" s="231"/>
      <c r="P2112" s="231"/>
      <c r="Q2112" s="231"/>
      <c r="R2112" s="231"/>
      <c r="S2112" s="231"/>
      <c r="T2112" s="231"/>
      <c r="U2112" s="231"/>
      <c r="V2112" s="231"/>
      <c r="W2112" s="231"/>
      <c r="X2112" s="231"/>
      <c r="Y2112" s="231"/>
      <c r="Z2112" s="231"/>
      <c r="AA2112" s="231"/>
      <c r="AB2112" s="22">
        <f t="shared" si="692"/>
        <v>0</v>
      </c>
      <c r="AC2112" s="23">
        <v>0</v>
      </c>
      <c r="AD2112" s="35"/>
      <c r="AE2112" s="35"/>
      <c r="AF2112" s="35"/>
      <c r="AG2112" s="35"/>
      <c r="AH2112" s="35">
        <v>2</v>
      </c>
      <c r="AI2112" s="35"/>
      <c r="AJ2112" s="35"/>
      <c r="AK2112" s="35"/>
      <c r="AL2112" s="35">
        <v>6</v>
      </c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22">
        <f t="shared" si="693"/>
        <v>8</v>
      </c>
      <c r="BC2112" s="23">
        <v>47</v>
      </c>
      <c r="BD2112" s="130">
        <f t="shared" si="694"/>
        <v>8</v>
      </c>
      <c r="BE2112" s="130">
        <f t="shared" si="695"/>
        <v>47</v>
      </c>
      <c r="BF2112" s="195">
        <f t="shared" si="696"/>
        <v>17.021276595744681</v>
      </c>
      <c r="BG2112" s="373">
        <f t="shared" si="691"/>
        <v>39</v>
      </c>
    </row>
    <row r="2113" spans="1:59" s="46" customFormat="1" ht="15.95" customHeight="1">
      <c r="A2113" s="176">
        <v>104</v>
      </c>
      <c r="B2113" s="31" t="s">
        <v>952</v>
      </c>
      <c r="C2113" s="32" t="s">
        <v>953</v>
      </c>
      <c r="D2113" s="231"/>
      <c r="E2113" s="231"/>
      <c r="F2113" s="231"/>
      <c r="G2113" s="231"/>
      <c r="H2113" s="231"/>
      <c r="I2113" s="231"/>
      <c r="J2113" s="231"/>
      <c r="K2113" s="231"/>
      <c r="L2113" s="231"/>
      <c r="M2113" s="231"/>
      <c r="N2113" s="231"/>
      <c r="O2113" s="231"/>
      <c r="P2113" s="231"/>
      <c r="Q2113" s="231"/>
      <c r="R2113" s="231"/>
      <c r="S2113" s="231"/>
      <c r="T2113" s="231"/>
      <c r="U2113" s="231"/>
      <c r="V2113" s="231"/>
      <c r="W2113" s="231"/>
      <c r="X2113" s="231"/>
      <c r="Y2113" s="231"/>
      <c r="Z2113" s="231"/>
      <c r="AA2113" s="231"/>
      <c r="AB2113" s="22">
        <f t="shared" si="692"/>
        <v>0</v>
      </c>
      <c r="AC2113" s="23">
        <v>0</v>
      </c>
      <c r="AD2113" s="35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22">
        <f t="shared" si="693"/>
        <v>0</v>
      </c>
      <c r="BC2113" s="23">
        <v>1</v>
      </c>
      <c r="BD2113" s="130">
        <f t="shared" si="694"/>
        <v>0</v>
      </c>
      <c r="BE2113" s="130">
        <f t="shared" si="695"/>
        <v>1</v>
      </c>
      <c r="BF2113" s="195">
        <f t="shared" si="696"/>
        <v>0</v>
      </c>
      <c r="BG2113" s="373">
        <f t="shared" si="691"/>
        <v>1</v>
      </c>
    </row>
    <row r="2114" spans="1:59" s="46" customFormat="1" ht="15.95" customHeight="1">
      <c r="A2114" s="176">
        <v>105</v>
      </c>
      <c r="B2114" s="31" t="s">
        <v>954</v>
      </c>
      <c r="C2114" s="32" t="s">
        <v>955</v>
      </c>
      <c r="D2114" s="231"/>
      <c r="E2114" s="231"/>
      <c r="F2114" s="231"/>
      <c r="G2114" s="231"/>
      <c r="H2114" s="231"/>
      <c r="I2114" s="231"/>
      <c r="J2114" s="231"/>
      <c r="K2114" s="231"/>
      <c r="L2114" s="231"/>
      <c r="M2114" s="231"/>
      <c r="N2114" s="231"/>
      <c r="O2114" s="231"/>
      <c r="P2114" s="231"/>
      <c r="Q2114" s="231"/>
      <c r="R2114" s="231"/>
      <c r="S2114" s="231"/>
      <c r="T2114" s="231"/>
      <c r="U2114" s="231"/>
      <c r="V2114" s="231"/>
      <c r="W2114" s="231"/>
      <c r="X2114" s="231"/>
      <c r="Y2114" s="231"/>
      <c r="Z2114" s="231"/>
      <c r="AA2114" s="231"/>
      <c r="AB2114" s="22">
        <f t="shared" si="692"/>
        <v>0</v>
      </c>
      <c r="AC2114" s="23">
        <v>0</v>
      </c>
      <c r="AD2114" s="35"/>
      <c r="AE2114" s="35"/>
      <c r="AF2114" s="35"/>
      <c r="AG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22">
        <f t="shared" si="693"/>
        <v>0</v>
      </c>
      <c r="BC2114" s="23">
        <v>6</v>
      </c>
      <c r="BD2114" s="130">
        <f t="shared" si="694"/>
        <v>0</v>
      </c>
      <c r="BE2114" s="130">
        <f t="shared" si="695"/>
        <v>6</v>
      </c>
      <c r="BF2114" s="195">
        <f t="shared" si="696"/>
        <v>0</v>
      </c>
      <c r="BG2114" s="373">
        <f t="shared" si="691"/>
        <v>6</v>
      </c>
    </row>
    <row r="2115" spans="1:59" s="46" customFormat="1" ht="15.95" customHeight="1">
      <c r="A2115" s="176">
        <v>106</v>
      </c>
      <c r="B2115" s="31" t="s">
        <v>847</v>
      </c>
      <c r="C2115" s="32" t="s">
        <v>848</v>
      </c>
      <c r="D2115" s="231"/>
      <c r="E2115" s="231"/>
      <c r="F2115" s="231"/>
      <c r="G2115" s="231"/>
      <c r="H2115" s="231"/>
      <c r="I2115" s="231"/>
      <c r="J2115" s="231"/>
      <c r="K2115" s="231"/>
      <c r="L2115" s="231">
        <v>1</v>
      </c>
      <c r="M2115" s="231"/>
      <c r="N2115" s="231"/>
      <c r="O2115" s="231"/>
      <c r="P2115" s="231"/>
      <c r="Q2115" s="231"/>
      <c r="R2115" s="231"/>
      <c r="S2115" s="231"/>
      <c r="T2115" s="231"/>
      <c r="U2115" s="231"/>
      <c r="V2115" s="231"/>
      <c r="W2115" s="231"/>
      <c r="X2115" s="231"/>
      <c r="Y2115" s="231"/>
      <c r="Z2115" s="231"/>
      <c r="AA2115" s="231"/>
      <c r="AB2115" s="22">
        <f t="shared" si="692"/>
        <v>1</v>
      </c>
      <c r="AC2115" s="23">
        <v>8</v>
      </c>
      <c r="AD2115" s="35"/>
      <c r="AE2115" s="35"/>
      <c r="AF2115" s="35"/>
      <c r="AG2115" s="35"/>
      <c r="AH2115" s="35">
        <v>1</v>
      </c>
      <c r="AI2115" s="35"/>
      <c r="AJ2115" s="35"/>
      <c r="AK2115" s="35"/>
      <c r="AL2115" s="35">
        <v>6</v>
      </c>
      <c r="AM2115" s="35"/>
      <c r="AN2115" s="35"/>
      <c r="AO2115" s="35"/>
      <c r="AP2115" s="35">
        <f>6+11</f>
        <v>17</v>
      </c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22">
        <f t="shared" si="693"/>
        <v>24</v>
      </c>
      <c r="BC2115" s="23">
        <v>54</v>
      </c>
      <c r="BD2115" s="130">
        <f t="shared" si="694"/>
        <v>25</v>
      </c>
      <c r="BE2115" s="130">
        <f t="shared" si="695"/>
        <v>62</v>
      </c>
      <c r="BF2115" s="195">
        <f t="shared" si="696"/>
        <v>40.322580645161288</v>
      </c>
      <c r="BG2115" s="373">
        <f t="shared" si="691"/>
        <v>37</v>
      </c>
    </row>
    <row r="2116" spans="1:59" s="46" customFormat="1" ht="15.95" customHeight="1">
      <c r="A2116" s="176">
        <v>107</v>
      </c>
      <c r="B2116" s="31" t="s">
        <v>957</v>
      </c>
      <c r="C2116" s="32" t="s">
        <v>1199</v>
      </c>
      <c r="D2116" s="231"/>
      <c r="E2116" s="231"/>
      <c r="F2116" s="231"/>
      <c r="G2116" s="231"/>
      <c r="H2116" s="231">
        <v>10</v>
      </c>
      <c r="I2116" s="231"/>
      <c r="J2116" s="231"/>
      <c r="K2116" s="231"/>
      <c r="L2116" s="231">
        <v>5</v>
      </c>
      <c r="M2116" s="231"/>
      <c r="N2116" s="231"/>
      <c r="O2116" s="231"/>
      <c r="P2116" s="231">
        <v>4</v>
      </c>
      <c r="Q2116" s="231"/>
      <c r="R2116" s="231"/>
      <c r="S2116" s="231"/>
      <c r="T2116" s="231"/>
      <c r="U2116" s="231"/>
      <c r="V2116" s="231"/>
      <c r="W2116" s="231"/>
      <c r="X2116" s="231"/>
      <c r="Y2116" s="231"/>
      <c r="Z2116" s="231"/>
      <c r="AA2116" s="231"/>
      <c r="AB2116" s="22">
        <f t="shared" si="692"/>
        <v>19</v>
      </c>
      <c r="AC2116" s="23">
        <v>25</v>
      </c>
      <c r="AD2116" s="35"/>
      <c r="AE2116" s="35"/>
      <c r="AF2116" s="35"/>
      <c r="AG2116" s="35"/>
      <c r="AH2116" s="35">
        <f>10+3</f>
        <v>13</v>
      </c>
      <c r="AI2116" s="35"/>
      <c r="AJ2116" s="35"/>
      <c r="AK2116" s="35"/>
      <c r="AL2116" s="35">
        <f>12+5</f>
        <v>17</v>
      </c>
      <c r="AM2116" s="35"/>
      <c r="AN2116" s="35"/>
      <c r="AO2116" s="35"/>
      <c r="AP2116" s="35">
        <f>8+4</f>
        <v>12</v>
      </c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22">
        <f t="shared" si="693"/>
        <v>42</v>
      </c>
      <c r="BC2116" s="23">
        <v>65</v>
      </c>
      <c r="BD2116" s="130">
        <f t="shared" si="694"/>
        <v>61</v>
      </c>
      <c r="BE2116" s="130">
        <f t="shared" si="695"/>
        <v>90</v>
      </c>
      <c r="BF2116" s="195">
        <f t="shared" si="696"/>
        <v>67.777777777777786</v>
      </c>
      <c r="BG2116" s="373">
        <f t="shared" si="691"/>
        <v>29</v>
      </c>
    </row>
    <row r="2117" spans="1:59" s="46" customFormat="1" ht="15.95" customHeight="1">
      <c r="A2117" s="176">
        <v>108</v>
      </c>
      <c r="B2117" s="31" t="s">
        <v>959</v>
      </c>
      <c r="C2117" s="32" t="s">
        <v>1200</v>
      </c>
      <c r="D2117" s="231"/>
      <c r="E2117" s="231"/>
      <c r="F2117" s="231"/>
      <c r="G2117" s="231"/>
      <c r="H2117" s="231"/>
      <c r="I2117" s="231"/>
      <c r="J2117" s="231"/>
      <c r="K2117" s="231"/>
      <c r="L2117" s="231"/>
      <c r="M2117" s="231"/>
      <c r="N2117" s="231"/>
      <c r="O2117" s="231"/>
      <c r="P2117" s="231"/>
      <c r="Q2117" s="231"/>
      <c r="R2117" s="231"/>
      <c r="S2117" s="231"/>
      <c r="T2117" s="231"/>
      <c r="U2117" s="231"/>
      <c r="V2117" s="231"/>
      <c r="W2117" s="231"/>
      <c r="X2117" s="231"/>
      <c r="Y2117" s="231"/>
      <c r="Z2117" s="231"/>
      <c r="AA2117" s="231"/>
      <c r="AB2117" s="22">
        <f t="shared" si="692"/>
        <v>0</v>
      </c>
      <c r="AC2117" s="23">
        <v>8</v>
      </c>
      <c r="AD2117" s="35"/>
      <c r="AE2117" s="35"/>
      <c r="AF2117" s="35"/>
      <c r="AG2117" s="35"/>
      <c r="AH2117" s="35">
        <f>1+4</f>
        <v>5</v>
      </c>
      <c r="AI2117" s="35"/>
      <c r="AJ2117" s="35"/>
      <c r="AK2117" s="35"/>
      <c r="AL2117" s="35">
        <f>5+15</f>
        <v>20</v>
      </c>
      <c r="AM2117" s="35"/>
      <c r="AN2117" s="35"/>
      <c r="AO2117" s="35"/>
      <c r="AP2117" s="35">
        <f>2+5</f>
        <v>7</v>
      </c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22">
        <f t="shared" si="693"/>
        <v>32</v>
      </c>
      <c r="BC2117" s="23">
        <v>94</v>
      </c>
      <c r="BD2117" s="130">
        <f t="shared" si="694"/>
        <v>32</v>
      </c>
      <c r="BE2117" s="130">
        <f t="shared" si="695"/>
        <v>102</v>
      </c>
      <c r="BF2117" s="195">
        <f t="shared" si="696"/>
        <v>31.372549019607842</v>
      </c>
      <c r="BG2117" s="373">
        <f t="shared" si="691"/>
        <v>70</v>
      </c>
    </row>
    <row r="2118" spans="1:59" s="46" customFormat="1" ht="15.95" customHeight="1">
      <c r="A2118" s="176">
        <v>109</v>
      </c>
      <c r="B2118" s="31" t="s">
        <v>961</v>
      </c>
      <c r="C2118" s="32" t="s">
        <v>1201</v>
      </c>
      <c r="D2118" s="231"/>
      <c r="E2118" s="231"/>
      <c r="F2118" s="231"/>
      <c r="G2118" s="231"/>
      <c r="H2118" s="231"/>
      <c r="I2118" s="231"/>
      <c r="J2118" s="231"/>
      <c r="K2118" s="231"/>
      <c r="L2118" s="231">
        <f>12+1</f>
        <v>13</v>
      </c>
      <c r="M2118" s="231"/>
      <c r="N2118" s="231"/>
      <c r="O2118" s="231"/>
      <c r="P2118" s="231">
        <v>5</v>
      </c>
      <c r="Q2118" s="231"/>
      <c r="R2118" s="231"/>
      <c r="S2118" s="231"/>
      <c r="T2118" s="231"/>
      <c r="U2118" s="231"/>
      <c r="V2118" s="231"/>
      <c r="W2118" s="231"/>
      <c r="X2118" s="231"/>
      <c r="Y2118" s="231"/>
      <c r="Z2118" s="231"/>
      <c r="AA2118" s="231"/>
      <c r="AB2118" s="22">
        <f t="shared" si="692"/>
        <v>18</v>
      </c>
      <c r="AC2118" s="23">
        <v>30</v>
      </c>
      <c r="AD2118" s="35"/>
      <c r="AE2118" s="35"/>
      <c r="AF2118" s="35"/>
      <c r="AG2118" s="35"/>
      <c r="AH2118" s="35">
        <f>1+1</f>
        <v>2</v>
      </c>
      <c r="AI2118" s="35"/>
      <c r="AJ2118" s="35"/>
      <c r="AK2118" s="35"/>
      <c r="AL2118" s="35">
        <f>21+5</f>
        <v>26</v>
      </c>
      <c r="AM2118" s="35"/>
      <c r="AN2118" s="35"/>
      <c r="AO2118" s="35"/>
      <c r="AP2118" s="35">
        <f>9+4</f>
        <v>13</v>
      </c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22">
        <f t="shared" si="693"/>
        <v>41</v>
      </c>
      <c r="BC2118" s="23">
        <v>107</v>
      </c>
      <c r="BD2118" s="130">
        <f t="shared" si="694"/>
        <v>59</v>
      </c>
      <c r="BE2118" s="130">
        <f t="shared" si="695"/>
        <v>137</v>
      </c>
      <c r="BF2118" s="195">
        <f t="shared" si="696"/>
        <v>43.065693430656928</v>
      </c>
      <c r="BG2118" s="373">
        <f t="shared" si="691"/>
        <v>78</v>
      </c>
    </row>
    <row r="2119" spans="1:59" s="46" customFormat="1" ht="15.95" customHeight="1">
      <c r="A2119" s="176">
        <v>110</v>
      </c>
      <c r="B2119" s="31" t="s">
        <v>1355</v>
      </c>
      <c r="C2119" s="32" t="s">
        <v>1995</v>
      </c>
      <c r="D2119" s="231"/>
      <c r="E2119" s="231"/>
      <c r="F2119" s="231"/>
      <c r="G2119" s="231"/>
      <c r="H2119" s="231"/>
      <c r="I2119" s="231"/>
      <c r="J2119" s="231"/>
      <c r="K2119" s="231"/>
      <c r="L2119" s="231"/>
      <c r="M2119" s="231"/>
      <c r="N2119" s="231"/>
      <c r="O2119" s="231"/>
      <c r="P2119" s="231"/>
      <c r="Q2119" s="231"/>
      <c r="R2119" s="231"/>
      <c r="S2119" s="231"/>
      <c r="T2119" s="231"/>
      <c r="U2119" s="231"/>
      <c r="V2119" s="231"/>
      <c r="W2119" s="231"/>
      <c r="X2119" s="231"/>
      <c r="Y2119" s="231"/>
      <c r="Z2119" s="231"/>
      <c r="AA2119" s="231"/>
      <c r="AB2119" s="22">
        <f t="shared" si="692"/>
        <v>0</v>
      </c>
      <c r="AC2119" s="23">
        <v>0</v>
      </c>
      <c r="AD2119" s="35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22">
        <f t="shared" si="693"/>
        <v>0</v>
      </c>
      <c r="BC2119" s="23">
        <v>4</v>
      </c>
      <c r="BD2119" s="130">
        <f t="shared" si="694"/>
        <v>0</v>
      </c>
      <c r="BE2119" s="130">
        <f t="shared" si="695"/>
        <v>4</v>
      </c>
      <c r="BF2119" s="195">
        <f t="shared" si="696"/>
        <v>0</v>
      </c>
      <c r="BG2119" s="373">
        <f t="shared" si="691"/>
        <v>4</v>
      </c>
    </row>
    <row r="2120" spans="1:59" s="46" customFormat="1" ht="15.95" customHeight="1">
      <c r="A2120" s="176">
        <v>111</v>
      </c>
      <c r="B2120" s="31" t="s">
        <v>963</v>
      </c>
      <c r="C2120" s="32" t="s">
        <v>1202</v>
      </c>
      <c r="D2120" s="231"/>
      <c r="E2120" s="231"/>
      <c r="F2120" s="231"/>
      <c r="G2120" s="231"/>
      <c r="H2120" s="231"/>
      <c r="I2120" s="231"/>
      <c r="J2120" s="231"/>
      <c r="K2120" s="231"/>
      <c r="L2120" s="231"/>
      <c r="M2120" s="231"/>
      <c r="N2120" s="231"/>
      <c r="O2120" s="231"/>
      <c r="P2120" s="231"/>
      <c r="Q2120" s="231"/>
      <c r="R2120" s="231"/>
      <c r="S2120" s="231"/>
      <c r="T2120" s="231"/>
      <c r="U2120" s="231"/>
      <c r="V2120" s="231"/>
      <c r="W2120" s="231"/>
      <c r="X2120" s="231"/>
      <c r="Y2120" s="231"/>
      <c r="Z2120" s="231"/>
      <c r="AA2120" s="231"/>
      <c r="AB2120" s="22">
        <f t="shared" si="692"/>
        <v>0</v>
      </c>
      <c r="AC2120" s="23">
        <v>1</v>
      </c>
      <c r="AD2120" s="35"/>
      <c r="AE2120" s="35"/>
      <c r="AF2120" s="35"/>
      <c r="AG2120" s="35"/>
      <c r="AH2120" s="35"/>
      <c r="AI2120" s="35"/>
      <c r="AJ2120" s="35"/>
      <c r="AK2120" s="35"/>
      <c r="AL2120" s="35">
        <f>2+2</f>
        <v>4</v>
      </c>
      <c r="AM2120" s="35"/>
      <c r="AN2120" s="35"/>
      <c r="AO2120" s="35"/>
      <c r="AP2120" s="35">
        <v>1</v>
      </c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22">
        <f t="shared" si="693"/>
        <v>5</v>
      </c>
      <c r="BC2120" s="23">
        <v>21</v>
      </c>
      <c r="BD2120" s="130">
        <f t="shared" si="694"/>
        <v>5</v>
      </c>
      <c r="BE2120" s="130">
        <f t="shared" si="695"/>
        <v>22</v>
      </c>
      <c r="BF2120" s="195">
        <f t="shared" si="696"/>
        <v>22.727272727272727</v>
      </c>
      <c r="BG2120" s="373">
        <f t="shared" si="691"/>
        <v>17</v>
      </c>
    </row>
    <row r="2121" spans="1:59" s="46" customFormat="1" ht="15.95" customHeight="1">
      <c r="A2121" s="176">
        <v>112</v>
      </c>
      <c r="B2121" s="31" t="s">
        <v>965</v>
      </c>
      <c r="C2121" s="32" t="s">
        <v>2480</v>
      </c>
      <c r="D2121" s="521"/>
      <c r="E2121" s="521"/>
      <c r="F2121" s="521"/>
      <c r="G2121" s="521"/>
      <c r="H2121" s="521"/>
      <c r="I2121" s="521"/>
      <c r="J2121" s="521"/>
      <c r="K2121" s="521"/>
      <c r="L2121" s="521"/>
      <c r="M2121" s="521"/>
      <c r="N2121" s="521"/>
      <c r="O2121" s="521"/>
      <c r="P2121" s="521"/>
      <c r="Q2121" s="521"/>
      <c r="R2121" s="521"/>
      <c r="S2121" s="521"/>
      <c r="T2121" s="521"/>
      <c r="U2121" s="521"/>
      <c r="V2121" s="521"/>
      <c r="W2121" s="521"/>
      <c r="X2121" s="521"/>
      <c r="Y2121" s="521"/>
      <c r="Z2121" s="521"/>
      <c r="AA2121" s="521"/>
      <c r="AB2121" s="22">
        <f t="shared" si="692"/>
        <v>0</v>
      </c>
      <c r="AC2121" s="23">
        <v>0</v>
      </c>
      <c r="AD2121" s="35"/>
      <c r="AE2121" s="35"/>
      <c r="AF2121" s="35"/>
      <c r="AG2121" s="35"/>
      <c r="AH2121" s="35">
        <v>1</v>
      </c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22">
        <f t="shared" si="693"/>
        <v>1</v>
      </c>
      <c r="BC2121" s="23">
        <v>0</v>
      </c>
      <c r="BD2121" s="130">
        <f t="shared" si="694"/>
        <v>1</v>
      </c>
      <c r="BE2121" s="130">
        <f t="shared" si="695"/>
        <v>0</v>
      </c>
      <c r="BF2121" s="195" t="e">
        <f t="shared" si="696"/>
        <v>#DIV/0!</v>
      </c>
      <c r="BG2121" s="373"/>
    </row>
    <row r="2122" spans="1:59" s="46" customFormat="1" ht="15.95" customHeight="1">
      <c r="A2122" s="176">
        <v>113</v>
      </c>
      <c r="B2122" s="31" t="s">
        <v>967</v>
      </c>
      <c r="C2122" s="32" t="s">
        <v>3313</v>
      </c>
      <c r="D2122" s="231"/>
      <c r="E2122" s="231"/>
      <c r="F2122" s="231"/>
      <c r="G2122" s="231"/>
      <c r="H2122" s="231"/>
      <c r="I2122" s="231"/>
      <c r="J2122" s="231"/>
      <c r="K2122" s="231"/>
      <c r="L2122" s="231"/>
      <c r="M2122" s="231"/>
      <c r="N2122" s="231"/>
      <c r="O2122" s="231"/>
      <c r="P2122" s="231"/>
      <c r="Q2122" s="231"/>
      <c r="R2122" s="231"/>
      <c r="S2122" s="231"/>
      <c r="T2122" s="231"/>
      <c r="U2122" s="231"/>
      <c r="V2122" s="231"/>
      <c r="W2122" s="231"/>
      <c r="X2122" s="231"/>
      <c r="Y2122" s="231"/>
      <c r="Z2122" s="231"/>
      <c r="AA2122" s="231"/>
      <c r="AB2122" s="22">
        <f t="shared" si="692"/>
        <v>0</v>
      </c>
      <c r="AC2122" s="23">
        <v>0</v>
      </c>
      <c r="AD2122" s="35"/>
      <c r="AE2122" s="35"/>
      <c r="AF2122" s="35"/>
      <c r="AG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22">
        <f t="shared" si="693"/>
        <v>0</v>
      </c>
      <c r="BC2122" s="23">
        <v>1</v>
      </c>
      <c r="BD2122" s="130">
        <f t="shared" si="694"/>
        <v>0</v>
      </c>
      <c r="BE2122" s="130">
        <f t="shared" si="695"/>
        <v>1</v>
      </c>
      <c r="BF2122" s="195">
        <f t="shared" si="696"/>
        <v>0</v>
      </c>
      <c r="BG2122" s="373">
        <f t="shared" ref="BG2122:BG2152" si="697">BE2122-BD2122</f>
        <v>1</v>
      </c>
    </row>
    <row r="2123" spans="1:59" s="46" customFormat="1" ht="15.95" customHeight="1">
      <c r="A2123" s="176">
        <v>114</v>
      </c>
      <c r="B2123" s="31" t="s">
        <v>2416</v>
      </c>
      <c r="C2123" s="32" t="s">
        <v>2417</v>
      </c>
      <c r="D2123" s="231"/>
      <c r="E2123" s="231"/>
      <c r="F2123" s="231"/>
      <c r="G2123" s="231"/>
      <c r="H2123" s="231"/>
      <c r="I2123" s="231"/>
      <c r="J2123" s="231"/>
      <c r="K2123" s="231"/>
      <c r="L2123" s="231"/>
      <c r="M2123" s="231"/>
      <c r="N2123" s="231"/>
      <c r="O2123" s="231"/>
      <c r="P2123" s="231"/>
      <c r="Q2123" s="231"/>
      <c r="R2123" s="231"/>
      <c r="S2123" s="231"/>
      <c r="T2123" s="231"/>
      <c r="U2123" s="231"/>
      <c r="V2123" s="231"/>
      <c r="W2123" s="231"/>
      <c r="X2123" s="231"/>
      <c r="Y2123" s="231"/>
      <c r="Z2123" s="231"/>
      <c r="AA2123" s="231"/>
      <c r="AB2123" s="22">
        <f t="shared" si="692"/>
        <v>0</v>
      </c>
      <c r="AC2123" s="23">
        <v>0</v>
      </c>
      <c r="AD2123" s="35"/>
      <c r="AE2123" s="35"/>
      <c r="AF2123" s="35"/>
      <c r="AG2123" s="35"/>
      <c r="AH2123" s="35"/>
      <c r="AI2123" s="35"/>
      <c r="AJ2123" s="35"/>
      <c r="AK2123" s="35"/>
      <c r="AL2123" s="35">
        <v>1</v>
      </c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22">
        <f t="shared" si="693"/>
        <v>1</v>
      </c>
      <c r="BC2123" s="23">
        <v>4</v>
      </c>
      <c r="BD2123" s="130">
        <f t="shared" si="694"/>
        <v>1</v>
      </c>
      <c r="BE2123" s="130">
        <f t="shared" si="695"/>
        <v>4</v>
      </c>
      <c r="BF2123" s="195">
        <f t="shared" si="696"/>
        <v>25</v>
      </c>
      <c r="BG2123" s="373">
        <f t="shared" si="697"/>
        <v>3</v>
      </c>
    </row>
    <row r="2124" spans="1:59" s="46" customFormat="1" ht="15.95" customHeight="1">
      <c r="A2124" s="176">
        <v>115</v>
      </c>
      <c r="B2124" s="31" t="s">
        <v>1049</v>
      </c>
      <c r="C2124" s="32" t="s">
        <v>1050</v>
      </c>
      <c r="D2124" s="231"/>
      <c r="E2124" s="231"/>
      <c r="F2124" s="231"/>
      <c r="G2124" s="231"/>
      <c r="H2124" s="231"/>
      <c r="I2124" s="231"/>
      <c r="J2124" s="231"/>
      <c r="K2124" s="231"/>
      <c r="L2124" s="231"/>
      <c r="M2124" s="231"/>
      <c r="N2124" s="231"/>
      <c r="O2124" s="231"/>
      <c r="P2124" s="231"/>
      <c r="Q2124" s="231"/>
      <c r="R2124" s="231"/>
      <c r="S2124" s="231"/>
      <c r="T2124" s="231"/>
      <c r="U2124" s="231"/>
      <c r="V2124" s="231"/>
      <c r="W2124" s="231"/>
      <c r="X2124" s="231"/>
      <c r="Y2124" s="231"/>
      <c r="Z2124" s="231"/>
      <c r="AA2124" s="231"/>
      <c r="AB2124" s="22">
        <f t="shared" si="692"/>
        <v>0</v>
      </c>
      <c r="AC2124" s="23">
        <v>0</v>
      </c>
      <c r="AD2124" s="35"/>
      <c r="AE2124" s="35"/>
      <c r="AF2124" s="35"/>
      <c r="AG2124" s="35"/>
      <c r="AH2124" s="35">
        <v>4</v>
      </c>
      <c r="AI2124" s="35"/>
      <c r="AJ2124" s="35"/>
      <c r="AK2124" s="35"/>
      <c r="AL2124" s="35">
        <v>13</v>
      </c>
      <c r="AM2124" s="35"/>
      <c r="AN2124" s="35"/>
      <c r="AO2124" s="35"/>
      <c r="AP2124" s="35">
        <v>11</v>
      </c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22">
        <f t="shared" si="693"/>
        <v>28</v>
      </c>
      <c r="BC2124" s="23">
        <v>5</v>
      </c>
      <c r="BD2124" s="130">
        <f t="shared" si="694"/>
        <v>28</v>
      </c>
      <c r="BE2124" s="130">
        <f t="shared" si="695"/>
        <v>5</v>
      </c>
      <c r="BF2124" s="195">
        <f t="shared" si="696"/>
        <v>560</v>
      </c>
      <c r="BG2124" s="373">
        <f t="shared" si="697"/>
        <v>-23</v>
      </c>
    </row>
    <row r="2125" spans="1:59" s="46" customFormat="1" ht="15.95" customHeight="1">
      <c r="A2125" s="176">
        <v>116</v>
      </c>
      <c r="B2125" s="31" t="s">
        <v>849</v>
      </c>
      <c r="C2125" s="32" t="s">
        <v>2602</v>
      </c>
      <c r="D2125" s="231"/>
      <c r="E2125" s="231"/>
      <c r="F2125" s="231"/>
      <c r="G2125" s="231"/>
      <c r="H2125" s="231"/>
      <c r="I2125" s="231"/>
      <c r="J2125" s="231"/>
      <c r="K2125" s="231"/>
      <c r="L2125" s="231"/>
      <c r="M2125" s="231"/>
      <c r="N2125" s="231"/>
      <c r="O2125" s="231"/>
      <c r="P2125" s="231"/>
      <c r="Q2125" s="231"/>
      <c r="R2125" s="231"/>
      <c r="S2125" s="231"/>
      <c r="T2125" s="231"/>
      <c r="U2125" s="231"/>
      <c r="V2125" s="231"/>
      <c r="W2125" s="231"/>
      <c r="X2125" s="231"/>
      <c r="Y2125" s="231"/>
      <c r="Z2125" s="231"/>
      <c r="AA2125" s="231"/>
      <c r="AB2125" s="22">
        <f t="shared" si="692"/>
        <v>0</v>
      </c>
      <c r="AC2125" s="23">
        <v>2</v>
      </c>
      <c r="AD2125" s="35"/>
      <c r="AE2125" s="35"/>
      <c r="AF2125" s="35"/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22">
        <f t="shared" si="693"/>
        <v>0</v>
      </c>
      <c r="BC2125" s="23">
        <v>0</v>
      </c>
      <c r="BD2125" s="130">
        <f t="shared" si="694"/>
        <v>0</v>
      </c>
      <c r="BE2125" s="130">
        <f t="shared" si="695"/>
        <v>2</v>
      </c>
      <c r="BF2125" s="195">
        <f t="shared" si="696"/>
        <v>0</v>
      </c>
      <c r="BG2125" s="373">
        <f t="shared" si="697"/>
        <v>2</v>
      </c>
    </row>
    <row r="2126" spans="1:59" s="46" customFormat="1" ht="15.95" customHeight="1">
      <c r="A2126" s="176">
        <v>117</v>
      </c>
      <c r="B2126" s="31" t="s">
        <v>851</v>
      </c>
      <c r="C2126" s="32" t="s">
        <v>917</v>
      </c>
      <c r="D2126" s="231"/>
      <c r="E2126" s="231"/>
      <c r="F2126" s="231"/>
      <c r="G2126" s="231"/>
      <c r="H2126" s="231"/>
      <c r="I2126" s="231"/>
      <c r="J2126" s="231"/>
      <c r="K2126" s="231"/>
      <c r="L2126" s="231"/>
      <c r="M2126" s="231"/>
      <c r="N2126" s="231"/>
      <c r="O2126" s="231"/>
      <c r="P2126" s="231"/>
      <c r="Q2126" s="231"/>
      <c r="R2126" s="231"/>
      <c r="S2126" s="231"/>
      <c r="T2126" s="231"/>
      <c r="U2126" s="231"/>
      <c r="V2126" s="231"/>
      <c r="W2126" s="231"/>
      <c r="X2126" s="231"/>
      <c r="Y2126" s="231"/>
      <c r="Z2126" s="231"/>
      <c r="AA2126" s="231"/>
      <c r="AB2126" s="22">
        <f t="shared" si="692"/>
        <v>0</v>
      </c>
      <c r="AC2126" s="23">
        <v>0</v>
      </c>
      <c r="AD2126" s="35"/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22">
        <f t="shared" si="693"/>
        <v>0</v>
      </c>
      <c r="BC2126" s="23">
        <v>151</v>
      </c>
      <c r="BD2126" s="130">
        <f t="shared" si="694"/>
        <v>0</v>
      </c>
      <c r="BE2126" s="130">
        <f t="shared" si="695"/>
        <v>151</v>
      </c>
      <c r="BF2126" s="195">
        <f t="shared" si="696"/>
        <v>0</v>
      </c>
      <c r="BG2126" s="373">
        <f t="shared" si="697"/>
        <v>151</v>
      </c>
    </row>
    <row r="2127" spans="1:59" s="46" customFormat="1" ht="15.95" customHeight="1">
      <c r="A2127" s="176">
        <v>118</v>
      </c>
      <c r="B2127" s="31" t="s">
        <v>1088</v>
      </c>
      <c r="C2127" s="32" t="s">
        <v>2084</v>
      </c>
      <c r="D2127" s="231"/>
      <c r="E2127" s="231"/>
      <c r="F2127" s="231"/>
      <c r="G2127" s="231"/>
      <c r="H2127" s="231"/>
      <c r="I2127" s="231"/>
      <c r="J2127" s="231"/>
      <c r="K2127" s="231"/>
      <c r="L2127" s="231"/>
      <c r="M2127" s="231"/>
      <c r="N2127" s="231"/>
      <c r="O2127" s="231"/>
      <c r="P2127" s="231"/>
      <c r="Q2127" s="231"/>
      <c r="R2127" s="231"/>
      <c r="S2127" s="231"/>
      <c r="T2127" s="231"/>
      <c r="U2127" s="231"/>
      <c r="V2127" s="231"/>
      <c r="W2127" s="231"/>
      <c r="X2127" s="231"/>
      <c r="Y2127" s="231"/>
      <c r="Z2127" s="231"/>
      <c r="AA2127" s="231"/>
      <c r="AB2127" s="22">
        <f t="shared" si="692"/>
        <v>0</v>
      </c>
      <c r="AC2127" s="23">
        <v>0</v>
      </c>
      <c r="AD2127" s="35"/>
      <c r="AE2127" s="35"/>
      <c r="AF2127" s="35"/>
      <c r="AG2127" s="35"/>
      <c r="AH2127" s="35">
        <v>6</v>
      </c>
      <c r="AI2127" s="35"/>
      <c r="AJ2127" s="35"/>
      <c r="AK2127" s="35"/>
      <c r="AL2127" s="35">
        <v>49</v>
      </c>
      <c r="AM2127" s="35"/>
      <c r="AN2127" s="35"/>
      <c r="AO2127" s="35"/>
      <c r="AP2127" s="35">
        <v>20</v>
      </c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22">
        <f t="shared" si="693"/>
        <v>75</v>
      </c>
      <c r="BC2127" s="23">
        <v>296</v>
      </c>
      <c r="BD2127" s="130">
        <f t="shared" si="694"/>
        <v>75</v>
      </c>
      <c r="BE2127" s="130">
        <f t="shared" si="695"/>
        <v>296</v>
      </c>
      <c r="BF2127" s="195">
        <f t="shared" si="696"/>
        <v>25.337837837837839</v>
      </c>
      <c r="BG2127" s="373">
        <f t="shared" si="697"/>
        <v>221</v>
      </c>
    </row>
    <row r="2128" spans="1:59" s="46" customFormat="1" ht="15.95" customHeight="1">
      <c r="A2128" s="176">
        <v>119</v>
      </c>
      <c r="B2128" s="31" t="s">
        <v>1773</v>
      </c>
      <c r="C2128" s="32" t="s">
        <v>3465</v>
      </c>
      <c r="D2128" s="231"/>
      <c r="E2128" s="231"/>
      <c r="F2128" s="231"/>
      <c r="G2128" s="231"/>
      <c r="H2128" s="231"/>
      <c r="I2128" s="231"/>
      <c r="J2128" s="231"/>
      <c r="K2128" s="231"/>
      <c r="L2128" s="231"/>
      <c r="M2128" s="231"/>
      <c r="N2128" s="231"/>
      <c r="O2128" s="231"/>
      <c r="P2128" s="231"/>
      <c r="Q2128" s="231"/>
      <c r="R2128" s="231"/>
      <c r="S2128" s="231"/>
      <c r="T2128" s="231"/>
      <c r="U2128" s="231"/>
      <c r="V2128" s="231"/>
      <c r="W2128" s="231"/>
      <c r="X2128" s="231"/>
      <c r="Y2128" s="231"/>
      <c r="Z2128" s="231"/>
      <c r="AA2128" s="231"/>
      <c r="AB2128" s="22">
        <f t="shared" si="692"/>
        <v>0</v>
      </c>
      <c r="AC2128" s="23">
        <v>0</v>
      </c>
      <c r="AD2128" s="35"/>
      <c r="AE2128" s="35"/>
      <c r="AF2128" s="35"/>
      <c r="AG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22">
        <f t="shared" si="693"/>
        <v>0</v>
      </c>
      <c r="BC2128" s="23">
        <v>5</v>
      </c>
      <c r="BD2128" s="130">
        <f t="shared" si="694"/>
        <v>0</v>
      </c>
      <c r="BE2128" s="130">
        <f t="shared" si="695"/>
        <v>5</v>
      </c>
      <c r="BF2128" s="195">
        <f t="shared" si="696"/>
        <v>0</v>
      </c>
      <c r="BG2128" s="373">
        <f t="shared" si="697"/>
        <v>5</v>
      </c>
    </row>
    <row r="2129" spans="1:59" s="46" customFormat="1" ht="15.95" customHeight="1">
      <c r="A2129" s="176">
        <v>120</v>
      </c>
      <c r="B2129" s="31" t="s">
        <v>1018</v>
      </c>
      <c r="C2129" s="32" t="s">
        <v>1402</v>
      </c>
      <c r="D2129" s="335"/>
      <c r="E2129" s="335"/>
      <c r="F2129" s="335"/>
      <c r="G2129" s="335"/>
      <c r="H2129" s="335"/>
      <c r="I2129" s="335"/>
      <c r="J2129" s="335"/>
      <c r="K2129" s="335"/>
      <c r="L2129" s="335"/>
      <c r="M2129" s="335"/>
      <c r="N2129" s="335"/>
      <c r="O2129" s="335"/>
      <c r="P2129" s="335"/>
      <c r="Q2129" s="335"/>
      <c r="R2129" s="335"/>
      <c r="S2129" s="335"/>
      <c r="T2129" s="335"/>
      <c r="U2129" s="335"/>
      <c r="V2129" s="335"/>
      <c r="W2129" s="335"/>
      <c r="X2129" s="335"/>
      <c r="Y2129" s="335"/>
      <c r="Z2129" s="335"/>
      <c r="AA2129" s="335"/>
      <c r="AB2129" s="22">
        <f t="shared" si="692"/>
        <v>0</v>
      </c>
      <c r="AC2129" s="23">
        <v>0</v>
      </c>
      <c r="AD2129" s="35"/>
      <c r="AE2129" s="35"/>
      <c r="AF2129" s="35"/>
      <c r="AG2129" s="35"/>
      <c r="AH2129" s="35">
        <v>1</v>
      </c>
      <c r="AI2129" s="35"/>
      <c r="AJ2129" s="35"/>
      <c r="AK2129" s="35"/>
      <c r="AL2129" s="35">
        <v>2</v>
      </c>
      <c r="AM2129" s="35"/>
      <c r="AN2129" s="35"/>
      <c r="AO2129" s="35"/>
      <c r="AP2129" s="35">
        <v>1</v>
      </c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22">
        <f t="shared" si="693"/>
        <v>4</v>
      </c>
      <c r="BC2129" s="23">
        <v>7</v>
      </c>
      <c r="BD2129" s="130">
        <f t="shared" si="694"/>
        <v>4</v>
      </c>
      <c r="BE2129" s="130">
        <f t="shared" si="695"/>
        <v>7</v>
      </c>
      <c r="BF2129" s="195">
        <f t="shared" si="696"/>
        <v>57.142857142857139</v>
      </c>
      <c r="BG2129" s="373">
        <f t="shared" si="697"/>
        <v>3</v>
      </c>
    </row>
    <row r="2130" spans="1:59" s="46" customFormat="1" ht="15.95" customHeight="1">
      <c r="A2130" s="176">
        <v>121</v>
      </c>
      <c r="B2130" s="31" t="s">
        <v>1203</v>
      </c>
      <c r="C2130" s="34" t="s">
        <v>1204</v>
      </c>
      <c r="D2130" s="231"/>
      <c r="E2130" s="231"/>
      <c r="F2130" s="231"/>
      <c r="G2130" s="231"/>
      <c r="H2130" s="231"/>
      <c r="I2130" s="231"/>
      <c r="J2130" s="231"/>
      <c r="K2130" s="231"/>
      <c r="L2130" s="231"/>
      <c r="M2130" s="231"/>
      <c r="N2130" s="231"/>
      <c r="O2130" s="231"/>
      <c r="P2130" s="231"/>
      <c r="Q2130" s="231"/>
      <c r="R2130" s="231"/>
      <c r="S2130" s="231"/>
      <c r="T2130" s="231"/>
      <c r="U2130" s="231"/>
      <c r="V2130" s="231"/>
      <c r="W2130" s="231"/>
      <c r="X2130" s="231"/>
      <c r="Y2130" s="231"/>
      <c r="Z2130" s="231"/>
      <c r="AA2130" s="231"/>
      <c r="AB2130" s="22">
        <f t="shared" si="692"/>
        <v>0</v>
      </c>
      <c r="AC2130" s="23">
        <v>14</v>
      </c>
      <c r="AD2130" s="35"/>
      <c r="AE2130" s="35"/>
      <c r="AF2130" s="35"/>
      <c r="AG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22">
        <f t="shared" si="693"/>
        <v>0</v>
      </c>
      <c r="BC2130" s="23">
        <v>0</v>
      </c>
      <c r="BD2130" s="130">
        <f t="shared" si="694"/>
        <v>0</v>
      </c>
      <c r="BE2130" s="130">
        <f t="shared" si="695"/>
        <v>14</v>
      </c>
      <c r="BF2130" s="195">
        <f t="shared" si="696"/>
        <v>0</v>
      </c>
      <c r="BG2130" s="373">
        <f t="shared" si="697"/>
        <v>14</v>
      </c>
    </row>
    <row r="2131" spans="1:59" s="46" customFormat="1" ht="15.95" customHeight="1">
      <c r="A2131" s="176">
        <v>122</v>
      </c>
      <c r="B2131" s="31" t="s">
        <v>1051</v>
      </c>
      <c r="C2131" s="34" t="s">
        <v>3181</v>
      </c>
      <c r="D2131" s="231"/>
      <c r="E2131" s="231"/>
      <c r="F2131" s="231"/>
      <c r="G2131" s="231"/>
      <c r="H2131" s="231"/>
      <c r="I2131" s="231"/>
      <c r="J2131" s="231"/>
      <c r="K2131" s="231"/>
      <c r="L2131" s="231"/>
      <c r="M2131" s="231"/>
      <c r="N2131" s="231"/>
      <c r="O2131" s="231"/>
      <c r="P2131" s="231"/>
      <c r="Q2131" s="231"/>
      <c r="R2131" s="231"/>
      <c r="S2131" s="231"/>
      <c r="T2131" s="231"/>
      <c r="U2131" s="231"/>
      <c r="V2131" s="231"/>
      <c r="W2131" s="231"/>
      <c r="X2131" s="231"/>
      <c r="Y2131" s="231"/>
      <c r="Z2131" s="231"/>
      <c r="AA2131" s="231"/>
      <c r="AB2131" s="22">
        <f t="shared" si="692"/>
        <v>0</v>
      </c>
      <c r="AC2131" s="23">
        <v>0</v>
      </c>
      <c r="AD2131" s="35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22">
        <f t="shared" si="693"/>
        <v>0</v>
      </c>
      <c r="BC2131" s="23">
        <v>1</v>
      </c>
      <c r="BD2131" s="130">
        <f t="shared" si="694"/>
        <v>0</v>
      </c>
      <c r="BE2131" s="130">
        <f t="shared" si="695"/>
        <v>1</v>
      </c>
      <c r="BF2131" s="195">
        <f t="shared" si="696"/>
        <v>0</v>
      </c>
      <c r="BG2131" s="373">
        <f t="shared" si="697"/>
        <v>1</v>
      </c>
    </row>
    <row r="2132" spans="1:59" s="46" customFormat="1" ht="15.95" customHeight="1">
      <c r="A2132" s="176">
        <v>123</v>
      </c>
      <c r="B2132" s="31" t="s">
        <v>854</v>
      </c>
      <c r="C2132" s="34" t="s">
        <v>1207</v>
      </c>
      <c r="D2132" s="231"/>
      <c r="E2132" s="231"/>
      <c r="F2132" s="231"/>
      <c r="G2132" s="231"/>
      <c r="H2132" s="231">
        <f>1+11+1</f>
        <v>13</v>
      </c>
      <c r="I2132" s="231"/>
      <c r="J2132" s="231"/>
      <c r="K2132" s="231"/>
      <c r="L2132" s="231">
        <f>3+26+4</f>
        <v>33</v>
      </c>
      <c r="M2132" s="231"/>
      <c r="N2132" s="231"/>
      <c r="O2132" s="231"/>
      <c r="P2132" s="231">
        <f>2+18+1+1</f>
        <v>22</v>
      </c>
      <c r="Q2132" s="231"/>
      <c r="R2132" s="231"/>
      <c r="S2132" s="231"/>
      <c r="T2132" s="231"/>
      <c r="U2132" s="231"/>
      <c r="V2132" s="231"/>
      <c r="W2132" s="231"/>
      <c r="X2132" s="231"/>
      <c r="Y2132" s="231"/>
      <c r="Z2132" s="231"/>
      <c r="AA2132" s="231"/>
      <c r="AB2132" s="22">
        <f t="shared" si="692"/>
        <v>68</v>
      </c>
      <c r="AC2132" s="23">
        <v>130</v>
      </c>
      <c r="AD2132" s="35"/>
      <c r="AE2132" s="35"/>
      <c r="AF2132" s="35"/>
      <c r="AG2132" s="35"/>
      <c r="AH2132" s="35">
        <f>1+93</f>
        <v>94</v>
      </c>
      <c r="AI2132" s="35"/>
      <c r="AJ2132" s="35"/>
      <c r="AK2132" s="35"/>
      <c r="AL2132" s="35">
        <f>4+446</f>
        <v>450</v>
      </c>
      <c r="AM2132" s="35"/>
      <c r="AN2132" s="35"/>
      <c r="AO2132" s="35"/>
      <c r="AP2132" s="35">
        <f>3+281</f>
        <v>284</v>
      </c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22">
        <f t="shared" si="693"/>
        <v>828</v>
      </c>
      <c r="BC2132" s="23">
        <v>2315</v>
      </c>
      <c r="BD2132" s="130">
        <f t="shared" si="694"/>
        <v>896</v>
      </c>
      <c r="BE2132" s="130">
        <f t="shared" si="695"/>
        <v>2445</v>
      </c>
      <c r="BF2132" s="195">
        <f t="shared" si="696"/>
        <v>36.646216768916155</v>
      </c>
      <c r="BG2132" s="373">
        <f t="shared" si="697"/>
        <v>1549</v>
      </c>
    </row>
    <row r="2133" spans="1:59" s="46" customFormat="1" ht="15.95" customHeight="1">
      <c r="A2133" s="176">
        <v>124</v>
      </c>
      <c r="B2133" s="31" t="s">
        <v>856</v>
      </c>
      <c r="C2133" s="34" t="s">
        <v>1208</v>
      </c>
      <c r="D2133" s="231"/>
      <c r="E2133" s="231"/>
      <c r="F2133" s="231"/>
      <c r="G2133" s="231"/>
      <c r="H2133" s="231"/>
      <c r="I2133" s="231"/>
      <c r="J2133" s="231"/>
      <c r="K2133" s="231"/>
      <c r="L2133" s="231"/>
      <c r="M2133" s="231"/>
      <c r="N2133" s="231"/>
      <c r="O2133" s="231"/>
      <c r="P2133" s="231"/>
      <c r="Q2133" s="231"/>
      <c r="R2133" s="231"/>
      <c r="S2133" s="231"/>
      <c r="T2133" s="231"/>
      <c r="U2133" s="231"/>
      <c r="V2133" s="231"/>
      <c r="W2133" s="231"/>
      <c r="X2133" s="231"/>
      <c r="Y2133" s="231"/>
      <c r="Z2133" s="231"/>
      <c r="AA2133" s="231"/>
      <c r="AB2133" s="22">
        <f t="shared" si="692"/>
        <v>0</v>
      </c>
      <c r="AC2133" s="23">
        <v>0</v>
      </c>
      <c r="AD2133" s="35"/>
      <c r="AE2133" s="35"/>
      <c r="AF2133" s="35"/>
      <c r="AG2133" s="35"/>
      <c r="AH2133" s="35">
        <v>2</v>
      </c>
      <c r="AI2133" s="35"/>
      <c r="AJ2133" s="35"/>
      <c r="AK2133" s="35"/>
      <c r="AL2133" s="35">
        <v>84</v>
      </c>
      <c r="AM2133" s="35"/>
      <c r="AN2133" s="35"/>
      <c r="AO2133" s="35"/>
      <c r="AP2133" s="35">
        <v>36</v>
      </c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22">
        <f t="shared" si="693"/>
        <v>122</v>
      </c>
      <c r="BC2133" s="23">
        <v>198</v>
      </c>
      <c r="BD2133" s="130">
        <f t="shared" si="694"/>
        <v>122</v>
      </c>
      <c r="BE2133" s="130">
        <f t="shared" si="695"/>
        <v>198</v>
      </c>
      <c r="BF2133" s="195">
        <f t="shared" si="696"/>
        <v>61.616161616161612</v>
      </c>
      <c r="BG2133" s="373">
        <f t="shared" si="697"/>
        <v>76</v>
      </c>
    </row>
    <row r="2134" spans="1:59" s="46" customFormat="1" ht="15.95" customHeight="1">
      <c r="A2134" s="176">
        <v>125</v>
      </c>
      <c r="B2134" s="31" t="s">
        <v>1024</v>
      </c>
      <c r="C2134" s="34" t="s">
        <v>1025</v>
      </c>
      <c r="D2134" s="231"/>
      <c r="E2134" s="231"/>
      <c r="F2134" s="231"/>
      <c r="G2134" s="231"/>
      <c r="H2134" s="231"/>
      <c r="I2134" s="231"/>
      <c r="J2134" s="231"/>
      <c r="K2134" s="231"/>
      <c r="L2134" s="231"/>
      <c r="M2134" s="231"/>
      <c r="N2134" s="231"/>
      <c r="O2134" s="231"/>
      <c r="P2134" s="231"/>
      <c r="Q2134" s="231"/>
      <c r="R2134" s="231"/>
      <c r="S2134" s="231"/>
      <c r="T2134" s="231"/>
      <c r="U2134" s="231"/>
      <c r="V2134" s="231"/>
      <c r="W2134" s="231"/>
      <c r="X2134" s="231"/>
      <c r="Y2134" s="231"/>
      <c r="Z2134" s="231"/>
      <c r="AA2134" s="231"/>
      <c r="AB2134" s="22">
        <f t="shared" si="692"/>
        <v>0</v>
      </c>
      <c r="AC2134" s="23">
        <v>0</v>
      </c>
      <c r="AD2134" s="35"/>
      <c r="AE2134" s="35"/>
      <c r="AF2134" s="35"/>
      <c r="AG2134" s="35"/>
      <c r="AH2134" s="35">
        <v>7</v>
      </c>
      <c r="AI2134" s="35"/>
      <c r="AJ2134" s="35"/>
      <c r="AK2134" s="35"/>
      <c r="AL2134" s="35">
        <v>39</v>
      </c>
      <c r="AM2134" s="35"/>
      <c r="AN2134" s="35"/>
      <c r="AO2134" s="35"/>
      <c r="AP2134" s="35">
        <v>15</v>
      </c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22">
        <f t="shared" si="693"/>
        <v>61</v>
      </c>
      <c r="BC2134" s="23">
        <v>163</v>
      </c>
      <c r="BD2134" s="130">
        <f t="shared" si="694"/>
        <v>61</v>
      </c>
      <c r="BE2134" s="130">
        <f t="shared" si="695"/>
        <v>163</v>
      </c>
      <c r="BF2134" s="195">
        <f t="shared" si="696"/>
        <v>37.423312883435585</v>
      </c>
      <c r="BG2134" s="373">
        <f t="shared" si="697"/>
        <v>102</v>
      </c>
    </row>
    <row r="2135" spans="1:59" s="46" customFormat="1" ht="15.95" customHeight="1">
      <c r="A2135" s="176">
        <v>126</v>
      </c>
      <c r="B2135" s="31" t="s">
        <v>1059</v>
      </c>
      <c r="C2135" s="34" t="s">
        <v>1997</v>
      </c>
      <c r="D2135" s="231"/>
      <c r="E2135" s="231"/>
      <c r="F2135" s="231"/>
      <c r="G2135" s="231"/>
      <c r="H2135" s="231"/>
      <c r="I2135" s="231"/>
      <c r="J2135" s="231"/>
      <c r="K2135" s="231"/>
      <c r="L2135" s="231"/>
      <c r="M2135" s="231"/>
      <c r="N2135" s="231"/>
      <c r="O2135" s="231"/>
      <c r="P2135" s="231"/>
      <c r="Q2135" s="231"/>
      <c r="R2135" s="231"/>
      <c r="S2135" s="231"/>
      <c r="T2135" s="231"/>
      <c r="U2135" s="231"/>
      <c r="V2135" s="231"/>
      <c r="W2135" s="231"/>
      <c r="X2135" s="231"/>
      <c r="Y2135" s="231"/>
      <c r="Z2135" s="231"/>
      <c r="AA2135" s="231"/>
      <c r="AB2135" s="22">
        <f t="shared" si="692"/>
        <v>0</v>
      </c>
      <c r="AC2135" s="23">
        <v>0</v>
      </c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22">
        <f t="shared" si="693"/>
        <v>0</v>
      </c>
      <c r="BC2135" s="23">
        <v>6</v>
      </c>
      <c r="BD2135" s="130">
        <f t="shared" si="694"/>
        <v>0</v>
      </c>
      <c r="BE2135" s="130">
        <f t="shared" si="695"/>
        <v>6</v>
      </c>
      <c r="BF2135" s="195">
        <f t="shared" si="696"/>
        <v>0</v>
      </c>
      <c r="BG2135" s="373">
        <f t="shared" si="697"/>
        <v>6</v>
      </c>
    </row>
    <row r="2136" spans="1:59" s="46" customFormat="1" ht="15.95" customHeight="1">
      <c r="A2136" s="176">
        <v>127</v>
      </c>
      <c r="B2136" s="31" t="s">
        <v>1209</v>
      </c>
      <c r="C2136" s="34" t="s">
        <v>2904</v>
      </c>
      <c r="D2136" s="231"/>
      <c r="E2136" s="231"/>
      <c r="F2136" s="231"/>
      <c r="G2136" s="231"/>
      <c r="H2136" s="231"/>
      <c r="I2136" s="231"/>
      <c r="J2136" s="231"/>
      <c r="K2136" s="231"/>
      <c r="L2136" s="231"/>
      <c r="M2136" s="231"/>
      <c r="N2136" s="231"/>
      <c r="O2136" s="231"/>
      <c r="P2136" s="231"/>
      <c r="Q2136" s="231"/>
      <c r="R2136" s="231"/>
      <c r="S2136" s="231"/>
      <c r="T2136" s="231"/>
      <c r="U2136" s="231"/>
      <c r="V2136" s="231"/>
      <c r="W2136" s="231"/>
      <c r="X2136" s="231"/>
      <c r="Y2136" s="231"/>
      <c r="Z2136" s="231"/>
      <c r="AA2136" s="231"/>
      <c r="AB2136" s="22">
        <f t="shared" si="692"/>
        <v>0</v>
      </c>
      <c r="AC2136" s="23">
        <v>0</v>
      </c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22">
        <f t="shared" si="693"/>
        <v>0</v>
      </c>
      <c r="BC2136" s="23">
        <v>1</v>
      </c>
      <c r="BD2136" s="130">
        <f t="shared" si="694"/>
        <v>0</v>
      </c>
      <c r="BE2136" s="130">
        <f t="shared" si="695"/>
        <v>1</v>
      </c>
      <c r="BF2136" s="195">
        <f t="shared" si="696"/>
        <v>0</v>
      </c>
      <c r="BG2136" s="373">
        <f t="shared" si="697"/>
        <v>1</v>
      </c>
    </row>
    <row r="2137" spans="1:59" s="46" customFormat="1" ht="15.95" customHeight="1">
      <c r="A2137" s="176">
        <v>128</v>
      </c>
      <c r="B2137" s="31" t="s">
        <v>858</v>
      </c>
      <c r="C2137" s="32" t="s">
        <v>859</v>
      </c>
      <c r="D2137" s="322"/>
      <c r="E2137" s="322"/>
      <c r="F2137" s="322"/>
      <c r="G2137" s="322"/>
      <c r="H2137" s="322">
        <v>3</v>
      </c>
      <c r="I2137" s="322"/>
      <c r="J2137" s="322"/>
      <c r="K2137" s="322"/>
      <c r="L2137" s="322">
        <f>5+6+1</f>
        <v>12</v>
      </c>
      <c r="M2137" s="322"/>
      <c r="N2137" s="322"/>
      <c r="O2137" s="322"/>
      <c r="P2137" s="322">
        <f>2+4</f>
        <v>6</v>
      </c>
      <c r="Q2137" s="322"/>
      <c r="R2137" s="322"/>
      <c r="S2137" s="322"/>
      <c r="T2137" s="322"/>
      <c r="U2137" s="322"/>
      <c r="V2137" s="322"/>
      <c r="W2137" s="322"/>
      <c r="X2137" s="322"/>
      <c r="Y2137" s="322"/>
      <c r="Z2137" s="322"/>
      <c r="AA2137" s="322"/>
      <c r="AB2137" s="22">
        <f t="shared" si="692"/>
        <v>21</v>
      </c>
      <c r="AC2137" s="23">
        <v>45</v>
      </c>
      <c r="AD2137" s="35"/>
      <c r="AE2137" s="35"/>
      <c r="AF2137" s="35"/>
      <c r="AG2137" s="35"/>
      <c r="AH2137" s="35">
        <v>118</v>
      </c>
      <c r="AI2137" s="35"/>
      <c r="AJ2137" s="35"/>
      <c r="AK2137" s="35"/>
      <c r="AL2137" s="35">
        <f>3+577</f>
        <v>580</v>
      </c>
      <c r="AM2137" s="35"/>
      <c r="AN2137" s="35"/>
      <c r="AO2137" s="35"/>
      <c r="AP2137" s="35">
        <f>1+423</f>
        <v>424</v>
      </c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22">
        <f t="shared" si="693"/>
        <v>1122</v>
      </c>
      <c r="BC2137" s="23">
        <v>3125</v>
      </c>
      <c r="BD2137" s="130">
        <f t="shared" si="694"/>
        <v>1143</v>
      </c>
      <c r="BE2137" s="130">
        <f t="shared" si="695"/>
        <v>3170</v>
      </c>
      <c r="BF2137" s="195">
        <f t="shared" si="696"/>
        <v>36.056782334384856</v>
      </c>
      <c r="BG2137" s="373">
        <f t="shared" si="697"/>
        <v>2027</v>
      </c>
    </row>
    <row r="2138" spans="1:59" s="46" customFormat="1" ht="15.95" customHeight="1">
      <c r="A2138" s="176">
        <v>129</v>
      </c>
      <c r="B2138" s="31" t="s">
        <v>860</v>
      </c>
      <c r="C2138" s="34" t="s">
        <v>1210</v>
      </c>
      <c r="D2138" s="231"/>
      <c r="E2138" s="231"/>
      <c r="F2138" s="231"/>
      <c r="G2138" s="231"/>
      <c r="H2138" s="231">
        <f>2+3+1</f>
        <v>6</v>
      </c>
      <c r="I2138" s="231"/>
      <c r="J2138" s="231"/>
      <c r="K2138" s="231"/>
      <c r="L2138" s="231">
        <f>1+5+9</f>
        <v>15</v>
      </c>
      <c r="M2138" s="231"/>
      <c r="N2138" s="231"/>
      <c r="O2138" s="231"/>
      <c r="P2138" s="231">
        <f>8+4</f>
        <v>12</v>
      </c>
      <c r="Q2138" s="231"/>
      <c r="R2138" s="231"/>
      <c r="S2138" s="231"/>
      <c r="T2138" s="231"/>
      <c r="U2138" s="231"/>
      <c r="V2138" s="231"/>
      <c r="W2138" s="231"/>
      <c r="X2138" s="231"/>
      <c r="Y2138" s="231"/>
      <c r="Z2138" s="231"/>
      <c r="AA2138" s="231"/>
      <c r="AB2138" s="22">
        <f t="shared" si="692"/>
        <v>33</v>
      </c>
      <c r="AC2138" s="23">
        <v>46</v>
      </c>
      <c r="AD2138" s="35"/>
      <c r="AE2138" s="35"/>
      <c r="AF2138" s="35"/>
      <c r="AG2138" s="35"/>
      <c r="AH2138" s="35">
        <f>1+143</f>
        <v>144</v>
      </c>
      <c r="AI2138" s="35"/>
      <c r="AJ2138" s="35"/>
      <c r="AK2138" s="35"/>
      <c r="AL2138" s="35">
        <f>4+721</f>
        <v>725</v>
      </c>
      <c r="AM2138" s="35"/>
      <c r="AN2138" s="35"/>
      <c r="AO2138" s="35"/>
      <c r="AP2138" s="35">
        <f>5+563</f>
        <v>568</v>
      </c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22">
        <f t="shared" si="693"/>
        <v>1437</v>
      </c>
      <c r="BC2138" s="23">
        <v>4588</v>
      </c>
      <c r="BD2138" s="130">
        <f t="shared" si="694"/>
        <v>1470</v>
      </c>
      <c r="BE2138" s="130">
        <f t="shared" si="695"/>
        <v>4634</v>
      </c>
      <c r="BF2138" s="195">
        <f t="shared" si="696"/>
        <v>31.722054380664655</v>
      </c>
      <c r="BG2138" s="373">
        <f t="shared" si="697"/>
        <v>3164</v>
      </c>
    </row>
    <row r="2139" spans="1:59" s="46" customFormat="1" ht="15.95" customHeight="1">
      <c r="A2139" s="176">
        <v>130</v>
      </c>
      <c r="B2139" s="31" t="s">
        <v>862</v>
      </c>
      <c r="C2139" s="34" t="s">
        <v>1211</v>
      </c>
      <c r="D2139" s="231"/>
      <c r="E2139" s="231"/>
      <c r="F2139" s="231"/>
      <c r="G2139" s="231"/>
      <c r="H2139" s="231"/>
      <c r="I2139" s="231"/>
      <c r="J2139" s="231"/>
      <c r="K2139" s="231"/>
      <c r="L2139" s="231"/>
      <c r="M2139" s="231"/>
      <c r="N2139" s="231"/>
      <c r="O2139" s="231"/>
      <c r="P2139" s="231"/>
      <c r="Q2139" s="231"/>
      <c r="R2139" s="231"/>
      <c r="S2139" s="231"/>
      <c r="T2139" s="231"/>
      <c r="U2139" s="231"/>
      <c r="V2139" s="231"/>
      <c r="W2139" s="231"/>
      <c r="X2139" s="231"/>
      <c r="Y2139" s="231"/>
      <c r="Z2139" s="231"/>
      <c r="AA2139" s="231"/>
      <c r="AB2139" s="22">
        <f t="shared" ref="AB2139:AB2152" si="698">SUM(D2139:AA2139)</f>
        <v>0</v>
      </c>
      <c r="AC2139" s="23">
        <v>2</v>
      </c>
      <c r="AD2139" s="35"/>
      <c r="AE2139" s="35"/>
      <c r="AF2139" s="35"/>
      <c r="AG2139" s="35"/>
      <c r="AH2139" s="35">
        <v>42</v>
      </c>
      <c r="AI2139" s="35"/>
      <c r="AJ2139" s="35"/>
      <c r="AK2139" s="35"/>
      <c r="AL2139" s="35">
        <f>1+287</f>
        <v>288</v>
      </c>
      <c r="AM2139" s="35"/>
      <c r="AN2139" s="35"/>
      <c r="AO2139" s="35"/>
      <c r="AP2139" s="35">
        <f>2+201</f>
        <v>203</v>
      </c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22">
        <f t="shared" ref="BB2139:BB2152" si="699">SUM(AD2139:BA2139)</f>
        <v>533</v>
      </c>
      <c r="BC2139" s="23">
        <v>1372</v>
      </c>
      <c r="BD2139" s="130">
        <f t="shared" ref="BD2139:BD2152" si="700">AB2139+BB2139</f>
        <v>533</v>
      </c>
      <c r="BE2139" s="130">
        <f t="shared" ref="BE2139:BE2152" si="701">AC2139+BC2139</f>
        <v>1374</v>
      </c>
      <c r="BF2139" s="195">
        <f t="shared" ref="BF2139:BF2152" si="702">BD2139/BE2139*100</f>
        <v>38.791848617176129</v>
      </c>
      <c r="BG2139" s="373">
        <f t="shared" si="697"/>
        <v>841</v>
      </c>
    </row>
    <row r="2140" spans="1:59" s="46" customFormat="1" ht="15.95" customHeight="1">
      <c r="A2140" s="176">
        <v>131</v>
      </c>
      <c r="B2140" s="31" t="s">
        <v>864</v>
      </c>
      <c r="C2140" s="34" t="s">
        <v>1516</v>
      </c>
      <c r="D2140" s="231"/>
      <c r="E2140" s="231"/>
      <c r="F2140" s="231"/>
      <c r="G2140" s="231"/>
      <c r="H2140" s="231"/>
      <c r="I2140" s="231"/>
      <c r="J2140" s="231"/>
      <c r="K2140" s="231"/>
      <c r="L2140" s="231"/>
      <c r="M2140" s="231"/>
      <c r="N2140" s="231"/>
      <c r="O2140" s="231"/>
      <c r="P2140" s="231"/>
      <c r="Q2140" s="231"/>
      <c r="R2140" s="231"/>
      <c r="S2140" s="231"/>
      <c r="T2140" s="231"/>
      <c r="U2140" s="231"/>
      <c r="V2140" s="231"/>
      <c r="W2140" s="231"/>
      <c r="X2140" s="231"/>
      <c r="Y2140" s="231"/>
      <c r="Z2140" s="231"/>
      <c r="AA2140" s="231"/>
      <c r="AB2140" s="22">
        <f t="shared" si="698"/>
        <v>0</v>
      </c>
      <c r="AC2140" s="23">
        <v>0</v>
      </c>
      <c r="AD2140" s="35"/>
      <c r="AE2140" s="35"/>
      <c r="AF2140" s="35"/>
      <c r="AG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22">
        <f t="shared" si="699"/>
        <v>0</v>
      </c>
      <c r="BC2140" s="23">
        <v>14</v>
      </c>
      <c r="BD2140" s="130">
        <f t="shared" si="700"/>
        <v>0</v>
      </c>
      <c r="BE2140" s="130">
        <f t="shared" si="701"/>
        <v>14</v>
      </c>
      <c r="BF2140" s="195">
        <f t="shared" si="702"/>
        <v>0</v>
      </c>
      <c r="BG2140" s="373">
        <f t="shared" si="697"/>
        <v>14</v>
      </c>
    </row>
    <row r="2141" spans="1:59" s="46" customFormat="1" ht="15.95" customHeight="1">
      <c r="A2141" s="176">
        <v>132</v>
      </c>
      <c r="B2141" s="31" t="s">
        <v>865</v>
      </c>
      <c r="C2141" s="34" t="s">
        <v>863</v>
      </c>
      <c r="D2141" s="231"/>
      <c r="E2141" s="231"/>
      <c r="F2141" s="231"/>
      <c r="G2141" s="231"/>
      <c r="H2141" s="231"/>
      <c r="I2141" s="231"/>
      <c r="J2141" s="231"/>
      <c r="K2141" s="231"/>
      <c r="L2141" s="231"/>
      <c r="M2141" s="231"/>
      <c r="N2141" s="231"/>
      <c r="O2141" s="231"/>
      <c r="P2141" s="231"/>
      <c r="Q2141" s="231"/>
      <c r="R2141" s="231"/>
      <c r="S2141" s="231"/>
      <c r="T2141" s="231"/>
      <c r="U2141" s="231"/>
      <c r="V2141" s="231"/>
      <c r="W2141" s="231"/>
      <c r="X2141" s="231"/>
      <c r="Y2141" s="231"/>
      <c r="Z2141" s="231"/>
      <c r="AA2141" s="231"/>
      <c r="AB2141" s="22">
        <f t="shared" si="698"/>
        <v>0</v>
      </c>
      <c r="AC2141" s="23">
        <v>0</v>
      </c>
      <c r="AD2141" s="35"/>
      <c r="AE2141" s="35"/>
      <c r="AF2141" s="35"/>
      <c r="AG2141" s="35"/>
      <c r="AH2141" s="35"/>
      <c r="AI2141" s="35"/>
      <c r="AJ2141" s="35"/>
      <c r="AK2141" s="35"/>
      <c r="AL2141" s="35"/>
      <c r="AM2141" s="35"/>
      <c r="AN2141" s="35"/>
      <c r="AO2141" s="35"/>
      <c r="AP2141" s="35">
        <v>4</v>
      </c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22">
        <f t="shared" si="699"/>
        <v>4</v>
      </c>
      <c r="BC2141" s="23">
        <v>46</v>
      </c>
      <c r="BD2141" s="130">
        <f t="shared" si="700"/>
        <v>4</v>
      </c>
      <c r="BE2141" s="130">
        <f t="shared" si="701"/>
        <v>46</v>
      </c>
      <c r="BF2141" s="195">
        <f t="shared" si="702"/>
        <v>8.695652173913043</v>
      </c>
      <c r="BG2141" s="373">
        <f t="shared" si="697"/>
        <v>42</v>
      </c>
    </row>
    <row r="2142" spans="1:59" s="46" customFormat="1" ht="15.95" customHeight="1">
      <c r="A2142" s="176">
        <v>133</v>
      </c>
      <c r="B2142" s="31" t="s">
        <v>1030</v>
      </c>
      <c r="C2142" s="34" t="s">
        <v>2014</v>
      </c>
      <c r="D2142" s="288"/>
      <c r="E2142" s="288"/>
      <c r="F2142" s="288"/>
      <c r="G2142" s="288"/>
      <c r="H2142" s="288"/>
      <c r="I2142" s="288"/>
      <c r="J2142" s="288"/>
      <c r="K2142" s="288"/>
      <c r="L2142" s="288"/>
      <c r="M2142" s="288"/>
      <c r="N2142" s="288"/>
      <c r="O2142" s="288"/>
      <c r="P2142" s="288"/>
      <c r="Q2142" s="288"/>
      <c r="R2142" s="288"/>
      <c r="S2142" s="288"/>
      <c r="T2142" s="288"/>
      <c r="U2142" s="288"/>
      <c r="V2142" s="288"/>
      <c r="W2142" s="288"/>
      <c r="X2142" s="288"/>
      <c r="Y2142" s="288"/>
      <c r="Z2142" s="288"/>
      <c r="AA2142" s="288"/>
      <c r="AB2142" s="22">
        <f t="shared" si="698"/>
        <v>0</v>
      </c>
      <c r="AC2142" s="23">
        <v>0</v>
      </c>
      <c r="AD2142" s="35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22">
        <f t="shared" si="699"/>
        <v>0</v>
      </c>
      <c r="BC2142" s="23">
        <v>4</v>
      </c>
      <c r="BD2142" s="130">
        <f t="shared" si="700"/>
        <v>0</v>
      </c>
      <c r="BE2142" s="130">
        <f t="shared" si="701"/>
        <v>4</v>
      </c>
      <c r="BF2142" s="195">
        <f t="shared" si="702"/>
        <v>0</v>
      </c>
      <c r="BG2142" s="373">
        <f t="shared" si="697"/>
        <v>4</v>
      </c>
    </row>
    <row r="2143" spans="1:59" s="46" customFormat="1" ht="15.95" customHeight="1">
      <c r="A2143" s="176">
        <v>134</v>
      </c>
      <c r="B2143" s="31" t="s">
        <v>1654</v>
      </c>
      <c r="C2143" s="34" t="s">
        <v>3213</v>
      </c>
      <c r="D2143" s="231"/>
      <c r="E2143" s="231"/>
      <c r="F2143" s="231"/>
      <c r="G2143" s="231"/>
      <c r="H2143" s="231"/>
      <c r="I2143" s="231"/>
      <c r="J2143" s="231"/>
      <c r="K2143" s="231"/>
      <c r="L2143" s="231"/>
      <c r="M2143" s="231"/>
      <c r="N2143" s="231"/>
      <c r="O2143" s="231"/>
      <c r="P2143" s="231"/>
      <c r="Q2143" s="231"/>
      <c r="R2143" s="231"/>
      <c r="S2143" s="231"/>
      <c r="T2143" s="231"/>
      <c r="U2143" s="231"/>
      <c r="V2143" s="231"/>
      <c r="W2143" s="231"/>
      <c r="X2143" s="231"/>
      <c r="Y2143" s="231"/>
      <c r="Z2143" s="231"/>
      <c r="AA2143" s="231"/>
      <c r="AB2143" s="22">
        <f t="shared" si="698"/>
        <v>0</v>
      </c>
      <c r="AC2143" s="23">
        <v>1</v>
      </c>
      <c r="AD2143" s="35"/>
      <c r="AE2143" s="35"/>
      <c r="AF2143" s="35"/>
      <c r="AG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22">
        <f t="shared" si="699"/>
        <v>0</v>
      </c>
      <c r="BC2143" s="23">
        <v>0</v>
      </c>
      <c r="BD2143" s="130">
        <f t="shared" si="700"/>
        <v>0</v>
      </c>
      <c r="BE2143" s="130">
        <f t="shared" si="701"/>
        <v>1</v>
      </c>
      <c r="BF2143" s="195">
        <f t="shared" si="702"/>
        <v>0</v>
      </c>
      <c r="BG2143" s="373">
        <f t="shared" si="697"/>
        <v>1</v>
      </c>
    </row>
    <row r="2144" spans="1:59" s="46" customFormat="1" ht="15.95" customHeight="1">
      <c r="A2144" s="176">
        <v>135</v>
      </c>
      <c r="B2144" s="31" t="s">
        <v>1034</v>
      </c>
      <c r="C2144" s="34" t="s">
        <v>1660</v>
      </c>
      <c r="D2144" s="231"/>
      <c r="E2144" s="231"/>
      <c r="F2144" s="231"/>
      <c r="G2144" s="231"/>
      <c r="H2144" s="231"/>
      <c r="I2144" s="231"/>
      <c r="J2144" s="231"/>
      <c r="K2144" s="231"/>
      <c r="L2144" s="231">
        <v>1</v>
      </c>
      <c r="M2144" s="231"/>
      <c r="N2144" s="231"/>
      <c r="O2144" s="231"/>
      <c r="P2144" s="231"/>
      <c r="Q2144" s="231"/>
      <c r="R2144" s="231"/>
      <c r="S2144" s="231"/>
      <c r="T2144" s="231"/>
      <c r="U2144" s="231"/>
      <c r="V2144" s="231"/>
      <c r="W2144" s="231"/>
      <c r="X2144" s="231"/>
      <c r="Y2144" s="231"/>
      <c r="Z2144" s="231"/>
      <c r="AA2144" s="231"/>
      <c r="AB2144" s="22">
        <f t="shared" si="698"/>
        <v>1</v>
      </c>
      <c r="AC2144" s="23">
        <v>1</v>
      </c>
      <c r="AD2144" s="35"/>
      <c r="AE2144" s="35"/>
      <c r="AF2144" s="35"/>
      <c r="AG2144" s="35"/>
      <c r="AH2144" s="35">
        <v>146</v>
      </c>
      <c r="AI2144" s="35"/>
      <c r="AJ2144" s="35"/>
      <c r="AK2144" s="35"/>
      <c r="AL2144" s="35">
        <v>496</v>
      </c>
      <c r="AM2144" s="35"/>
      <c r="AN2144" s="35"/>
      <c r="AO2144" s="35"/>
      <c r="AP2144" s="35">
        <v>520</v>
      </c>
      <c r="AQ2144" s="35"/>
      <c r="AR2144" s="35"/>
      <c r="AS2144" s="35"/>
      <c r="AT2144" s="35"/>
      <c r="AU2144" s="35"/>
      <c r="AV2144" s="35"/>
      <c r="AW2144" s="35"/>
      <c r="AX2144" s="35"/>
      <c r="AY2144" s="35"/>
      <c r="AZ2144" s="35"/>
      <c r="BA2144" s="35"/>
      <c r="BB2144" s="22">
        <f t="shared" si="699"/>
        <v>1162</v>
      </c>
      <c r="BC2144" s="23">
        <v>2415</v>
      </c>
      <c r="BD2144" s="130">
        <f t="shared" si="700"/>
        <v>1163</v>
      </c>
      <c r="BE2144" s="130">
        <f t="shared" si="701"/>
        <v>2416</v>
      </c>
      <c r="BF2144" s="195">
        <f t="shared" si="702"/>
        <v>48.137417218543042</v>
      </c>
      <c r="BG2144" s="373">
        <f t="shared" si="697"/>
        <v>1253</v>
      </c>
    </row>
    <row r="2145" spans="1:61" s="46" customFormat="1" ht="15.95" customHeight="1">
      <c r="A2145" s="176">
        <v>136</v>
      </c>
      <c r="B2145" s="31" t="s">
        <v>1361</v>
      </c>
      <c r="C2145" s="36" t="s">
        <v>1963</v>
      </c>
      <c r="D2145" s="231"/>
      <c r="E2145" s="231"/>
      <c r="F2145" s="231"/>
      <c r="G2145" s="231"/>
      <c r="H2145" s="231"/>
      <c r="I2145" s="231"/>
      <c r="J2145" s="231"/>
      <c r="K2145" s="231"/>
      <c r="L2145" s="231"/>
      <c r="M2145" s="231"/>
      <c r="N2145" s="231"/>
      <c r="O2145" s="231"/>
      <c r="P2145" s="231"/>
      <c r="Q2145" s="231"/>
      <c r="R2145" s="231"/>
      <c r="S2145" s="231"/>
      <c r="T2145" s="231"/>
      <c r="U2145" s="231"/>
      <c r="V2145" s="231"/>
      <c r="W2145" s="231"/>
      <c r="X2145" s="231"/>
      <c r="Y2145" s="231"/>
      <c r="Z2145" s="231"/>
      <c r="AA2145" s="231"/>
      <c r="AB2145" s="22">
        <f t="shared" si="698"/>
        <v>0</v>
      </c>
      <c r="AC2145" s="23">
        <v>1</v>
      </c>
      <c r="AD2145" s="35"/>
      <c r="AE2145" s="35"/>
      <c r="AF2145" s="35"/>
      <c r="AG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22">
        <f t="shared" si="699"/>
        <v>0</v>
      </c>
      <c r="BC2145" s="23">
        <v>0</v>
      </c>
      <c r="BD2145" s="130">
        <f t="shared" si="700"/>
        <v>0</v>
      </c>
      <c r="BE2145" s="130">
        <f t="shared" si="701"/>
        <v>1</v>
      </c>
      <c r="BF2145" s="195">
        <f t="shared" si="702"/>
        <v>0</v>
      </c>
      <c r="BG2145" s="373">
        <f t="shared" si="697"/>
        <v>1</v>
      </c>
    </row>
    <row r="2146" spans="1:61" s="46" customFormat="1" ht="15.95" customHeight="1">
      <c r="A2146" s="176">
        <v>137</v>
      </c>
      <c r="B2146" s="31" t="s">
        <v>3085</v>
      </c>
      <c r="C2146" s="32" t="s">
        <v>1733</v>
      </c>
      <c r="D2146" s="231"/>
      <c r="E2146" s="231"/>
      <c r="F2146" s="231"/>
      <c r="G2146" s="231"/>
      <c r="H2146" s="231"/>
      <c r="I2146" s="231"/>
      <c r="J2146" s="231"/>
      <c r="K2146" s="231"/>
      <c r="L2146" s="231"/>
      <c r="M2146" s="231"/>
      <c r="N2146" s="231"/>
      <c r="O2146" s="231"/>
      <c r="P2146" s="231"/>
      <c r="Q2146" s="231"/>
      <c r="R2146" s="231"/>
      <c r="S2146" s="231"/>
      <c r="T2146" s="231"/>
      <c r="U2146" s="231"/>
      <c r="V2146" s="231"/>
      <c r="W2146" s="231"/>
      <c r="X2146" s="231"/>
      <c r="Y2146" s="231"/>
      <c r="Z2146" s="231"/>
      <c r="AA2146" s="231"/>
      <c r="AB2146" s="22">
        <f t="shared" si="698"/>
        <v>0</v>
      </c>
      <c r="AC2146" s="23">
        <v>1</v>
      </c>
      <c r="AD2146" s="35"/>
      <c r="AE2146" s="35"/>
      <c r="AF2146" s="35"/>
      <c r="AG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22">
        <f t="shared" si="699"/>
        <v>0</v>
      </c>
      <c r="BC2146" s="23">
        <v>0</v>
      </c>
      <c r="BD2146" s="130">
        <f t="shared" si="700"/>
        <v>0</v>
      </c>
      <c r="BE2146" s="130">
        <f t="shared" si="701"/>
        <v>1</v>
      </c>
      <c r="BF2146" s="195">
        <f t="shared" si="702"/>
        <v>0</v>
      </c>
      <c r="BG2146" s="373">
        <f t="shared" si="697"/>
        <v>1</v>
      </c>
    </row>
    <row r="2147" spans="1:61" s="46" customFormat="1" ht="15.95" customHeight="1">
      <c r="A2147" s="176">
        <v>138</v>
      </c>
      <c r="B2147" s="31" t="s">
        <v>3087</v>
      </c>
      <c r="C2147" s="32" t="s">
        <v>1734</v>
      </c>
      <c r="D2147" s="336"/>
      <c r="E2147" s="336"/>
      <c r="F2147" s="336"/>
      <c r="G2147" s="336"/>
      <c r="H2147" s="336"/>
      <c r="I2147" s="336"/>
      <c r="J2147" s="336"/>
      <c r="K2147" s="336"/>
      <c r="L2147" s="336"/>
      <c r="M2147" s="336"/>
      <c r="N2147" s="336"/>
      <c r="O2147" s="336"/>
      <c r="P2147" s="336"/>
      <c r="Q2147" s="336"/>
      <c r="R2147" s="336"/>
      <c r="S2147" s="336"/>
      <c r="T2147" s="336"/>
      <c r="U2147" s="336"/>
      <c r="V2147" s="336"/>
      <c r="W2147" s="336"/>
      <c r="X2147" s="336"/>
      <c r="Y2147" s="336"/>
      <c r="Z2147" s="336"/>
      <c r="AA2147" s="336"/>
      <c r="AB2147" s="22">
        <f t="shared" si="698"/>
        <v>0</v>
      </c>
      <c r="AC2147" s="23">
        <v>1</v>
      </c>
      <c r="AD2147" s="35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22">
        <f t="shared" si="699"/>
        <v>0</v>
      </c>
      <c r="BC2147" s="23">
        <v>0</v>
      </c>
      <c r="BD2147" s="130">
        <f t="shared" si="700"/>
        <v>0</v>
      </c>
      <c r="BE2147" s="130">
        <f t="shared" si="701"/>
        <v>1</v>
      </c>
      <c r="BF2147" s="195">
        <f t="shared" si="702"/>
        <v>0</v>
      </c>
      <c r="BG2147" s="373">
        <f t="shared" si="697"/>
        <v>1</v>
      </c>
    </row>
    <row r="2148" spans="1:61" s="46" customFormat="1" ht="15.95" customHeight="1">
      <c r="A2148" s="176">
        <v>139</v>
      </c>
      <c r="B2148" s="31" t="s">
        <v>3089</v>
      </c>
      <c r="C2148" s="32" t="s">
        <v>1735</v>
      </c>
      <c r="D2148" s="336"/>
      <c r="E2148" s="336"/>
      <c r="F2148" s="336"/>
      <c r="G2148" s="336"/>
      <c r="H2148" s="336"/>
      <c r="I2148" s="336"/>
      <c r="J2148" s="336"/>
      <c r="K2148" s="336"/>
      <c r="L2148" s="336"/>
      <c r="M2148" s="336"/>
      <c r="N2148" s="336"/>
      <c r="O2148" s="336"/>
      <c r="P2148" s="336"/>
      <c r="Q2148" s="336"/>
      <c r="R2148" s="336"/>
      <c r="S2148" s="336"/>
      <c r="T2148" s="336"/>
      <c r="U2148" s="336"/>
      <c r="V2148" s="336"/>
      <c r="W2148" s="336"/>
      <c r="X2148" s="336"/>
      <c r="Y2148" s="336"/>
      <c r="Z2148" s="336"/>
      <c r="AA2148" s="336"/>
      <c r="AB2148" s="22">
        <f t="shared" si="698"/>
        <v>0</v>
      </c>
      <c r="AC2148" s="23">
        <v>1</v>
      </c>
      <c r="AD2148" s="35"/>
      <c r="AE2148" s="35"/>
      <c r="AF2148" s="35"/>
      <c r="AG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22">
        <f t="shared" si="699"/>
        <v>0</v>
      </c>
      <c r="BC2148" s="23">
        <v>0</v>
      </c>
      <c r="BD2148" s="130">
        <f t="shared" si="700"/>
        <v>0</v>
      </c>
      <c r="BE2148" s="130">
        <f t="shared" si="701"/>
        <v>1</v>
      </c>
      <c r="BF2148" s="195">
        <f t="shared" si="702"/>
        <v>0</v>
      </c>
      <c r="BG2148" s="373">
        <f t="shared" si="697"/>
        <v>1</v>
      </c>
    </row>
    <row r="2149" spans="1:61" s="46" customFormat="1" ht="15.95" customHeight="1">
      <c r="A2149" s="176">
        <v>140</v>
      </c>
      <c r="B2149" s="31" t="s">
        <v>3091</v>
      </c>
      <c r="C2149" s="32" t="s">
        <v>1736</v>
      </c>
      <c r="D2149" s="336"/>
      <c r="E2149" s="336"/>
      <c r="F2149" s="336"/>
      <c r="G2149" s="336"/>
      <c r="H2149" s="336"/>
      <c r="I2149" s="336"/>
      <c r="J2149" s="336"/>
      <c r="K2149" s="336"/>
      <c r="L2149" s="336"/>
      <c r="M2149" s="336"/>
      <c r="N2149" s="336"/>
      <c r="O2149" s="336"/>
      <c r="P2149" s="336"/>
      <c r="Q2149" s="336"/>
      <c r="R2149" s="336"/>
      <c r="S2149" s="336"/>
      <c r="T2149" s="336"/>
      <c r="U2149" s="336"/>
      <c r="V2149" s="336"/>
      <c r="W2149" s="336"/>
      <c r="X2149" s="336"/>
      <c r="Y2149" s="336"/>
      <c r="Z2149" s="336"/>
      <c r="AA2149" s="336"/>
      <c r="AB2149" s="22">
        <f t="shared" si="698"/>
        <v>0</v>
      </c>
      <c r="AC2149" s="23">
        <v>1</v>
      </c>
      <c r="AD2149" s="35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22">
        <f t="shared" si="699"/>
        <v>0</v>
      </c>
      <c r="BC2149" s="23">
        <v>0</v>
      </c>
      <c r="BD2149" s="130">
        <f t="shared" si="700"/>
        <v>0</v>
      </c>
      <c r="BE2149" s="130">
        <f t="shared" si="701"/>
        <v>1</v>
      </c>
      <c r="BF2149" s="195">
        <f t="shared" si="702"/>
        <v>0</v>
      </c>
      <c r="BG2149" s="373">
        <f t="shared" si="697"/>
        <v>1</v>
      </c>
    </row>
    <row r="2150" spans="1:61" s="46" customFormat="1" ht="15.95" customHeight="1">
      <c r="A2150" s="176">
        <v>141</v>
      </c>
      <c r="B2150" s="31" t="s">
        <v>3093</v>
      </c>
      <c r="C2150" s="32" t="s">
        <v>3325</v>
      </c>
      <c r="D2150" s="336"/>
      <c r="E2150" s="336"/>
      <c r="F2150" s="336"/>
      <c r="G2150" s="336"/>
      <c r="H2150" s="336"/>
      <c r="I2150" s="336"/>
      <c r="J2150" s="336"/>
      <c r="K2150" s="336"/>
      <c r="L2150" s="336"/>
      <c r="M2150" s="336"/>
      <c r="N2150" s="336"/>
      <c r="O2150" s="336"/>
      <c r="P2150" s="336"/>
      <c r="Q2150" s="336"/>
      <c r="R2150" s="336"/>
      <c r="S2150" s="336"/>
      <c r="T2150" s="336"/>
      <c r="U2150" s="336"/>
      <c r="V2150" s="336"/>
      <c r="W2150" s="336"/>
      <c r="X2150" s="336"/>
      <c r="Y2150" s="336"/>
      <c r="Z2150" s="336"/>
      <c r="AA2150" s="336"/>
      <c r="AB2150" s="22">
        <f t="shared" si="698"/>
        <v>0</v>
      </c>
      <c r="AC2150" s="23">
        <v>1</v>
      </c>
      <c r="AD2150" s="35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22">
        <f t="shared" si="699"/>
        <v>0</v>
      </c>
      <c r="BC2150" s="23">
        <v>0</v>
      </c>
      <c r="BD2150" s="130">
        <f t="shared" si="700"/>
        <v>0</v>
      </c>
      <c r="BE2150" s="130">
        <f t="shared" si="701"/>
        <v>1</v>
      </c>
      <c r="BF2150" s="195">
        <f t="shared" si="702"/>
        <v>0</v>
      </c>
      <c r="BG2150" s="373">
        <f t="shared" si="697"/>
        <v>1</v>
      </c>
    </row>
    <row r="2151" spans="1:61" s="46" customFormat="1" ht="15.95" customHeight="1">
      <c r="A2151" s="176">
        <v>142</v>
      </c>
      <c r="B2151" s="31" t="s">
        <v>3095</v>
      </c>
      <c r="C2151" s="32" t="s">
        <v>1737</v>
      </c>
      <c r="D2151" s="336"/>
      <c r="E2151" s="336"/>
      <c r="F2151" s="336"/>
      <c r="G2151" s="336"/>
      <c r="H2151" s="336"/>
      <c r="I2151" s="336"/>
      <c r="J2151" s="336"/>
      <c r="K2151" s="336"/>
      <c r="L2151" s="336"/>
      <c r="M2151" s="336"/>
      <c r="N2151" s="336"/>
      <c r="O2151" s="336"/>
      <c r="P2151" s="336"/>
      <c r="Q2151" s="336"/>
      <c r="R2151" s="336"/>
      <c r="S2151" s="336"/>
      <c r="T2151" s="336"/>
      <c r="U2151" s="336"/>
      <c r="V2151" s="336"/>
      <c r="W2151" s="336"/>
      <c r="X2151" s="336"/>
      <c r="Y2151" s="336"/>
      <c r="Z2151" s="336"/>
      <c r="AA2151" s="336"/>
      <c r="AB2151" s="22">
        <f t="shared" si="698"/>
        <v>0</v>
      </c>
      <c r="AC2151" s="23">
        <v>1</v>
      </c>
      <c r="AD2151" s="35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22">
        <f t="shared" si="699"/>
        <v>0</v>
      </c>
      <c r="BC2151" s="23">
        <v>0</v>
      </c>
      <c r="BD2151" s="130">
        <f t="shared" si="700"/>
        <v>0</v>
      </c>
      <c r="BE2151" s="130">
        <f t="shared" si="701"/>
        <v>1</v>
      </c>
      <c r="BF2151" s="195">
        <f t="shared" si="702"/>
        <v>0</v>
      </c>
      <c r="BG2151" s="373">
        <f t="shared" si="697"/>
        <v>1</v>
      </c>
    </row>
    <row r="2152" spans="1:61" s="46" customFormat="1" ht="13.5" customHeight="1">
      <c r="A2152" s="176">
        <v>143</v>
      </c>
      <c r="B2152" s="437" t="s">
        <v>3047</v>
      </c>
      <c r="C2152" s="439" t="s">
        <v>3048</v>
      </c>
      <c r="D2152" s="336"/>
      <c r="E2152" s="336"/>
      <c r="F2152" s="336"/>
      <c r="G2152" s="336"/>
      <c r="H2152" s="336"/>
      <c r="I2152" s="336"/>
      <c r="J2152" s="336"/>
      <c r="K2152" s="336"/>
      <c r="L2152" s="336"/>
      <c r="M2152" s="336"/>
      <c r="N2152" s="336"/>
      <c r="O2152" s="336"/>
      <c r="P2152" s="336"/>
      <c r="Q2152" s="336"/>
      <c r="R2152" s="336"/>
      <c r="S2152" s="336"/>
      <c r="T2152" s="336"/>
      <c r="U2152" s="336"/>
      <c r="V2152" s="336"/>
      <c r="W2152" s="336"/>
      <c r="X2152" s="336"/>
      <c r="Y2152" s="336"/>
      <c r="Z2152" s="336"/>
      <c r="AA2152" s="336"/>
      <c r="AB2152" s="22">
        <f t="shared" si="698"/>
        <v>0</v>
      </c>
      <c r="AC2152" s="23">
        <f>42+281</f>
        <v>323</v>
      </c>
      <c r="AD2152" s="35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22">
        <f t="shared" si="699"/>
        <v>0</v>
      </c>
      <c r="BC2152" s="23">
        <v>0</v>
      </c>
      <c r="BD2152" s="130">
        <f t="shared" si="700"/>
        <v>0</v>
      </c>
      <c r="BE2152" s="130">
        <f t="shared" si="701"/>
        <v>323</v>
      </c>
      <c r="BF2152" s="195">
        <f t="shared" si="702"/>
        <v>0</v>
      </c>
      <c r="BG2152" s="373">
        <f t="shared" si="697"/>
        <v>323</v>
      </c>
    </row>
    <row r="2153" spans="1:61" s="46" customFormat="1" ht="15.95" customHeight="1">
      <c r="A2153" s="636" t="s">
        <v>1212</v>
      </c>
      <c r="B2153" s="637"/>
      <c r="C2153" s="637"/>
      <c r="D2153" s="98">
        <f t="shared" ref="D2153:AI2153" si="703">SUM(D2154:D2292)</f>
        <v>0</v>
      </c>
      <c r="E2153" s="98">
        <f t="shared" si="703"/>
        <v>0</v>
      </c>
      <c r="F2153" s="98">
        <f t="shared" si="703"/>
        <v>0</v>
      </c>
      <c r="G2153" s="98">
        <f t="shared" si="703"/>
        <v>0</v>
      </c>
      <c r="H2153" s="98">
        <f t="shared" si="703"/>
        <v>218</v>
      </c>
      <c r="I2153" s="98">
        <f t="shared" si="703"/>
        <v>0</v>
      </c>
      <c r="J2153" s="98">
        <f t="shared" si="703"/>
        <v>0</v>
      </c>
      <c r="K2153" s="98">
        <f t="shared" si="703"/>
        <v>644</v>
      </c>
      <c r="L2153" s="98">
        <f t="shared" si="703"/>
        <v>937</v>
      </c>
      <c r="M2153" s="98">
        <f t="shared" si="703"/>
        <v>0</v>
      </c>
      <c r="N2153" s="98">
        <f t="shared" si="703"/>
        <v>0</v>
      </c>
      <c r="O2153" s="98">
        <f t="shared" si="703"/>
        <v>2673</v>
      </c>
      <c r="P2153" s="98">
        <f t="shared" si="703"/>
        <v>2566</v>
      </c>
      <c r="Q2153" s="98">
        <f t="shared" si="703"/>
        <v>0</v>
      </c>
      <c r="R2153" s="98">
        <f t="shared" si="703"/>
        <v>0</v>
      </c>
      <c r="S2153" s="98">
        <f t="shared" si="703"/>
        <v>240</v>
      </c>
      <c r="T2153" s="98">
        <f t="shared" si="703"/>
        <v>0</v>
      </c>
      <c r="U2153" s="98">
        <f t="shared" si="703"/>
        <v>0</v>
      </c>
      <c r="V2153" s="98">
        <f t="shared" si="703"/>
        <v>0</v>
      </c>
      <c r="W2153" s="98">
        <f t="shared" si="703"/>
        <v>0</v>
      </c>
      <c r="X2153" s="98">
        <f t="shared" si="703"/>
        <v>0</v>
      </c>
      <c r="Y2153" s="98">
        <f t="shared" si="703"/>
        <v>0</v>
      </c>
      <c r="Z2153" s="98">
        <f t="shared" si="703"/>
        <v>0</v>
      </c>
      <c r="AA2153" s="98">
        <f t="shared" si="703"/>
        <v>0</v>
      </c>
      <c r="AB2153" s="98">
        <f t="shared" si="703"/>
        <v>7278</v>
      </c>
      <c r="AC2153" s="178">
        <f t="shared" si="703"/>
        <v>16949</v>
      </c>
      <c r="AD2153" s="130">
        <f t="shared" si="703"/>
        <v>0</v>
      </c>
      <c r="AE2153" s="130">
        <f t="shared" si="703"/>
        <v>0</v>
      </c>
      <c r="AF2153" s="130">
        <f t="shared" si="703"/>
        <v>0</v>
      </c>
      <c r="AG2153" s="130">
        <f t="shared" si="703"/>
        <v>0</v>
      </c>
      <c r="AH2153" s="130">
        <f t="shared" si="703"/>
        <v>2446</v>
      </c>
      <c r="AI2153" s="130">
        <f t="shared" si="703"/>
        <v>0</v>
      </c>
      <c r="AJ2153" s="130">
        <f t="shared" ref="AJ2153:BC2153" si="704">SUM(AJ2154:AJ2292)</f>
        <v>0</v>
      </c>
      <c r="AK2153" s="130">
        <f t="shared" si="704"/>
        <v>67</v>
      </c>
      <c r="AL2153" s="130">
        <f t="shared" si="704"/>
        <v>13162</v>
      </c>
      <c r="AM2153" s="130">
        <f t="shared" si="704"/>
        <v>0</v>
      </c>
      <c r="AN2153" s="130">
        <f t="shared" si="704"/>
        <v>0</v>
      </c>
      <c r="AO2153" s="130">
        <f t="shared" si="704"/>
        <v>0</v>
      </c>
      <c r="AP2153" s="130">
        <f t="shared" si="704"/>
        <v>12869</v>
      </c>
      <c r="AQ2153" s="130">
        <f t="shared" si="704"/>
        <v>0</v>
      </c>
      <c r="AR2153" s="130">
        <f t="shared" si="704"/>
        <v>0</v>
      </c>
      <c r="AS2153" s="130">
        <f t="shared" si="704"/>
        <v>0</v>
      </c>
      <c r="AT2153" s="130">
        <f t="shared" si="704"/>
        <v>0</v>
      </c>
      <c r="AU2153" s="130">
        <f t="shared" si="704"/>
        <v>0</v>
      </c>
      <c r="AV2153" s="130">
        <f t="shared" si="704"/>
        <v>0</v>
      </c>
      <c r="AW2153" s="130">
        <f t="shared" si="704"/>
        <v>0</v>
      </c>
      <c r="AX2153" s="130">
        <f t="shared" si="704"/>
        <v>0</v>
      </c>
      <c r="AY2153" s="130">
        <f t="shared" si="704"/>
        <v>0</v>
      </c>
      <c r="AZ2153" s="130">
        <f t="shared" si="704"/>
        <v>0</v>
      </c>
      <c r="BA2153" s="130">
        <f t="shared" si="704"/>
        <v>0</v>
      </c>
      <c r="BB2153" s="130">
        <f t="shared" si="704"/>
        <v>28544</v>
      </c>
      <c r="BC2153" s="63">
        <f t="shared" si="704"/>
        <v>71335</v>
      </c>
      <c r="BD2153" s="130">
        <f t="shared" ref="BD2153" si="705">AB2153+BB2153</f>
        <v>35822</v>
      </c>
      <c r="BE2153" s="130">
        <f t="shared" ref="BE2153" si="706">AC2153+BC2153</f>
        <v>88284</v>
      </c>
      <c r="BF2153" s="195">
        <f t="shared" ref="BF2153" si="707">BD2153/BE2153*100</f>
        <v>40.575868787096191</v>
      </c>
      <c r="BG2153" s="374">
        <f t="shared" ref="BG2153" si="708">BE2153-BD2153</f>
        <v>52462</v>
      </c>
    </row>
    <row r="2154" spans="1:61" s="46" customFormat="1" ht="15.95" customHeight="1">
      <c r="A2154" s="176">
        <v>1</v>
      </c>
      <c r="B2154" s="31" t="s">
        <v>731</v>
      </c>
      <c r="C2154" s="32" t="s">
        <v>3613</v>
      </c>
      <c r="D2154" s="249"/>
      <c r="E2154" s="249"/>
      <c r="F2154" s="249"/>
      <c r="G2154" s="249"/>
      <c r="H2154" s="249"/>
      <c r="I2154" s="249"/>
      <c r="J2154" s="249"/>
      <c r="K2154" s="249"/>
      <c r="L2154" s="249"/>
      <c r="M2154" s="249"/>
      <c r="N2154" s="249"/>
      <c r="O2154" s="249"/>
      <c r="P2154" s="249"/>
      <c r="Q2154" s="249"/>
      <c r="R2154" s="249"/>
      <c r="S2154" s="249"/>
      <c r="T2154" s="249"/>
      <c r="U2154" s="249"/>
      <c r="V2154" s="249"/>
      <c r="W2154" s="249"/>
      <c r="X2154" s="249"/>
      <c r="Y2154" s="249"/>
      <c r="Z2154" s="249"/>
      <c r="AA2154" s="249"/>
      <c r="AB2154" s="22">
        <f t="shared" ref="AB2154:AB2185" si="709">SUM(D2154:AA2154)</f>
        <v>0</v>
      </c>
      <c r="AC2154" s="23">
        <v>0</v>
      </c>
      <c r="AD2154" s="35"/>
      <c r="AE2154" s="35"/>
      <c r="AF2154" s="35"/>
      <c r="AG2154" s="35"/>
      <c r="AH2154" s="35"/>
      <c r="AI2154" s="35"/>
      <c r="AJ2154" s="35"/>
      <c r="AK2154" s="35"/>
      <c r="AL2154" s="35">
        <v>1</v>
      </c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22">
        <f t="shared" ref="BB2154:BB2185" si="710">SUM(AD2154:BA2154)</f>
        <v>1</v>
      </c>
      <c r="BC2154" s="23">
        <v>0</v>
      </c>
      <c r="BD2154" s="130">
        <f t="shared" ref="BD2154:BD2185" si="711">AB2154+BB2154</f>
        <v>1</v>
      </c>
      <c r="BE2154" s="130">
        <f t="shared" ref="BE2154:BE2185" si="712">AC2154+BC2154</f>
        <v>0</v>
      </c>
      <c r="BF2154" s="195" t="e">
        <f t="shared" ref="BF2154:BF2185" si="713">BD2154/BE2154*100</f>
        <v>#DIV/0!</v>
      </c>
      <c r="BG2154" s="373"/>
      <c r="BH2154" s="388"/>
    </row>
    <row r="2155" spans="1:61" s="46" customFormat="1" ht="15.95" customHeight="1">
      <c r="A2155" s="176">
        <v>2</v>
      </c>
      <c r="B2155" s="31" t="s">
        <v>2693</v>
      </c>
      <c r="C2155" s="32" t="s">
        <v>2694</v>
      </c>
      <c r="D2155" s="545"/>
      <c r="E2155" s="545"/>
      <c r="F2155" s="545"/>
      <c r="G2155" s="545"/>
      <c r="H2155" s="545"/>
      <c r="I2155" s="545"/>
      <c r="J2155" s="545"/>
      <c r="K2155" s="545"/>
      <c r="L2155" s="545"/>
      <c r="M2155" s="545"/>
      <c r="N2155" s="545"/>
      <c r="O2155" s="545"/>
      <c r="P2155" s="545"/>
      <c r="Q2155" s="545"/>
      <c r="R2155" s="545"/>
      <c r="S2155" s="545"/>
      <c r="T2155" s="545"/>
      <c r="U2155" s="545"/>
      <c r="V2155" s="545"/>
      <c r="W2155" s="545"/>
      <c r="X2155" s="545"/>
      <c r="Y2155" s="545"/>
      <c r="Z2155" s="545"/>
      <c r="AA2155" s="545"/>
      <c r="AB2155" s="22">
        <f t="shared" si="709"/>
        <v>0</v>
      </c>
      <c r="AC2155" s="23">
        <v>0</v>
      </c>
      <c r="AD2155" s="35"/>
      <c r="AE2155" s="35"/>
      <c r="AF2155" s="35"/>
      <c r="AG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22">
        <f t="shared" si="710"/>
        <v>0</v>
      </c>
      <c r="BC2155" s="23">
        <v>1</v>
      </c>
      <c r="BD2155" s="130">
        <f t="shared" si="711"/>
        <v>0</v>
      </c>
      <c r="BE2155" s="130">
        <f t="shared" si="712"/>
        <v>1</v>
      </c>
      <c r="BF2155" s="195">
        <f t="shared" si="713"/>
        <v>0</v>
      </c>
      <c r="BG2155" s="373">
        <f t="shared" ref="BG2155:BG2174" si="714">BE2155-BD2155</f>
        <v>1</v>
      </c>
      <c r="BH2155" s="388" t="s">
        <v>3841</v>
      </c>
    </row>
    <row r="2156" spans="1:61" s="46" customFormat="1" ht="15.95" customHeight="1">
      <c r="A2156" s="176">
        <v>3</v>
      </c>
      <c r="B2156" s="31" t="s">
        <v>2695</v>
      </c>
      <c r="C2156" s="32" t="s">
        <v>2696</v>
      </c>
      <c r="D2156" s="249"/>
      <c r="E2156" s="249"/>
      <c r="F2156" s="249"/>
      <c r="G2156" s="249"/>
      <c r="H2156" s="249"/>
      <c r="I2156" s="249"/>
      <c r="J2156" s="249"/>
      <c r="K2156" s="249"/>
      <c r="L2156" s="249"/>
      <c r="M2156" s="249"/>
      <c r="N2156" s="249"/>
      <c r="O2156" s="249"/>
      <c r="P2156" s="249"/>
      <c r="Q2156" s="249"/>
      <c r="R2156" s="249"/>
      <c r="S2156" s="249"/>
      <c r="T2156" s="249"/>
      <c r="U2156" s="249"/>
      <c r="V2156" s="249"/>
      <c r="W2156" s="249"/>
      <c r="X2156" s="249"/>
      <c r="Y2156" s="249"/>
      <c r="Z2156" s="249"/>
      <c r="AA2156" s="249"/>
      <c r="AB2156" s="22">
        <f t="shared" si="709"/>
        <v>0</v>
      </c>
      <c r="AC2156" s="23">
        <v>0</v>
      </c>
      <c r="AD2156" s="35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22">
        <f t="shared" si="710"/>
        <v>0</v>
      </c>
      <c r="BC2156" s="23">
        <v>1</v>
      </c>
      <c r="BD2156" s="130">
        <f t="shared" si="711"/>
        <v>0</v>
      </c>
      <c r="BE2156" s="130">
        <f t="shared" si="712"/>
        <v>1</v>
      </c>
      <c r="BF2156" s="195">
        <f t="shared" si="713"/>
        <v>0</v>
      </c>
      <c r="BG2156" s="373">
        <f t="shared" si="714"/>
        <v>1</v>
      </c>
      <c r="BH2156" s="388" t="s">
        <v>3841</v>
      </c>
    </row>
    <row r="2157" spans="1:61" s="46" customFormat="1" ht="15.95" customHeight="1">
      <c r="A2157" s="176">
        <v>4</v>
      </c>
      <c r="B2157" s="31" t="s">
        <v>2697</v>
      </c>
      <c r="C2157" s="32" t="s">
        <v>2698</v>
      </c>
      <c r="D2157" s="249"/>
      <c r="E2157" s="249"/>
      <c r="F2157" s="249"/>
      <c r="G2157" s="249"/>
      <c r="H2157" s="249"/>
      <c r="I2157" s="249"/>
      <c r="J2157" s="249"/>
      <c r="K2157" s="249"/>
      <c r="L2157" s="249"/>
      <c r="M2157" s="249"/>
      <c r="N2157" s="249"/>
      <c r="O2157" s="249"/>
      <c r="P2157" s="249"/>
      <c r="Q2157" s="249"/>
      <c r="R2157" s="249"/>
      <c r="S2157" s="249"/>
      <c r="T2157" s="249"/>
      <c r="U2157" s="249"/>
      <c r="V2157" s="249"/>
      <c r="W2157" s="249"/>
      <c r="X2157" s="249"/>
      <c r="Y2157" s="249"/>
      <c r="Z2157" s="249"/>
      <c r="AA2157" s="249"/>
      <c r="AB2157" s="22">
        <f t="shared" si="709"/>
        <v>0</v>
      </c>
      <c r="AC2157" s="23">
        <v>0</v>
      </c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22">
        <f t="shared" si="710"/>
        <v>0</v>
      </c>
      <c r="BC2157" s="23">
        <v>1</v>
      </c>
      <c r="BD2157" s="130">
        <f t="shared" si="711"/>
        <v>0</v>
      </c>
      <c r="BE2157" s="130">
        <f t="shared" si="712"/>
        <v>1</v>
      </c>
      <c r="BF2157" s="195">
        <f t="shared" si="713"/>
        <v>0</v>
      </c>
      <c r="BG2157" s="373">
        <f t="shared" si="714"/>
        <v>1</v>
      </c>
      <c r="BH2157" s="388" t="s">
        <v>3841</v>
      </c>
    </row>
    <row r="2158" spans="1:61" s="46" customFormat="1" ht="15.95" customHeight="1">
      <c r="A2158" s="176">
        <v>5</v>
      </c>
      <c r="B2158" s="31" t="s">
        <v>2699</v>
      </c>
      <c r="C2158" s="32" t="s">
        <v>2700</v>
      </c>
      <c r="D2158" s="249"/>
      <c r="E2158" s="249"/>
      <c r="F2158" s="249"/>
      <c r="G2158" s="249"/>
      <c r="H2158" s="249"/>
      <c r="I2158" s="249"/>
      <c r="J2158" s="249"/>
      <c r="K2158" s="249"/>
      <c r="L2158" s="249"/>
      <c r="M2158" s="249"/>
      <c r="N2158" s="249"/>
      <c r="O2158" s="249"/>
      <c r="P2158" s="249"/>
      <c r="Q2158" s="249"/>
      <c r="R2158" s="249"/>
      <c r="S2158" s="249"/>
      <c r="T2158" s="249"/>
      <c r="U2158" s="249"/>
      <c r="V2158" s="249"/>
      <c r="W2158" s="249"/>
      <c r="X2158" s="249"/>
      <c r="Y2158" s="249"/>
      <c r="Z2158" s="249"/>
      <c r="AA2158" s="249"/>
      <c r="AB2158" s="22">
        <f t="shared" si="709"/>
        <v>0</v>
      </c>
      <c r="AC2158" s="23">
        <v>0</v>
      </c>
      <c r="AD2158" s="35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22">
        <f t="shared" si="710"/>
        <v>0</v>
      </c>
      <c r="BC2158" s="23">
        <v>1</v>
      </c>
      <c r="BD2158" s="130">
        <f t="shared" si="711"/>
        <v>0</v>
      </c>
      <c r="BE2158" s="130">
        <f t="shared" si="712"/>
        <v>1</v>
      </c>
      <c r="BF2158" s="195">
        <f t="shared" si="713"/>
        <v>0</v>
      </c>
      <c r="BG2158" s="373">
        <f t="shared" si="714"/>
        <v>1</v>
      </c>
      <c r="BH2158" s="388" t="s">
        <v>3841</v>
      </c>
    </row>
    <row r="2159" spans="1:61" s="46" customFormat="1" ht="21" customHeight="1">
      <c r="A2159" s="417">
        <v>6</v>
      </c>
      <c r="B2159" s="418" t="s">
        <v>926</v>
      </c>
      <c r="C2159" s="423" t="s">
        <v>927</v>
      </c>
      <c r="D2159" s="329"/>
      <c r="E2159" s="329"/>
      <c r="F2159" s="329"/>
      <c r="G2159" s="329"/>
      <c r="H2159" s="329"/>
      <c r="I2159" s="329"/>
      <c r="J2159" s="329"/>
      <c r="K2159" s="329"/>
      <c r="L2159" s="329"/>
      <c r="M2159" s="329"/>
      <c r="N2159" s="329"/>
      <c r="O2159" s="329"/>
      <c r="P2159" s="329"/>
      <c r="Q2159" s="329"/>
      <c r="R2159" s="329"/>
      <c r="S2159" s="329"/>
      <c r="T2159" s="329"/>
      <c r="U2159" s="329"/>
      <c r="V2159" s="329"/>
      <c r="W2159" s="329"/>
      <c r="X2159" s="329"/>
      <c r="Y2159" s="329"/>
      <c r="Z2159" s="329"/>
      <c r="AA2159" s="329"/>
      <c r="AB2159" s="22">
        <f t="shared" si="709"/>
        <v>0</v>
      </c>
      <c r="AC2159" s="23">
        <v>1</v>
      </c>
      <c r="AD2159" s="35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22">
        <f t="shared" si="710"/>
        <v>0</v>
      </c>
      <c r="BC2159" s="23">
        <v>0</v>
      </c>
      <c r="BD2159" s="130">
        <f t="shared" si="711"/>
        <v>0</v>
      </c>
      <c r="BE2159" s="130">
        <f t="shared" si="712"/>
        <v>1</v>
      </c>
      <c r="BF2159" s="195">
        <f t="shared" si="713"/>
        <v>0</v>
      </c>
      <c r="BG2159" s="373">
        <f t="shared" si="714"/>
        <v>1</v>
      </c>
      <c r="BH2159" s="426" t="s">
        <v>3675</v>
      </c>
      <c r="BI2159" s="426"/>
    </row>
    <row r="2160" spans="1:61" s="46" customFormat="1" ht="21" customHeight="1">
      <c r="A2160" s="417">
        <v>7</v>
      </c>
      <c r="B2160" s="418" t="s">
        <v>2701</v>
      </c>
      <c r="C2160" s="419" t="s">
        <v>2702</v>
      </c>
      <c r="D2160" s="249"/>
      <c r="E2160" s="249"/>
      <c r="F2160" s="249"/>
      <c r="G2160" s="249"/>
      <c r="H2160" s="249"/>
      <c r="I2160" s="249"/>
      <c r="J2160" s="249"/>
      <c r="K2160" s="249">
        <v>76</v>
      </c>
      <c r="L2160" s="249"/>
      <c r="M2160" s="249"/>
      <c r="N2160" s="249"/>
      <c r="O2160" s="249">
        <v>316</v>
      </c>
      <c r="P2160" s="35">
        <v>290</v>
      </c>
      <c r="Q2160" s="249"/>
      <c r="R2160" s="249"/>
      <c r="S2160" s="249"/>
      <c r="T2160" s="249"/>
      <c r="U2160" s="249"/>
      <c r="V2160" s="249"/>
      <c r="W2160" s="249"/>
      <c r="X2160" s="249"/>
      <c r="Y2160" s="249"/>
      <c r="Z2160" s="249"/>
      <c r="AA2160" s="249"/>
      <c r="AB2160" s="22">
        <f t="shared" si="709"/>
        <v>682</v>
      </c>
      <c r="AC2160" s="23">
        <f>448+1573</f>
        <v>2021</v>
      </c>
      <c r="AD2160" s="35"/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22">
        <f t="shared" si="710"/>
        <v>0</v>
      </c>
      <c r="BC2160" s="23">
        <v>0</v>
      </c>
      <c r="BD2160" s="130">
        <f t="shared" si="711"/>
        <v>682</v>
      </c>
      <c r="BE2160" s="130">
        <f t="shared" si="712"/>
        <v>2021</v>
      </c>
      <c r="BF2160" s="195">
        <f t="shared" si="713"/>
        <v>33.745670460168228</v>
      </c>
      <c r="BG2160" s="373">
        <f t="shared" si="714"/>
        <v>1339</v>
      </c>
      <c r="BH2160" s="426" t="s">
        <v>3675</v>
      </c>
      <c r="BI2160" s="421"/>
    </row>
    <row r="2161" spans="1:61" s="46" customFormat="1" ht="21" customHeight="1">
      <c r="A2161" s="417">
        <v>8</v>
      </c>
      <c r="B2161" s="418" t="s">
        <v>1129</v>
      </c>
      <c r="C2161" s="419" t="s">
        <v>3615</v>
      </c>
      <c r="D2161" s="231"/>
      <c r="E2161" s="231"/>
      <c r="F2161" s="231"/>
      <c r="G2161" s="231"/>
      <c r="H2161" s="231"/>
      <c r="I2161" s="231"/>
      <c r="J2161" s="231"/>
      <c r="K2161" s="231">
        <v>76</v>
      </c>
      <c r="L2161" s="231"/>
      <c r="M2161" s="231"/>
      <c r="N2161" s="231"/>
      <c r="O2161" s="231">
        <v>316</v>
      </c>
      <c r="P2161" s="35">
        <v>285</v>
      </c>
      <c r="Q2161" s="231"/>
      <c r="R2161" s="231"/>
      <c r="S2161" s="231"/>
      <c r="T2161" s="231"/>
      <c r="U2161" s="231"/>
      <c r="V2161" s="231"/>
      <c r="W2161" s="231"/>
      <c r="X2161" s="231"/>
      <c r="Y2161" s="231"/>
      <c r="Z2161" s="231"/>
      <c r="AA2161" s="231"/>
      <c r="AB2161" s="22">
        <f t="shared" si="709"/>
        <v>677</v>
      </c>
      <c r="AC2161" s="23">
        <f>449+1765</f>
        <v>2214</v>
      </c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22">
        <f t="shared" si="710"/>
        <v>0</v>
      </c>
      <c r="BC2161" s="23">
        <v>0</v>
      </c>
      <c r="BD2161" s="130">
        <f t="shared" si="711"/>
        <v>677</v>
      </c>
      <c r="BE2161" s="130">
        <f t="shared" si="712"/>
        <v>2214</v>
      </c>
      <c r="BF2161" s="195">
        <f t="shared" si="713"/>
        <v>30.578139114724479</v>
      </c>
      <c r="BG2161" s="373">
        <f t="shared" si="714"/>
        <v>1537</v>
      </c>
      <c r="BH2161" s="426" t="s">
        <v>3675</v>
      </c>
      <c r="BI2161" s="425"/>
    </row>
    <row r="2162" spans="1:61" s="46" customFormat="1" ht="21" customHeight="1">
      <c r="A2162" s="417">
        <v>9</v>
      </c>
      <c r="B2162" s="418" t="s">
        <v>1266</v>
      </c>
      <c r="C2162" s="423" t="s">
        <v>1267</v>
      </c>
      <c r="D2162" s="231"/>
      <c r="E2162" s="231"/>
      <c r="F2162" s="231"/>
      <c r="G2162" s="231"/>
      <c r="H2162" s="231"/>
      <c r="I2162" s="231"/>
      <c r="J2162" s="231"/>
      <c r="K2162" s="231"/>
      <c r="L2162" s="231"/>
      <c r="M2162" s="231"/>
      <c r="N2162" s="231"/>
      <c r="O2162" s="231">
        <v>2</v>
      </c>
      <c r="P2162" s="35"/>
      <c r="Q2162" s="231"/>
      <c r="R2162" s="231"/>
      <c r="S2162" s="231"/>
      <c r="T2162" s="231"/>
      <c r="U2162" s="231"/>
      <c r="V2162" s="231"/>
      <c r="W2162" s="231"/>
      <c r="X2162" s="231"/>
      <c r="Y2162" s="231"/>
      <c r="Z2162" s="231"/>
      <c r="AA2162" s="231"/>
      <c r="AB2162" s="22">
        <f t="shared" si="709"/>
        <v>2</v>
      </c>
      <c r="AC2162" s="23">
        <f>2+14</f>
        <v>16</v>
      </c>
      <c r="AD2162" s="35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22">
        <f t="shared" si="710"/>
        <v>0</v>
      </c>
      <c r="BC2162" s="23">
        <v>0</v>
      </c>
      <c r="BD2162" s="130">
        <f t="shared" si="711"/>
        <v>2</v>
      </c>
      <c r="BE2162" s="130">
        <f t="shared" si="712"/>
        <v>16</v>
      </c>
      <c r="BF2162" s="195">
        <f t="shared" si="713"/>
        <v>12.5</v>
      </c>
      <c r="BG2162" s="373">
        <f t="shared" si="714"/>
        <v>14</v>
      </c>
      <c r="BH2162" s="426" t="s">
        <v>3675</v>
      </c>
      <c r="BI2162" s="421"/>
    </row>
    <row r="2163" spans="1:61" s="46" customFormat="1" ht="21" customHeight="1">
      <c r="A2163" s="417">
        <v>10</v>
      </c>
      <c r="B2163" s="418" t="s">
        <v>2703</v>
      </c>
      <c r="C2163" s="419" t="s">
        <v>2704</v>
      </c>
      <c r="D2163" s="249"/>
      <c r="E2163" s="249"/>
      <c r="F2163" s="249"/>
      <c r="G2163" s="249"/>
      <c r="H2163" s="249"/>
      <c r="I2163" s="249"/>
      <c r="J2163" s="249"/>
      <c r="K2163" s="249">
        <v>76</v>
      </c>
      <c r="L2163" s="249"/>
      <c r="M2163" s="249"/>
      <c r="N2163" s="249"/>
      <c r="O2163" s="249">
        <v>317</v>
      </c>
      <c r="P2163" s="35">
        <v>285</v>
      </c>
      <c r="Q2163" s="249"/>
      <c r="R2163" s="249"/>
      <c r="S2163" s="249"/>
      <c r="T2163" s="249"/>
      <c r="U2163" s="249"/>
      <c r="V2163" s="249"/>
      <c r="W2163" s="249"/>
      <c r="X2163" s="249"/>
      <c r="Y2163" s="249"/>
      <c r="Z2163" s="249"/>
      <c r="AA2163" s="249"/>
      <c r="AB2163" s="22">
        <f t="shared" si="709"/>
        <v>678</v>
      </c>
      <c r="AC2163" s="23">
        <v>243</v>
      </c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22">
        <f t="shared" si="710"/>
        <v>0</v>
      </c>
      <c r="BC2163" s="23">
        <v>0</v>
      </c>
      <c r="BD2163" s="130">
        <f t="shared" si="711"/>
        <v>678</v>
      </c>
      <c r="BE2163" s="130">
        <f t="shared" si="712"/>
        <v>243</v>
      </c>
      <c r="BF2163" s="195">
        <f t="shared" si="713"/>
        <v>279.01234567901236</v>
      </c>
      <c r="BG2163" s="373">
        <f t="shared" si="714"/>
        <v>-435</v>
      </c>
      <c r="BH2163" s="426" t="s">
        <v>3675</v>
      </c>
      <c r="BI2163" s="421"/>
    </row>
    <row r="2164" spans="1:61" s="46" customFormat="1" ht="21" customHeight="1">
      <c r="A2164" s="417">
        <v>11</v>
      </c>
      <c r="B2164" s="418" t="s">
        <v>2705</v>
      </c>
      <c r="C2164" s="419" t="s">
        <v>2706</v>
      </c>
      <c r="D2164" s="390"/>
      <c r="E2164" s="390"/>
      <c r="F2164" s="390"/>
      <c r="G2164" s="390"/>
      <c r="H2164" s="390"/>
      <c r="I2164" s="390"/>
      <c r="J2164" s="390"/>
      <c r="K2164" s="390">
        <f>55+85</f>
        <v>140</v>
      </c>
      <c r="L2164" s="390"/>
      <c r="M2164" s="390"/>
      <c r="N2164" s="390"/>
      <c r="O2164" s="390">
        <f>345+217</f>
        <v>562</v>
      </c>
      <c r="P2164" s="35">
        <v>317</v>
      </c>
      <c r="Q2164" s="390"/>
      <c r="R2164" s="390"/>
      <c r="S2164" s="390">
        <v>119</v>
      </c>
      <c r="T2164" s="390"/>
      <c r="U2164" s="390"/>
      <c r="V2164" s="390"/>
      <c r="W2164" s="390"/>
      <c r="X2164" s="390"/>
      <c r="Y2164" s="390"/>
      <c r="Z2164" s="390"/>
      <c r="AA2164" s="390"/>
      <c r="AB2164" s="22">
        <f t="shared" si="709"/>
        <v>1138</v>
      </c>
      <c r="AC2164" s="23">
        <f>2+1156</f>
        <v>1158</v>
      </c>
      <c r="AD2164" s="35"/>
      <c r="AE2164" s="35"/>
      <c r="AF2164" s="35"/>
      <c r="AG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22">
        <f t="shared" si="710"/>
        <v>0</v>
      </c>
      <c r="BC2164" s="23">
        <v>0</v>
      </c>
      <c r="BD2164" s="130">
        <f t="shared" si="711"/>
        <v>1138</v>
      </c>
      <c r="BE2164" s="130">
        <f t="shared" si="712"/>
        <v>1158</v>
      </c>
      <c r="BF2164" s="195">
        <f t="shared" si="713"/>
        <v>98.272884283246981</v>
      </c>
      <c r="BG2164" s="373">
        <f t="shared" si="714"/>
        <v>20</v>
      </c>
      <c r="BH2164" s="426" t="s">
        <v>3675</v>
      </c>
      <c r="BI2164" s="421"/>
    </row>
    <row r="2165" spans="1:61" s="46" customFormat="1" ht="21" customHeight="1">
      <c r="A2165" s="417">
        <v>12</v>
      </c>
      <c r="B2165" s="418" t="s">
        <v>2218</v>
      </c>
      <c r="C2165" s="419" t="s">
        <v>2219</v>
      </c>
      <c r="D2165" s="390"/>
      <c r="E2165" s="390"/>
      <c r="F2165" s="390"/>
      <c r="G2165" s="390"/>
      <c r="H2165" s="390"/>
      <c r="I2165" s="390"/>
      <c r="J2165" s="390"/>
      <c r="K2165" s="390">
        <f>55+217</f>
        <v>272</v>
      </c>
      <c r="L2165" s="390"/>
      <c r="M2165" s="390"/>
      <c r="N2165" s="390"/>
      <c r="O2165" s="390">
        <f>930+230</f>
        <v>1160</v>
      </c>
      <c r="P2165" s="35">
        <v>803</v>
      </c>
      <c r="Q2165" s="390"/>
      <c r="R2165" s="390"/>
      <c r="S2165" s="390">
        <v>121</v>
      </c>
      <c r="T2165" s="390"/>
      <c r="U2165" s="390"/>
      <c r="V2165" s="390"/>
      <c r="W2165" s="390"/>
      <c r="X2165" s="390"/>
      <c r="Y2165" s="390"/>
      <c r="Z2165" s="390"/>
      <c r="AA2165" s="390"/>
      <c r="AB2165" s="22">
        <f t="shared" si="709"/>
        <v>2356</v>
      </c>
      <c r="AC2165" s="23">
        <f>2+3182</f>
        <v>3184</v>
      </c>
      <c r="AD2165" s="35"/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22">
        <f t="shared" si="710"/>
        <v>0</v>
      </c>
      <c r="BC2165" s="23">
        <v>0</v>
      </c>
      <c r="BD2165" s="130">
        <f t="shared" si="711"/>
        <v>2356</v>
      </c>
      <c r="BE2165" s="130">
        <f t="shared" si="712"/>
        <v>3184</v>
      </c>
      <c r="BF2165" s="195">
        <f t="shared" si="713"/>
        <v>73.994974874371849</v>
      </c>
      <c r="BG2165" s="373">
        <f t="shared" si="714"/>
        <v>828</v>
      </c>
      <c r="BH2165" s="426" t="s">
        <v>3675</v>
      </c>
      <c r="BI2165" s="421"/>
    </row>
    <row r="2166" spans="1:61" s="46" customFormat="1" ht="21" customHeight="1">
      <c r="A2166" s="417">
        <v>13</v>
      </c>
      <c r="B2166" s="418" t="s">
        <v>2804</v>
      </c>
      <c r="C2166" s="419" t="s">
        <v>2805</v>
      </c>
      <c r="D2166" s="390"/>
      <c r="E2166" s="390"/>
      <c r="F2166" s="390"/>
      <c r="G2166" s="390"/>
      <c r="H2166" s="390"/>
      <c r="I2166" s="390"/>
      <c r="J2166" s="390"/>
      <c r="K2166" s="390"/>
      <c r="L2166" s="390"/>
      <c r="M2166" s="390"/>
      <c r="N2166" s="390"/>
      <c r="O2166" s="390"/>
      <c r="P2166" s="35"/>
      <c r="Q2166" s="390"/>
      <c r="R2166" s="390"/>
      <c r="S2166" s="390"/>
      <c r="T2166" s="390"/>
      <c r="U2166" s="390"/>
      <c r="V2166" s="390"/>
      <c r="W2166" s="390"/>
      <c r="X2166" s="390"/>
      <c r="Y2166" s="390"/>
      <c r="Z2166" s="390"/>
      <c r="AA2166" s="390"/>
      <c r="AB2166" s="22">
        <f t="shared" si="709"/>
        <v>0</v>
      </c>
      <c r="AC2166" s="23">
        <v>1</v>
      </c>
      <c r="AD2166" s="35"/>
      <c r="AE2166" s="35"/>
      <c r="AF2166" s="35"/>
      <c r="AG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22">
        <f t="shared" si="710"/>
        <v>0</v>
      </c>
      <c r="BC2166" s="23">
        <v>0</v>
      </c>
      <c r="BD2166" s="130">
        <f t="shared" si="711"/>
        <v>0</v>
      </c>
      <c r="BE2166" s="130">
        <f t="shared" si="712"/>
        <v>1</v>
      </c>
      <c r="BF2166" s="195">
        <f t="shared" si="713"/>
        <v>0</v>
      </c>
      <c r="BG2166" s="373">
        <f t="shared" si="714"/>
        <v>1</v>
      </c>
      <c r="BH2166" s="426" t="s">
        <v>3675</v>
      </c>
      <c r="BI2166" s="421"/>
    </row>
    <row r="2167" spans="1:61" s="46" customFormat="1" ht="21" customHeight="1">
      <c r="A2167" s="417">
        <v>14</v>
      </c>
      <c r="B2167" s="418" t="s">
        <v>2246</v>
      </c>
      <c r="C2167" s="419" t="s">
        <v>2247</v>
      </c>
      <c r="D2167" s="390"/>
      <c r="E2167" s="390"/>
      <c r="F2167" s="390"/>
      <c r="G2167" s="390"/>
      <c r="H2167" s="390"/>
      <c r="I2167" s="390"/>
      <c r="J2167" s="390"/>
      <c r="K2167" s="390">
        <v>4</v>
      </c>
      <c r="L2167" s="390"/>
      <c r="M2167" s="390"/>
      <c r="N2167" s="390"/>
      <c r="O2167" s="390"/>
      <c r="P2167" s="35">
        <v>2</v>
      </c>
      <c r="Q2167" s="390"/>
      <c r="R2167" s="390"/>
      <c r="S2167" s="390"/>
      <c r="T2167" s="390"/>
      <c r="U2167" s="390"/>
      <c r="V2167" s="390"/>
      <c r="W2167" s="390"/>
      <c r="X2167" s="390"/>
      <c r="Y2167" s="390"/>
      <c r="Z2167" s="390"/>
      <c r="AA2167" s="390"/>
      <c r="AB2167" s="22">
        <f t="shared" si="709"/>
        <v>6</v>
      </c>
      <c r="AC2167" s="23">
        <v>6</v>
      </c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22">
        <f t="shared" si="710"/>
        <v>0</v>
      </c>
      <c r="BC2167" s="23">
        <v>0</v>
      </c>
      <c r="BD2167" s="130">
        <f t="shared" si="711"/>
        <v>6</v>
      </c>
      <c r="BE2167" s="130">
        <f t="shared" si="712"/>
        <v>6</v>
      </c>
      <c r="BF2167" s="195">
        <f t="shared" si="713"/>
        <v>100</v>
      </c>
      <c r="BG2167" s="373">
        <f t="shared" si="714"/>
        <v>0</v>
      </c>
      <c r="BH2167" s="426" t="s">
        <v>3675</v>
      </c>
      <c r="BI2167" s="421"/>
    </row>
    <row r="2168" spans="1:61" s="46" customFormat="1" ht="15.95" customHeight="1">
      <c r="A2168" s="176">
        <v>15</v>
      </c>
      <c r="B2168" s="237" t="s">
        <v>732</v>
      </c>
      <c r="C2168" s="238" t="s">
        <v>733</v>
      </c>
      <c r="D2168" s="249"/>
      <c r="E2168" s="249"/>
      <c r="F2168" s="249"/>
      <c r="G2168" s="249"/>
      <c r="H2168" s="249"/>
      <c r="I2168" s="249"/>
      <c r="J2168" s="249"/>
      <c r="K2168" s="249"/>
      <c r="L2168" s="249"/>
      <c r="M2168" s="249"/>
      <c r="N2168" s="249"/>
      <c r="O2168" s="249"/>
      <c r="P2168" s="249"/>
      <c r="Q2168" s="249"/>
      <c r="R2168" s="249"/>
      <c r="S2168" s="249"/>
      <c r="T2168" s="249"/>
      <c r="U2168" s="249"/>
      <c r="V2168" s="249"/>
      <c r="W2168" s="249"/>
      <c r="X2168" s="249"/>
      <c r="Y2168" s="249"/>
      <c r="Z2168" s="249"/>
      <c r="AA2168" s="249"/>
      <c r="AB2168" s="22">
        <f t="shared" si="709"/>
        <v>0</v>
      </c>
      <c r="AC2168" s="23">
        <v>1</v>
      </c>
      <c r="AD2168" s="35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22">
        <f t="shared" si="710"/>
        <v>0</v>
      </c>
      <c r="BC2168" s="23">
        <v>0</v>
      </c>
      <c r="BD2168" s="130">
        <f t="shared" si="711"/>
        <v>0</v>
      </c>
      <c r="BE2168" s="130">
        <f t="shared" si="712"/>
        <v>1</v>
      </c>
      <c r="BF2168" s="195">
        <f t="shared" si="713"/>
        <v>0</v>
      </c>
      <c r="BG2168" s="373">
        <f t="shared" si="714"/>
        <v>1</v>
      </c>
      <c r="BH2168" s="7"/>
    </row>
    <row r="2169" spans="1:61" s="46" customFormat="1" ht="21" customHeight="1">
      <c r="A2169" s="417">
        <v>16</v>
      </c>
      <c r="B2169" s="418" t="s">
        <v>1268</v>
      </c>
      <c r="C2169" s="419" t="s">
        <v>1269</v>
      </c>
      <c r="D2169" s="231"/>
      <c r="E2169" s="231"/>
      <c r="F2169" s="231"/>
      <c r="G2169" s="231"/>
      <c r="H2169" s="231"/>
      <c r="I2169" s="231"/>
      <c r="J2169" s="231"/>
      <c r="K2169" s="231"/>
      <c r="L2169" s="231"/>
      <c r="M2169" s="231"/>
      <c r="N2169" s="231"/>
      <c r="O2169" s="231"/>
      <c r="P2169" s="231"/>
      <c r="Q2169" s="231"/>
      <c r="R2169" s="231"/>
      <c r="S2169" s="231"/>
      <c r="T2169" s="231"/>
      <c r="U2169" s="231"/>
      <c r="V2169" s="231"/>
      <c r="W2169" s="231"/>
      <c r="X2169" s="231"/>
      <c r="Y2169" s="231"/>
      <c r="Z2169" s="231"/>
      <c r="AA2169" s="231"/>
      <c r="AB2169" s="22">
        <f t="shared" si="709"/>
        <v>0</v>
      </c>
      <c r="AC2169" s="23">
        <v>1</v>
      </c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22">
        <f t="shared" si="710"/>
        <v>0</v>
      </c>
      <c r="BC2169" s="23">
        <v>0</v>
      </c>
      <c r="BD2169" s="130">
        <f t="shared" si="711"/>
        <v>0</v>
      </c>
      <c r="BE2169" s="130">
        <f t="shared" si="712"/>
        <v>1</v>
      </c>
      <c r="BF2169" s="195">
        <f t="shared" si="713"/>
        <v>0</v>
      </c>
      <c r="BG2169" s="373">
        <f t="shared" si="714"/>
        <v>1</v>
      </c>
      <c r="BH2169" s="426" t="s">
        <v>3675</v>
      </c>
      <c r="BI2169" s="421"/>
    </row>
    <row r="2170" spans="1:61" s="46" customFormat="1" ht="15.95" customHeight="1">
      <c r="A2170" s="176">
        <v>17</v>
      </c>
      <c r="B2170" s="31" t="s">
        <v>736</v>
      </c>
      <c r="C2170" s="32" t="s">
        <v>737</v>
      </c>
      <c r="D2170" s="265"/>
      <c r="E2170" s="265"/>
      <c r="F2170" s="265"/>
      <c r="G2170" s="265"/>
      <c r="H2170" s="265"/>
      <c r="I2170" s="265"/>
      <c r="J2170" s="265"/>
      <c r="K2170" s="265"/>
      <c r="L2170" s="265"/>
      <c r="M2170" s="265"/>
      <c r="N2170" s="265"/>
      <c r="O2170" s="265"/>
      <c r="P2170" s="265"/>
      <c r="Q2170" s="265"/>
      <c r="R2170" s="265"/>
      <c r="S2170" s="265"/>
      <c r="T2170" s="265"/>
      <c r="U2170" s="265"/>
      <c r="V2170" s="265"/>
      <c r="W2170" s="265"/>
      <c r="X2170" s="265"/>
      <c r="Y2170" s="265"/>
      <c r="Z2170" s="265"/>
      <c r="AA2170" s="265"/>
      <c r="AB2170" s="22">
        <f t="shared" si="709"/>
        <v>0</v>
      </c>
      <c r="AC2170" s="23">
        <v>0</v>
      </c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22">
        <f t="shared" si="710"/>
        <v>0</v>
      </c>
      <c r="BC2170" s="23">
        <v>12</v>
      </c>
      <c r="BD2170" s="130">
        <f t="shared" si="711"/>
        <v>0</v>
      </c>
      <c r="BE2170" s="130">
        <f t="shared" si="712"/>
        <v>12</v>
      </c>
      <c r="BF2170" s="195">
        <f t="shared" si="713"/>
        <v>0</v>
      </c>
      <c r="BG2170" s="373">
        <f t="shared" si="714"/>
        <v>12</v>
      </c>
    </row>
    <row r="2171" spans="1:61" s="46" customFormat="1" ht="15.95" customHeight="1">
      <c r="A2171" s="176">
        <v>18</v>
      </c>
      <c r="B2171" s="31" t="s">
        <v>738</v>
      </c>
      <c r="C2171" s="32" t="s">
        <v>1213</v>
      </c>
      <c r="D2171" s="231"/>
      <c r="E2171" s="231"/>
      <c r="F2171" s="231"/>
      <c r="G2171" s="231"/>
      <c r="H2171" s="231">
        <v>74</v>
      </c>
      <c r="I2171" s="231"/>
      <c r="J2171" s="231"/>
      <c r="K2171" s="231"/>
      <c r="L2171" s="231">
        <v>312</v>
      </c>
      <c r="M2171" s="231"/>
      <c r="N2171" s="231"/>
      <c r="O2171" s="231"/>
      <c r="P2171" s="231">
        <v>166</v>
      </c>
      <c r="Q2171" s="231"/>
      <c r="R2171" s="231"/>
      <c r="S2171" s="231"/>
      <c r="T2171" s="231"/>
      <c r="U2171" s="231"/>
      <c r="V2171" s="231"/>
      <c r="W2171" s="231"/>
      <c r="X2171" s="231"/>
      <c r="Y2171" s="231"/>
      <c r="Z2171" s="231"/>
      <c r="AA2171" s="231"/>
      <c r="AB2171" s="22">
        <f t="shared" si="709"/>
        <v>552</v>
      </c>
      <c r="AC2171" s="23">
        <v>2576</v>
      </c>
      <c r="AD2171" s="35"/>
      <c r="AE2171" s="35"/>
      <c r="AF2171" s="35"/>
      <c r="AG2171" s="35"/>
      <c r="AH2171" s="35">
        <v>6</v>
      </c>
      <c r="AI2171" s="35"/>
      <c r="AJ2171" s="35"/>
      <c r="AK2171" s="35"/>
      <c r="AL2171" s="35">
        <v>7</v>
      </c>
      <c r="AM2171" s="35"/>
      <c r="AN2171" s="35"/>
      <c r="AO2171" s="35"/>
      <c r="AP2171" s="35">
        <v>3</v>
      </c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22">
        <f t="shared" si="710"/>
        <v>16</v>
      </c>
      <c r="BC2171" s="23">
        <v>1300</v>
      </c>
      <c r="BD2171" s="130">
        <f t="shared" si="711"/>
        <v>568</v>
      </c>
      <c r="BE2171" s="130">
        <f t="shared" si="712"/>
        <v>3876</v>
      </c>
      <c r="BF2171" s="195">
        <f t="shared" si="713"/>
        <v>14.654282765737875</v>
      </c>
      <c r="BG2171" s="373">
        <f t="shared" si="714"/>
        <v>3308</v>
      </c>
    </row>
    <row r="2172" spans="1:61" s="46" customFormat="1" ht="15.95" customHeight="1">
      <c r="A2172" s="176">
        <v>19</v>
      </c>
      <c r="B2172" s="31" t="s">
        <v>740</v>
      </c>
      <c r="C2172" s="32" t="s">
        <v>741</v>
      </c>
      <c r="D2172" s="231"/>
      <c r="E2172" s="231"/>
      <c r="F2172" s="231"/>
      <c r="G2172" s="231"/>
      <c r="H2172" s="231"/>
      <c r="I2172" s="231"/>
      <c r="J2172" s="231"/>
      <c r="K2172" s="231"/>
      <c r="L2172" s="231"/>
      <c r="M2172" s="231"/>
      <c r="N2172" s="231"/>
      <c r="O2172" s="231"/>
      <c r="P2172" s="231"/>
      <c r="Q2172" s="231"/>
      <c r="R2172" s="231"/>
      <c r="S2172" s="231"/>
      <c r="T2172" s="231"/>
      <c r="U2172" s="231"/>
      <c r="V2172" s="231"/>
      <c r="W2172" s="231"/>
      <c r="X2172" s="231"/>
      <c r="Y2172" s="231"/>
      <c r="Z2172" s="231"/>
      <c r="AA2172" s="231"/>
      <c r="AB2172" s="22">
        <f t="shared" si="709"/>
        <v>0</v>
      </c>
      <c r="AC2172" s="23">
        <v>0</v>
      </c>
      <c r="AD2172" s="35"/>
      <c r="AE2172" s="35"/>
      <c r="AF2172" s="35"/>
      <c r="AG2172" s="35"/>
      <c r="AH2172" s="35">
        <v>2</v>
      </c>
      <c r="AI2172" s="35"/>
      <c r="AJ2172" s="35"/>
      <c r="AK2172" s="35"/>
      <c r="AL2172" s="35">
        <v>1</v>
      </c>
      <c r="AM2172" s="35"/>
      <c r="AN2172" s="35"/>
      <c r="AO2172" s="35"/>
      <c r="AP2172" s="35">
        <v>1</v>
      </c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22">
        <f t="shared" si="710"/>
        <v>4</v>
      </c>
      <c r="BC2172" s="23">
        <v>13</v>
      </c>
      <c r="BD2172" s="130">
        <f t="shared" si="711"/>
        <v>4</v>
      </c>
      <c r="BE2172" s="130">
        <f t="shared" si="712"/>
        <v>13</v>
      </c>
      <c r="BF2172" s="195">
        <f t="shared" si="713"/>
        <v>30.76923076923077</v>
      </c>
      <c r="BG2172" s="373">
        <f t="shared" si="714"/>
        <v>9</v>
      </c>
    </row>
    <row r="2173" spans="1:61" s="46" customFormat="1" ht="15.95" customHeight="1">
      <c r="A2173" s="176">
        <v>20</v>
      </c>
      <c r="B2173" s="31" t="s">
        <v>746</v>
      </c>
      <c r="C2173" s="32" t="s">
        <v>3168</v>
      </c>
      <c r="D2173" s="321"/>
      <c r="E2173" s="321"/>
      <c r="F2173" s="321"/>
      <c r="G2173" s="321"/>
      <c r="H2173" s="321"/>
      <c r="I2173" s="321"/>
      <c r="J2173" s="321"/>
      <c r="K2173" s="321"/>
      <c r="L2173" s="321"/>
      <c r="M2173" s="321"/>
      <c r="N2173" s="321"/>
      <c r="O2173" s="321"/>
      <c r="P2173" s="321"/>
      <c r="Q2173" s="321"/>
      <c r="R2173" s="321"/>
      <c r="S2173" s="321"/>
      <c r="T2173" s="321"/>
      <c r="U2173" s="321"/>
      <c r="V2173" s="321"/>
      <c r="W2173" s="321"/>
      <c r="X2173" s="321"/>
      <c r="Y2173" s="321"/>
      <c r="Z2173" s="321"/>
      <c r="AA2173" s="321"/>
      <c r="AB2173" s="22">
        <f t="shared" si="709"/>
        <v>0</v>
      </c>
      <c r="AC2173" s="23">
        <v>0</v>
      </c>
      <c r="AD2173" s="35"/>
      <c r="AE2173" s="35"/>
      <c r="AF2173" s="35"/>
      <c r="AG2173" s="35"/>
      <c r="AH2173" s="35"/>
      <c r="AI2173" s="35"/>
      <c r="AJ2173" s="35"/>
      <c r="AK2173" s="35"/>
      <c r="AL2173" s="35">
        <v>1</v>
      </c>
      <c r="AM2173" s="35"/>
      <c r="AN2173" s="35"/>
      <c r="AO2173" s="35"/>
      <c r="AP2173" s="35">
        <v>2</v>
      </c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22">
        <f t="shared" si="710"/>
        <v>3</v>
      </c>
      <c r="BC2173" s="23">
        <v>50</v>
      </c>
      <c r="BD2173" s="130">
        <f t="shared" si="711"/>
        <v>3</v>
      </c>
      <c r="BE2173" s="130">
        <f t="shared" si="712"/>
        <v>50</v>
      </c>
      <c r="BF2173" s="195">
        <f t="shared" si="713"/>
        <v>6</v>
      </c>
      <c r="BG2173" s="373">
        <f t="shared" si="714"/>
        <v>47</v>
      </c>
    </row>
    <row r="2174" spans="1:61" s="46" customFormat="1" ht="15.95" customHeight="1">
      <c r="A2174" s="176">
        <v>21</v>
      </c>
      <c r="B2174" s="31" t="s">
        <v>881</v>
      </c>
      <c r="C2174" s="32" t="s">
        <v>882</v>
      </c>
      <c r="D2174" s="231"/>
      <c r="E2174" s="231"/>
      <c r="F2174" s="231"/>
      <c r="G2174" s="231"/>
      <c r="H2174" s="231"/>
      <c r="I2174" s="231"/>
      <c r="J2174" s="231"/>
      <c r="K2174" s="231"/>
      <c r="L2174" s="231"/>
      <c r="M2174" s="231"/>
      <c r="N2174" s="231"/>
      <c r="O2174" s="231"/>
      <c r="P2174" s="231"/>
      <c r="Q2174" s="231"/>
      <c r="R2174" s="231"/>
      <c r="S2174" s="231"/>
      <c r="T2174" s="231"/>
      <c r="U2174" s="231"/>
      <c r="V2174" s="231"/>
      <c r="W2174" s="231"/>
      <c r="X2174" s="231"/>
      <c r="Y2174" s="231"/>
      <c r="Z2174" s="231"/>
      <c r="AA2174" s="231"/>
      <c r="AB2174" s="22">
        <f t="shared" si="709"/>
        <v>0</v>
      </c>
      <c r="AC2174" s="23">
        <v>2</v>
      </c>
      <c r="AD2174" s="35"/>
      <c r="AE2174" s="35"/>
      <c r="AF2174" s="35"/>
      <c r="AG2174" s="35"/>
      <c r="AH2174" s="35">
        <v>7</v>
      </c>
      <c r="AI2174" s="35"/>
      <c r="AJ2174" s="35"/>
      <c r="AK2174" s="35"/>
      <c r="AL2174" s="35">
        <v>105</v>
      </c>
      <c r="AM2174" s="35"/>
      <c r="AN2174" s="35"/>
      <c r="AO2174" s="35"/>
      <c r="AP2174" s="35">
        <v>250</v>
      </c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22">
        <f t="shared" si="710"/>
        <v>362</v>
      </c>
      <c r="BC2174" s="23">
        <v>927</v>
      </c>
      <c r="BD2174" s="130">
        <f t="shared" si="711"/>
        <v>362</v>
      </c>
      <c r="BE2174" s="130">
        <f t="shared" si="712"/>
        <v>929</v>
      </c>
      <c r="BF2174" s="195">
        <f t="shared" si="713"/>
        <v>38.966630785791175</v>
      </c>
      <c r="BG2174" s="373">
        <f t="shared" si="714"/>
        <v>567</v>
      </c>
    </row>
    <row r="2175" spans="1:61" s="46" customFormat="1" ht="15.95" customHeight="1">
      <c r="A2175" s="176">
        <v>22</v>
      </c>
      <c r="B2175" s="31" t="s">
        <v>1214</v>
      </c>
      <c r="C2175" s="32" t="s">
        <v>3972</v>
      </c>
      <c r="D2175" s="545"/>
      <c r="E2175" s="545"/>
      <c r="F2175" s="545"/>
      <c r="G2175" s="545"/>
      <c r="H2175" s="545"/>
      <c r="I2175" s="545"/>
      <c r="J2175" s="545"/>
      <c r="K2175" s="545"/>
      <c r="L2175" s="545"/>
      <c r="M2175" s="545"/>
      <c r="N2175" s="545"/>
      <c r="O2175" s="545"/>
      <c r="P2175" s="545"/>
      <c r="Q2175" s="545"/>
      <c r="R2175" s="545"/>
      <c r="S2175" s="545"/>
      <c r="T2175" s="545"/>
      <c r="U2175" s="545"/>
      <c r="V2175" s="545"/>
      <c r="W2175" s="545"/>
      <c r="X2175" s="545"/>
      <c r="Y2175" s="545"/>
      <c r="Z2175" s="545"/>
      <c r="AA2175" s="545"/>
      <c r="AB2175" s="22">
        <f t="shared" si="709"/>
        <v>0</v>
      </c>
      <c r="AC2175" s="23">
        <v>0</v>
      </c>
      <c r="AD2175" s="35"/>
      <c r="AE2175" s="35"/>
      <c r="AF2175" s="35"/>
      <c r="AG2175" s="35"/>
      <c r="AH2175" s="35"/>
      <c r="AI2175" s="35"/>
      <c r="AJ2175" s="35"/>
      <c r="AK2175" s="35"/>
      <c r="AL2175" s="35">
        <v>1</v>
      </c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22">
        <f t="shared" si="710"/>
        <v>1</v>
      </c>
      <c r="BC2175" s="23">
        <v>0</v>
      </c>
      <c r="BD2175" s="130">
        <f t="shared" si="711"/>
        <v>1</v>
      </c>
      <c r="BE2175" s="130">
        <f t="shared" si="712"/>
        <v>0</v>
      </c>
      <c r="BF2175" s="195" t="e">
        <f t="shared" si="713"/>
        <v>#DIV/0!</v>
      </c>
      <c r="BG2175" s="373"/>
    </row>
    <row r="2176" spans="1:61" s="46" customFormat="1" ht="15.95" customHeight="1">
      <c r="A2176" s="176">
        <v>23</v>
      </c>
      <c r="B2176" s="48" t="s">
        <v>750</v>
      </c>
      <c r="C2176" s="32" t="s">
        <v>751</v>
      </c>
      <c r="D2176" s="231"/>
      <c r="E2176" s="231"/>
      <c r="F2176" s="231"/>
      <c r="G2176" s="231"/>
      <c r="H2176" s="231"/>
      <c r="I2176" s="231"/>
      <c r="J2176" s="231"/>
      <c r="K2176" s="231"/>
      <c r="L2176" s="231"/>
      <c r="M2176" s="231"/>
      <c r="N2176" s="231"/>
      <c r="O2176" s="231"/>
      <c r="P2176" s="231"/>
      <c r="Q2176" s="231"/>
      <c r="R2176" s="231"/>
      <c r="S2176" s="231"/>
      <c r="T2176" s="231"/>
      <c r="U2176" s="231"/>
      <c r="V2176" s="231"/>
      <c r="W2176" s="231"/>
      <c r="X2176" s="231"/>
      <c r="Y2176" s="231"/>
      <c r="Z2176" s="231"/>
      <c r="AA2176" s="231"/>
      <c r="AB2176" s="22">
        <f t="shared" si="709"/>
        <v>0</v>
      </c>
      <c r="AC2176" s="23">
        <v>0</v>
      </c>
      <c r="AD2176" s="35"/>
      <c r="AE2176" s="35"/>
      <c r="AF2176" s="35"/>
      <c r="AG2176" s="35"/>
      <c r="AH2176" s="35">
        <v>2</v>
      </c>
      <c r="AI2176" s="35"/>
      <c r="AJ2176" s="35"/>
      <c r="AK2176" s="35"/>
      <c r="AL2176" s="35">
        <v>7</v>
      </c>
      <c r="AM2176" s="35"/>
      <c r="AN2176" s="35"/>
      <c r="AO2176" s="35"/>
      <c r="AP2176" s="35">
        <v>17</v>
      </c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22">
        <f t="shared" si="710"/>
        <v>26</v>
      </c>
      <c r="BC2176" s="23">
        <v>82</v>
      </c>
      <c r="BD2176" s="130">
        <f t="shared" si="711"/>
        <v>26</v>
      </c>
      <c r="BE2176" s="130">
        <f t="shared" si="712"/>
        <v>82</v>
      </c>
      <c r="BF2176" s="195">
        <f t="shared" si="713"/>
        <v>31.707317073170731</v>
      </c>
      <c r="BG2176" s="373">
        <f t="shared" ref="BG2176:BG2207" si="715">BE2176-BD2176</f>
        <v>56</v>
      </c>
    </row>
    <row r="2177" spans="1:59" s="46" customFormat="1" ht="15.95" customHeight="1">
      <c r="A2177" s="176">
        <v>24</v>
      </c>
      <c r="B2177" s="48" t="s">
        <v>930</v>
      </c>
      <c r="C2177" s="32" t="s">
        <v>931</v>
      </c>
      <c r="D2177" s="321"/>
      <c r="E2177" s="321"/>
      <c r="F2177" s="321"/>
      <c r="G2177" s="321"/>
      <c r="H2177" s="321"/>
      <c r="I2177" s="321"/>
      <c r="J2177" s="321"/>
      <c r="K2177" s="321"/>
      <c r="L2177" s="321"/>
      <c r="M2177" s="321"/>
      <c r="N2177" s="321"/>
      <c r="O2177" s="321"/>
      <c r="P2177" s="321"/>
      <c r="Q2177" s="321"/>
      <c r="R2177" s="321"/>
      <c r="S2177" s="321"/>
      <c r="T2177" s="321"/>
      <c r="U2177" s="321"/>
      <c r="V2177" s="321"/>
      <c r="W2177" s="321"/>
      <c r="X2177" s="321"/>
      <c r="Y2177" s="321"/>
      <c r="Z2177" s="321"/>
      <c r="AA2177" s="321"/>
      <c r="AB2177" s="22">
        <f t="shared" si="709"/>
        <v>0</v>
      </c>
      <c r="AC2177" s="23">
        <v>0</v>
      </c>
      <c r="AD2177" s="35"/>
      <c r="AE2177" s="35"/>
      <c r="AF2177" s="35"/>
      <c r="AG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22">
        <f t="shared" si="710"/>
        <v>0</v>
      </c>
      <c r="BC2177" s="23">
        <v>19</v>
      </c>
      <c r="BD2177" s="130">
        <f t="shared" si="711"/>
        <v>0</v>
      </c>
      <c r="BE2177" s="130">
        <f t="shared" si="712"/>
        <v>19</v>
      </c>
      <c r="BF2177" s="195">
        <f t="shared" si="713"/>
        <v>0</v>
      </c>
      <c r="BG2177" s="373">
        <f t="shared" si="715"/>
        <v>19</v>
      </c>
    </row>
    <row r="2178" spans="1:59" s="46" customFormat="1" ht="15.95" customHeight="1">
      <c r="A2178" s="176">
        <v>25</v>
      </c>
      <c r="B2178" s="37" t="s">
        <v>754</v>
      </c>
      <c r="C2178" s="38" t="s">
        <v>889</v>
      </c>
      <c r="D2178" s="231"/>
      <c r="E2178" s="231"/>
      <c r="F2178" s="231"/>
      <c r="G2178" s="231"/>
      <c r="H2178" s="231"/>
      <c r="I2178" s="231"/>
      <c r="J2178" s="231"/>
      <c r="K2178" s="231"/>
      <c r="L2178" s="231"/>
      <c r="M2178" s="231"/>
      <c r="N2178" s="231"/>
      <c r="O2178" s="231"/>
      <c r="P2178" s="231"/>
      <c r="Q2178" s="231"/>
      <c r="R2178" s="231"/>
      <c r="S2178" s="231"/>
      <c r="T2178" s="231"/>
      <c r="U2178" s="231"/>
      <c r="V2178" s="231"/>
      <c r="W2178" s="231"/>
      <c r="X2178" s="231"/>
      <c r="Y2178" s="231"/>
      <c r="Z2178" s="231"/>
      <c r="AA2178" s="231"/>
      <c r="AB2178" s="22">
        <f t="shared" si="709"/>
        <v>0</v>
      </c>
      <c r="AC2178" s="23">
        <v>0</v>
      </c>
      <c r="AD2178" s="35"/>
      <c r="AE2178" s="35"/>
      <c r="AF2178" s="35"/>
      <c r="AG2178" s="35"/>
      <c r="AH2178" s="35"/>
      <c r="AI2178" s="35"/>
      <c r="AJ2178" s="35"/>
      <c r="AK2178" s="35"/>
      <c r="AL2178" s="35"/>
      <c r="AM2178" s="35"/>
      <c r="AN2178" s="35"/>
      <c r="AO2178" s="35"/>
      <c r="AP2178" s="35">
        <v>2</v>
      </c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22">
        <f t="shared" si="710"/>
        <v>2</v>
      </c>
      <c r="BC2178" s="23">
        <v>3</v>
      </c>
      <c r="BD2178" s="130">
        <f t="shared" si="711"/>
        <v>2</v>
      </c>
      <c r="BE2178" s="130">
        <f t="shared" si="712"/>
        <v>3</v>
      </c>
      <c r="BF2178" s="195">
        <f t="shared" si="713"/>
        <v>66.666666666666657</v>
      </c>
      <c r="BG2178" s="373">
        <f t="shared" si="715"/>
        <v>1</v>
      </c>
    </row>
    <row r="2179" spans="1:59" s="46" customFormat="1" ht="15.95" customHeight="1">
      <c r="A2179" s="176">
        <v>26</v>
      </c>
      <c r="B2179" s="31" t="s">
        <v>756</v>
      </c>
      <c r="C2179" s="32" t="s">
        <v>757</v>
      </c>
      <c r="D2179" s="231"/>
      <c r="E2179" s="231"/>
      <c r="F2179" s="231"/>
      <c r="G2179" s="231"/>
      <c r="H2179" s="231">
        <v>1</v>
      </c>
      <c r="I2179" s="231"/>
      <c r="J2179" s="231"/>
      <c r="K2179" s="231"/>
      <c r="L2179" s="231">
        <v>6</v>
      </c>
      <c r="M2179" s="231"/>
      <c r="N2179" s="231"/>
      <c r="O2179" s="231"/>
      <c r="P2179" s="231">
        <v>3</v>
      </c>
      <c r="Q2179" s="231"/>
      <c r="R2179" s="231"/>
      <c r="S2179" s="231"/>
      <c r="T2179" s="231"/>
      <c r="U2179" s="231"/>
      <c r="V2179" s="231"/>
      <c r="W2179" s="231"/>
      <c r="X2179" s="231"/>
      <c r="Y2179" s="231"/>
      <c r="Z2179" s="231"/>
      <c r="AA2179" s="231"/>
      <c r="AB2179" s="22">
        <f t="shared" si="709"/>
        <v>10</v>
      </c>
      <c r="AC2179" s="23">
        <v>15</v>
      </c>
      <c r="AD2179" s="35"/>
      <c r="AE2179" s="35"/>
      <c r="AF2179" s="35"/>
      <c r="AG2179" s="35"/>
      <c r="AH2179" s="35">
        <v>142</v>
      </c>
      <c r="AI2179" s="35"/>
      <c r="AJ2179" s="35"/>
      <c r="AK2179" s="35"/>
      <c r="AL2179" s="35">
        <v>574</v>
      </c>
      <c r="AM2179" s="35"/>
      <c r="AN2179" s="35"/>
      <c r="AO2179" s="35"/>
      <c r="AP2179" s="35">
        <v>535</v>
      </c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22">
        <f t="shared" si="710"/>
        <v>1251</v>
      </c>
      <c r="BC2179" s="23">
        <v>3432</v>
      </c>
      <c r="BD2179" s="130">
        <f t="shared" si="711"/>
        <v>1261</v>
      </c>
      <c r="BE2179" s="130">
        <f t="shared" si="712"/>
        <v>3447</v>
      </c>
      <c r="BF2179" s="195">
        <f t="shared" si="713"/>
        <v>36.582535538149116</v>
      </c>
      <c r="BG2179" s="373">
        <f t="shared" si="715"/>
        <v>2186</v>
      </c>
    </row>
    <row r="2180" spans="1:59" s="46" customFormat="1" ht="15.95" customHeight="1">
      <c r="A2180" s="176">
        <v>27</v>
      </c>
      <c r="B2180" s="31" t="s">
        <v>758</v>
      </c>
      <c r="C2180" s="32" t="s">
        <v>759</v>
      </c>
      <c r="D2180" s="231"/>
      <c r="E2180" s="231"/>
      <c r="F2180" s="231"/>
      <c r="G2180" s="231"/>
      <c r="H2180" s="231"/>
      <c r="I2180" s="231"/>
      <c r="J2180" s="231"/>
      <c r="K2180" s="231"/>
      <c r="L2180" s="231"/>
      <c r="M2180" s="231"/>
      <c r="N2180" s="231"/>
      <c r="O2180" s="231"/>
      <c r="P2180" s="231"/>
      <c r="Q2180" s="231"/>
      <c r="R2180" s="231"/>
      <c r="S2180" s="231"/>
      <c r="T2180" s="231"/>
      <c r="U2180" s="231"/>
      <c r="V2180" s="231"/>
      <c r="W2180" s="231"/>
      <c r="X2180" s="231"/>
      <c r="Y2180" s="231"/>
      <c r="Z2180" s="231"/>
      <c r="AA2180" s="231"/>
      <c r="AB2180" s="22">
        <f t="shared" si="709"/>
        <v>0</v>
      </c>
      <c r="AC2180" s="23">
        <v>0</v>
      </c>
      <c r="AD2180" s="35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22">
        <f t="shared" si="710"/>
        <v>0</v>
      </c>
      <c r="BC2180" s="23">
        <v>43</v>
      </c>
      <c r="BD2180" s="130">
        <f t="shared" si="711"/>
        <v>0</v>
      </c>
      <c r="BE2180" s="130">
        <f t="shared" si="712"/>
        <v>43</v>
      </c>
      <c r="BF2180" s="195">
        <f t="shared" si="713"/>
        <v>0</v>
      </c>
      <c r="BG2180" s="373">
        <f t="shared" si="715"/>
        <v>43</v>
      </c>
    </row>
    <row r="2181" spans="1:59" s="46" customFormat="1" ht="15.95" customHeight="1">
      <c r="A2181" s="176">
        <v>28</v>
      </c>
      <c r="B2181" s="31" t="s">
        <v>760</v>
      </c>
      <c r="C2181" s="32" t="s">
        <v>1130</v>
      </c>
      <c r="D2181" s="321"/>
      <c r="E2181" s="321"/>
      <c r="F2181" s="321"/>
      <c r="G2181" s="321"/>
      <c r="H2181" s="321"/>
      <c r="I2181" s="321"/>
      <c r="J2181" s="321"/>
      <c r="K2181" s="321"/>
      <c r="L2181" s="321"/>
      <c r="M2181" s="321"/>
      <c r="N2181" s="321"/>
      <c r="O2181" s="321"/>
      <c r="P2181" s="321"/>
      <c r="Q2181" s="321"/>
      <c r="R2181" s="321"/>
      <c r="S2181" s="321"/>
      <c r="T2181" s="321"/>
      <c r="U2181" s="321"/>
      <c r="V2181" s="321"/>
      <c r="W2181" s="321"/>
      <c r="X2181" s="321"/>
      <c r="Y2181" s="321"/>
      <c r="Z2181" s="321"/>
      <c r="AA2181" s="321"/>
      <c r="AB2181" s="22">
        <f t="shared" si="709"/>
        <v>0</v>
      </c>
      <c r="AC2181" s="23">
        <v>0</v>
      </c>
      <c r="AD2181" s="35"/>
      <c r="AE2181" s="35"/>
      <c r="AF2181" s="35"/>
      <c r="AG2181" s="35"/>
      <c r="AH2181" s="35"/>
      <c r="AI2181" s="35"/>
      <c r="AJ2181" s="35"/>
      <c r="AK2181" s="35"/>
      <c r="AL2181" s="35"/>
      <c r="AM2181" s="35"/>
      <c r="AN2181" s="35"/>
      <c r="AO2181" s="35"/>
      <c r="AP2181" s="35">
        <v>1</v>
      </c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22">
        <f t="shared" si="710"/>
        <v>1</v>
      </c>
      <c r="BC2181" s="23">
        <v>88</v>
      </c>
      <c r="BD2181" s="130">
        <f t="shared" si="711"/>
        <v>1</v>
      </c>
      <c r="BE2181" s="130">
        <f t="shared" si="712"/>
        <v>88</v>
      </c>
      <c r="BF2181" s="195">
        <f t="shared" si="713"/>
        <v>1.1363636363636365</v>
      </c>
      <c r="BG2181" s="373">
        <f t="shared" si="715"/>
        <v>87</v>
      </c>
    </row>
    <row r="2182" spans="1:59" s="46" customFormat="1" ht="15.95" customHeight="1">
      <c r="A2182" s="176">
        <v>29</v>
      </c>
      <c r="B2182" s="31" t="s">
        <v>764</v>
      </c>
      <c r="C2182" s="32" t="s">
        <v>765</v>
      </c>
      <c r="D2182" s="231"/>
      <c r="E2182" s="231"/>
      <c r="F2182" s="231"/>
      <c r="G2182" s="231"/>
      <c r="H2182" s="231"/>
      <c r="I2182" s="231"/>
      <c r="J2182" s="231"/>
      <c r="K2182" s="231"/>
      <c r="L2182" s="231"/>
      <c r="M2182" s="231"/>
      <c r="N2182" s="231"/>
      <c r="O2182" s="231"/>
      <c r="P2182" s="231"/>
      <c r="Q2182" s="231"/>
      <c r="R2182" s="231"/>
      <c r="S2182" s="231"/>
      <c r="T2182" s="231"/>
      <c r="U2182" s="231"/>
      <c r="V2182" s="231"/>
      <c r="W2182" s="231"/>
      <c r="X2182" s="231"/>
      <c r="Y2182" s="231"/>
      <c r="Z2182" s="231"/>
      <c r="AA2182" s="231"/>
      <c r="AB2182" s="22">
        <f t="shared" si="709"/>
        <v>0</v>
      </c>
      <c r="AC2182" s="23">
        <v>0</v>
      </c>
      <c r="AD2182" s="35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22">
        <f t="shared" si="710"/>
        <v>0</v>
      </c>
      <c r="BC2182" s="23">
        <v>3</v>
      </c>
      <c r="BD2182" s="130">
        <f t="shared" si="711"/>
        <v>0</v>
      </c>
      <c r="BE2182" s="130">
        <f t="shared" si="712"/>
        <v>3</v>
      </c>
      <c r="BF2182" s="195">
        <f t="shared" si="713"/>
        <v>0</v>
      </c>
      <c r="BG2182" s="373">
        <f t="shared" si="715"/>
        <v>3</v>
      </c>
    </row>
    <row r="2183" spans="1:59" s="46" customFormat="1" ht="15.95" customHeight="1">
      <c r="A2183" s="176">
        <v>30</v>
      </c>
      <c r="B2183" s="31" t="s">
        <v>1131</v>
      </c>
      <c r="C2183" s="32" t="s">
        <v>1132</v>
      </c>
      <c r="D2183" s="321"/>
      <c r="E2183" s="321"/>
      <c r="F2183" s="321"/>
      <c r="G2183" s="321"/>
      <c r="H2183" s="321"/>
      <c r="I2183" s="321"/>
      <c r="J2183" s="321"/>
      <c r="K2183" s="321"/>
      <c r="L2183" s="321"/>
      <c r="M2183" s="321"/>
      <c r="N2183" s="321"/>
      <c r="O2183" s="321"/>
      <c r="P2183" s="321"/>
      <c r="Q2183" s="321"/>
      <c r="R2183" s="321"/>
      <c r="S2183" s="321"/>
      <c r="T2183" s="321"/>
      <c r="U2183" s="321"/>
      <c r="V2183" s="321"/>
      <c r="W2183" s="321"/>
      <c r="X2183" s="321"/>
      <c r="Y2183" s="321"/>
      <c r="Z2183" s="321"/>
      <c r="AA2183" s="321"/>
      <c r="AB2183" s="22">
        <f t="shared" si="709"/>
        <v>0</v>
      </c>
      <c r="AC2183" s="23">
        <v>1</v>
      </c>
      <c r="AD2183" s="35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22">
        <f t="shared" si="710"/>
        <v>0</v>
      </c>
      <c r="BC2183" s="23">
        <v>1</v>
      </c>
      <c r="BD2183" s="130">
        <f t="shared" si="711"/>
        <v>0</v>
      </c>
      <c r="BE2183" s="130">
        <f t="shared" si="712"/>
        <v>2</v>
      </c>
      <c r="BF2183" s="195">
        <f t="shared" si="713"/>
        <v>0</v>
      </c>
      <c r="BG2183" s="373">
        <f t="shared" si="715"/>
        <v>2</v>
      </c>
    </row>
    <row r="2184" spans="1:59" s="46" customFormat="1" ht="15.95" customHeight="1">
      <c r="A2184" s="176">
        <v>31</v>
      </c>
      <c r="B2184" s="31" t="s">
        <v>1133</v>
      </c>
      <c r="C2184" s="32" t="s">
        <v>1134</v>
      </c>
      <c r="D2184" s="321"/>
      <c r="E2184" s="321"/>
      <c r="F2184" s="321"/>
      <c r="G2184" s="321"/>
      <c r="H2184" s="321"/>
      <c r="I2184" s="321"/>
      <c r="J2184" s="321"/>
      <c r="K2184" s="321"/>
      <c r="L2184" s="321"/>
      <c r="M2184" s="321"/>
      <c r="N2184" s="321"/>
      <c r="O2184" s="321"/>
      <c r="P2184" s="321"/>
      <c r="Q2184" s="321"/>
      <c r="R2184" s="321"/>
      <c r="S2184" s="321"/>
      <c r="T2184" s="321"/>
      <c r="U2184" s="321"/>
      <c r="V2184" s="321"/>
      <c r="W2184" s="321"/>
      <c r="X2184" s="321"/>
      <c r="Y2184" s="321"/>
      <c r="Z2184" s="321"/>
      <c r="AA2184" s="321"/>
      <c r="AB2184" s="22">
        <f t="shared" si="709"/>
        <v>0</v>
      </c>
      <c r="AC2184" s="23">
        <v>0</v>
      </c>
      <c r="AD2184" s="35"/>
      <c r="AE2184" s="35"/>
      <c r="AF2184" s="35"/>
      <c r="AG2184" s="35"/>
      <c r="AH2184" s="35">
        <v>2</v>
      </c>
      <c r="AI2184" s="35"/>
      <c r="AJ2184" s="35"/>
      <c r="AK2184" s="35"/>
      <c r="AL2184" s="35">
        <v>7</v>
      </c>
      <c r="AM2184" s="35"/>
      <c r="AN2184" s="35"/>
      <c r="AO2184" s="35"/>
      <c r="AP2184" s="35">
        <v>6</v>
      </c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22">
        <f t="shared" si="710"/>
        <v>15</v>
      </c>
      <c r="BC2184" s="23">
        <v>36</v>
      </c>
      <c r="BD2184" s="130">
        <f t="shared" si="711"/>
        <v>15</v>
      </c>
      <c r="BE2184" s="130">
        <f t="shared" si="712"/>
        <v>36</v>
      </c>
      <c r="BF2184" s="195">
        <f t="shared" si="713"/>
        <v>41.666666666666671</v>
      </c>
      <c r="BG2184" s="373">
        <f t="shared" si="715"/>
        <v>21</v>
      </c>
    </row>
    <row r="2185" spans="1:59" s="46" customFormat="1" ht="15.95" customHeight="1">
      <c r="A2185" s="176">
        <v>32</v>
      </c>
      <c r="B2185" s="31" t="s">
        <v>1135</v>
      </c>
      <c r="C2185" s="32" t="s">
        <v>1216</v>
      </c>
      <c r="D2185" s="231"/>
      <c r="E2185" s="231"/>
      <c r="F2185" s="231"/>
      <c r="G2185" s="231"/>
      <c r="H2185" s="231">
        <v>80</v>
      </c>
      <c r="I2185" s="231"/>
      <c r="J2185" s="231"/>
      <c r="K2185" s="231"/>
      <c r="L2185" s="231">
        <v>339</v>
      </c>
      <c r="M2185" s="231"/>
      <c r="N2185" s="231"/>
      <c r="O2185" s="231"/>
      <c r="P2185" s="231">
        <v>231</v>
      </c>
      <c r="Q2185" s="231"/>
      <c r="R2185" s="231"/>
      <c r="S2185" s="231"/>
      <c r="T2185" s="231"/>
      <c r="U2185" s="231"/>
      <c r="V2185" s="231"/>
      <c r="W2185" s="231"/>
      <c r="X2185" s="231"/>
      <c r="Y2185" s="231"/>
      <c r="Z2185" s="231"/>
      <c r="AA2185" s="231"/>
      <c r="AB2185" s="22">
        <f t="shared" si="709"/>
        <v>650</v>
      </c>
      <c r="AC2185" s="23">
        <v>2796</v>
      </c>
      <c r="AD2185" s="35"/>
      <c r="AE2185" s="35"/>
      <c r="AF2185" s="35"/>
      <c r="AG2185" s="35"/>
      <c r="AH2185" s="35">
        <v>364</v>
      </c>
      <c r="AI2185" s="35"/>
      <c r="AJ2185" s="35"/>
      <c r="AK2185" s="35"/>
      <c r="AL2185" s="35">
        <v>1600</v>
      </c>
      <c r="AM2185" s="35"/>
      <c r="AN2185" s="35"/>
      <c r="AO2185" s="35"/>
      <c r="AP2185" s="35">
        <v>1435</v>
      </c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22">
        <f t="shared" si="710"/>
        <v>3399</v>
      </c>
      <c r="BC2185" s="23">
        <v>8256</v>
      </c>
      <c r="BD2185" s="130">
        <f t="shared" si="711"/>
        <v>4049</v>
      </c>
      <c r="BE2185" s="130">
        <f t="shared" si="712"/>
        <v>11052</v>
      </c>
      <c r="BF2185" s="195">
        <f t="shared" si="713"/>
        <v>36.635903003981177</v>
      </c>
      <c r="BG2185" s="373">
        <f t="shared" si="715"/>
        <v>7003</v>
      </c>
    </row>
    <row r="2186" spans="1:59" s="46" customFormat="1" ht="24" customHeight="1">
      <c r="A2186" s="176">
        <v>33</v>
      </c>
      <c r="B2186" s="31" t="s">
        <v>1137</v>
      </c>
      <c r="C2186" s="34" t="s">
        <v>1217</v>
      </c>
      <c r="D2186" s="231"/>
      <c r="E2186" s="231"/>
      <c r="F2186" s="231"/>
      <c r="G2186" s="231"/>
      <c r="H2186" s="231"/>
      <c r="I2186" s="231"/>
      <c r="J2186" s="231"/>
      <c r="K2186" s="231"/>
      <c r="L2186" s="231"/>
      <c r="M2186" s="231"/>
      <c r="N2186" s="231"/>
      <c r="O2186" s="231"/>
      <c r="P2186" s="231"/>
      <c r="Q2186" s="231"/>
      <c r="R2186" s="231"/>
      <c r="S2186" s="231"/>
      <c r="T2186" s="231"/>
      <c r="U2186" s="231"/>
      <c r="V2186" s="231"/>
      <c r="W2186" s="231"/>
      <c r="X2186" s="231"/>
      <c r="Y2186" s="231"/>
      <c r="Z2186" s="231"/>
      <c r="AA2186" s="231"/>
      <c r="AB2186" s="22">
        <f t="shared" ref="AB2186:AB2217" si="716">SUM(D2186:AA2186)</f>
        <v>0</v>
      </c>
      <c r="AC2186" s="23">
        <v>0</v>
      </c>
      <c r="AD2186" s="35"/>
      <c r="AE2186" s="35"/>
      <c r="AF2186" s="35"/>
      <c r="AG2186" s="35"/>
      <c r="AH2186" s="35"/>
      <c r="AI2186" s="35"/>
      <c r="AJ2186" s="35"/>
      <c r="AK2186" s="35"/>
      <c r="AL2186" s="35"/>
      <c r="AM2186" s="35"/>
      <c r="AN2186" s="35"/>
      <c r="AO2186" s="35"/>
      <c r="AP2186" s="35">
        <v>4</v>
      </c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22">
        <f t="shared" ref="BB2186:BB2217" si="717">SUM(AD2186:BA2186)</f>
        <v>4</v>
      </c>
      <c r="BC2186" s="23">
        <v>27</v>
      </c>
      <c r="BD2186" s="130">
        <f t="shared" ref="BD2186:BD2217" si="718">AB2186+BB2186</f>
        <v>4</v>
      </c>
      <c r="BE2186" s="130">
        <f t="shared" ref="BE2186:BE2217" si="719">AC2186+BC2186</f>
        <v>27</v>
      </c>
      <c r="BF2186" s="195">
        <f t="shared" ref="BF2186:BF2217" si="720">BD2186/BE2186*100</f>
        <v>14.814814814814813</v>
      </c>
      <c r="BG2186" s="373">
        <f t="shared" si="715"/>
        <v>23</v>
      </c>
    </row>
    <row r="2187" spans="1:59" s="46" customFormat="1" ht="15.95" customHeight="1">
      <c r="A2187" s="176">
        <v>34</v>
      </c>
      <c r="B2187" s="31" t="s">
        <v>1218</v>
      </c>
      <c r="C2187" s="32" t="s">
        <v>1219</v>
      </c>
      <c r="D2187" s="231"/>
      <c r="E2187" s="231"/>
      <c r="F2187" s="231"/>
      <c r="G2187" s="231"/>
      <c r="H2187" s="231"/>
      <c r="I2187" s="231"/>
      <c r="J2187" s="231"/>
      <c r="K2187" s="231"/>
      <c r="L2187" s="231"/>
      <c r="M2187" s="231"/>
      <c r="N2187" s="231"/>
      <c r="O2187" s="231"/>
      <c r="P2187" s="231"/>
      <c r="Q2187" s="231"/>
      <c r="R2187" s="231"/>
      <c r="S2187" s="231"/>
      <c r="T2187" s="231"/>
      <c r="U2187" s="231"/>
      <c r="V2187" s="231"/>
      <c r="W2187" s="231"/>
      <c r="X2187" s="231"/>
      <c r="Y2187" s="231"/>
      <c r="Z2187" s="231"/>
      <c r="AA2187" s="231"/>
      <c r="AB2187" s="22">
        <f t="shared" si="716"/>
        <v>0</v>
      </c>
      <c r="AC2187" s="23">
        <v>0</v>
      </c>
      <c r="AD2187" s="35"/>
      <c r="AE2187" s="35"/>
      <c r="AF2187" s="35"/>
      <c r="AG2187" s="35"/>
      <c r="AH2187" s="35">
        <v>8</v>
      </c>
      <c r="AI2187" s="35"/>
      <c r="AJ2187" s="35"/>
      <c r="AK2187" s="35"/>
      <c r="AL2187" s="35">
        <v>27</v>
      </c>
      <c r="AM2187" s="35"/>
      <c r="AN2187" s="35"/>
      <c r="AO2187" s="35"/>
      <c r="AP2187" s="35">
        <v>16</v>
      </c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22">
        <f t="shared" si="717"/>
        <v>51</v>
      </c>
      <c r="BC2187" s="23">
        <v>84</v>
      </c>
      <c r="BD2187" s="130">
        <f t="shared" si="718"/>
        <v>51</v>
      </c>
      <c r="BE2187" s="130">
        <f t="shared" si="719"/>
        <v>84</v>
      </c>
      <c r="BF2187" s="195">
        <f t="shared" si="720"/>
        <v>60.714285714285708</v>
      </c>
      <c r="BG2187" s="373">
        <f t="shared" si="715"/>
        <v>33</v>
      </c>
    </row>
    <row r="2188" spans="1:59" s="46" customFormat="1" ht="15.95" customHeight="1">
      <c r="A2188" s="176">
        <v>35</v>
      </c>
      <c r="B2188" s="31" t="s">
        <v>2896</v>
      </c>
      <c r="C2188" s="32" t="s">
        <v>2897</v>
      </c>
      <c r="D2188" s="231"/>
      <c r="E2188" s="231"/>
      <c r="F2188" s="231"/>
      <c r="G2188" s="231"/>
      <c r="H2188" s="231"/>
      <c r="I2188" s="231"/>
      <c r="J2188" s="231"/>
      <c r="K2188" s="231"/>
      <c r="L2188" s="231"/>
      <c r="M2188" s="231"/>
      <c r="N2188" s="231"/>
      <c r="O2188" s="231"/>
      <c r="P2188" s="231"/>
      <c r="Q2188" s="231"/>
      <c r="R2188" s="231"/>
      <c r="S2188" s="231"/>
      <c r="T2188" s="231"/>
      <c r="U2188" s="231"/>
      <c r="V2188" s="231"/>
      <c r="W2188" s="231"/>
      <c r="X2188" s="231"/>
      <c r="Y2188" s="231"/>
      <c r="Z2188" s="231"/>
      <c r="AA2188" s="231"/>
      <c r="AB2188" s="22">
        <f t="shared" si="716"/>
        <v>0</v>
      </c>
      <c r="AC2188" s="23">
        <v>0</v>
      </c>
      <c r="AD2188" s="35"/>
      <c r="AE2188" s="35"/>
      <c r="AF2188" s="35"/>
      <c r="AG2188" s="35"/>
      <c r="AH2188" s="35"/>
      <c r="AI2188" s="35"/>
      <c r="AJ2188" s="35"/>
      <c r="AK2188" s="35"/>
      <c r="AL2188" s="35">
        <v>1</v>
      </c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22">
        <f t="shared" si="717"/>
        <v>1</v>
      </c>
      <c r="BC2188" s="23">
        <v>2</v>
      </c>
      <c r="BD2188" s="130">
        <f t="shared" si="718"/>
        <v>1</v>
      </c>
      <c r="BE2188" s="130">
        <f t="shared" si="719"/>
        <v>2</v>
      </c>
      <c r="BF2188" s="195">
        <f t="shared" si="720"/>
        <v>50</v>
      </c>
      <c r="BG2188" s="373">
        <f t="shared" si="715"/>
        <v>1</v>
      </c>
    </row>
    <row r="2189" spans="1:59" s="46" customFormat="1" ht="15.95" customHeight="1">
      <c r="A2189" s="176">
        <v>36</v>
      </c>
      <c r="B2189" s="31" t="s">
        <v>1364</v>
      </c>
      <c r="C2189" s="32" t="s">
        <v>1365</v>
      </c>
      <c r="D2189" s="231"/>
      <c r="E2189" s="231"/>
      <c r="F2189" s="231"/>
      <c r="G2189" s="231"/>
      <c r="H2189" s="231"/>
      <c r="I2189" s="231"/>
      <c r="J2189" s="231"/>
      <c r="K2189" s="231"/>
      <c r="L2189" s="231"/>
      <c r="M2189" s="231"/>
      <c r="N2189" s="231"/>
      <c r="O2189" s="231"/>
      <c r="P2189" s="231"/>
      <c r="Q2189" s="231"/>
      <c r="R2189" s="231"/>
      <c r="S2189" s="231"/>
      <c r="T2189" s="231"/>
      <c r="U2189" s="231"/>
      <c r="V2189" s="231"/>
      <c r="W2189" s="231"/>
      <c r="X2189" s="231"/>
      <c r="Y2189" s="231"/>
      <c r="Z2189" s="231"/>
      <c r="AA2189" s="231"/>
      <c r="AB2189" s="22">
        <f t="shared" si="716"/>
        <v>0</v>
      </c>
      <c r="AC2189" s="23">
        <v>0</v>
      </c>
      <c r="AD2189" s="35"/>
      <c r="AE2189" s="35"/>
      <c r="AF2189" s="35"/>
      <c r="AG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22">
        <f t="shared" si="717"/>
        <v>0</v>
      </c>
      <c r="BC2189" s="23">
        <v>8</v>
      </c>
      <c r="BD2189" s="130">
        <f t="shared" si="718"/>
        <v>0</v>
      </c>
      <c r="BE2189" s="130">
        <f t="shared" si="719"/>
        <v>8</v>
      </c>
      <c r="BF2189" s="195">
        <f t="shared" si="720"/>
        <v>0</v>
      </c>
      <c r="BG2189" s="373">
        <f t="shared" si="715"/>
        <v>8</v>
      </c>
    </row>
    <row r="2190" spans="1:59" s="46" customFormat="1" ht="15.95" customHeight="1">
      <c r="A2190" s="176">
        <v>37</v>
      </c>
      <c r="B2190" s="31" t="s">
        <v>1366</v>
      </c>
      <c r="C2190" s="32" t="s">
        <v>3169</v>
      </c>
      <c r="D2190" s="231"/>
      <c r="E2190" s="231"/>
      <c r="F2190" s="231"/>
      <c r="G2190" s="231"/>
      <c r="H2190" s="231"/>
      <c r="I2190" s="231"/>
      <c r="J2190" s="231"/>
      <c r="K2190" s="231"/>
      <c r="L2190" s="231"/>
      <c r="M2190" s="231"/>
      <c r="N2190" s="231"/>
      <c r="O2190" s="231"/>
      <c r="P2190" s="231"/>
      <c r="Q2190" s="231"/>
      <c r="R2190" s="231"/>
      <c r="S2190" s="231"/>
      <c r="T2190" s="231"/>
      <c r="U2190" s="231"/>
      <c r="V2190" s="231"/>
      <c r="W2190" s="231"/>
      <c r="X2190" s="231"/>
      <c r="Y2190" s="231"/>
      <c r="Z2190" s="231"/>
      <c r="AA2190" s="231"/>
      <c r="AB2190" s="22">
        <f t="shared" si="716"/>
        <v>0</v>
      </c>
      <c r="AC2190" s="23">
        <v>0</v>
      </c>
      <c r="AD2190" s="35"/>
      <c r="AE2190" s="35"/>
      <c r="AF2190" s="35"/>
      <c r="AG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22">
        <f t="shared" si="717"/>
        <v>0</v>
      </c>
      <c r="BC2190" s="23">
        <v>1</v>
      </c>
      <c r="BD2190" s="130">
        <f t="shared" si="718"/>
        <v>0</v>
      </c>
      <c r="BE2190" s="130">
        <f t="shared" si="719"/>
        <v>1</v>
      </c>
      <c r="BF2190" s="195">
        <f t="shared" si="720"/>
        <v>0</v>
      </c>
      <c r="BG2190" s="373">
        <f t="shared" si="715"/>
        <v>1</v>
      </c>
    </row>
    <row r="2191" spans="1:59" s="46" customFormat="1" ht="15.95" customHeight="1">
      <c r="A2191" s="176">
        <v>38</v>
      </c>
      <c r="B2191" s="31" t="s">
        <v>768</v>
      </c>
      <c r="C2191" s="32" t="s">
        <v>769</v>
      </c>
      <c r="D2191" s="286"/>
      <c r="E2191" s="286"/>
      <c r="F2191" s="286"/>
      <c r="G2191" s="286"/>
      <c r="H2191" s="286"/>
      <c r="I2191" s="286"/>
      <c r="J2191" s="286"/>
      <c r="K2191" s="286"/>
      <c r="L2191" s="286"/>
      <c r="M2191" s="286"/>
      <c r="N2191" s="286"/>
      <c r="O2191" s="286"/>
      <c r="P2191" s="286"/>
      <c r="Q2191" s="286"/>
      <c r="R2191" s="286"/>
      <c r="S2191" s="286"/>
      <c r="T2191" s="286"/>
      <c r="U2191" s="286"/>
      <c r="V2191" s="286"/>
      <c r="W2191" s="286"/>
      <c r="X2191" s="286"/>
      <c r="Y2191" s="286"/>
      <c r="Z2191" s="286"/>
      <c r="AA2191" s="286"/>
      <c r="AB2191" s="22">
        <f t="shared" si="716"/>
        <v>0</v>
      </c>
      <c r="AC2191" s="23">
        <v>0</v>
      </c>
      <c r="AD2191" s="35"/>
      <c r="AE2191" s="35"/>
      <c r="AF2191" s="35"/>
      <c r="AG2191" s="35"/>
      <c r="AH2191" s="35">
        <v>11</v>
      </c>
      <c r="AI2191" s="35"/>
      <c r="AJ2191" s="35"/>
      <c r="AK2191" s="35"/>
      <c r="AL2191" s="35">
        <v>50</v>
      </c>
      <c r="AM2191" s="35"/>
      <c r="AN2191" s="35"/>
      <c r="AO2191" s="35"/>
      <c r="AP2191" s="35">
        <v>54</v>
      </c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22">
        <f t="shared" si="717"/>
        <v>115</v>
      </c>
      <c r="BC2191" s="23">
        <v>242</v>
      </c>
      <c r="BD2191" s="130">
        <f t="shared" si="718"/>
        <v>115</v>
      </c>
      <c r="BE2191" s="130">
        <f t="shared" si="719"/>
        <v>242</v>
      </c>
      <c r="BF2191" s="195">
        <f t="shared" si="720"/>
        <v>47.520661157024797</v>
      </c>
      <c r="BG2191" s="373">
        <f t="shared" si="715"/>
        <v>127</v>
      </c>
    </row>
    <row r="2192" spans="1:59" s="46" customFormat="1" ht="15.95" customHeight="1">
      <c r="A2192" s="176">
        <v>39</v>
      </c>
      <c r="B2192" s="31" t="s">
        <v>770</v>
      </c>
      <c r="C2192" s="32" t="s">
        <v>1220</v>
      </c>
      <c r="D2192" s="334"/>
      <c r="E2192" s="334"/>
      <c r="F2192" s="334"/>
      <c r="G2192" s="334"/>
      <c r="H2192" s="334"/>
      <c r="I2192" s="334"/>
      <c r="J2192" s="334"/>
      <c r="K2192" s="334"/>
      <c r="L2192" s="334"/>
      <c r="M2192" s="334"/>
      <c r="N2192" s="334"/>
      <c r="O2192" s="334"/>
      <c r="P2192" s="334"/>
      <c r="Q2192" s="334"/>
      <c r="R2192" s="334"/>
      <c r="S2192" s="334"/>
      <c r="T2192" s="334"/>
      <c r="U2192" s="334"/>
      <c r="V2192" s="334"/>
      <c r="W2192" s="334"/>
      <c r="X2192" s="334"/>
      <c r="Y2192" s="334"/>
      <c r="Z2192" s="334"/>
      <c r="AA2192" s="334"/>
      <c r="AB2192" s="22">
        <f t="shared" si="716"/>
        <v>0</v>
      </c>
      <c r="AC2192" s="23">
        <v>0</v>
      </c>
      <c r="AD2192" s="35"/>
      <c r="AE2192" s="35"/>
      <c r="AF2192" s="35"/>
      <c r="AG2192" s="35"/>
      <c r="AH2192" s="35">
        <v>11</v>
      </c>
      <c r="AI2192" s="35"/>
      <c r="AJ2192" s="35"/>
      <c r="AK2192" s="35"/>
      <c r="AL2192" s="35">
        <v>50</v>
      </c>
      <c r="AM2192" s="35"/>
      <c r="AN2192" s="35"/>
      <c r="AO2192" s="35"/>
      <c r="AP2192" s="35">
        <v>55</v>
      </c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22">
        <f t="shared" si="717"/>
        <v>116</v>
      </c>
      <c r="BC2192" s="23">
        <v>247</v>
      </c>
      <c r="BD2192" s="130">
        <f t="shared" si="718"/>
        <v>116</v>
      </c>
      <c r="BE2192" s="130">
        <f t="shared" si="719"/>
        <v>247</v>
      </c>
      <c r="BF2192" s="195">
        <f t="shared" si="720"/>
        <v>46.963562753036435</v>
      </c>
      <c r="BG2192" s="373">
        <f t="shared" si="715"/>
        <v>131</v>
      </c>
    </row>
    <row r="2193" spans="1:59" s="46" customFormat="1" ht="15.95" customHeight="1">
      <c r="A2193" s="176">
        <v>40</v>
      </c>
      <c r="B2193" s="31" t="s">
        <v>772</v>
      </c>
      <c r="C2193" s="32" t="s">
        <v>773</v>
      </c>
      <c r="D2193" s="321"/>
      <c r="E2193" s="321"/>
      <c r="F2193" s="321"/>
      <c r="G2193" s="321"/>
      <c r="H2193" s="321"/>
      <c r="I2193" s="321"/>
      <c r="J2193" s="321"/>
      <c r="K2193" s="321"/>
      <c r="L2193" s="321">
        <v>3</v>
      </c>
      <c r="M2193" s="321"/>
      <c r="N2193" s="321"/>
      <c r="O2193" s="321"/>
      <c r="P2193" s="321"/>
      <c r="Q2193" s="321"/>
      <c r="R2193" s="321"/>
      <c r="S2193" s="321"/>
      <c r="T2193" s="321"/>
      <c r="U2193" s="321"/>
      <c r="V2193" s="321"/>
      <c r="W2193" s="321"/>
      <c r="X2193" s="321"/>
      <c r="Y2193" s="321"/>
      <c r="Z2193" s="321"/>
      <c r="AA2193" s="321"/>
      <c r="AB2193" s="22">
        <f t="shared" si="716"/>
        <v>3</v>
      </c>
      <c r="AC2193" s="23">
        <v>176</v>
      </c>
      <c r="AD2193" s="35"/>
      <c r="AE2193" s="35"/>
      <c r="AF2193" s="35"/>
      <c r="AG2193" s="35"/>
      <c r="AH2193" s="35">
        <v>26</v>
      </c>
      <c r="AI2193" s="35"/>
      <c r="AJ2193" s="35"/>
      <c r="AK2193" s="35"/>
      <c r="AL2193" s="35">
        <v>157</v>
      </c>
      <c r="AM2193" s="35"/>
      <c r="AN2193" s="35"/>
      <c r="AO2193" s="35"/>
      <c r="AP2193" s="35">
        <v>159</v>
      </c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22">
        <f t="shared" si="717"/>
        <v>342</v>
      </c>
      <c r="BC2193" s="23">
        <v>551</v>
      </c>
      <c r="BD2193" s="130">
        <f t="shared" si="718"/>
        <v>345</v>
      </c>
      <c r="BE2193" s="130">
        <f t="shared" si="719"/>
        <v>727</v>
      </c>
      <c r="BF2193" s="195">
        <f t="shared" si="720"/>
        <v>47.455295735900968</v>
      </c>
      <c r="BG2193" s="373">
        <f t="shared" si="715"/>
        <v>382</v>
      </c>
    </row>
    <row r="2194" spans="1:59" s="46" customFormat="1" ht="15.95" customHeight="1">
      <c r="A2194" s="176">
        <v>41</v>
      </c>
      <c r="B2194" s="31" t="s">
        <v>1290</v>
      </c>
      <c r="C2194" s="32" t="s">
        <v>1291</v>
      </c>
      <c r="D2194" s="231"/>
      <c r="E2194" s="231"/>
      <c r="F2194" s="231"/>
      <c r="G2194" s="231"/>
      <c r="H2194" s="231"/>
      <c r="I2194" s="231"/>
      <c r="J2194" s="231"/>
      <c r="K2194" s="231"/>
      <c r="L2194" s="231"/>
      <c r="M2194" s="231"/>
      <c r="N2194" s="231"/>
      <c r="O2194" s="231"/>
      <c r="P2194" s="231"/>
      <c r="Q2194" s="231"/>
      <c r="R2194" s="231"/>
      <c r="S2194" s="231"/>
      <c r="T2194" s="231"/>
      <c r="U2194" s="231"/>
      <c r="V2194" s="231"/>
      <c r="W2194" s="231"/>
      <c r="X2194" s="231"/>
      <c r="Y2194" s="231"/>
      <c r="Z2194" s="231"/>
      <c r="AA2194" s="231"/>
      <c r="AB2194" s="22">
        <f t="shared" si="716"/>
        <v>0</v>
      </c>
      <c r="AC2194" s="23">
        <v>0</v>
      </c>
      <c r="AD2194" s="35"/>
      <c r="AE2194" s="35"/>
      <c r="AF2194" s="35"/>
      <c r="AG2194" s="35"/>
      <c r="AH2194" s="35"/>
      <c r="AI2194" s="35"/>
      <c r="AJ2194" s="35"/>
      <c r="AK2194" s="35"/>
      <c r="AL2194" s="35">
        <v>1</v>
      </c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22">
        <f t="shared" si="717"/>
        <v>1</v>
      </c>
      <c r="BC2194" s="23">
        <v>3</v>
      </c>
      <c r="BD2194" s="130">
        <f t="shared" si="718"/>
        <v>1</v>
      </c>
      <c r="BE2194" s="130">
        <f t="shared" si="719"/>
        <v>3</v>
      </c>
      <c r="BF2194" s="195">
        <f t="shared" si="720"/>
        <v>33.333333333333329</v>
      </c>
      <c r="BG2194" s="373">
        <f t="shared" si="715"/>
        <v>2</v>
      </c>
    </row>
    <row r="2195" spans="1:59" s="46" customFormat="1" ht="15.95" customHeight="1">
      <c r="A2195" s="176">
        <v>42</v>
      </c>
      <c r="B2195" s="31" t="s">
        <v>1143</v>
      </c>
      <c r="C2195" s="32" t="s">
        <v>1144</v>
      </c>
      <c r="D2195" s="231"/>
      <c r="E2195" s="231"/>
      <c r="F2195" s="231"/>
      <c r="G2195" s="231"/>
      <c r="H2195" s="231">
        <v>61</v>
      </c>
      <c r="I2195" s="231"/>
      <c r="J2195" s="231"/>
      <c r="K2195" s="231"/>
      <c r="L2195" s="231">
        <v>243</v>
      </c>
      <c r="M2195" s="231"/>
      <c r="N2195" s="231"/>
      <c r="O2195" s="231"/>
      <c r="P2195" s="231">
        <v>156</v>
      </c>
      <c r="Q2195" s="231"/>
      <c r="R2195" s="231"/>
      <c r="S2195" s="231"/>
      <c r="T2195" s="231"/>
      <c r="U2195" s="231"/>
      <c r="V2195" s="231"/>
      <c r="W2195" s="231"/>
      <c r="X2195" s="231"/>
      <c r="Y2195" s="231"/>
      <c r="Z2195" s="231"/>
      <c r="AA2195" s="231"/>
      <c r="AB2195" s="22">
        <f t="shared" si="716"/>
        <v>460</v>
      </c>
      <c r="AC2195" s="23">
        <v>2070</v>
      </c>
      <c r="AD2195" s="35"/>
      <c r="AE2195" s="35"/>
      <c r="AF2195" s="35"/>
      <c r="AG2195" s="35"/>
      <c r="AH2195" s="35">
        <v>152</v>
      </c>
      <c r="AI2195" s="35"/>
      <c r="AJ2195" s="35"/>
      <c r="AK2195" s="35"/>
      <c r="AL2195" s="35">
        <v>675</v>
      </c>
      <c r="AM2195" s="35"/>
      <c r="AN2195" s="35"/>
      <c r="AO2195" s="35"/>
      <c r="AP2195" s="35">
        <v>568</v>
      </c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22">
        <f t="shared" si="717"/>
        <v>1395</v>
      </c>
      <c r="BC2195" s="23">
        <v>2916</v>
      </c>
      <c r="BD2195" s="130">
        <f t="shared" si="718"/>
        <v>1855</v>
      </c>
      <c r="BE2195" s="130">
        <f t="shared" si="719"/>
        <v>4986</v>
      </c>
      <c r="BF2195" s="195">
        <f t="shared" si="720"/>
        <v>37.204171680705976</v>
      </c>
      <c r="BG2195" s="373">
        <f t="shared" si="715"/>
        <v>3131</v>
      </c>
    </row>
    <row r="2196" spans="1:59" s="46" customFormat="1" ht="15.95" customHeight="1">
      <c r="A2196" s="176">
        <v>43</v>
      </c>
      <c r="B2196" s="31" t="s">
        <v>783</v>
      </c>
      <c r="C2196" s="32" t="s">
        <v>784</v>
      </c>
      <c r="D2196" s="231"/>
      <c r="E2196" s="231"/>
      <c r="F2196" s="231"/>
      <c r="G2196" s="231"/>
      <c r="H2196" s="231"/>
      <c r="I2196" s="231"/>
      <c r="J2196" s="231"/>
      <c r="K2196" s="231"/>
      <c r="L2196" s="231"/>
      <c r="M2196" s="231"/>
      <c r="N2196" s="231"/>
      <c r="O2196" s="231"/>
      <c r="P2196" s="231"/>
      <c r="Q2196" s="231"/>
      <c r="R2196" s="231"/>
      <c r="S2196" s="231"/>
      <c r="T2196" s="231"/>
      <c r="U2196" s="231"/>
      <c r="V2196" s="231"/>
      <c r="W2196" s="231"/>
      <c r="X2196" s="231"/>
      <c r="Y2196" s="231"/>
      <c r="Z2196" s="231"/>
      <c r="AA2196" s="231"/>
      <c r="AB2196" s="22">
        <f t="shared" si="716"/>
        <v>0</v>
      </c>
      <c r="AC2196" s="23">
        <v>0</v>
      </c>
      <c r="AD2196" s="35"/>
      <c r="AE2196" s="35"/>
      <c r="AF2196" s="35"/>
      <c r="AG2196" s="35"/>
      <c r="AH2196" s="35">
        <v>76</v>
      </c>
      <c r="AI2196" s="35"/>
      <c r="AJ2196" s="35"/>
      <c r="AK2196" s="35"/>
      <c r="AL2196" s="35">
        <v>316</v>
      </c>
      <c r="AM2196" s="35"/>
      <c r="AN2196" s="35"/>
      <c r="AO2196" s="35"/>
      <c r="AP2196" s="35">
        <v>291</v>
      </c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22">
        <f t="shared" si="717"/>
        <v>683</v>
      </c>
      <c r="BC2196" s="23">
        <v>681</v>
      </c>
      <c r="BD2196" s="130">
        <f t="shared" si="718"/>
        <v>683</v>
      </c>
      <c r="BE2196" s="130">
        <f t="shared" si="719"/>
        <v>681</v>
      </c>
      <c r="BF2196" s="195">
        <f t="shared" si="720"/>
        <v>100.29368575624082</v>
      </c>
      <c r="BG2196" s="373">
        <f t="shared" si="715"/>
        <v>-2</v>
      </c>
    </row>
    <row r="2197" spans="1:59" s="46" customFormat="1" ht="15.95" customHeight="1">
      <c r="A2197" s="176">
        <v>44</v>
      </c>
      <c r="B2197" s="31" t="s">
        <v>1371</v>
      </c>
      <c r="C2197" s="32" t="s">
        <v>2810</v>
      </c>
      <c r="D2197" s="268"/>
      <c r="E2197" s="268"/>
      <c r="F2197" s="268"/>
      <c r="G2197" s="268"/>
      <c r="H2197" s="268"/>
      <c r="I2197" s="268"/>
      <c r="J2197" s="268"/>
      <c r="K2197" s="268"/>
      <c r="L2197" s="268"/>
      <c r="M2197" s="268"/>
      <c r="N2197" s="268"/>
      <c r="O2197" s="268"/>
      <c r="P2197" s="268"/>
      <c r="Q2197" s="268"/>
      <c r="R2197" s="268"/>
      <c r="S2197" s="268"/>
      <c r="T2197" s="268"/>
      <c r="U2197" s="268"/>
      <c r="V2197" s="268"/>
      <c r="W2197" s="268"/>
      <c r="X2197" s="268"/>
      <c r="Y2197" s="268"/>
      <c r="Z2197" s="268"/>
      <c r="AA2197" s="268"/>
      <c r="AB2197" s="22">
        <f t="shared" si="716"/>
        <v>0</v>
      </c>
      <c r="AC2197" s="23">
        <v>0</v>
      </c>
      <c r="AD2197" s="35"/>
      <c r="AE2197" s="35"/>
      <c r="AF2197" s="35"/>
      <c r="AG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22">
        <f t="shared" si="717"/>
        <v>0</v>
      </c>
      <c r="BC2197" s="23">
        <v>94</v>
      </c>
      <c r="BD2197" s="130">
        <f t="shared" si="718"/>
        <v>0</v>
      </c>
      <c r="BE2197" s="130">
        <f t="shared" si="719"/>
        <v>94</v>
      </c>
      <c r="BF2197" s="195">
        <f t="shared" si="720"/>
        <v>0</v>
      </c>
      <c r="BG2197" s="373">
        <f t="shared" si="715"/>
        <v>94</v>
      </c>
    </row>
    <row r="2198" spans="1:59" s="46" customFormat="1" ht="15.95" customHeight="1">
      <c r="A2198" s="176">
        <v>45</v>
      </c>
      <c r="B2198" s="31" t="s">
        <v>999</v>
      </c>
      <c r="C2198" s="32" t="s">
        <v>1000</v>
      </c>
      <c r="D2198" s="231"/>
      <c r="E2198" s="231"/>
      <c r="F2198" s="231"/>
      <c r="G2198" s="231"/>
      <c r="H2198" s="231"/>
      <c r="I2198" s="231"/>
      <c r="J2198" s="231"/>
      <c r="K2198" s="231"/>
      <c r="L2198" s="231"/>
      <c r="M2198" s="231"/>
      <c r="N2198" s="231"/>
      <c r="O2198" s="231"/>
      <c r="P2198" s="231"/>
      <c r="Q2198" s="231"/>
      <c r="R2198" s="231"/>
      <c r="S2198" s="231"/>
      <c r="T2198" s="231"/>
      <c r="U2198" s="231"/>
      <c r="V2198" s="231"/>
      <c r="W2198" s="231"/>
      <c r="X2198" s="231"/>
      <c r="Y2198" s="231"/>
      <c r="Z2198" s="231"/>
      <c r="AA2198" s="231"/>
      <c r="AB2198" s="22">
        <f t="shared" si="716"/>
        <v>0</v>
      </c>
      <c r="AC2198" s="23">
        <v>1</v>
      </c>
      <c r="AD2198" s="35"/>
      <c r="AE2198" s="35"/>
      <c r="AF2198" s="35"/>
      <c r="AG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22">
        <f t="shared" si="717"/>
        <v>0</v>
      </c>
      <c r="BC2198" s="23">
        <v>0</v>
      </c>
      <c r="BD2198" s="130">
        <f t="shared" si="718"/>
        <v>0</v>
      </c>
      <c r="BE2198" s="130">
        <f t="shared" si="719"/>
        <v>1</v>
      </c>
      <c r="BF2198" s="195">
        <f t="shared" si="720"/>
        <v>0</v>
      </c>
      <c r="BG2198" s="373">
        <f t="shared" si="715"/>
        <v>1</v>
      </c>
    </row>
    <row r="2199" spans="1:59" s="46" customFormat="1" ht="15.95" customHeight="1">
      <c r="A2199" s="176">
        <v>46</v>
      </c>
      <c r="B2199" s="31" t="s">
        <v>3484</v>
      </c>
      <c r="C2199" s="32" t="s">
        <v>3485</v>
      </c>
      <c r="D2199" s="231"/>
      <c r="E2199" s="231"/>
      <c r="F2199" s="231"/>
      <c r="G2199" s="231"/>
      <c r="H2199" s="231"/>
      <c r="I2199" s="231"/>
      <c r="J2199" s="231"/>
      <c r="K2199" s="231"/>
      <c r="L2199" s="231"/>
      <c r="M2199" s="231"/>
      <c r="N2199" s="231"/>
      <c r="O2199" s="231"/>
      <c r="P2199" s="231"/>
      <c r="Q2199" s="231"/>
      <c r="R2199" s="231"/>
      <c r="S2199" s="231"/>
      <c r="T2199" s="231"/>
      <c r="U2199" s="231"/>
      <c r="V2199" s="231"/>
      <c r="W2199" s="231"/>
      <c r="X2199" s="231"/>
      <c r="Y2199" s="231"/>
      <c r="Z2199" s="231"/>
      <c r="AA2199" s="231"/>
      <c r="AB2199" s="22">
        <f t="shared" si="716"/>
        <v>0</v>
      </c>
      <c r="AC2199" s="23">
        <v>0</v>
      </c>
      <c r="AD2199" s="35"/>
      <c r="AE2199" s="35"/>
      <c r="AF2199" s="35"/>
      <c r="AG2199" s="35"/>
      <c r="AH2199" s="35"/>
      <c r="AI2199" s="35"/>
      <c r="AJ2199" s="35"/>
      <c r="AK2199" s="35">
        <v>65</v>
      </c>
      <c r="AL2199" s="35">
        <v>263</v>
      </c>
      <c r="AM2199" s="35"/>
      <c r="AN2199" s="35"/>
      <c r="AO2199" s="35"/>
      <c r="AP2199" s="35">
        <v>235</v>
      </c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22">
        <f t="shared" si="717"/>
        <v>563</v>
      </c>
      <c r="BC2199" s="23">
        <v>122</v>
      </c>
      <c r="BD2199" s="130">
        <f t="shared" si="718"/>
        <v>563</v>
      </c>
      <c r="BE2199" s="130">
        <f t="shared" si="719"/>
        <v>122</v>
      </c>
      <c r="BF2199" s="195">
        <f t="shared" si="720"/>
        <v>461.47540983606564</v>
      </c>
      <c r="BG2199" s="373">
        <f t="shared" si="715"/>
        <v>-441</v>
      </c>
    </row>
    <row r="2200" spans="1:59" s="46" customFormat="1" ht="15.95" customHeight="1">
      <c r="A2200" s="176">
        <v>47</v>
      </c>
      <c r="B2200" s="31" t="s">
        <v>1072</v>
      </c>
      <c r="C2200" s="32" t="s">
        <v>1073</v>
      </c>
      <c r="D2200" s="366"/>
      <c r="E2200" s="366"/>
      <c r="F2200" s="366"/>
      <c r="G2200" s="366"/>
      <c r="H2200" s="366"/>
      <c r="I2200" s="366"/>
      <c r="J2200" s="366"/>
      <c r="K2200" s="366"/>
      <c r="L2200" s="366"/>
      <c r="M2200" s="366"/>
      <c r="N2200" s="366"/>
      <c r="O2200" s="366"/>
      <c r="P2200" s="366"/>
      <c r="Q2200" s="366"/>
      <c r="R2200" s="366"/>
      <c r="S2200" s="366"/>
      <c r="T2200" s="366"/>
      <c r="U2200" s="366"/>
      <c r="V2200" s="366"/>
      <c r="W2200" s="366"/>
      <c r="X2200" s="366"/>
      <c r="Y2200" s="366"/>
      <c r="Z2200" s="366"/>
      <c r="AA2200" s="366"/>
      <c r="AB2200" s="22">
        <f t="shared" si="716"/>
        <v>0</v>
      </c>
      <c r="AC2200" s="23">
        <v>1</v>
      </c>
      <c r="AD2200" s="35"/>
      <c r="AE2200" s="35"/>
      <c r="AF2200" s="35"/>
      <c r="AG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22">
        <f t="shared" si="717"/>
        <v>0</v>
      </c>
      <c r="BC2200" s="23">
        <v>0</v>
      </c>
      <c r="BD2200" s="130">
        <f t="shared" si="718"/>
        <v>0</v>
      </c>
      <c r="BE2200" s="130">
        <f t="shared" si="719"/>
        <v>1</v>
      </c>
      <c r="BF2200" s="195">
        <f t="shared" si="720"/>
        <v>0</v>
      </c>
      <c r="BG2200" s="373">
        <f t="shared" si="715"/>
        <v>1</v>
      </c>
    </row>
    <row r="2201" spans="1:59" s="46" customFormat="1" ht="15.95" customHeight="1">
      <c r="A2201" s="176">
        <v>48</v>
      </c>
      <c r="B2201" s="31" t="s">
        <v>819</v>
      </c>
      <c r="C2201" s="32" t="s">
        <v>1074</v>
      </c>
      <c r="D2201" s="366"/>
      <c r="E2201" s="366"/>
      <c r="F2201" s="366"/>
      <c r="G2201" s="366"/>
      <c r="H2201" s="366"/>
      <c r="I2201" s="366"/>
      <c r="J2201" s="366"/>
      <c r="K2201" s="366"/>
      <c r="L2201" s="366"/>
      <c r="M2201" s="366"/>
      <c r="N2201" s="366"/>
      <c r="O2201" s="366"/>
      <c r="P2201" s="366">
        <v>2</v>
      </c>
      <c r="Q2201" s="366"/>
      <c r="R2201" s="366"/>
      <c r="S2201" s="366"/>
      <c r="T2201" s="366"/>
      <c r="U2201" s="366"/>
      <c r="V2201" s="366"/>
      <c r="W2201" s="366"/>
      <c r="X2201" s="366"/>
      <c r="Y2201" s="366"/>
      <c r="Z2201" s="366"/>
      <c r="AA2201" s="366"/>
      <c r="AB2201" s="22">
        <f t="shared" si="716"/>
        <v>2</v>
      </c>
      <c r="AC2201" s="23">
        <v>2</v>
      </c>
      <c r="AD2201" s="35"/>
      <c r="AE2201" s="35"/>
      <c r="AF2201" s="35"/>
      <c r="AG2201" s="35"/>
      <c r="AH2201" s="35">
        <v>103</v>
      </c>
      <c r="AI2201" s="35"/>
      <c r="AJ2201" s="35"/>
      <c r="AK2201" s="35"/>
      <c r="AL2201" s="35">
        <v>684</v>
      </c>
      <c r="AM2201" s="35"/>
      <c r="AN2201" s="35"/>
      <c r="AO2201" s="35"/>
      <c r="AP2201" s="35">
        <v>827</v>
      </c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22">
        <f t="shared" si="717"/>
        <v>1614</v>
      </c>
      <c r="BC2201" s="23">
        <v>3739</v>
      </c>
      <c r="BD2201" s="130">
        <f t="shared" si="718"/>
        <v>1616</v>
      </c>
      <c r="BE2201" s="130">
        <f t="shared" si="719"/>
        <v>3741</v>
      </c>
      <c r="BF2201" s="195">
        <f t="shared" si="720"/>
        <v>43.197006148088747</v>
      </c>
      <c r="BG2201" s="373">
        <f t="shared" si="715"/>
        <v>2125</v>
      </c>
    </row>
    <row r="2202" spans="1:59" s="46" customFormat="1" ht="15.95" customHeight="1">
      <c r="A2202" s="176">
        <v>49</v>
      </c>
      <c r="B2202" s="31" t="s">
        <v>3486</v>
      </c>
      <c r="C2202" s="32" t="s">
        <v>3487</v>
      </c>
      <c r="D2202" s="366"/>
      <c r="E2202" s="366"/>
      <c r="F2202" s="366"/>
      <c r="G2202" s="366"/>
      <c r="H2202" s="366"/>
      <c r="I2202" s="366"/>
      <c r="J2202" s="366"/>
      <c r="K2202" s="366"/>
      <c r="L2202" s="366"/>
      <c r="M2202" s="366"/>
      <c r="N2202" s="366"/>
      <c r="O2202" s="366"/>
      <c r="P2202" s="366"/>
      <c r="Q2202" s="366"/>
      <c r="R2202" s="366"/>
      <c r="S2202" s="366"/>
      <c r="T2202" s="366"/>
      <c r="U2202" s="366"/>
      <c r="V2202" s="366"/>
      <c r="W2202" s="366"/>
      <c r="X2202" s="366"/>
      <c r="Y2202" s="366"/>
      <c r="Z2202" s="366"/>
      <c r="AA2202" s="366"/>
      <c r="AB2202" s="22">
        <f t="shared" si="716"/>
        <v>0</v>
      </c>
      <c r="AC2202" s="23">
        <v>0</v>
      </c>
      <c r="AD2202" s="35"/>
      <c r="AE2202" s="35"/>
      <c r="AF2202" s="35"/>
      <c r="AG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22">
        <f t="shared" si="717"/>
        <v>0</v>
      </c>
      <c r="BC2202" s="23">
        <v>1</v>
      </c>
      <c r="BD2202" s="130">
        <f t="shared" si="718"/>
        <v>0</v>
      </c>
      <c r="BE2202" s="130">
        <f t="shared" si="719"/>
        <v>1</v>
      </c>
      <c r="BF2202" s="195">
        <f t="shared" si="720"/>
        <v>0</v>
      </c>
      <c r="BG2202" s="373">
        <f t="shared" si="715"/>
        <v>1</v>
      </c>
    </row>
    <row r="2203" spans="1:59" s="46" customFormat="1" ht="15" customHeight="1">
      <c r="A2203" s="176">
        <v>50</v>
      </c>
      <c r="B2203" s="31" t="s">
        <v>1166</v>
      </c>
      <c r="C2203" s="32" t="s">
        <v>1167</v>
      </c>
      <c r="D2203" s="366"/>
      <c r="E2203" s="366"/>
      <c r="F2203" s="366"/>
      <c r="G2203" s="366"/>
      <c r="H2203" s="366"/>
      <c r="I2203" s="366"/>
      <c r="J2203" s="366"/>
      <c r="K2203" s="366"/>
      <c r="L2203" s="366"/>
      <c r="M2203" s="366"/>
      <c r="N2203" s="366"/>
      <c r="O2203" s="366"/>
      <c r="P2203" s="366"/>
      <c r="Q2203" s="366"/>
      <c r="R2203" s="366"/>
      <c r="S2203" s="366"/>
      <c r="T2203" s="366"/>
      <c r="U2203" s="366"/>
      <c r="V2203" s="366"/>
      <c r="W2203" s="366"/>
      <c r="X2203" s="366"/>
      <c r="Y2203" s="366"/>
      <c r="Z2203" s="366"/>
      <c r="AA2203" s="366"/>
      <c r="AB2203" s="22">
        <f t="shared" si="716"/>
        <v>0</v>
      </c>
      <c r="AC2203" s="23">
        <v>0</v>
      </c>
      <c r="AD2203" s="35"/>
      <c r="AE2203" s="35"/>
      <c r="AF2203" s="35"/>
      <c r="AG2203" s="35"/>
      <c r="AH2203" s="35"/>
      <c r="AI2203" s="35"/>
      <c r="AJ2203" s="35"/>
      <c r="AK2203" s="35"/>
      <c r="AL2203" s="35">
        <v>2</v>
      </c>
      <c r="AM2203" s="35"/>
      <c r="AN2203" s="35"/>
      <c r="AO2203" s="35"/>
      <c r="AP2203" s="35">
        <v>1</v>
      </c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22">
        <f t="shared" si="717"/>
        <v>3</v>
      </c>
      <c r="BC2203" s="23">
        <v>13</v>
      </c>
      <c r="BD2203" s="130">
        <f t="shared" si="718"/>
        <v>3</v>
      </c>
      <c r="BE2203" s="130">
        <f t="shared" si="719"/>
        <v>13</v>
      </c>
      <c r="BF2203" s="195">
        <f t="shared" si="720"/>
        <v>23.076923076923077</v>
      </c>
      <c r="BG2203" s="373">
        <f t="shared" si="715"/>
        <v>10</v>
      </c>
    </row>
    <row r="2204" spans="1:59" s="46" customFormat="1" ht="15.95" customHeight="1">
      <c r="A2204" s="176">
        <v>51</v>
      </c>
      <c r="B2204" s="31" t="s">
        <v>1221</v>
      </c>
      <c r="C2204" s="32" t="s">
        <v>1222</v>
      </c>
      <c r="D2204" s="366"/>
      <c r="E2204" s="366"/>
      <c r="F2204" s="366"/>
      <c r="G2204" s="366"/>
      <c r="H2204" s="366"/>
      <c r="I2204" s="366"/>
      <c r="J2204" s="366"/>
      <c r="K2204" s="366"/>
      <c r="L2204" s="366"/>
      <c r="M2204" s="366"/>
      <c r="N2204" s="366"/>
      <c r="O2204" s="366"/>
      <c r="P2204" s="366"/>
      <c r="Q2204" s="366"/>
      <c r="R2204" s="366"/>
      <c r="S2204" s="366"/>
      <c r="T2204" s="366"/>
      <c r="U2204" s="366"/>
      <c r="V2204" s="366"/>
      <c r="W2204" s="366"/>
      <c r="X2204" s="366"/>
      <c r="Y2204" s="366"/>
      <c r="Z2204" s="366"/>
      <c r="AA2204" s="366"/>
      <c r="AB2204" s="22">
        <f t="shared" si="716"/>
        <v>0</v>
      </c>
      <c r="AC2204" s="23">
        <v>0</v>
      </c>
      <c r="AD2204" s="35"/>
      <c r="AE2204" s="35"/>
      <c r="AF2204" s="35"/>
      <c r="AG2204" s="35"/>
      <c r="AH2204" s="35">
        <v>2</v>
      </c>
      <c r="AI2204" s="35"/>
      <c r="AJ2204" s="35"/>
      <c r="AK2204" s="35"/>
      <c r="AL2204" s="35">
        <v>8</v>
      </c>
      <c r="AM2204" s="35"/>
      <c r="AN2204" s="35"/>
      <c r="AO2204" s="35"/>
      <c r="AP2204" s="35">
        <v>11</v>
      </c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22">
        <f t="shared" si="717"/>
        <v>21</v>
      </c>
      <c r="BC2204" s="23">
        <v>38</v>
      </c>
      <c r="BD2204" s="130">
        <f t="shared" si="718"/>
        <v>21</v>
      </c>
      <c r="BE2204" s="130">
        <f t="shared" si="719"/>
        <v>38</v>
      </c>
      <c r="BF2204" s="195">
        <f t="shared" si="720"/>
        <v>55.26315789473685</v>
      </c>
      <c r="BG2204" s="373">
        <f t="shared" si="715"/>
        <v>17</v>
      </c>
    </row>
    <row r="2205" spans="1:59" s="46" customFormat="1" ht="15.95" customHeight="1">
      <c r="A2205" s="176">
        <v>52</v>
      </c>
      <c r="B2205" s="31" t="s">
        <v>1223</v>
      </c>
      <c r="C2205" s="32" t="s">
        <v>1224</v>
      </c>
      <c r="D2205" s="231"/>
      <c r="E2205" s="231"/>
      <c r="F2205" s="231"/>
      <c r="G2205" s="231"/>
      <c r="H2205" s="231"/>
      <c r="I2205" s="231"/>
      <c r="J2205" s="231"/>
      <c r="K2205" s="231"/>
      <c r="L2205" s="231"/>
      <c r="M2205" s="231"/>
      <c r="N2205" s="231"/>
      <c r="O2205" s="231"/>
      <c r="P2205" s="231"/>
      <c r="Q2205" s="231"/>
      <c r="R2205" s="231"/>
      <c r="S2205" s="231"/>
      <c r="T2205" s="231"/>
      <c r="U2205" s="231"/>
      <c r="V2205" s="231"/>
      <c r="W2205" s="231"/>
      <c r="X2205" s="231"/>
      <c r="Y2205" s="231"/>
      <c r="Z2205" s="231"/>
      <c r="AA2205" s="231"/>
      <c r="AB2205" s="22">
        <f t="shared" si="716"/>
        <v>0</v>
      </c>
      <c r="AC2205" s="23">
        <v>0</v>
      </c>
      <c r="AD2205" s="35"/>
      <c r="AE2205" s="35"/>
      <c r="AF2205" s="35"/>
      <c r="AG2205" s="35"/>
      <c r="AH2205" s="35">
        <v>10</v>
      </c>
      <c r="AI2205" s="35"/>
      <c r="AJ2205" s="35"/>
      <c r="AK2205" s="35"/>
      <c r="AL2205" s="35">
        <v>75</v>
      </c>
      <c r="AM2205" s="35"/>
      <c r="AN2205" s="35"/>
      <c r="AO2205" s="35"/>
      <c r="AP2205" s="35">
        <v>46</v>
      </c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22">
        <f t="shared" si="717"/>
        <v>131</v>
      </c>
      <c r="BC2205" s="23">
        <v>405</v>
      </c>
      <c r="BD2205" s="130">
        <f t="shared" si="718"/>
        <v>131</v>
      </c>
      <c r="BE2205" s="130">
        <f t="shared" si="719"/>
        <v>405</v>
      </c>
      <c r="BF2205" s="195">
        <f t="shared" si="720"/>
        <v>32.345679012345677</v>
      </c>
      <c r="BG2205" s="373">
        <f t="shared" si="715"/>
        <v>274</v>
      </c>
    </row>
    <row r="2206" spans="1:59" s="46" customFormat="1" ht="15.95" customHeight="1">
      <c r="A2206" s="176">
        <v>53</v>
      </c>
      <c r="B2206" s="31" t="s">
        <v>2314</v>
      </c>
      <c r="C2206" s="32" t="s">
        <v>2315</v>
      </c>
      <c r="D2206" s="231"/>
      <c r="E2206" s="231"/>
      <c r="F2206" s="231"/>
      <c r="G2206" s="231"/>
      <c r="H2206" s="231"/>
      <c r="I2206" s="231"/>
      <c r="J2206" s="231"/>
      <c r="K2206" s="231"/>
      <c r="L2206" s="231"/>
      <c r="M2206" s="231"/>
      <c r="N2206" s="231"/>
      <c r="O2206" s="231"/>
      <c r="P2206" s="231"/>
      <c r="Q2206" s="231"/>
      <c r="R2206" s="231"/>
      <c r="S2206" s="231"/>
      <c r="T2206" s="231"/>
      <c r="U2206" s="231"/>
      <c r="V2206" s="231"/>
      <c r="W2206" s="231"/>
      <c r="X2206" s="231"/>
      <c r="Y2206" s="231"/>
      <c r="Z2206" s="231"/>
      <c r="AA2206" s="231"/>
      <c r="AB2206" s="22">
        <f t="shared" si="716"/>
        <v>0</v>
      </c>
      <c r="AC2206" s="23">
        <v>0</v>
      </c>
      <c r="AD2206" s="35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>
        <v>2</v>
      </c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22">
        <f t="shared" si="717"/>
        <v>2</v>
      </c>
      <c r="BC2206" s="23">
        <v>4</v>
      </c>
      <c r="BD2206" s="130">
        <f t="shared" si="718"/>
        <v>2</v>
      </c>
      <c r="BE2206" s="130">
        <f t="shared" si="719"/>
        <v>4</v>
      </c>
      <c r="BF2206" s="195">
        <f t="shared" si="720"/>
        <v>50</v>
      </c>
      <c r="BG2206" s="373">
        <f t="shared" si="715"/>
        <v>2</v>
      </c>
    </row>
    <row r="2207" spans="1:59" s="46" customFormat="1" ht="15.95" customHeight="1">
      <c r="A2207" s="176">
        <v>54</v>
      </c>
      <c r="B2207" s="31" t="s">
        <v>1225</v>
      </c>
      <c r="C2207" s="32" t="s">
        <v>1226</v>
      </c>
      <c r="D2207" s="231"/>
      <c r="E2207" s="231"/>
      <c r="F2207" s="231"/>
      <c r="G2207" s="231"/>
      <c r="H2207" s="231"/>
      <c r="I2207" s="231"/>
      <c r="J2207" s="231"/>
      <c r="K2207" s="231"/>
      <c r="L2207" s="231"/>
      <c r="M2207" s="231"/>
      <c r="N2207" s="231"/>
      <c r="O2207" s="231"/>
      <c r="P2207" s="231"/>
      <c r="Q2207" s="231"/>
      <c r="R2207" s="231"/>
      <c r="S2207" s="231"/>
      <c r="T2207" s="231"/>
      <c r="U2207" s="231"/>
      <c r="V2207" s="231"/>
      <c r="W2207" s="231"/>
      <c r="X2207" s="231"/>
      <c r="Y2207" s="231"/>
      <c r="Z2207" s="231"/>
      <c r="AA2207" s="231"/>
      <c r="AB2207" s="22">
        <f t="shared" si="716"/>
        <v>0</v>
      </c>
      <c r="AC2207" s="23">
        <v>0</v>
      </c>
      <c r="AD2207" s="35"/>
      <c r="AE2207" s="35"/>
      <c r="AF2207" s="35"/>
      <c r="AG2207" s="35"/>
      <c r="AH2207" s="35">
        <v>1</v>
      </c>
      <c r="AI2207" s="35"/>
      <c r="AJ2207" s="35"/>
      <c r="AK2207" s="35"/>
      <c r="AL2207" s="35">
        <v>2</v>
      </c>
      <c r="AM2207" s="35"/>
      <c r="AN2207" s="35"/>
      <c r="AO2207" s="35"/>
      <c r="AP2207" s="35">
        <v>7</v>
      </c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22">
        <f t="shared" si="717"/>
        <v>10</v>
      </c>
      <c r="BC2207" s="23">
        <v>88</v>
      </c>
      <c r="BD2207" s="130">
        <f t="shared" si="718"/>
        <v>10</v>
      </c>
      <c r="BE2207" s="130">
        <f t="shared" si="719"/>
        <v>88</v>
      </c>
      <c r="BF2207" s="195">
        <f t="shared" si="720"/>
        <v>11.363636363636363</v>
      </c>
      <c r="BG2207" s="373">
        <f t="shared" si="715"/>
        <v>78</v>
      </c>
    </row>
    <row r="2208" spans="1:59" s="46" customFormat="1" ht="15.95" customHeight="1">
      <c r="A2208" s="176">
        <v>55</v>
      </c>
      <c r="B2208" s="31" t="s">
        <v>3488</v>
      </c>
      <c r="C2208" s="32" t="s">
        <v>3489</v>
      </c>
      <c r="D2208" s="231"/>
      <c r="E2208" s="231"/>
      <c r="F2208" s="231"/>
      <c r="G2208" s="231"/>
      <c r="H2208" s="231"/>
      <c r="I2208" s="231"/>
      <c r="J2208" s="231"/>
      <c r="K2208" s="231"/>
      <c r="L2208" s="231"/>
      <c r="M2208" s="231"/>
      <c r="N2208" s="231"/>
      <c r="O2208" s="231"/>
      <c r="P2208" s="231"/>
      <c r="Q2208" s="231"/>
      <c r="R2208" s="231"/>
      <c r="S2208" s="231"/>
      <c r="T2208" s="231"/>
      <c r="U2208" s="231"/>
      <c r="V2208" s="231"/>
      <c r="W2208" s="231"/>
      <c r="X2208" s="231"/>
      <c r="Y2208" s="231"/>
      <c r="Z2208" s="231"/>
      <c r="AA2208" s="231"/>
      <c r="AB2208" s="22">
        <f t="shared" si="716"/>
        <v>0</v>
      </c>
      <c r="AC2208" s="23">
        <v>0</v>
      </c>
      <c r="AD2208" s="35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22">
        <f t="shared" si="717"/>
        <v>0</v>
      </c>
      <c r="BC2208" s="23">
        <v>1</v>
      </c>
      <c r="BD2208" s="130">
        <f t="shared" si="718"/>
        <v>0</v>
      </c>
      <c r="BE2208" s="130">
        <f t="shared" si="719"/>
        <v>1</v>
      </c>
      <c r="BF2208" s="195">
        <f t="shared" si="720"/>
        <v>0</v>
      </c>
      <c r="BG2208" s="373">
        <f t="shared" ref="BG2208:BG2231" si="721">BE2208-BD2208</f>
        <v>1</v>
      </c>
    </row>
    <row r="2209" spans="1:59" s="46" customFormat="1" ht="15.95" customHeight="1">
      <c r="A2209" s="176">
        <v>56</v>
      </c>
      <c r="B2209" s="31" t="s">
        <v>1168</v>
      </c>
      <c r="C2209" s="32" t="s">
        <v>1169</v>
      </c>
      <c r="D2209" s="231"/>
      <c r="E2209" s="231"/>
      <c r="F2209" s="231"/>
      <c r="G2209" s="231"/>
      <c r="H2209" s="231"/>
      <c r="I2209" s="231"/>
      <c r="J2209" s="231"/>
      <c r="K2209" s="231"/>
      <c r="L2209" s="231"/>
      <c r="M2209" s="231"/>
      <c r="N2209" s="231"/>
      <c r="O2209" s="231"/>
      <c r="P2209" s="231"/>
      <c r="Q2209" s="231"/>
      <c r="R2209" s="231"/>
      <c r="S2209" s="231"/>
      <c r="T2209" s="231"/>
      <c r="U2209" s="231"/>
      <c r="V2209" s="231"/>
      <c r="W2209" s="231"/>
      <c r="X2209" s="231"/>
      <c r="Y2209" s="231"/>
      <c r="Z2209" s="231"/>
      <c r="AA2209" s="231"/>
      <c r="AB2209" s="22">
        <f t="shared" si="716"/>
        <v>0</v>
      </c>
      <c r="AC2209" s="23">
        <v>0</v>
      </c>
      <c r="AD2209" s="35"/>
      <c r="AE2209" s="35"/>
      <c r="AF2209" s="35"/>
      <c r="AG2209" s="35"/>
      <c r="AH2209" s="35">
        <v>39</v>
      </c>
      <c r="AI2209" s="35"/>
      <c r="AJ2209" s="35"/>
      <c r="AK2209" s="35"/>
      <c r="AL2209" s="35">
        <v>202</v>
      </c>
      <c r="AM2209" s="35"/>
      <c r="AN2209" s="35"/>
      <c r="AO2209" s="35"/>
      <c r="AP2209" s="35">
        <v>152</v>
      </c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22">
        <f t="shared" si="717"/>
        <v>393</v>
      </c>
      <c r="BC2209" s="23">
        <v>702</v>
      </c>
      <c r="BD2209" s="130">
        <f t="shared" si="718"/>
        <v>393</v>
      </c>
      <c r="BE2209" s="130">
        <f t="shared" si="719"/>
        <v>702</v>
      </c>
      <c r="BF2209" s="195">
        <f t="shared" si="720"/>
        <v>55.982905982905983</v>
      </c>
      <c r="BG2209" s="373">
        <f t="shared" si="721"/>
        <v>309</v>
      </c>
    </row>
    <row r="2210" spans="1:59" s="46" customFormat="1" ht="15.95" customHeight="1">
      <c r="A2210" s="176">
        <v>57</v>
      </c>
      <c r="B2210" s="31" t="s">
        <v>1170</v>
      </c>
      <c r="C2210" s="32" t="s">
        <v>1171</v>
      </c>
      <c r="D2210" s="231"/>
      <c r="E2210" s="231"/>
      <c r="F2210" s="231"/>
      <c r="G2210" s="231"/>
      <c r="H2210" s="231"/>
      <c r="I2210" s="231"/>
      <c r="J2210" s="231"/>
      <c r="K2210" s="231"/>
      <c r="L2210" s="231"/>
      <c r="M2210" s="231"/>
      <c r="N2210" s="231"/>
      <c r="O2210" s="231"/>
      <c r="P2210" s="231"/>
      <c r="Q2210" s="231"/>
      <c r="R2210" s="231"/>
      <c r="S2210" s="231"/>
      <c r="T2210" s="231"/>
      <c r="U2210" s="231"/>
      <c r="V2210" s="231"/>
      <c r="W2210" s="231"/>
      <c r="X2210" s="231"/>
      <c r="Y2210" s="231"/>
      <c r="Z2210" s="231"/>
      <c r="AA2210" s="231"/>
      <c r="AB2210" s="22">
        <f t="shared" si="716"/>
        <v>0</v>
      </c>
      <c r="AC2210" s="23">
        <v>0</v>
      </c>
      <c r="AD2210" s="35"/>
      <c r="AE2210" s="35"/>
      <c r="AF2210" s="35"/>
      <c r="AG2210" s="35"/>
      <c r="AH2210" s="35">
        <v>26</v>
      </c>
      <c r="AI2210" s="35"/>
      <c r="AJ2210" s="35"/>
      <c r="AK2210" s="35"/>
      <c r="AL2210" s="35">
        <v>87</v>
      </c>
      <c r="AM2210" s="35"/>
      <c r="AN2210" s="35"/>
      <c r="AO2210" s="35"/>
      <c r="AP2210" s="35">
        <v>75</v>
      </c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22">
        <f t="shared" si="717"/>
        <v>188</v>
      </c>
      <c r="BC2210" s="23">
        <v>420</v>
      </c>
      <c r="BD2210" s="130">
        <f t="shared" si="718"/>
        <v>188</v>
      </c>
      <c r="BE2210" s="130">
        <f t="shared" si="719"/>
        <v>420</v>
      </c>
      <c r="BF2210" s="195">
        <f t="shared" si="720"/>
        <v>44.761904761904766</v>
      </c>
      <c r="BG2210" s="373">
        <f t="shared" si="721"/>
        <v>232</v>
      </c>
    </row>
    <row r="2211" spans="1:59" s="46" customFormat="1" ht="21" customHeight="1">
      <c r="A2211" s="176">
        <v>58</v>
      </c>
      <c r="B2211" s="31" t="s">
        <v>1227</v>
      </c>
      <c r="C2211" s="34" t="s">
        <v>1228</v>
      </c>
      <c r="D2211" s="231"/>
      <c r="E2211" s="231"/>
      <c r="F2211" s="231"/>
      <c r="G2211" s="231"/>
      <c r="H2211" s="231"/>
      <c r="I2211" s="231"/>
      <c r="J2211" s="231"/>
      <c r="K2211" s="231"/>
      <c r="L2211" s="231"/>
      <c r="M2211" s="231"/>
      <c r="N2211" s="231"/>
      <c r="O2211" s="231"/>
      <c r="P2211" s="231"/>
      <c r="Q2211" s="231"/>
      <c r="R2211" s="231"/>
      <c r="S2211" s="231"/>
      <c r="T2211" s="231"/>
      <c r="U2211" s="231"/>
      <c r="V2211" s="231"/>
      <c r="W2211" s="231"/>
      <c r="X2211" s="231"/>
      <c r="Y2211" s="231"/>
      <c r="Z2211" s="231"/>
      <c r="AA2211" s="231"/>
      <c r="AB2211" s="22">
        <f t="shared" si="716"/>
        <v>0</v>
      </c>
      <c r="AC2211" s="23">
        <v>0</v>
      </c>
      <c r="AD2211" s="35"/>
      <c r="AE2211" s="35"/>
      <c r="AF2211" s="35"/>
      <c r="AG2211" s="35"/>
      <c r="AH2211" s="35">
        <v>17</v>
      </c>
      <c r="AI2211" s="35"/>
      <c r="AJ2211" s="35"/>
      <c r="AK2211" s="35"/>
      <c r="AL2211" s="35">
        <v>41</v>
      </c>
      <c r="AM2211" s="35"/>
      <c r="AN2211" s="35"/>
      <c r="AO2211" s="35"/>
      <c r="AP2211" s="35">
        <v>53</v>
      </c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22">
        <f t="shared" si="717"/>
        <v>111</v>
      </c>
      <c r="BC2211" s="23">
        <v>640</v>
      </c>
      <c r="BD2211" s="130">
        <f t="shared" si="718"/>
        <v>111</v>
      </c>
      <c r="BE2211" s="130">
        <f t="shared" si="719"/>
        <v>640</v>
      </c>
      <c r="BF2211" s="195">
        <f t="shared" si="720"/>
        <v>17.34375</v>
      </c>
      <c r="BG2211" s="373">
        <f t="shared" si="721"/>
        <v>529</v>
      </c>
    </row>
    <row r="2212" spans="1:59" s="46" customFormat="1" ht="20.25" customHeight="1">
      <c r="A2212" s="176">
        <v>59</v>
      </c>
      <c r="B2212" s="31" t="s">
        <v>117</v>
      </c>
      <c r="C2212" s="32" t="s">
        <v>1229</v>
      </c>
      <c r="D2212" s="231"/>
      <c r="E2212" s="231"/>
      <c r="F2212" s="231"/>
      <c r="G2212" s="231"/>
      <c r="H2212" s="231"/>
      <c r="I2212" s="231"/>
      <c r="J2212" s="231"/>
      <c r="K2212" s="231"/>
      <c r="L2212" s="231"/>
      <c r="M2212" s="231"/>
      <c r="N2212" s="231"/>
      <c r="O2212" s="231"/>
      <c r="P2212" s="231"/>
      <c r="Q2212" s="231"/>
      <c r="R2212" s="231"/>
      <c r="S2212" s="231"/>
      <c r="T2212" s="231"/>
      <c r="U2212" s="231"/>
      <c r="V2212" s="231"/>
      <c r="W2212" s="231"/>
      <c r="X2212" s="231"/>
      <c r="Y2212" s="231"/>
      <c r="Z2212" s="231"/>
      <c r="AA2212" s="231"/>
      <c r="AB2212" s="22">
        <f t="shared" si="716"/>
        <v>0</v>
      </c>
      <c r="AC2212" s="23">
        <v>0</v>
      </c>
      <c r="AD2212" s="35"/>
      <c r="AE2212" s="35"/>
      <c r="AF2212" s="35"/>
      <c r="AG2212" s="35"/>
      <c r="AH2212" s="35">
        <v>47</v>
      </c>
      <c r="AI2212" s="35"/>
      <c r="AJ2212" s="35"/>
      <c r="AK2212" s="35"/>
      <c r="AL2212" s="35">
        <v>204</v>
      </c>
      <c r="AM2212" s="35"/>
      <c r="AN2212" s="35"/>
      <c r="AO2212" s="35"/>
      <c r="AP2212" s="35">
        <v>198</v>
      </c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22">
        <f t="shared" si="717"/>
        <v>449</v>
      </c>
      <c r="BC2212" s="23">
        <v>1214</v>
      </c>
      <c r="BD2212" s="130">
        <f t="shared" si="718"/>
        <v>449</v>
      </c>
      <c r="BE2212" s="130">
        <f t="shared" si="719"/>
        <v>1214</v>
      </c>
      <c r="BF2212" s="195">
        <f t="shared" si="720"/>
        <v>36.985172981878087</v>
      </c>
      <c r="BG2212" s="373">
        <f t="shared" si="721"/>
        <v>765</v>
      </c>
    </row>
    <row r="2213" spans="1:59" s="46" customFormat="1" ht="15.75" customHeight="1">
      <c r="A2213" s="176">
        <v>60</v>
      </c>
      <c r="B2213" s="31" t="s">
        <v>131</v>
      </c>
      <c r="C2213" s="32" t="s">
        <v>1230</v>
      </c>
      <c r="D2213" s="231"/>
      <c r="E2213" s="231"/>
      <c r="F2213" s="231"/>
      <c r="G2213" s="231"/>
      <c r="H2213" s="231"/>
      <c r="I2213" s="231"/>
      <c r="J2213" s="231"/>
      <c r="K2213" s="231"/>
      <c r="L2213" s="231"/>
      <c r="M2213" s="231"/>
      <c r="N2213" s="231"/>
      <c r="O2213" s="231"/>
      <c r="P2213" s="231"/>
      <c r="Q2213" s="231"/>
      <c r="R2213" s="231"/>
      <c r="S2213" s="231"/>
      <c r="T2213" s="231"/>
      <c r="U2213" s="231"/>
      <c r="V2213" s="231"/>
      <c r="W2213" s="231"/>
      <c r="X2213" s="231"/>
      <c r="Y2213" s="231"/>
      <c r="Z2213" s="231"/>
      <c r="AA2213" s="231"/>
      <c r="AB2213" s="22">
        <f t="shared" si="716"/>
        <v>0</v>
      </c>
      <c r="AC2213" s="23">
        <v>0</v>
      </c>
      <c r="AD2213" s="35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22">
        <f t="shared" si="717"/>
        <v>0</v>
      </c>
      <c r="BC2213" s="23">
        <v>6</v>
      </c>
      <c r="BD2213" s="130">
        <f t="shared" si="718"/>
        <v>0</v>
      </c>
      <c r="BE2213" s="130">
        <f t="shared" si="719"/>
        <v>6</v>
      </c>
      <c r="BF2213" s="195">
        <f t="shared" si="720"/>
        <v>0</v>
      </c>
      <c r="BG2213" s="373">
        <f t="shared" si="721"/>
        <v>6</v>
      </c>
    </row>
    <row r="2214" spans="1:59" s="46" customFormat="1" ht="15.75" customHeight="1">
      <c r="A2214" s="176">
        <v>61</v>
      </c>
      <c r="B2214" s="31" t="s">
        <v>132</v>
      </c>
      <c r="C2214" s="32" t="s">
        <v>133</v>
      </c>
      <c r="D2214" s="231"/>
      <c r="E2214" s="231"/>
      <c r="F2214" s="231"/>
      <c r="G2214" s="231"/>
      <c r="H2214" s="231"/>
      <c r="I2214" s="231"/>
      <c r="J2214" s="231"/>
      <c r="K2214" s="231"/>
      <c r="L2214" s="231"/>
      <c r="M2214" s="231"/>
      <c r="N2214" s="231"/>
      <c r="O2214" s="231"/>
      <c r="P2214" s="231"/>
      <c r="Q2214" s="231"/>
      <c r="R2214" s="231"/>
      <c r="S2214" s="231"/>
      <c r="T2214" s="231"/>
      <c r="U2214" s="231"/>
      <c r="V2214" s="231"/>
      <c r="W2214" s="231"/>
      <c r="X2214" s="231"/>
      <c r="Y2214" s="231"/>
      <c r="Z2214" s="231"/>
      <c r="AA2214" s="231"/>
      <c r="AB2214" s="22">
        <f t="shared" si="716"/>
        <v>0</v>
      </c>
      <c r="AC2214" s="23">
        <v>0</v>
      </c>
      <c r="AD2214" s="35"/>
      <c r="AE2214" s="35"/>
      <c r="AF2214" s="35"/>
      <c r="AG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22">
        <f t="shared" si="717"/>
        <v>0</v>
      </c>
      <c r="BC2214" s="23">
        <v>13</v>
      </c>
      <c r="BD2214" s="130">
        <f t="shared" si="718"/>
        <v>0</v>
      </c>
      <c r="BE2214" s="130">
        <f t="shared" si="719"/>
        <v>13</v>
      </c>
      <c r="BF2214" s="195">
        <f t="shared" si="720"/>
        <v>0</v>
      </c>
      <c r="BG2214" s="373">
        <f t="shared" si="721"/>
        <v>13</v>
      </c>
    </row>
    <row r="2215" spans="1:59" s="46" customFormat="1" ht="15.75" customHeight="1">
      <c r="A2215" s="176">
        <v>62</v>
      </c>
      <c r="B2215" s="31" t="s">
        <v>134</v>
      </c>
      <c r="C2215" s="32" t="s">
        <v>135</v>
      </c>
      <c r="D2215" s="231"/>
      <c r="E2215" s="231"/>
      <c r="F2215" s="231"/>
      <c r="G2215" s="231"/>
      <c r="H2215" s="231"/>
      <c r="I2215" s="231"/>
      <c r="J2215" s="231"/>
      <c r="K2215" s="231"/>
      <c r="L2215" s="231"/>
      <c r="M2215" s="231"/>
      <c r="N2215" s="231"/>
      <c r="O2215" s="231"/>
      <c r="P2215" s="231"/>
      <c r="Q2215" s="231"/>
      <c r="R2215" s="231"/>
      <c r="S2215" s="231"/>
      <c r="T2215" s="231"/>
      <c r="U2215" s="231"/>
      <c r="V2215" s="231"/>
      <c r="W2215" s="231"/>
      <c r="X2215" s="231"/>
      <c r="Y2215" s="231"/>
      <c r="Z2215" s="231"/>
      <c r="AA2215" s="231"/>
      <c r="AB2215" s="22">
        <f t="shared" si="716"/>
        <v>0</v>
      </c>
      <c r="AC2215" s="23">
        <v>0</v>
      </c>
      <c r="AD2215" s="35"/>
      <c r="AE2215" s="35"/>
      <c r="AF2215" s="35"/>
      <c r="AG2215" s="35"/>
      <c r="AH2215" s="35"/>
      <c r="AI2215" s="35"/>
      <c r="AJ2215" s="35"/>
      <c r="AK2215" s="35"/>
      <c r="AL2215" s="35">
        <v>3</v>
      </c>
      <c r="AM2215" s="35"/>
      <c r="AN2215" s="35"/>
      <c r="AO2215" s="35"/>
      <c r="AP2215" s="35">
        <v>3</v>
      </c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22">
        <f t="shared" si="717"/>
        <v>6</v>
      </c>
      <c r="BC2215" s="23">
        <v>16</v>
      </c>
      <c r="BD2215" s="130">
        <f t="shared" si="718"/>
        <v>6</v>
      </c>
      <c r="BE2215" s="130">
        <f t="shared" si="719"/>
        <v>16</v>
      </c>
      <c r="BF2215" s="195">
        <f t="shared" si="720"/>
        <v>37.5</v>
      </c>
      <c r="BG2215" s="373">
        <f t="shared" si="721"/>
        <v>10</v>
      </c>
    </row>
    <row r="2216" spans="1:59" s="46" customFormat="1" ht="15.75" customHeight="1">
      <c r="A2216" s="176">
        <v>63</v>
      </c>
      <c r="B2216" s="31" t="s">
        <v>3311</v>
      </c>
      <c r="C2216" s="32" t="s">
        <v>3312</v>
      </c>
      <c r="D2216" s="231"/>
      <c r="E2216" s="231"/>
      <c r="F2216" s="231"/>
      <c r="G2216" s="231"/>
      <c r="H2216" s="231"/>
      <c r="I2216" s="231"/>
      <c r="J2216" s="231"/>
      <c r="K2216" s="231"/>
      <c r="L2216" s="231"/>
      <c r="M2216" s="231"/>
      <c r="N2216" s="231"/>
      <c r="O2216" s="231"/>
      <c r="P2216" s="231"/>
      <c r="Q2216" s="231"/>
      <c r="R2216" s="231"/>
      <c r="S2216" s="231"/>
      <c r="T2216" s="231"/>
      <c r="U2216" s="231"/>
      <c r="V2216" s="231"/>
      <c r="W2216" s="231"/>
      <c r="X2216" s="231"/>
      <c r="Y2216" s="231"/>
      <c r="Z2216" s="231"/>
      <c r="AA2216" s="231"/>
      <c r="AB2216" s="22">
        <f t="shared" si="716"/>
        <v>0</v>
      </c>
      <c r="AC2216" s="23">
        <v>0</v>
      </c>
      <c r="AD2216" s="35"/>
      <c r="AE2216" s="35"/>
      <c r="AF2216" s="35"/>
      <c r="AG2216" s="35"/>
      <c r="AH2216" s="35"/>
      <c r="AI2216" s="35"/>
      <c r="AJ2216" s="35"/>
      <c r="AK2216" s="35"/>
      <c r="AL2216" s="35">
        <v>8</v>
      </c>
      <c r="AM2216" s="35"/>
      <c r="AN2216" s="35"/>
      <c r="AO2216" s="35"/>
      <c r="AP2216" s="35">
        <v>10</v>
      </c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22">
        <f t="shared" si="717"/>
        <v>18</v>
      </c>
      <c r="BC2216" s="23">
        <v>4</v>
      </c>
      <c r="BD2216" s="130">
        <f t="shared" si="718"/>
        <v>18</v>
      </c>
      <c r="BE2216" s="130">
        <f t="shared" si="719"/>
        <v>4</v>
      </c>
      <c r="BF2216" s="195">
        <f t="shared" si="720"/>
        <v>450</v>
      </c>
      <c r="BG2216" s="373">
        <f t="shared" si="721"/>
        <v>-14</v>
      </c>
    </row>
    <row r="2217" spans="1:59" s="46" customFormat="1" ht="15.75" customHeight="1">
      <c r="A2217" s="176">
        <v>64</v>
      </c>
      <c r="B2217" s="31" t="s">
        <v>3171</v>
      </c>
      <c r="C2217" s="32" t="s">
        <v>3170</v>
      </c>
      <c r="D2217" s="334"/>
      <c r="E2217" s="334"/>
      <c r="F2217" s="334"/>
      <c r="G2217" s="334"/>
      <c r="H2217" s="334"/>
      <c r="I2217" s="334"/>
      <c r="J2217" s="334"/>
      <c r="K2217" s="334"/>
      <c r="L2217" s="334"/>
      <c r="M2217" s="334"/>
      <c r="N2217" s="334"/>
      <c r="O2217" s="334"/>
      <c r="P2217" s="334"/>
      <c r="Q2217" s="334"/>
      <c r="R2217" s="334"/>
      <c r="S2217" s="334"/>
      <c r="T2217" s="334"/>
      <c r="U2217" s="334"/>
      <c r="V2217" s="334"/>
      <c r="W2217" s="334"/>
      <c r="X2217" s="334"/>
      <c r="Y2217" s="334"/>
      <c r="Z2217" s="334"/>
      <c r="AA2217" s="334"/>
      <c r="AB2217" s="22">
        <f t="shared" si="716"/>
        <v>0</v>
      </c>
      <c r="AC2217" s="23">
        <v>0</v>
      </c>
      <c r="AD2217" s="35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22">
        <f t="shared" si="717"/>
        <v>0</v>
      </c>
      <c r="BC2217" s="23">
        <v>28</v>
      </c>
      <c r="BD2217" s="130">
        <f t="shared" si="718"/>
        <v>0</v>
      </c>
      <c r="BE2217" s="130">
        <f t="shared" si="719"/>
        <v>28</v>
      </c>
      <c r="BF2217" s="195">
        <f t="shared" si="720"/>
        <v>0</v>
      </c>
      <c r="BG2217" s="373">
        <f t="shared" si="721"/>
        <v>28</v>
      </c>
    </row>
    <row r="2218" spans="1:59" s="46" customFormat="1" ht="15.95" customHeight="1">
      <c r="A2218" s="176">
        <v>65</v>
      </c>
      <c r="B2218" s="31" t="s">
        <v>1231</v>
      </c>
      <c r="C2218" s="32" t="s">
        <v>1232</v>
      </c>
      <c r="D2218" s="231"/>
      <c r="E2218" s="231"/>
      <c r="F2218" s="231"/>
      <c r="G2218" s="231"/>
      <c r="H2218" s="231"/>
      <c r="I2218" s="231"/>
      <c r="J2218" s="231"/>
      <c r="K2218" s="231"/>
      <c r="L2218" s="231"/>
      <c r="M2218" s="231"/>
      <c r="N2218" s="231"/>
      <c r="O2218" s="231"/>
      <c r="P2218" s="231"/>
      <c r="Q2218" s="231"/>
      <c r="R2218" s="231"/>
      <c r="S2218" s="231"/>
      <c r="T2218" s="231"/>
      <c r="U2218" s="231"/>
      <c r="V2218" s="231"/>
      <c r="W2218" s="231"/>
      <c r="X2218" s="231"/>
      <c r="Y2218" s="231"/>
      <c r="Z2218" s="231"/>
      <c r="AA2218" s="231"/>
      <c r="AB2218" s="22">
        <f t="shared" ref="AB2218:AB2250" si="722">SUM(D2218:AA2218)</f>
        <v>0</v>
      </c>
      <c r="AC2218" s="23">
        <v>0</v>
      </c>
      <c r="AD2218" s="35"/>
      <c r="AE2218" s="35"/>
      <c r="AF2218" s="35"/>
      <c r="AG2218" s="35"/>
      <c r="AH2218" s="35">
        <v>13</v>
      </c>
      <c r="AI2218" s="35"/>
      <c r="AJ2218" s="35"/>
      <c r="AK2218" s="35"/>
      <c r="AL2218" s="35">
        <v>43</v>
      </c>
      <c r="AM2218" s="35"/>
      <c r="AN2218" s="35"/>
      <c r="AO2218" s="35"/>
      <c r="AP2218" s="35">
        <v>49</v>
      </c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22">
        <f t="shared" ref="BB2218:BB2250" si="723">SUM(AD2218:BA2218)</f>
        <v>105</v>
      </c>
      <c r="BC2218" s="23">
        <v>166</v>
      </c>
      <c r="BD2218" s="130">
        <f t="shared" ref="BD2218:BD2250" si="724">AB2218+BB2218</f>
        <v>105</v>
      </c>
      <c r="BE2218" s="130">
        <f t="shared" ref="BE2218:BE2250" si="725">AC2218+BC2218</f>
        <v>166</v>
      </c>
      <c r="BF2218" s="195">
        <f t="shared" ref="BF2218:BF2250" si="726">BD2218/BE2218*100</f>
        <v>63.253012048192772</v>
      </c>
      <c r="BG2218" s="373">
        <f t="shared" si="721"/>
        <v>61</v>
      </c>
    </row>
    <row r="2219" spans="1:59" s="46" customFormat="1" ht="15.95" customHeight="1">
      <c r="A2219" s="176">
        <v>66</v>
      </c>
      <c r="B2219" s="31" t="s">
        <v>136</v>
      </c>
      <c r="C2219" s="32" t="s">
        <v>137</v>
      </c>
      <c r="D2219" s="321"/>
      <c r="E2219" s="321"/>
      <c r="F2219" s="321"/>
      <c r="G2219" s="321"/>
      <c r="H2219" s="321"/>
      <c r="I2219" s="321"/>
      <c r="J2219" s="321"/>
      <c r="K2219" s="321"/>
      <c r="L2219" s="321"/>
      <c r="M2219" s="321"/>
      <c r="N2219" s="321"/>
      <c r="O2219" s="321"/>
      <c r="P2219" s="321"/>
      <c r="Q2219" s="321"/>
      <c r="R2219" s="321"/>
      <c r="S2219" s="321"/>
      <c r="T2219" s="321"/>
      <c r="U2219" s="321"/>
      <c r="V2219" s="321"/>
      <c r="W2219" s="321"/>
      <c r="X2219" s="321"/>
      <c r="Y2219" s="321"/>
      <c r="Z2219" s="321"/>
      <c r="AA2219" s="321"/>
      <c r="AB2219" s="22">
        <f t="shared" si="722"/>
        <v>0</v>
      </c>
      <c r="AC2219" s="23">
        <v>0</v>
      </c>
      <c r="AD2219" s="35"/>
      <c r="AE2219" s="35"/>
      <c r="AF2219" s="35"/>
      <c r="AG2219" s="35"/>
      <c r="AH2219" s="35">
        <v>2</v>
      </c>
      <c r="AI2219" s="35"/>
      <c r="AJ2219" s="35"/>
      <c r="AK2219" s="35"/>
      <c r="AL2219" s="35">
        <v>4</v>
      </c>
      <c r="AM2219" s="35"/>
      <c r="AN2219" s="35"/>
      <c r="AO2219" s="35"/>
      <c r="AP2219" s="35">
        <v>6</v>
      </c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22">
        <f t="shared" si="723"/>
        <v>12</v>
      </c>
      <c r="BC2219" s="23">
        <v>33</v>
      </c>
      <c r="BD2219" s="130">
        <f t="shared" si="724"/>
        <v>12</v>
      </c>
      <c r="BE2219" s="130">
        <f t="shared" si="725"/>
        <v>33</v>
      </c>
      <c r="BF2219" s="195">
        <f t="shared" si="726"/>
        <v>36.363636363636367</v>
      </c>
      <c r="BG2219" s="373">
        <f t="shared" si="721"/>
        <v>21</v>
      </c>
    </row>
    <row r="2220" spans="1:59" s="46" customFormat="1" ht="15.95" customHeight="1">
      <c r="A2220" s="176">
        <v>67</v>
      </c>
      <c r="B2220" s="31" t="s">
        <v>118</v>
      </c>
      <c r="C2220" s="32" t="s">
        <v>1233</v>
      </c>
      <c r="D2220" s="231"/>
      <c r="E2220" s="231"/>
      <c r="F2220" s="231"/>
      <c r="G2220" s="231"/>
      <c r="H2220" s="231"/>
      <c r="I2220" s="231"/>
      <c r="J2220" s="231"/>
      <c r="K2220" s="231"/>
      <c r="L2220" s="231"/>
      <c r="M2220" s="231"/>
      <c r="N2220" s="231"/>
      <c r="O2220" s="231"/>
      <c r="P2220" s="231"/>
      <c r="Q2220" s="231"/>
      <c r="R2220" s="231"/>
      <c r="S2220" s="231"/>
      <c r="T2220" s="231"/>
      <c r="U2220" s="231"/>
      <c r="V2220" s="231"/>
      <c r="W2220" s="231"/>
      <c r="X2220" s="231"/>
      <c r="Y2220" s="231"/>
      <c r="Z2220" s="231"/>
      <c r="AA2220" s="231"/>
      <c r="AB2220" s="22">
        <f t="shared" si="722"/>
        <v>0</v>
      </c>
      <c r="AC2220" s="23">
        <v>0</v>
      </c>
      <c r="AD2220" s="35"/>
      <c r="AE2220" s="35"/>
      <c r="AF2220" s="35"/>
      <c r="AG2220" s="35"/>
      <c r="AH2220" s="35">
        <v>3</v>
      </c>
      <c r="AI2220" s="35"/>
      <c r="AJ2220" s="35"/>
      <c r="AK2220" s="35"/>
      <c r="AL2220" s="35">
        <v>9</v>
      </c>
      <c r="AM2220" s="35"/>
      <c r="AN2220" s="35"/>
      <c r="AO2220" s="35"/>
      <c r="AP2220" s="35">
        <v>6</v>
      </c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22">
        <f t="shared" si="723"/>
        <v>18</v>
      </c>
      <c r="BC2220" s="23">
        <v>55</v>
      </c>
      <c r="BD2220" s="130">
        <f t="shared" si="724"/>
        <v>18</v>
      </c>
      <c r="BE2220" s="130">
        <f t="shared" si="725"/>
        <v>55</v>
      </c>
      <c r="BF2220" s="195">
        <f t="shared" si="726"/>
        <v>32.727272727272727</v>
      </c>
      <c r="BG2220" s="373">
        <f t="shared" si="721"/>
        <v>37</v>
      </c>
    </row>
    <row r="2221" spans="1:59" s="46" customFormat="1" ht="15.95" customHeight="1">
      <c r="A2221" s="176">
        <v>68</v>
      </c>
      <c r="B2221" s="31" t="s">
        <v>1234</v>
      </c>
      <c r="C2221" s="32" t="s">
        <v>1235</v>
      </c>
      <c r="D2221" s="231"/>
      <c r="E2221" s="231"/>
      <c r="F2221" s="231"/>
      <c r="G2221" s="231"/>
      <c r="H2221" s="231"/>
      <c r="I2221" s="231"/>
      <c r="J2221" s="231"/>
      <c r="K2221" s="231"/>
      <c r="L2221" s="231"/>
      <c r="M2221" s="231"/>
      <c r="N2221" s="231"/>
      <c r="O2221" s="231"/>
      <c r="P2221" s="231"/>
      <c r="Q2221" s="231"/>
      <c r="R2221" s="231"/>
      <c r="S2221" s="231"/>
      <c r="T2221" s="231"/>
      <c r="U2221" s="231"/>
      <c r="V2221" s="231"/>
      <c r="W2221" s="231"/>
      <c r="X2221" s="231"/>
      <c r="Y2221" s="231"/>
      <c r="Z2221" s="231"/>
      <c r="AA2221" s="231"/>
      <c r="AB2221" s="22">
        <f t="shared" si="722"/>
        <v>0</v>
      </c>
      <c r="AC2221" s="23">
        <v>0</v>
      </c>
      <c r="AD2221" s="35"/>
      <c r="AE2221" s="35"/>
      <c r="AF2221" s="35"/>
      <c r="AG2221" s="35"/>
      <c r="AH2221" s="35"/>
      <c r="AI2221" s="35"/>
      <c r="AJ2221" s="35"/>
      <c r="AK2221" s="35"/>
      <c r="AL2221" s="35">
        <v>1</v>
      </c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22">
        <f t="shared" si="723"/>
        <v>1</v>
      </c>
      <c r="BC2221" s="23">
        <v>1</v>
      </c>
      <c r="BD2221" s="130">
        <f t="shared" si="724"/>
        <v>1</v>
      </c>
      <c r="BE2221" s="130">
        <f t="shared" si="725"/>
        <v>1</v>
      </c>
      <c r="BF2221" s="195">
        <f t="shared" si="726"/>
        <v>100</v>
      </c>
      <c r="BG2221" s="373">
        <f t="shared" si="721"/>
        <v>0</v>
      </c>
    </row>
    <row r="2222" spans="1:59" s="46" customFormat="1" ht="15.95" customHeight="1">
      <c r="A2222" s="176">
        <v>69</v>
      </c>
      <c r="B2222" s="31" t="s">
        <v>945</v>
      </c>
      <c r="C2222" s="32" t="s">
        <v>2413</v>
      </c>
      <c r="D2222" s="231"/>
      <c r="E2222" s="231"/>
      <c r="F2222" s="231"/>
      <c r="G2222" s="231"/>
      <c r="H2222" s="231">
        <v>1</v>
      </c>
      <c r="I2222" s="231"/>
      <c r="J2222" s="231"/>
      <c r="K2222" s="231"/>
      <c r="L2222" s="231">
        <v>13</v>
      </c>
      <c r="M2222" s="231"/>
      <c r="N2222" s="231"/>
      <c r="O2222" s="231"/>
      <c r="P2222" s="231">
        <v>9</v>
      </c>
      <c r="Q2222" s="231"/>
      <c r="R2222" s="231"/>
      <c r="S2222" s="231"/>
      <c r="T2222" s="231"/>
      <c r="U2222" s="231"/>
      <c r="V2222" s="231"/>
      <c r="W2222" s="231"/>
      <c r="X2222" s="231"/>
      <c r="Y2222" s="231"/>
      <c r="Z2222" s="231"/>
      <c r="AA2222" s="231"/>
      <c r="AB2222" s="22">
        <f t="shared" si="722"/>
        <v>23</v>
      </c>
      <c r="AC2222" s="23">
        <v>36</v>
      </c>
      <c r="AD2222" s="35"/>
      <c r="AE2222" s="35"/>
      <c r="AF2222" s="35"/>
      <c r="AG2222" s="35"/>
      <c r="AH2222" s="35">
        <v>76</v>
      </c>
      <c r="AI2222" s="35"/>
      <c r="AJ2222" s="35"/>
      <c r="AK2222" s="35"/>
      <c r="AL2222" s="35">
        <v>320</v>
      </c>
      <c r="AM2222" s="35"/>
      <c r="AN2222" s="35"/>
      <c r="AO2222" s="35"/>
      <c r="AP2222" s="35">
        <v>294</v>
      </c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22">
        <f t="shared" si="723"/>
        <v>690</v>
      </c>
      <c r="BC2222" s="23">
        <v>2303</v>
      </c>
      <c r="BD2222" s="130">
        <f t="shared" si="724"/>
        <v>713</v>
      </c>
      <c r="BE2222" s="130">
        <f t="shared" si="725"/>
        <v>2339</v>
      </c>
      <c r="BF2222" s="195">
        <f t="shared" si="726"/>
        <v>30.483112441214193</v>
      </c>
      <c r="BG2222" s="373">
        <f t="shared" si="721"/>
        <v>1626</v>
      </c>
    </row>
    <row r="2223" spans="1:59" s="46" customFormat="1" ht="15.95" customHeight="1">
      <c r="A2223" s="176">
        <v>70</v>
      </c>
      <c r="B2223" s="31" t="s">
        <v>1174</v>
      </c>
      <c r="C2223" s="32" t="s">
        <v>1175</v>
      </c>
      <c r="D2223" s="231"/>
      <c r="E2223" s="231"/>
      <c r="F2223" s="231"/>
      <c r="G2223" s="231"/>
      <c r="H2223" s="231"/>
      <c r="I2223" s="231"/>
      <c r="J2223" s="231"/>
      <c r="K2223" s="231"/>
      <c r="L2223" s="231"/>
      <c r="M2223" s="231"/>
      <c r="N2223" s="231"/>
      <c r="O2223" s="231"/>
      <c r="P2223" s="231"/>
      <c r="Q2223" s="231"/>
      <c r="R2223" s="231"/>
      <c r="S2223" s="231"/>
      <c r="T2223" s="231"/>
      <c r="U2223" s="231"/>
      <c r="V2223" s="231"/>
      <c r="W2223" s="231"/>
      <c r="X2223" s="231"/>
      <c r="Y2223" s="231"/>
      <c r="Z2223" s="231"/>
      <c r="AA2223" s="231"/>
      <c r="AB2223" s="22">
        <f t="shared" si="722"/>
        <v>0</v>
      </c>
      <c r="AC2223" s="23">
        <v>7</v>
      </c>
      <c r="AD2223" s="35"/>
      <c r="AE2223" s="35"/>
      <c r="AF2223" s="35"/>
      <c r="AG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22">
        <f t="shared" si="723"/>
        <v>0</v>
      </c>
      <c r="BC2223" s="23">
        <v>0</v>
      </c>
      <c r="BD2223" s="130">
        <f t="shared" si="724"/>
        <v>0</v>
      </c>
      <c r="BE2223" s="130">
        <f t="shared" si="725"/>
        <v>7</v>
      </c>
      <c r="BF2223" s="195">
        <f t="shared" si="726"/>
        <v>0</v>
      </c>
      <c r="BG2223" s="373">
        <f t="shared" si="721"/>
        <v>7</v>
      </c>
    </row>
    <row r="2224" spans="1:59" s="46" customFormat="1" ht="15.95" customHeight="1">
      <c r="A2224" s="176">
        <v>71</v>
      </c>
      <c r="B2224" s="31" t="s">
        <v>1275</v>
      </c>
      <c r="C2224" s="32" t="s">
        <v>1276</v>
      </c>
      <c r="D2224" s="231"/>
      <c r="E2224" s="231"/>
      <c r="F2224" s="231"/>
      <c r="G2224" s="231"/>
      <c r="H2224" s="231"/>
      <c r="I2224" s="231"/>
      <c r="J2224" s="231"/>
      <c r="K2224" s="231"/>
      <c r="L2224" s="231"/>
      <c r="M2224" s="231"/>
      <c r="N2224" s="231"/>
      <c r="O2224" s="231"/>
      <c r="P2224" s="231"/>
      <c r="Q2224" s="231"/>
      <c r="R2224" s="231"/>
      <c r="S2224" s="231"/>
      <c r="T2224" s="231"/>
      <c r="U2224" s="231"/>
      <c r="V2224" s="231"/>
      <c r="W2224" s="231"/>
      <c r="X2224" s="231"/>
      <c r="Y2224" s="231"/>
      <c r="Z2224" s="231"/>
      <c r="AA2224" s="231"/>
      <c r="AB2224" s="22">
        <f t="shared" si="722"/>
        <v>0</v>
      </c>
      <c r="AC2224" s="23">
        <v>0</v>
      </c>
      <c r="AD2224" s="35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22">
        <f t="shared" si="723"/>
        <v>0</v>
      </c>
      <c r="BC2224" s="23">
        <v>1730</v>
      </c>
      <c r="BD2224" s="130">
        <f t="shared" si="724"/>
        <v>0</v>
      </c>
      <c r="BE2224" s="130">
        <f t="shared" si="725"/>
        <v>1730</v>
      </c>
      <c r="BF2224" s="195">
        <f t="shared" si="726"/>
        <v>0</v>
      </c>
      <c r="BG2224" s="373">
        <f t="shared" si="721"/>
        <v>1730</v>
      </c>
    </row>
    <row r="2225" spans="1:59" s="46" customFormat="1" ht="15.95" customHeight="1">
      <c r="A2225" s="176">
        <v>72</v>
      </c>
      <c r="B2225" s="31" t="s">
        <v>821</v>
      </c>
      <c r="C2225" s="32" t="s">
        <v>822</v>
      </c>
      <c r="D2225" s="231"/>
      <c r="E2225" s="231"/>
      <c r="F2225" s="231"/>
      <c r="G2225" s="231"/>
      <c r="H2225" s="231"/>
      <c r="I2225" s="231"/>
      <c r="J2225" s="231"/>
      <c r="K2225" s="231"/>
      <c r="L2225" s="231"/>
      <c r="M2225" s="231"/>
      <c r="N2225" s="231"/>
      <c r="O2225" s="231"/>
      <c r="P2225" s="231"/>
      <c r="Q2225" s="231"/>
      <c r="R2225" s="231"/>
      <c r="S2225" s="231"/>
      <c r="T2225" s="231"/>
      <c r="U2225" s="231"/>
      <c r="V2225" s="231"/>
      <c r="W2225" s="231"/>
      <c r="X2225" s="231"/>
      <c r="Y2225" s="231"/>
      <c r="Z2225" s="231"/>
      <c r="AA2225" s="231"/>
      <c r="AB2225" s="22">
        <f t="shared" si="722"/>
        <v>0</v>
      </c>
      <c r="AC2225" s="23">
        <v>0</v>
      </c>
      <c r="AD2225" s="35"/>
      <c r="AE2225" s="35"/>
      <c r="AF2225" s="35"/>
      <c r="AG2225" s="35"/>
      <c r="AH2225" s="35">
        <v>4</v>
      </c>
      <c r="AI2225" s="35"/>
      <c r="AJ2225" s="35"/>
      <c r="AK2225" s="35"/>
      <c r="AL2225" s="35">
        <v>11</v>
      </c>
      <c r="AM2225" s="35"/>
      <c r="AN2225" s="35"/>
      <c r="AO2225" s="35"/>
      <c r="AP2225" s="35">
        <v>10</v>
      </c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22">
        <f t="shared" si="723"/>
        <v>25</v>
      </c>
      <c r="BC2225" s="23">
        <v>5</v>
      </c>
      <c r="BD2225" s="130">
        <f t="shared" si="724"/>
        <v>25</v>
      </c>
      <c r="BE2225" s="130">
        <f t="shared" si="725"/>
        <v>5</v>
      </c>
      <c r="BF2225" s="195">
        <f t="shared" si="726"/>
        <v>500</v>
      </c>
      <c r="BG2225" s="373">
        <f t="shared" si="721"/>
        <v>-20</v>
      </c>
    </row>
    <row r="2226" spans="1:59" s="46" customFormat="1" ht="15.95" customHeight="1">
      <c r="A2226" s="176">
        <v>73</v>
      </c>
      <c r="B2226" s="31" t="s">
        <v>825</v>
      </c>
      <c r="C2226" s="32" t="s">
        <v>907</v>
      </c>
      <c r="D2226" s="231"/>
      <c r="E2226" s="231"/>
      <c r="F2226" s="231"/>
      <c r="G2226" s="231"/>
      <c r="H2226" s="231"/>
      <c r="I2226" s="231"/>
      <c r="J2226" s="231"/>
      <c r="K2226" s="231"/>
      <c r="L2226" s="231"/>
      <c r="M2226" s="231"/>
      <c r="N2226" s="231"/>
      <c r="O2226" s="231"/>
      <c r="P2226" s="231">
        <v>1</v>
      </c>
      <c r="Q2226" s="231"/>
      <c r="R2226" s="231"/>
      <c r="S2226" s="231"/>
      <c r="T2226" s="231"/>
      <c r="U2226" s="231"/>
      <c r="V2226" s="231"/>
      <c r="W2226" s="231"/>
      <c r="X2226" s="231"/>
      <c r="Y2226" s="231"/>
      <c r="Z2226" s="231"/>
      <c r="AA2226" s="231"/>
      <c r="AB2226" s="22">
        <f t="shared" si="722"/>
        <v>1</v>
      </c>
      <c r="AC2226" s="23">
        <v>1</v>
      </c>
      <c r="AD2226" s="35"/>
      <c r="AE2226" s="35"/>
      <c r="AF2226" s="35"/>
      <c r="AG2226" s="35"/>
      <c r="AH2226" s="35">
        <v>8</v>
      </c>
      <c r="AI2226" s="35"/>
      <c r="AJ2226" s="35"/>
      <c r="AK2226" s="35"/>
      <c r="AL2226" s="35">
        <v>49</v>
      </c>
      <c r="AM2226" s="35"/>
      <c r="AN2226" s="35"/>
      <c r="AO2226" s="35"/>
      <c r="AP2226" s="35">
        <v>176</v>
      </c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22">
        <f t="shared" si="723"/>
        <v>233</v>
      </c>
      <c r="BC2226" s="23">
        <v>442</v>
      </c>
      <c r="BD2226" s="130">
        <f t="shared" si="724"/>
        <v>234</v>
      </c>
      <c r="BE2226" s="130">
        <f t="shared" si="725"/>
        <v>443</v>
      </c>
      <c r="BF2226" s="195">
        <f t="shared" si="726"/>
        <v>52.82167042889391</v>
      </c>
      <c r="BG2226" s="373">
        <f t="shared" si="721"/>
        <v>209</v>
      </c>
    </row>
    <row r="2227" spans="1:59" s="46" customFormat="1" ht="15.95" customHeight="1">
      <c r="A2227" s="176">
        <v>74</v>
      </c>
      <c r="B2227" s="31" t="s">
        <v>835</v>
      </c>
      <c r="C2227" s="32" t="s">
        <v>947</v>
      </c>
      <c r="D2227" s="231"/>
      <c r="E2227" s="231"/>
      <c r="F2227" s="231"/>
      <c r="G2227" s="231"/>
      <c r="H2227" s="231"/>
      <c r="I2227" s="231"/>
      <c r="J2227" s="231"/>
      <c r="K2227" s="231"/>
      <c r="L2227" s="231"/>
      <c r="M2227" s="231"/>
      <c r="N2227" s="231"/>
      <c r="O2227" s="231"/>
      <c r="P2227" s="231"/>
      <c r="Q2227" s="231"/>
      <c r="R2227" s="231"/>
      <c r="S2227" s="231"/>
      <c r="T2227" s="231"/>
      <c r="U2227" s="231"/>
      <c r="V2227" s="231"/>
      <c r="W2227" s="231"/>
      <c r="X2227" s="231"/>
      <c r="Y2227" s="231"/>
      <c r="Z2227" s="231"/>
      <c r="AA2227" s="231"/>
      <c r="AB2227" s="22">
        <f t="shared" si="722"/>
        <v>0</v>
      </c>
      <c r="AC2227" s="23">
        <v>0</v>
      </c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>
        <v>1</v>
      </c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22">
        <f t="shared" si="723"/>
        <v>1</v>
      </c>
      <c r="BC2227" s="23">
        <v>13</v>
      </c>
      <c r="BD2227" s="130">
        <f t="shared" si="724"/>
        <v>1</v>
      </c>
      <c r="BE2227" s="130">
        <f t="shared" si="725"/>
        <v>13</v>
      </c>
      <c r="BF2227" s="195">
        <f t="shared" si="726"/>
        <v>7.6923076923076925</v>
      </c>
      <c r="BG2227" s="373">
        <f t="shared" si="721"/>
        <v>12</v>
      </c>
    </row>
    <row r="2228" spans="1:59" s="46" customFormat="1" ht="15.95" customHeight="1">
      <c r="A2228" s="176">
        <v>75</v>
      </c>
      <c r="B2228" s="31" t="s">
        <v>1013</v>
      </c>
      <c r="C2228" s="32" t="s">
        <v>1014</v>
      </c>
      <c r="D2228" s="321"/>
      <c r="E2228" s="321"/>
      <c r="F2228" s="321"/>
      <c r="G2228" s="321"/>
      <c r="H2228" s="321"/>
      <c r="I2228" s="321"/>
      <c r="J2228" s="321"/>
      <c r="K2228" s="321"/>
      <c r="L2228" s="321"/>
      <c r="M2228" s="321"/>
      <c r="N2228" s="321"/>
      <c r="O2228" s="321"/>
      <c r="P2228" s="321"/>
      <c r="Q2228" s="321"/>
      <c r="R2228" s="321"/>
      <c r="S2228" s="321"/>
      <c r="T2228" s="321"/>
      <c r="U2228" s="321"/>
      <c r="V2228" s="321"/>
      <c r="W2228" s="321"/>
      <c r="X2228" s="321"/>
      <c r="Y2228" s="321"/>
      <c r="Z2228" s="321"/>
      <c r="AA2228" s="321"/>
      <c r="AB2228" s="22">
        <f t="shared" si="722"/>
        <v>0</v>
      </c>
      <c r="AC2228" s="23">
        <v>0</v>
      </c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>
        <v>2</v>
      </c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22">
        <f t="shared" si="723"/>
        <v>2</v>
      </c>
      <c r="BC2228" s="23">
        <v>32</v>
      </c>
      <c r="BD2228" s="130">
        <f t="shared" si="724"/>
        <v>2</v>
      </c>
      <c r="BE2228" s="130">
        <f t="shared" si="725"/>
        <v>32</v>
      </c>
      <c r="BF2228" s="195">
        <f t="shared" si="726"/>
        <v>6.25</v>
      </c>
      <c r="BG2228" s="373">
        <f t="shared" si="721"/>
        <v>30</v>
      </c>
    </row>
    <row r="2229" spans="1:59" s="46" customFormat="1" ht="15.95" customHeight="1">
      <c r="A2229" s="176">
        <v>76</v>
      </c>
      <c r="B2229" s="31" t="s">
        <v>837</v>
      </c>
      <c r="C2229" s="32" t="s">
        <v>908</v>
      </c>
      <c r="D2229" s="231"/>
      <c r="E2229" s="231"/>
      <c r="F2229" s="231"/>
      <c r="G2229" s="231"/>
      <c r="H2229" s="231"/>
      <c r="I2229" s="231"/>
      <c r="J2229" s="231"/>
      <c r="K2229" s="231"/>
      <c r="L2229" s="231"/>
      <c r="M2229" s="231"/>
      <c r="N2229" s="231"/>
      <c r="O2229" s="231"/>
      <c r="P2229" s="231"/>
      <c r="Q2229" s="231"/>
      <c r="R2229" s="231"/>
      <c r="S2229" s="231"/>
      <c r="T2229" s="231"/>
      <c r="U2229" s="231"/>
      <c r="V2229" s="231"/>
      <c r="W2229" s="231"/>
      <c r="X2229" s="231"/>
      <c r="Y2229" s="231"/>
      <c r="Z2229" s="231"/>
      <c r="AA2229" s="231"/>
      <c r="AB2229" s="22">
        <f t="shared" si="722"/>
        <v>0</v>
      </c>
      <c r="AC2229" s="23">
        <v>0</v>
      </c>
      <c r="AD2229" s="35"/>
      <c r="AE2229" s="35"/>
      <c r="AF2229" s="35"/>
      <c r="AG2229" s="35"/>
      <c r="AH2229" s="35">
        <v>4</v>
      </c>
      <c r="AI2229" s="35"/>
      <c r="AJ2229" s="35"/>
      <c r="AK2229" s="35"/>
      <c r="AL2229" s="35">
        <v>1</v>
      </c>
      <c r="AM2229" s="35"/>
      <c r="AN2229" s="35"/>
      <c r="AO2229" s="35"/>
      <c r="AP2229" s="35">
        <v>20</v>
      </c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22">
        <f t="shared" si="723"/>
        <v>25</v>
      </c>
      <c r="BC2229" s="23">
        <v>53</v>
      </c>
      <c r="BD2229" s="130">
        <f t="shared" si="724"/>
        <v>25</v>
      </c>
      <c r="BE2229" s="130">
        <f t="shared" si="725"/>
        <v>53</v>
      </c>
      <c r="BF2229" s="195">
        <f t="shared" si="726"/>
        <v>47.169811320754718</v>
      </c>
      <c r="BG2229" s="373">
        <f t="shared" si="721"/>
        <v>28</v>
      </c>
    </row>
    <row r="2230" spans="1:59" s="46" customFormat="1" ht="15.95" customHeight="1">
      <c r="A2230" s="176">
        <v>77</v>
      </c>
      <c r="B2230" s="31" t="s">
        <v>839</v>
      </c>
      <c r="C2230" s="32" t="s">
        <v>840</v>
      </c>
      <c r="D2230" s="231"/>
      <c r="E2230" s="231"/>
      <c r="F2230" s="231"/>
      <c r="G2230" s="231"/>
      <c r="H2230" s="231"/>
      <c r="I2230" s="231"/>
      <c r="J2230" s="231"/>
      <c r="K2230" s="231"/>
      <c r="L2230" s="231"/>
      <c r="M2230" s="231"/>
      <c r="N2230" s="231"/>
      <c r="O2230" s="231"/>
      <c r="P2230" s="231"/>
      <c r="Q2230" s="231"/>
      <c r="R2230" s="231"/>
      <c r="S2230" s="231"/>
      <c r="T2230" s="231"/>
      <c r="U2230" s="231"/>
      <c r="V2230" s="231"/>
      <c r="W2230" s="231"/>
      <c r="X2230" s="231"/>
      <c r="Y2230" s="231"/>
      <c r="Z2230" s="231"/>
      <c r="AA2230" s="231"/>
      <c r="AB2230" s="22">
        <f t="shared" si="722"/>
        <v>0</v>
      </c>
      <c r="AC2230" s="23">
        <v>0</v>
      </c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22">
        <f t="shared" si="723"/>
        <v>0</v>
      </c>
      <c r="BC2230" s="23">
        <v>7</v>
      </c>
      <c r="BD2230" s="130">
        <f t="shared" si="724"/>
        <v>0</v>
      </c>
      <c r="BE2230" s="130">
        <f t="shared" si="725"/>
        <v>7</v>
      </c>
      <c r="BF2230" s="195">
        <f t="shared" si="726"/>
        <v>0</v>
      </c>
      <c r="BG2230" s="373">
        <f t="shared" si="721"/>
        <v>7</v>
      </c>
    </row>
    <row r="2231" spans="1:59" s="46" customFormat="1" ht="15.95" customHeight="1">
      <c r="A2231" s="176">
        <v>78</v>
      </c>
      <c r="B2231" s="31" t="s">
        <v>909</v>
      </c>
      <c r="C2231" s="32" t="s">
        <v>910</v>
      </c>
      <c r="D2231" s="231"/>
      <c r="E2231" s="231"/>
      <c r="F2231" s="231"/>
      <c r="G2231" s="231"/>
      <c r="H2231" s="231"/>
      <c r="I2231" s="231"/>
      <c r="J2231" s="231"/>
      <c r="K2231" s="231"/>
      <c r="L2231" s="231"/>
      <c r="M2231" s="231"/>
      <c r="N2231" s="231"/>
      <c r="O2231" s="231"/>
      <c r="P2231" s="231"/>
      <c r="Q2231" s="231"/>
      <c r="R2231" s="231"/>
      <c r="S2231" s="231"/>
      <c r="T2231" s="231"/>
      <c r="U2231" s="231"/>
      <c r="V2231" s="231"/>
      <c r="W2231" s="231"/>
      <c r="X2231" s="231"/>
      <c r="Y2231" s="231"/>
      <c r="Z2231" s="231"/>
      <c r="AA2231" s="231"/>
      <c r="AB2231" s="22">
        <f t="shared" si="722"/>
        <v>0</v>
      </c>
      <c r="AC2231" s="23">
        <v>0</v>
      </c>
      <c r="AD2231" s="35"/>
      <c r="AE2231" s="35"/>
      <c r="AF2231" s="35"/>
      <c r="AG2231" s="35"/>
      <c r="AH2231" s="35">
        <v>76</v>
      </c>
      <c r="AI2231" s="35"/>
      <c r="AJ2231" s="35"/>
      <c r="AK2231" s="35"/>
      <c r="AL2231" s="35">
        <v>317</v>
      </c>
      <c r="AM2231" s="35"/>
      <c r="AN2231" s="35"/>
      <c r="AO2231" s="35"/>
      <c r="AP2231" s="35">
        <v>291</v>
      </c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22">
        <f t="shared" si="723"/>
        <v>684</v>
      </c>
      <c r="BC2231" s="23">
        <v>1757</v>
      </c>
      <c r="BD2231" s="130">
        <f t="shared" si="724"/>
        <v>684</v>
      </c>
      <c r="BE2231" s="130">
        <f t="shared" si="725"/>
        <v>1757</v>
      </c>
      <c r="BF2231" s="195">
        <f t="shared" si="726"/>
        <v>38.929994308480367</v>
      </c>
      <c r="BG2231" s="373">
        <f t="shared" si="721"/>
        <v>1073</v>
      </c>
    </row>
    <row r="2232" spans="1:59" s="46" customFormat="1" ht="15.95" customHeight="1">
      <c r="A2232" s="176">
        <v>79</v>
      </c>
      <c r="B2232" s="31" t="s">
        <v>911</v>
      </c>
      <c r="C2232" s="32" t="s">
        <v>1127</v>
      </c>
      <c r="D2232" s="564"/>
      <c r="E2232" s="564"/>
      <c r="F2232" s="564"/>
      <c r="G2232" s="564"/>
      <c r="H2232" s="564"/>
      <c r="I2232" s="564"/>
      <c r="J2232" s="564"/>
      <c r="K2232" s="564"/>
      <c r="L2232" s="564"/>
      <c r="M2232" s="564"/>
      <c r="N2232" s="564"/>
      <c r="O2232" s="564"/>
      <c r="P2232" s="564"/>
      <c r="Q2232" s="564"/>
      <c r="R2232" s="564"/>
      <c r="S2232" s="564"/>
      <c r="T2232" s="564"/>
      <c r="U2232" s="564"/>
      <c r="V2232" s="564"/>
      <c r="W2232" s="564"/>
      <c r="X2232" s="564"/>
      <c r="Y2232" s="564"/>
      <c r="Z2232" s="564"/>
      <c r="AA2232" s="564"/>
      <c r="AB2232" s="22">
        <f t="shared" si="722"/>
        <v>0</v>
      </c>
      <c r="AC2232" s="23">
        <v>0</v>
      </c>
      <c r="AD2232" s="35"/>
      <c r="AE2232" s="35"/>
      <c r="AF2232" s="35"/>
      <c r="AG2232" s="35"/>
      <c r="AH2232" s="35"/>
      <c r="AI2232" s="35"/>
      <c r="AJ2232" s="35"/>
      <c r="AK2232" s="35"/>
      <c r="AL2232" s="35"/>
      <c r="AM2232" s="35"/>
      <c r="AN2232" s="35"/>
      <c r="AO2232" s="35"/>
      <c r="AP2232" s="35">
        <v>1</v>
      </c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22">
        <f t="shared" si="723"/>
        <v>1</v>
      </c>
      <c r="BC2232" s="23">
        <v>0</v>
      </c>
      <c r="BD2232" s="130">
        <f t="shared" si="724"/>
        <v>1</v>
      </c>
      <c r="BE2232" s="130">
        <f t="shared" si="725"/>
        <v>0</v>
      </c>
      <c r="BF2232" s="195" t="e">
        <f t="shared" si="726"/>
        <v>#DIV/0!</v>
      </c>
      <c r="BG2232" s="373"/>
    </row>
    <row r="2233" spans="1:59" s="46" customFormat="1" ht="15.95" customHeight="1">
      <c r="A2233" s="176">
        <v>80</v>
      </c>
      <c r="B2233" s="31" t="s">
        <v>1112</v>
      </c>
      <c r="C2233" s="32" t="s">
        <v>1638</v>
      </c>
      <c r="D2233" s="564"/>
      <c r="E2233" s="564"/>
      <c r="F2233" s="564"/>
      <c r="G2233" s="564"/>
      <c r="H2233" s="564"/>
      <c r="I2233" s="564"/>
      <c r="J2233" s="564"/>
      <c r="K2233" s="564"/>
      <c r="L2233" s="564"/>
      <c r="M2233" s="564"/>
      <c r="N2233" s="564"/>
      <c r="O2233" s="564"/>
      <c r="P2233" s="564"/>
      <c r="Q2233" s="564"/>
      <c r="R2233" s="564"/>
      <c r="S2233" s="564"/>
      <c r="T2233" s="564"/>
      <c r="U2233" s="564"/>
      <c r="V2233" s="564"/>
      <c r="W2233" s="564"/>
      <c r="X2233" s="564"/>
      <c r="Y2233" s="564"/>
      <c r="Z2233" s="564"/>
      <c r="AA2233" s="564"/>
      <c r="AB2233" s="22">
        <f t="shared" si="722"/>
        <v>0</v>
      </c>
      <c r="AC2233" s="23">
        <v>0</v>
      </c>
      <c r="AD2233" s="35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>
        <v>1</v>
      </c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22">
        <f t="shared" si="723"/>
        <v>1</v>
      </c>
      <c r="BC2233" s="23">
        <v>0</v>
      </c>
      <c r="BD2233" s="130">
        <f t="shared" si="724"/>
        <v>1</v>
      </c>
      <c r="BE2233" s="130">
        <f t="shared" si="725"/>
        <v>0</v>
      </c>
      <c r="BF2233" s="195" t="e">
        <f t="shared" si="726"/>
        <v>#DIV/0!</v>
      </c>
      <c r="BG2233" s="373"/>
    </row>
    <row r="2234" spans="1:59" s="46" customFormat="1" ht="15.95" customHeight="1">
      <c r="A2234" s="176">
        <v>81</v>
      </c>
      <c r="B2234" s="31" t="s">
        <v>1187</v>
      </c>
      <c r="C2234" s="32" t="s">
        <v>1188</v>
      </c>
      <c r="D2234" s="231"/>
      <c r="E2234" s="231"/>
      <c r="F2234" s="231"/>
      <c r="G2234" s="231"/>
      <c r="H2234" s="231">
        <v>1</v>
      </c>
      <c r="I2234" s="231"/>
      <c r="J2234" s="231"/>
      <c r="K2234" s="231"/>
      <c r="L2234" s="231">
        <v>13</v>
      </c>
      <c r="M2234" s="231"/>
      <c r="N2234" s="231"/>
      <c r="O2234" s="231"/>
      <c r="P2234" s="231">
        <v>9</v>
      </c>
      <c r="Q2234" s="231"/>
      <c r="R2234" s="231"/>
      <c r="S2234" s="231"/>
      <c r="T2234" s="231"/>
      <c r="U2234" s="231"/>
      <c r="V2234" s="231"/>
      <c r="W2234" s="231"/>
      <c r="X2234" s="231"/>
      <c r="Y2234" s="231"/>
      <c r="Z2234" s="231"/>
      <c r="AA2234" s="231"/>
      <c r="AB2234" s="22">
        <f t="shared" si="722"/>
        <v>23</v>
      </c>
      <c r="AC2234" s="23">
        <v>166</v>
      </c>
      <c r="AD2234" s="35"/>
      <c r="AE2234" s="35"/>
      <c r="AF2234" s="35"/>
      <c r="AG2234" s="35"/>
      <c r="AH2234" s="35"/>
      <c r="AI2234" s="35"/>
      <c r="AJ2234" s="35"/>
      <c r="AK2234" s="35"/>
      <c r="AL2234" s="35">
        <v>3</v>
      </c>
      <c r="AM2234" s="35"/>
      <c r="AN2234" s="35"/>
      <c r="AO2234" s="35"/>
      <c r="AP2234" s="35">
        <v>3</v>
      </c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22">
        <f t="shared" si="723"/>
        <v>6</v>
      </c>
      <c r="BC2234" s="23">
        <v>9</v>
      </c>
      <c r="BD2234" s="130">
        <f t="shared" si="724"/>
        <v>29</v>
      </c>
      <c r="BE2234" s="130">
        <f t="shared" si="725"/>
        <v>175</v>
      </c>
      <c r="BF2234" s="195">
        <f t="shared" si="726"/>
        <v>16.571428571428569</v>
      </c>
      <c r="BG2234" s="373">
        <f t="shared" ref="BG2234:BG2267" si="727">BE2234-BD2234</f>
        <v>146</v>
      </c>
    </row>
    <row r="2235" spans="1:59" s="46" customFormat="1" ht="15.95" customHeight="1">
      <c r="A2235" s="176">
        <v>82</v>
      </c>
      <c r="B2235" s="31" t="s">
        <v>1189</v>
      </c>
      <c r="C2235" s="32" t="s">
        <v>1190</v>
      </c>
      <c r="D2235" s="231"/>
      <c r="E2235" s="231"/>
      <c r="F2235" s="231"/>
      <c r="G2235" s="231"/>
      <c r="H2235" s="231"/>
      <c r="I2235" s="231"/>
      <c r="J2235" s="231"/>
      <c r="K2235" s="231"/>
      <c r="L2235" s="231"/>
      <c r="M2235" s="231"/>
      <c r="N2235" s="231"/>
      <c r="O2235" s="231"/>
      <c r="P2235" s="231"/>
      <c r="Q2235" s="231"/>
      <c r="R2235" s="231"/>
      <c r="S2235" s="231"/>
      <c r="T2235" s="231"/>
      <c r="U2235" s="231"/>
      <c r="V2235" s="231"/>
      <c r="W2235" s="231"/>
      <c r="X2235" s="231"/>
      <c r="Y2235" s="231"/>
      <c r="Z2235" s="231"/>
      <c r="AA2235" s="231"/>
      <c r="AB2235" s="22">
        <f t="shared" si="722"/>
        <v>0</v>
      </c>
      <c r="AC2235" s="23">
        <v>6</v>
      </c>
      <c r="AD2235" s="35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22">
        <f t="shared" si="723"/>
        <v>0</v>
      </c>
      <c r="BC2235" s="23">
        <v>0</v>
      </c>
      <c r="BD2235" s="130">
        <f t="shared" si="724"/>
        <v>0</v>
      </c>
      <c r="BE2235" s="130">
        <f t="shared" si="725"/>
        <v>6</v>
      </c>
      <c r="BF2235" s="195">
        <f t="shared" si="726"/>
        <v>0</v>
      </c>
      <c r="BG2235" s="373">
        <f t="shared" si="727"/>
        <v>6</v>
      </c>
    </row>
    <row r="2236" spans="1:59" s="46" customFormat="1" ht="23.25" customHeight="1">
      <c r="A2236" s="176">
        <v>83</v>
      </c>
      <c r="B2236" s="31" t="s">
        <v>1240</v>
      </c>
      <c r="C2236" s="34" t="s">
        <v>1241</v>
      </c>
      <c r="D2236" s="231"/>
      <c r="E2236" s="231"/>
      <c r="F2236" s="231"/>
      <c r="G2236" s="231"/>
      <c r="H2236" s="231"/>
      <c r="I2236" s="231"/>
      <c r="J2236" s="231"/>
      <c r="K2236" s="231"/>
      <c r="L2236" s="231"/>
      <c r="M2236" s="231"/>
      <c r="N2236" s="231"/>
      <c r="O2236" s="231"/>
      <c r="P2236" s="231"/>
      <c r="Q2236" s="231"/>
      <c r="R2236" s="231"/>
      <c r="S2236" s="231"/>
      <c r="T2236" s="231"/>
      <c r="U2236" s="231"/>
      <c r="V2236" s="231"/>
      <c r="W2236" s="231"/>
      <c r="X2236" s="231"/>
      <c r="Y2236" s="231"/>
      <c r="Z2236" s="231"/>
      <c r="AA2236" s="231"/>
      <c r="AB2236" s="22">
        <f t="shared" si="722"/>
        <v>0</v>
      </c>
      <c r="AC2236" s="23">
        <v>0</v>
      </c>
      <c r="AD2236" s="35"/>
      <c r="AE2236" s="35"/>
      <c r="AF2236" s="35"/>
      <c r="AG2236" s="35"/>
      <c r="AH2236" s="35">
        <v>65</v>
      </c>
      <c r="AI2236" s="35"/>
      <c r="AJ2236" s="35"/>
      <c r="AK2236" s="35"/>
      <c r="AL2236" s="35">
        <v>263</v>
      </c>
      <c r="AM2236" s="35"/>
      <c r="AN2236" s="35"/>
      <c r="AO2236" s="35"/>
      <c r="AP2236" s="35">
        <v>230</v>
      </c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22">
        <f t="shared" si="723"/>
        <v>558</v>
      </c>
      <c r="BC2236" s="23">
        <v>1752</v>
      </c>
      <c r="BD2236" s="130">
        <f t="shared" si="724"/>
        <v>558</v>
      </c>
      <c r="BE2236" s="130">
        <f t="shared" si="725"/>
        <v>1752</v>
      </c>
      <c r="BF2236" s="195">
        <f t="shared" si="726"/>
        <v>31.849315068493151</v>
      </c>
      <c r="BG2236" s="373">
        <f t="shared" si="727"/>
        <v>1194</v>
      </c>
    </row>
    <row r="2237" spans="1:59" s="46" customFormat="1" ht="18" customHeight="1">
      <c r="A2237" s="176">
        <v>84</v>
      </c>
      <c r="B2237" s="31" t="s">
        <v>845</v>
      </c>
      <c r="C2237" s="32" t="s">
        <v>948</v>
      </c>
      <c r="D2237" s="231"/>
      <c r="E2237" s="231"/>
      <c r="F2237" s="231"/>
      <c r="G2237" s="231"/>
      <c r="H2237" s="231"/>
      <c r="I2237" s="231"/>
      <c r="J2237" s="231"/>
      <c r="K2237" s="231"/>
      <c r="L2237" s="231"/>
      <c r="M2237" s="231"/>
      <c r="N2237" s="231"/>
      <c r="O2237" s="231"/>
      <c r="P2237" s="231"/>
      <c r="Q2237" s="231"/>
      <c r="R2237" s="231"/>
      <c r="S2237" s="231"/>
      <c r="T2237" s="231"/>
      <c r="U2237" s="231"/>
      <c r="V2237" s="231"/>
      <c r="W2237" s="231"/>
      <c r="X2237" s="231"/>
      <c r="Y2237" s="231"/>
      <c r="Z2237" s="231"/>
      <c r="AA2237" s="231"/>
      <c r="AB2237" s="22">
        <f t="shared" si="722"/>
        <v>0</v>
      </c>
      <c r="AC2237" s="23">
        <v>0</v>
      </c>
      <c r="AD2237" s="35"/>
      <c r="AE2237" s="35"/>
      <c r="AF2237" s="35"/>
      <c r="AG2237" s="35"/>
      <c r="AH2237" s="35">
        <v>4</v>
      </c>
      <c r="AI2237" s="35"/>
      <c r="AJ2237" s="35"/>
      <c r="AK2237" s="35"/>
      <c r="AL2237" s="35">
        <v>28</v>
      </c>
      <c r="AM2237" s="35"/>
      <c r="AN2237" s="35"/>
      <c r="AO2237" s="35"/>
      <c r="AP2237" s="35">
        <v>30</v>
      </c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22">
        <f t="shared" si="723"/>
        <v>62</v>
      </c>
      <c r="BC2237" s="23">
        <v>112</v>
      </c>
      <c r="BD2237" s="130">
        <f t="shared" si="724"/>
        <v>62</v>
      </c>
      <c r="BE2237" s="130">
        <f t="shared" si="725"/>
        <v>112</v>
      </c>
      <c r="BF2237" s="195">
        <f t="shared" si="726"/>
        <v>55.357142857142861</v>
      </c>
      <c r="BG2237" s="373">
        <f t="shared" si="727"/>
        <v>50</v>
      </c>
    </row>
    <row r="2238" spans="1:59" s="46" customFormat="1" ht="18" customHeight="1">
      <c r="A2238" s="176">
        <v>85</v>
      </c>
      <c r="B2238" s="31" t="s">
        <v>1075</v>
      </c>
      <c r="C2238" s="32" t="s">
        <v>1076</v>
      </c>
      <c r="D2238" s="231"/>
      <c r="E2238" s="231"/>
      <c r="F2238" s="231"/>
      <c r="G2238" s="231"/>
      <c r="H2238" s="231"/>
      <c r="I2238" s="231"/>
      <c r="J2238" s="231"/>
      <c r="K2238" s="231"/>
      <c r="L2238" s="231"/>
      <c r="M2238" s="231"/>
      <c r="N2238" s="231"/>
      <c r="O2238" s="231"/>
      <c r="P2238" s="231">
        <v>1</v>
      </c>
      <c r="Q2238" s="231"/>
      <c r="R2238" s="231"/>
      <c r="S2238" s="231"/>
      <c r="T2238" s="231"/>
      <c r="U2238" s="231"/>
      <c r="V2238" s="231"/>
      <c r="W2238" s="231"/>
      <c r="X2238" s="231"/>
      <c r="Y2238" s="231"/>
      <c r="Z2238" s="231"/>
      <c r="AA2238" s="231"/>
      <c r="AB2238" s="22">
        <f t="shared" si="722"/>
        <v>1</v>
      </c>
      <c r="AC2238" s="23">
        <v>1</v>
      </c>
      <c r="AD2238" s="35"/>
      <c r="AE2238" s="35"/>
      <c r="AF2238" s="35"/>
      <c r="AG2238" s="35"/>
      <c r="AH2238" s="35">
        <v>15</v>
      </c>
      <c r="AI2238" s="35"/>
      <c r="AJ2238" s="35"/>
      <c r="AK2238" s="35"/>
      <c r="AL2238" s="35">
        <v>71</v>
      </c>
      <c r="AM2238" s="35"/>
      <c r="AN2238" s="35"/>
      <c r="AO2238" s="35"/>
      <c r="AP2238" s="35">
        <v>64</v>
      </c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22">
        <f t="shared" si="723"/>
        <v>150</v>
      </c>
      <c r="BC2238" s="23">
        <v>387</v>
      </c>
      <c r="BD2238" s="130">
        <f t="shared" si="724"/>
        <v>151</v>
      </c>
      <c r="BE2238" s="130">
        <f t="shared" si="725"/>
        <v>388</v>
      </c>
      <c r="BF2238" s="195">
        <f t="shared" si="726"/>
        <v>38.917525773195877</v>
      </c>
      <c r="BG2238" s="373">
        <f t="shared" si="727"/>
        <v>237</v>
      </c>
    </row>
    <row r="2239" spans="1:59" s="46" customFormat="1" ht="14.25" customHeight="1">
      <c r="A2239" s="176">
        <v>86</v>
      </c>
      <c r="B2239" s="37" t="s">
        <v>2066</v>
      </c>
      <c r="C2239" s="38" t="s">
        <v>2296</v>
      </c>
      <c r="D2239" s="231"/>
      <c r="E2239" s="231"/>
      <c r="F2239" s="231"/>
      <c r="G2239" s="231"/>
      <c r="H2239" s="231"/>
      <c r="I2239" s="231"/>
      <c r="J2239" s="231"/>
      <c r="K2239" s="231"/>
      <c r="L2239" s="231"/>
      <c r="M2239" s="231"/>
      <c r="N2239" s="231"/>
      <c r="O2239" s="231"/>
      <c r="P2239" s="231"/>
      <c r="Q2239" s="231"/>
      <c r="R2239" s="231"/>
      <c r="S2239" s="231"/>
      <c r="T2239" s="231"/>
      <c r="U2239" s="231"/>
      <c r="V2239" s="231"/>
      <c r="W2239" s="231"/>
      <c r="X2239" s="231"/>
      <c r="Y2239" s="231"/>
      <c r="Z2239" s="231"/>
      <c r="AA2239" s="231"/>
      <c r="AB2239" s="22">
        <f t="shared" si="722"/>
        <v>0</v>
      </c>
      <c r="AC2239" s="23">
        <v>0</v>
      </c>
      <c r="AD2239" s="35"/>
      <c r="AE2239" s="35"/>
      <c r="AF2239" s="35"/>
      <c r="AG2239" s="35"/>
      <c r="AH2239" s="35">
        <v>5</v>
      </c>
      <c r="AI2239" s="35"/>
      <c r="AJ2239" s="35"/>
      <c r="AK2239" s="35"/>
      <c r="AL2239" s="35">
        <v>21</v>
      </c>
      <c r="AM2239" s="35"/>
      <c r="AN2239" s="35"/>
      <c r="AO2239" s="35"/>
      <c r="AP2239" s="35">
        <v>21</v>
      </c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22">
        <f t="shared" si="723"/>
        <v>47</v>
      </c>
      <c r="BC2239" s="23">
        <v>160</v>
      </c>
      <c r="BD2239" s="130">
        <f t="shared" si="724"/>
        <v>47</v>
      </c>
      <c r="BE2239" s="130">
        <f t="shared" si="725"/>
        <v>160</v>
      </c>
      <c r="BF2239" s="195">
        <f t="shared" si="726"/>
        <v>29.375</v>
      </c>
      <c r="BG2239" s="373">
        <f t="shared" si="727"/>
        <v>113</v>
      </c>
    </row>
    <row r="2240" spans="1:59" s="46" customFormat="1" ht="14.25" customHeight="1">
      <c r="A2240" s="176">
        <v>87</v>
      </c>
      <c r="B2240" s="37" t="s">
        <v>2067</v>
      </c>
      <c r="C2240" s="38" t="s">
        <v>2295</v>
      </c>
      <c r="D2240" s="231"/>
      <c r="E2240" s="231"/>
      <c r="F2240" s="231"/>
      <c r="G2240" s="231"/>
      <c r="H2240" s="231"/>
      <c r="I2240" s="231"/>
      <c r="J2240" s="231"/>
      <c r="K2240" s="231"/>
      <c r="L2240" s="231"/>
      <c r="M2240" s="231"/>
      <c r="N2240" s="231"/>
      <c r="O2240" s="231"/>
      <c r="P2240" s="231"/>
      <c r="Q2240" s="231"/>
      <c r="R2240" s="231"/>
      <c r="S2240" s="231"/>
      <c r="T2240" s="231"/>
      <c r="U2240" s="231"/>
      <c r="V2240" s="231"/>
      <c r="W2240" s="231"/>
      <c r="X2240" s="231"/>
      <c r="Y2240" s="231"/>
      <c r="Z2240" s="231"/>
      <c r="AA2240" s="231"/>
      <c r="AB2240" s="22">
        <f t="shared" si="722"/>
        <v>0</v>
      </c>
      <c r="AC2240" s="23">
        <v>0</v>
      </c>
      <c r="AD2240" s="35"/>
      <c r="AE2240" s="35"/>
      <c r="AF2240" s="35"/>
      <c r="AG2240" s="35"/>
      <c r="AH2240" s="35"/>
      <c r="AI2240" s="35"/>
      <c r="AJ2240" s="35"/>
      <c r="AK2240" s="35"/>
      <c r="AL2240" s="35">
        <v>3</v>
      </c>
      <c r="AM2240" s="35"/>
      <c r="AN2240" s="35"/>
      <c r="AO2240" s="35"/>
      <c r="AP2240" s="35">
        <v>1</v>
      </c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22">
        <f t="shared" si="723"/>
        <v>4</v>
      </c>
      <c r="BC2240" s="23">
        <v>7</v>
      </c>
      <c r="BD2240" s="130">
        <f t="shared" si="724"/>
        <v>4</v>
      </c>
      <c r="BE2240" s="130">
        <f t="shared" si="725"/>
        <v>7</v>
      </c>
      <c r="BF2240" s="195">
        <f t="shared" si="726"/>
        <v>57.142857142857139</v>
      </c>
      <c r="BG2240" s="373">
        <f t="shared" si="727"/>
        <v>3</v>
      </c>
    </row>
    <row r="2241" spans="1:59" s="46" customFormat="1" ht="14.25" customHeight="1">
      <c r="A2241" s="176">
        <v>88</v>
      </c>
      <c r="B2241" s="37" t="s">
        <v>1381</v>
      </c>
      <c r="C2241" s="38" t="s">
        <v>3490</v>
      </c>
      <c r="D2241" s="231"/>
      <c r="E2241" s="231"/>
      <c r="F2241" s="231"/>
      <c r="G2241" s="231"/>
      <c r="H2241" s="231"/>
      <c r="I2241" s="231"/>
      <c r="J2241" s="231"/>
      <c r="K2241" s="231"/>
      <c r="L2241" s="231"/>
      <c r="M2241" s="231"/>
      <c r="N2241" s="231"/>
      <c r="O2241" s="231"/>
      <c r="P2241" s="231"/>
      <c r="Q2241" s="231"/>
      <c r="R2241" s="231"/>
      <c r="S2241" s="231"/>
      <c r="T2241" s="231"/>
      <c r="U2241" s="231"/>
      <c r="V2241" s="231"/>
      <c r="W2241" s="231"/>
      <c r="X2241" s="231"/>
      <c r="Y2241" s="231"/>
      <c r="Z2241" s="231"/>
      <c r="AA2241" s="231"/>
      <c r="AB2241" s="22">
        <f t="shared" si="722"/>
        <v>0</v>
      </c>
      <c r="AC2241" s="23">
        <v>0</v>
      </c>
      <c r="AD2241" s="35"/>
      <c r="AE2241" s="35"/>
      <c r="AF2241" s="35"/>
      <c r="AG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22">
        <f t="shared" si="723"/>
        <v>0</v>
      </c>
      <c r="BC2241" s="23">
        <v>1</v>
      </c>
      <c r="BD2241" s="130">
        <f t="shared" si="724"/>
        <v>0</v>
      </c>
      <c r="BE2241" s="130">
        <f t="shared" si="725"/>
        <v>1</v>
      </c>
      <c r="BF2241" s="195">
        <f t="shared" si="726"/>
        <v>0</v>
      </c>
      <c r="BG2241" s="373">
        <f t="shared" si="727"/>
        <v>1</v>
      </c>
    </row>
    <row r="2242" spans="1:59" s="46" customFormat="1" ht="14.25" customHeight="1">
      <c r="A2242" s="176">
        <v>89</v>
      </c>
      <c r="B2242" s="37" t="s">
        <v>1242</v>
      </c>
      <c r="C2242" s="38" t="s">
        <v>1243</v>
      </c>
      <c r="D2242" s="390"/>
      <c r="E2242" s="390"/>
      <c r="F2242" s="390"/>
      <c r="G2242" s="390"/>
      <c r="H2242" s="390"/>
      <c r="I2242" s="390"/>
      <c r="J2242" s="390"/>
      <c r="K2242" s="390"/>
      <c r="L2242" s="390"/>
      <c r="M2242" s="390"/>
      <c r="N2242" s="390"/>
      <c r="O2242" s="390"/>
      <c r="P2242" s="390"/>
      <c r="Q2242" s="390"/>
      <c r="R2242" s="390"/>
      <c r="S2242" s="390"/>
      <c r="T2242" s="390"/>
      <c r="U2242" s="390"/>
      <c r="V2242" s="390"/>
      <c r="W2242" s="390"/>
      <c r="X2242" s="390"/>
      <c r="Y2242" s="390"/>
      <c r="Z2242" s="390"/>
      <c r="AA2242" s="390"/>
      <c r="AB2242" s="22">
        <f t="shared" si="722"/>
        <v>0</v>
      </c>
      <c r="AC2242" s="23">
        <v>0</v>
      </c>
      <c r="AD2242" s="35"/>
      <c r="AE2242" s="35"/>
      <c r="AF2242" s="35"/>
      <c r="AG2242" s="35"/>
      <c r="AH2242" s="35">
        <v>1</v>
      </c>
      <c r="AI2242" s="35"/>
      <c r="AJ2242" s="35"/>
      <c r="AK2242" s="35"/>
      <c r="AL2242" s="35"/>
      <c r="AM2242" s="35"/>
      <c r="AN2242" s="35"/>
      <c r="AO2242" s="35"/>
      <c r="AP2242" s="35">
        <v>4</v>
      </c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22">
        <f t="shared" si="723"/>
        <v>5</v>
      </c>
      <c r="BC2242" s="23">
        <v>25</v>
      </c>
      <c r="BD2242" s="130">
        <f t="shared" si="724"/>
        <v>5</v>
      </c>
      <c r="BE2242" s="130">
        <f t="shared" si="725"/>
        <v>25</v>
      </c>
      <c r="BF2242" s="195">
        <f t="shared" si="726"/>
        <v>20</v>
      </c>
      <c r="BG2242" s="373">
        <f t="shared" si="727"/>
        <v>20</v>
      </c>
    </row>
    <row r="2243" spans="1:59" s="46" customFormat="1" ht="14.25" customHeight="1">
      <c r="A2243" s="176">
        <v>90</v>
      </c>
      <c r="B2243" s="37" t="s">
        <v>1382</v>
      </c>
      <c r="C2243" s="38" t="s">
        <v>2068</v>
      </c>
      <c r="D2243" s="231"/>
      <c r="E2243" s="231"/>
      <c r="F2243" s="231"/>
      <c r="G2243" s="231"/>
      <c r="H2243" s="231"/>
      <c r="I2243" s="231"/>
      <c r="J2243" s="231"/>
      <c r="K2243" s="231"/>
      <c r="L2243" s="231"/>
      <c r="M2243" s="231"/>
      <c r="N2243" s="231"/>
      <c r="O2243" s="231"/>
      <c r="P2243" s="231"/>
      <c r="Q2243" s="231"/>
      <c r="R2243" s="231"/>
      <c r="S2243" s="231"/>
      <c r="T2243" s="231"/>
      <c r="U2243" s="231"/>
      <c r="V2243" s="231"/>
      <c r="W2243" s="231"/>
      <c r="X2243" s="231"/>
      <c r="Y2243" s="231"/>
      <c r="Z2243" s="231"/>
      <c r="AA2243" s="231"/>
      <c r="AB2243" s="22">
        <f t="shared" si="722"/>
        <v>0</v>
      </c>
      <c r="AC2243" s="23">
        <v>0</v>
      </c>
      <c r="AD2243" s="35"/>
      <c r="AE2243" s="35"/>
      <c r="AF2243" s="35"/>
      <c r="AG2243" s="35"/>
      <c r="AH2243" s="35">
        <v>1</v>
      </c>
      <c r="AI2243" s="35"/>
      <c r="AJ2243" s="35"/>
      <c r="AK2243" s="35">
        <v>1</v>
      </c>
      <c r="AL2243" s="35"/>
      <c r="AM2243" s="35"/>
      <c r="AN2243" s="35"/>
      <c r="AO2243" s="35"/>
      <c r="AP2243" s="35">
        <v>1</v>
      </c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22">
        <f t="shared" si="723"/>
        <v>3</v>
      </c>
      <c r="BC2243" s="23">
        <v>2</v>
      </c>
      <c r="BD2243" s="130">
        <f t="shared" si="724"/>
        <v>3</v>
      </c>
      <c r="BE2243" s="130">
        <f t="shared" si="725"/>
        <v>2</v>
      </c>
      <c r="BF2243" s="195">
        <f t="shared" si="726"/>
        <v>150</v>
      </c>
      <c r="BG2243" s="373">
        <f t="shared" si="727"/>
        <v>-1</v>
      </c>
    </row>
    <row r="2244" spans="1:59" s="46" customFormat="1" ht="14.25" customHeight="1">
      <c r="A2244" s="176">
        <v>91</v>
      </c>
      <c r="B2244" s="37" t="s">
        <v>1383</v>
      </c>
      <c r="C2244" s="38" t="s">
        <v>2069</v>
      </c>
      <c r="D2244" s="231"/>
      <c r="E2244" s="231"/>
      <c r="F2244" s="231"/>
      <c r="G2244" s="231"/>
      <c r="H2244" s="231"/>
      <c r="I2244" s="231"/>
      <c r="J2244" s="231"/>
      <c r="K2244" s="231"/>
      <c r="L2244" s="231"/>
      <c r="M2244" s="231"/>
      <c r="N2244" s="231"/>
      <c r="O2244" s="231"/>
      <c r="P2244" s="231"/>
      <c r="Q2244" s="231"/>
      <c r="R2244" s="231"/>
      <c r="S2244" s="231"/>
      <c r="T2244" s="231"/>
      <c r="U2244" s="231"/>
      <c r="V2244" s="231"/>
      <c r="W2244" s="231"/>
      <c r="X2244" s="231"/>
      <c r="Y2244" s="231"/>
      <c r="Z2244" s="231"/>
      <c r="AA2244" s="231"/>
      <c r="AB2244" s="22">
        <f t="shared" si="722"/>
        <v>0</v>
      </c>
      <c r="AC2244" s="23">
        <v>0</v>
      </c>
      <c r="AD2244" s="35"/>
      <c r="AE2244" s="35"/>
      <c r="AF2244" s="35"/>
      <c r="AG2244" s="35"/>
      <c r="AH2244" s="35"/>
      <c r="AI2244" s="35"/>
      <c r="AJ2244" s="35"/>
      <c r="AK2244" s="35"/>
      <c r="AL2244" s="35">
        <v>4</v>
      </c>
      <c r="AM2244" s="35"/>
      <c r="AN2244" s="35"/>
      <c r="AO2244" s="35"/>
      <c r="AP2244" s="35">
        <v>1</v>
      </c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22">
        <f t="shared" si="723"/>
        <v>5</v>
      </c>
      <c r="BC2244" s="23">
        <v>70</v>
      </c>
      <c r="BD2244" s="130">
        <f t="shared" si="724"/>
        <v>5</v>
      </c>
      <c r="BE2244" s="130">
        <f t="shared" si="725"/>
        <v>70</v>
      </c>
      <c r="BF2244" s="195">
        <f t="shared" si="726"/>
        <v>7.1428571428571423</v>
      </c>
      <c r="BG2244" s="373">
        <f t="shared" si="727"/>
        <v>65</v>
      </c>
    </row>
    <row r="2245" spans="1:59" s="46" customFormat="1" ht="14.25" customHeight="1">
      <c r="A2245" s="176">
        <v>92</v>
      </c>
      <c r="B2245" s="37" t="s">
        <v>2070</v>
      </c>
      <c r="C2245" s="38" t="s">
        <v>2071</v>
      </c>
      <c r="D2245" s="231"/>
      <c r="E2245" s="231"/>
      <c r="F2245" s="231"/>
      <c r="G2245" s="231"/>
      <c r="H2245" s="231"/>
      <c r="I2245" s="231"/>
      <c r="J2245" s="231"/>
      <c r="K2245" s="231"/>
      <c r="L2245" s="231"/>
      <c r="M2245" s="231"/>
      <c r="N2245" s="231"/>
      <c r="O2245" s="231"/>
      <c r="P2245" s="231"/>
      <c r="Q2245" s="231"/>
      <c r="R2245" s="231"/>
      <c r="S2245" s="231"/>
      <c r="T2245" s="231"/>
      <c r="U2245" s="231"/>
      <c r="V2245" s="231"/>
      <c r="W2245" s="231"/>
      <c r="X2245" s="231"/>
      <c r="Y2245" s="231"/>
      <c r="Z2245" s="231"/>
      <c r="AA2245" s="231"/>
      <c r="AB2245" s="22">
        <f t="shared" si="722"/>
        <v>0</v>
      </c>
      <c r="AC2245" s="23">
        <v>0</v>
      </c>
      <c r="AD2245" s="35"/>
      <c r="AE2245" s="35"/>
      <c r="AF2245" s="35"/>
      <c r="AG2245" s="35"/>
      <c r="AH2245" s="35"/>
      <c r="AI2245" s="35"/>
      <c r="AJ2245" s="35"/>
      <c r="AK2245" s="35">
        <v>1</v>
      </c>
      <c r="AL2245" s="35">
        <f>1+1</f>
        <v>2</v>
      </c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22">
        <f t="shared" si="723"/>
        <v>3</v>
      </c>
      <c r="BC2245" s="23">
        <v>5</v>
      </c>
      <c r="BD2245" s="130">
        <f t="shared" si="724"/>
        <v>3</v>
      </c>
      <c r="BE2245" s="130">
        <f t="shared" si="725"/>
        <v>5</v>
      </c>
      <c r="BF2245" s="195">
        <f t="shared" si="726"/>
        <v>60</v>
      </c>
      <c r="BG2245" s="373">
        <f t="shared" si="727"/>
        <v>2</v>
      </c>
    </row>
    <row r="2246" spans="1:59" s="46" customFormat="1" ht="14.25" customHeight="1">
      <c r="A2246" s="176">
        <v>93</v>
      </c>
      <c r="B2246" s="37" t="s">
        <v>3491</v>
      </c>
      <c r="C2246" s="38" t="s">
        <v>3492</v>
      </c>
      <c r="D2246" s="231"/>
      <c r="E2246" s="231"/>
      <c r="F2246" s="231"/>
      <c r="G2246" s="231"/>
      <c r="H2246" s="231"/>
      <c r="I2246" s="231"/>
      <c r="J2246" s="231"/>
      <c r="K2246" s="231"/>
      <c r="L2246" s="231"/>
      <c r="M2246" s="231"/>
      <c r="N2246" s="231"/>
      <c r="O2246" s="231"/>
      <c r="P2246" s="231"/>
      <c r="Q2246" s="231"/>
      <c r="R2246" s="231"/>
      <c r="S2246" s="231"/>
      <c r="T2246" s="231"/>
      <c r="U2246" s="231"/>
      <c r="V2246" s="231"/>
      <c r="W2246" s="231"/>
      <c r="X2246" s="231"/>
      <c r="Y2246" s="231"/>
      <c r="Z2246" s="231"/>
      <c r="AA2246" s="231"/>
      <c r="AB2246" s="22">
        <f t="shared" si="722"/>
        <v>0</v>
      </c>
      <c r="AC2246" s="23">
        <v>0</v>
      </c>
      <c r="AD2246" s="35"/>
      <c r="AE2246" s="35"/>
      <c r="AF2246" s="35"/>
      <c r="AG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22">
        <f t="shared" si="723"/>
        <v>0</v>
      </c>
      <c r="BC2246" s="23">
        <v>1</v>
      </c>
      <c r="BD2246" s="130">
        <f t="shared" si="724"/>
        <v>0</v>
      </c>
      <c r="BE2246" s="130">
        <f t="shared" si="725"/>
        <v>1</v>
      </c>
      <c r="BF2246" s="195">
        <f t="shared" si="726"/>
        <v>0</v>
      </c>
      <c r="BG2246" s="373">
        <f t="shared" si="727"/>
        <v>1</v>
      </c>
    </row>
    <row r="2247" spans="1:59" s="46" customFormat="1" ht="14.25" customHeight="1">
      <c r="A2247" s="176">
        <v>94</v>
      </c>
      <c r="B2247" s="37" t="s">
        <v>3493</v>
      </c>
      <c r="C2247" s="38" t="s">
        <v>3494</v>
      </c>
      <c r="D2247" s="390"/>
      <c r="E2247" s="390"/>
      <c r="F2247" s="390"/>
      <c r="G2247" s="390"/>
      <c r="H2247" s="390"/>
      <c r="I2247" s="390"/>
      <c r="J2247" s="390"/>
      <c r="K2247" s="390"/>
      <c r="L2247" s="390"/>
      <c r="M2247" s="390"/>
      <c r="N2247" s="390"/>
      <c r="O2247" s="390"/>
      <c r="P2247" s="390"/>
      <c r="Q2247" s="390"/>
      <c r="R2247" s="390"/>
      <c r="S2247" s="390"/>
      <c r="T2247" s="390"/>
      <c r="U2247" s="390"/>
      <c r="V2247" s="390"/>
      <c r="W2247" s="390"/>
      <c r="X2247" s="390"/>
      <c r="Y2247" s="390"/>
      <c r="Z2247" s="390"/>
      <c r="AA2247" s="390"/>
      <c r="AB2247" s="22">
        <f t="shared" si="722"/>
        <v>0</v>
      </c>
      <c r="AC2247" s="23">
        <v>0</v>
      </c>
      <c r="AD2247" s="35"/>
      <c r="AE2247" s="35"/>
      <c r="AF2247" s="35"/>
      <c r="AG2247" s="35"/>
      <c r="AH2247" s="35"/>
      <c r="AI2247" s="35"/>
      <c r="AJ2247" s="35"/>
      <c r="AK2247" s="35"/>
      <c r="AL2247" s="35"/>
      <c r="AM2247" s="35"/>
      <c r="AN2247" s="35"/>
      <c r="AO2247" s="35"/>
      <c r="AP2247" s="35">
        <f>3+1</f>
        <v>4</v>
      </c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22">
        <f t="shared" si="723"/>
        <v>4</v>
      </c>
      <c r="BC2247" s="23">
        <v>1</v>
      </c>
      <c r="BD2247" s="130">
        <f t="shared" si="724"/>
        <v>4</v>
      </c>
      <c r="BE2247" s="130">
        <f t="shared" si="725"/>
        <v>1</v>
      </c>
      <c r="BF2247" s="195">
        <f t="shared" si="726"/>
        <v>400</v>
      </c>
      <c r="BG2247" s="373">
        <f t="shared" si="727"/>
        <v>-3</v>
      </c>
    </row>
    <row r="2248" spans="1:59" s="46" customFormat="1" ht="14.25" customHeight="1">
      <c r="A2248" s="176">
        <v>95</v>
      </c>
      <c r="B2248" s="37" t="s">
        <v>3495</v>
      </c>
      <c r="C2248" s="38" t="s">
        <v>3496</v>
      </c>
      <c r="D2248" s="390"/>
      <c r="E2248" s="390"/>
      <c r="F2248" s="390"/>
      <c r="G2248" s="390"/>
      <c r="H2248" s="390"/>
      <c r="I2248" s="390"/>
      <c r="J2248" s="390"/>
      <c r="K2248" s="390"/>
      <c r="L2248" s="390"/>
      <c r="M2248" s="390"/>
      <c r="N2248" s="390"/>
      <c r="O2248" s="390"/>
      <c r="P2248" s="390"/>
      <c r="Q2248" s="390"/>
      <c r="R2248" s="390"/>
      <c r="S2248" s="390"/>
      <c r="T2248" s="390"/>
      <c r="U2248" s="390"/>
      <c r="V2248" s="390"/>
      <c r="W2248" s="390"/>
      <c r="X2248" s="390"/>
      <c r="Y2248" s="390"/>
      <c r="Z2248" s="390"/>
      <c r="AA2248" s="390"/>
      <c r="AB2248" s="22">
        <f t="shared" si="722"/>
        <v>0</v>
      </c>
      <c r="AC2248" s="23">
        <v>0</v>
      </c>
      <c r="AD2248" s="35"/>
      <c r="AE2248" s="35"/>
      <c r="AF2248" s="35"/>
      <c r="AG2248" s="35"/>
      <c r="AH2248" s="35"/>
      <c r="AI2248" s="35"/>
      <c r="AJ2248" s="35"/>
      <c r="AK2248" s="35"/>
      <c r="AL2248" s="35"/>
      <c r="AM2248" s="35"/>
      <c r="AN2248" s="35"/>
      <c r="AO2248" s="35"/>
      <c r="AP2248" s="35">
        <v>2</v>
      </c>
      <c r="AQ2248" s="35"/>
      <c r="AR2248" s="35"/>
      <c r="AS2248" s="35"/>
      <c r="AT2248" s="35"/>
      <c r="AU2248" s="35"/>
      <c r="AV2248" s="35"/>
      <c r="AW2248" s="35"/>
      <c r="AX2248" s="35"/>
      <c r="AY2248" s="35"/>
      <c r="AZ2248" s="35"/>
      <c r="BA2248" s="35"/>
      <c r="BB2248" s="22">
        <f t="shared" si="723"/>
        <v>2</v>
      </c>
      <c r="BC2248" s="23">
        <v>1</v>
      </c>
      <c r="BD2248" s="130">
        <f t="shared" si="724"/>
        <v>2</v>
      </c>
      <c r="BE2248" s="130">
        <f t="shared" si="725"/>
        <v>1</v>
      </c>
      <c r="BF2248" s="195">
        <f t="shared" si="726"/>
        <v>200</v>
      </c>
      <c r="BG2248" s="373">
        <f t="shared" si="727"/>
        <v>-1</v>
      </c>
    </row>
    <row r="2249" spans="1:59" s="46" customFormat="1" ht="14.25" customHeight="1">
      <c r="A2249" s="176">
        <v>96</v>
      </c>
      <c r="B2249" s="37" t="s">
        <v>4204</v>
      </c>
      <c r="C2249" s="38" t="s">
        <v>4205</v>
      </c>
      <c r="D2249" s="583"/>
      <c r="E2249" s="583"/>
      <c r="F2249" s="583"/>
      <c r="G2249" s="583"/>
      <c r="H2249" s="583"/>
      <c r="I2249" s="583"/>
      <c r="J2249" s="583"/>
      <c r="K2249" s="583"/>
      <c r="L2249" s="583"/>
      <c r="M2249" s="583"/>
      <c r="N2249" s="583"/>
      <c r="O2249" s="583"/>
      <c r="P2249" s="583"/>
      <c r="Q2249" s="583"/>
      <c r="R2249" s="583"/>
      <c r="S2249" s="583"/>
      <c r="T2249" s="583"/>
      <c r="U2249" s="583"/>
      <c r="V2249" s="583"/>
      <c r="W2249" s="583"/>
      <c r="X2249" s="583"/>
      <c r="Y2249" s="583"/>
      <c r="Z2249" s="583"/>
      <c r="AA2249" s="583"/>
      <c r="AB2249" s="22">
        <f t="shared" si="722"/>
        <v>0</v>
      </c>
      <c r="AC2249" s="23">
        <v>0</v>
      </c>
      <c r="AD2249" s="35"/>
      <c r="AE2249" s="35"/>
      <c r="AF2249" s="35"/>
      <c r="AG2249" s="35"/>
      <c r="AH2249" s="35"/>
      <c r="AI2249" s="35"/>
      <c r="AJ2249" s="35"/>
      <c r="AK2249" s="35"/>
      <c r="AL2249" s="35"/>
      <c r="AM2249" s="35"/>
      <c r="AN2249" s="35"/>
      <c r="AO2249" s="35"/>
      <c r="AP2249" s="35">
        <v>1</v>
      </c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22">
        <f t="shared" si="723"/>
        <v>1</v>
      </c>
      <c r="BC2249" s="23">
        <v>0</v>
      </c>
      <c r="BD2249" s="130">
        <f t="shared" ref="BD2249" si="728">AB2249+BB2249</f>
        <v>1</v>
      </c>
      <c r="BE2249" s="130">
        <f t="shared" ref="BE2249" si="729">AC2249+BC2249</f>
        <v>0</v>
      </c>
      <c r="BF2249" s="195" t="e">
        <f t="shared" ref="BF2249" si="730">BD2249/BE2249*100</f>
        <v>#DIV/0!</v>
      </c>
      <c r="BG2249" s="373"/>
    </row>
    <row r="2250" spans="1:59" s="46" customFormat="1" ht="14.25" customHeight="1">
      <c r="A2250" s="176">
        <v>97</v>
      </c>
      <c r="B2250" s="31" t="s">
        <v>1244</v>
      </c>
      <c r="C2250" s="32" t="s">
        <v>1245</v>
      </c>
      <c r="D2250" s="390"/>
      <c r="E2250" s="390"/>
      <c r="F2250" s="390"/>
      <c r="G2250" s="390"/>
      <c r="H2250" s="390"/>
      <c r="I2250" s="390"/>
      <c r="J2250" s="390"/>
      <c r="K2250" s="390"/>
      <c r="L2250" s="390"/>
      <c r="M2250" s="390"/>
      <c r="N2250" s="390"/>
      <c r="O2250" s="390"/>
      <c r="P2250" s="390"/>
      <c r="Q2250" s="390"/>
      <c r="R2250" s="390"/>
      <c r="S2250" s="390"/>
      <c r="T2250" s="390"/>
      <c r="U2250" s="390"/>
      <c r="V2250" s="390"/>
      <c r="W2250" s="390"/>
      <c r="X2250" s="390"/>
      <c r="Y2250" s="390"/>
      <c r="Z2250" s="390"/>
      <c r="AA2250" s="390"/>
      <c r="AB2250" s="22">
        <f t="shared" si="722"/>
        <v>0</v>
      </c>
      <c r="AC2250" s="23">
        <v>0</v>
      </c>
      <c r="AD2250" s="35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22">
        <f t="shared" si="723"/>
        <v>0</v>
      </c>
      <c r="BC2250" s="23">
        <v>2</v>
      </c>
      <c r="BD2250" s="130">
        <f t="shared" si="724"/>
        <v>0</v>
      </c>
      <c r="BE2250" s="130">
        <f t="shared" si="725"/>
        <v>2</v>
      </c>
      <c r="BF2250" s="195">
        <f t="shared" si="726"/>
        <v>0</v>
      </c>
      <c r="BG2250" s="373">
        <f t="shared" si="727"/>
        <v>2</v>
      </c>
    </row>
    <row r="2251" spans="1:59" s="46" customFormat="1" ht="14.25" customHeight="1">
      <c r="A2251" s="176">
        <v>98</v>
      </c>
      <c r="B2251" s="31" t="s">
        <v>1384</v>
      </c>
      <c r="C2251" s="32" t="s">
        <v>1972</v>
      </c>
      <c r="D2251" s="390"/>
      <c r="E2251" s="390"/>
      <c r="F2251" s="390"/>
      <c r="G2251" s="390"/>
      <c r="H2251" s="390"/>
      <c r="I2251" s="390"/>
      <c r="J2251" s="390"/>
      <c r="K2251" s="390"/>
      <c r="L2251" s="390"/>
      <c r="M2251" s="390"/>
      <c r="N2251" s="390"/>
      <c r="O2251" s="390"/>
      <c r="P2251" s="390"/>
      <c r="Q2251" s="390"/>
      <c r="R2251" s="390"/>
      <c r="S2251" s="390"/>
      <c r="T2251" s="390"/>
      <c r="U2251" s="390"/>
      <c r="V2251" s="390"/>
      <c r="W2251" s="390"/>
      <c r="X2251" s="390"/>
      <c r="Y2251" s="390"/>
      <c r="Z2251" s="390"/>
      <c r="AA2251" s="390"/>
      <c r="AB2251" s="22">
        <f t="shared" ref="AB2251:AB2282" si="731">SUM(D2251:AA2251)</f>
        <v>0</v>
      </c>
      <c r="AC2251" s="23">
        <v>0</v>
      </c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>
        <v>3</v>
      </c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22">
        <f t="shared" ref="BB2251:BB2282" si="732">SUM(AD2251:BA2251)</f>
        <v>3</v>
      </c>
      <c r="BC2251" s="23">
        <v>1</v>
      </c>
      <c r="BD2251" s="130">
        <f t="shared" ref="BD2251:BD2282" si="733">AB2251+BB2251</f>
        <v>3</v>
      </c>
      <c r="BE2251" s="130">
        <f t="shared" ref="BE2251:BE2282" si="734">AC2251+BC2251</f>
        <v>1</v>
      </c>
      <c r="BF2251" s="195">
        <f t="shared" ref="BF2251:BF2282" si="735">BD2251/BE2251*100</f>
        <v>300</v>
      </c>
      <c r="BG2251" s="373">
        <f t="shared" si="727"/>
        <v>-2</v>
      </c>
    </row>
    <row r="2252" spans="1:59" s="46" customFormat="1" ht="15.75" customHeight="1">
      <c r="A2252" s="176">
        <v>99</v>
      </c>
      <c r="B2252" s="31" t="s">
        <v>1246</v>
      </c>
      <c r="C2252" s="32" t="s">
        <v>1247</v>
      </c>
      <c r="D2252" s="231"/>
      <c r="E2252" s="231"/>
      <c r="F2252" s="231"/>
      <c r="G2252" s="231"/>
      <c r="H2252" s="231"/>
      <c r="I2252" s="231"/>
      <c r="J2252" s="231"/>
      <c r="K2252" s="231"/>
      <c r="L2252" s="231"/>
      <c r="M2252" s="231"/>
      <c r="N2252" s="231"/>
      <c r="O2252" s="231"/>
      <c r="P2252" s="231"/>
      <c r="Q2252" s="231"/>
      <c r="R2252" s="231"/>
      <c r="S2252" s="231"/>
      <c r="T2252" s="231"/>
      <c r="U2252" s="231"/>
      <c r="V2252" s="231"/>
      <c r="W2252" s="231"/>
      <c r="X2252" s="231"/>
      <c r="Y2252" s="231"/>
      <c r="Z2252" s="231"/>
      <c r="AA2252" s="231"/>
      <c r="AB2252" s="22">
        <f t="shared" si="731"/>
        <v>0</v>
      </c>
      <c r="AC2252" s="23">
        <v>1</v>
      </c>
      <c r="AD2252" s="35"/>
      <c r="AE2252" s="35"/>
      <c r="AF2252" s="35"/>
      <c r="AG2252" s="35"/>
      <c r="AH2252" s="35"/>
      <c r="AI2252" s="35"/>
      <c r="AJ2252" s="35"/>
      <c r="AK2252" s="35"/>
      <c r="AL2252" s="35">
        <v>2</v>
      </c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22">
        <f t="shared" si="732"/>
        <v>2</v>
      </c>
      <c r="BC2252" s="23">
        <v>29</v>
      </c>
      <c r="BD2252" s="130">
        <f t="shared" si="733"/>
        <v>2</v>
      </c>
      <c r="BE2252" s="130">
        <f t="shared" si="734"/>
        <v>30</v>
      </c>
      <c r="BF2252" s="195">
        <f t="shared" si="735"/>
        <v>6.666666666666667</v>
      </c>
      <c r="BG2252" s="373">
        <f t="shared" si="727"/>
        <v>28</v>
      </c>
    </row>
    <row r="2253" spans="1:59" s="46" customFormat="1" ht="15" customHeight="1">
      <c r="A2253" s="176">
        <v>100</v>
      </c>
      <c r="B2253" s="31" t="s">
        <v>1248</v>
      </c>
      <c r="C2253" s="32" t="s">
        <v>1249</v>
      </c>
      <c r="D2253" s="231"/>
      <c r="E2253" s="231"/>
      <c r="F2253" s="231"/>
      <c r="G2253" s="231"/>
      <c r="H2253" s="231"/>
      <c r="I2253" s="231"/>
      <c r="J2253" s="231"/>
      <c r="K2253" s="231"/>
      <c r="L2253" s="231"/>
      <c r="M2253" s="231"/>
      <c r="N2253" s="231"/>
      <c r="O2253" s="231"/>
      <c r="P2253" s="231"/>
      <c r="Q2253" s="231"/>
      <c r="R2253" s="231"/>
      <c r="S2253" s="231"/>
      <c r="T2253" s="231"/>
      <c r="U2253" s="231"/>
      <c r="V2253" s="231"/>
      <c r="W2253" s="231"/>
      <c r="X2253" s="231"/>
      <c r="Y2253" s="231"/>
      <c r="Z2253" s="231"/>
      <c r="AA2253" s="231"/>
      <c r="AB2253" s="22">
        <f t="shared" si="731"/>
        <v>0</v>
      </c>
      <c r="AC2253" s="23">
        <v>0</v>
      </c>
      <c r="AD2253" s="35"/>
      <c r="AE2253" s="35"/>
      <c r="AF2253" s="35"/>
      <c r="AG2253" s="35"/>
      <c r="AH2253" s="35"/>
      <c r="AI2253" s="35"/>
      <c r="AJ2253" s="35"/>
      <c r="AK2253" s="35"/>
      <c r="AL2253" s="35"/>
      <c r="AM2253" s="35"/>
      <c r="AN2253" s="35"/>
      <c r="AO2253" s="35"/>
      <c r="AP2253" s="35">
        <v>3</v>
      </c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22">
        <f t="shared" si="732"/>
        <v>3</v>
      </c>
      <c r="BC2253" s="23">
        <v>3</v>
      </c>
      <c r="BD2253" s="130">
        <f t="shared" si="733"/>
        <v>3</v>
      </c>
      <c r="BE2253" s="130">
        <f t="shared" si="734"/>
        <v>3</v>
      </c>
      <c r="BF2253" s="195">
        <f t="shared" si="735"/>
        <v>100</v>
      </c>
      <c r="BG2253" s="373">
        <f t="shared" si="727"/>
        <v>0</v>
      </c>
    </row>
    <row r="2254" spans="1:59" s="46" customFormat="1" ht="13.5" customHeight="1">
      <c r="A2254" s="176">
        <v>101</v>
      </c>
      <c r="B2254" s="31" t="s">
        <v>1337</v>
      </c>
      <c r="C2254" s="32" t="s">
        <v>2132</v>
      </c>
      <c r="D2254" s="231"/>
      <c r="E2254" s="231"/>
      <c r="F2254" s="231"/>
      <c r="G2254" s="231"/>
      <c r="H2254" s="231"/>
      <c r="I2254" s="231"/>
      <c r="J2254" s="231"/>
      <c r="K2254" s="231"/>
      <c r="L2254" s="231"/>
      <c r="M2254" s="231"/>
      <c r="N2254" s="231"/>
      <c r="O2254" s="231"/>
      <c r="P2254" s="231"/>
      <c r="Q2254" s="231"/>
      <c r="R2254" s="231"/>
      <c r="S2254" s="231"/>
      <c r="T2254" s="231"/>
      <c r="U2254" s="231"/>
      <c r="V2254" s="231"/>
      <c r="W2254" s="231"/>
      <c r="X2254" s="231"/>
      <c r="Y2254" s="231"/>
      <c r="Z2254" s="231"/>
      <c r="AA2254" s="231"/>
      <c r="AB2254" s="22">
        <f t="shared" si="731"/>
        <v>0</v>
      </c>
      <c r="AC2254" s="23">
        <v>0</v>
      </c>
      <c r="AD2254" s="35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22">
        <f t="shared" si="732"/>
        <v>0</v>
      </c>
      <c r="BC2254" s="23">
        <v>4</v>
      </c>
      <c r="BD2254" s="130">
        <f t="shared" si="733"/>
        <v>0</v>
      </c>
      <c r="BE2254" s="130">
        <f t="shared" si="734"/>
        <v>4</v>
      </c>
      <c r="BF2254" s="195">
        <f t="shared" si="735"/>
        <v>0</v>
      </c>
      <c r="BG2254" s="373">
        <f t="shared" si="727"/>
        <v>4</v>
      </c>
    </row>
    <row r="2255" spans="1:59" s="46" customFormat="1" ht="14.25" customHeight="1">
      <c r="A2255" s="176">
        <v>102</v>
      </c>
      <c r="B2255" s="31" t="s">
        <v>1339</v>
      </c>
      <c r="C2255" s="32" t="s">
        <v>1340</v>
      </c>
      <c r="D2255" s="231"/>
      <c r="E2255" s="231"/>
      <c r="F2255" s="231"/>
      <c r="G2255" s="231"/>
      <c r="H2255" s="231"/>
      <c r="I2255" s="231"/>
      <c r="J2255" s="231"/>
      <c r="K2255" s="231"/>
      <c r="L2255" s="231"/>
      <c r="M2255" s="231"/>
      <c r="N2255" s="231"/>
      <c r="O2255" s="231"/>
      <c r="P2255" s="231"/>
      <c r="Q2255" s="231"/>
      <c r="R2255" s="231"/>
      <c r="S2255" s="231"/>
      <c r="T2255" s="231"/>
      <c r="U2255" s="231"/>
      <c r="V2255" s="231"/>
      <c r="W2255" s="231"/>
      <c r="X2255" s="231"/>
      <c r="Y2255" s="231"/>
      <c r="Z2255" s="231"/>
      <c r="AA2255" s="231"/>
      <c r="AB2255" s="22">
        <f t="shared" si="731"/>
        <v>0</v>
      </c>
      <c r="AC2255" s="23">
        <v>0</v>
      </c>
      <c r="AD2255" s="35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22">
        <f t="shared" si="732"/>
        <v>0</v>
      </c>
      <c r="BC2255" s="23">
        <v>45</v>
      </c>
      <c r="BD2255" s="130">
        <f t="shared" si="733"/>
        <v>0</v>
      </c>
      <c r="BE2255" s="130">
        <f t="shared" si="734"/>
        <v>45</v>
      </c>
      <c r="BF2255" s="195">
        <f t="shared" si="735"/>
        <v>0</v>
      </c>
      <c r="BG2255" s="373">
        <f t="shared" si="727"/>
        <v>45</v>
      </c>
    </row>
    <row r="2256" spans="1:59" s="46" customFormat="1" ht="14.25" customHeight="1">
      <c r="A2256" s="176">
        <v>103</v>
      </c>
      <c r="B2256" s="31" t="s">
        <v>915</v>
      </c>
      <c r="C2256" s="32" t="s">
        <v>916</v>
      </c>
      <c r="D2256" s="231"/>
      <c r="E2256" s="231"/>
      <c r="F2256" s="231"/>
      <c r="G2256" s="231"/>
      <c r="H2256" s="231"/>
      <c r="I2256" s="231"/>
      <c r="J2256" s="231"/>
      <c r="K2256" s="231"/>
      <c r="L2256" s="231"/>
      <c r="M2256" s="231"/>
      <c r="N2256" s="231"/>
      <c r="O2256" s="231"/>
      <c r="P2256" s="231"/>
      <c r="Q2256" s="231"/>
      <c r="R2256" s="231"/>
      <c r="S2256" s="231"/>
      <c r="T2256" s="231"/>
      <c r="U2256" s="231"/>
      <c r="V2256" s="231"/>
      <c r="W2256" s="231"/>
      <c r="X2256" s="231"/>
      <c r="Y2256" s="231"/>
      <c r="Z2256" s="231"/>
      <c r="AA2256" s="231"/>
      <c r="AB2256" s="22">
        <f t="shared" si="731"/>
        <v>0</v>
      </c>
      <c r="AC2256" s="23">
        <v>0</v>
      </c>
      <c r="AD2256" s="35"/>
      <c r="AE2256" s="35"/>
      <c r="AF2256" s="35"/>
      <c r="AG2256" s="35"/>
      <c r="AH2256" s="35"/>
      <c r="AI2256" s="35"/>
      <c r="AJ2256" s="35"/>
      <c r="AK2256" s="35"/>
      <c r="AL2256" s="35">
        <v>1</v>
      </c>
      <c r="AM2256" s="35"/>
      <c r="AN2256" s="35"/>
      <c r="AO2256" s="35"/>
      <c r="AP2256" s="35">
        <v>5</v>
      </c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22">
        <f t="shared" si="732"/>
        <v>6</v>
      </c>
      <c r="BC2256" s="23">
        <v>27</v>
      </c>
      <c r="BD2256" s="130">
        <f t="shared" si="733"/>
        <v>6</v>
      </c>
      <c r="BE2256" s="130">
        <f t="shared" si="734"/>
        <v>27</v>
      </c>
      <c r="BF2256" s="195">
        <f t="shared" si="735"/>
        <v>22.222222222222221</v>
      </c>
      <c r="BG2256" s="373">
        <f t="shared" si="727"/>
        <v>21</v>
      </c>
    </row>
    <row r="2257" spans="1:59" s="46" customFormat="1" ht="14.25" customHeight="1">
      <c r="A2257" s="176">
        <v>104</v>
      </c>
      <c r="B2257" s="31" t="s">
        <v>1191</v>
      </c>
      <c r="C2257" s="32" t="s">
        <v>1250</v>
      </c>
      <c r="D2257" s="231"/>
      <c r="E2257" s="231"/>
      <c r="F2257" s="231"/>
      <c r="G2257" s="231"/>
      <c r="H2257" s="231"/>
      <c r="I2257" s="231"/>
      <c r="J2257" s="231"/>
      <c r="K2257" s="231"/>
      <c r="L2257" s="231"/>
      <c r="M2257" s="231"/>
      <c r="N2257" s="231"/>
      <c r="O2257" s="231"/>
      <c r="P2257" s="231"/>
      <c r="Q2257" s="231"/>
      <c r="R2257" s="231"/>
      <c r="S2257" s="231"/>
      <c r="T2257" s="231"/>
      <c r="U2257" s="231"/>
      <c r="V2257" s="231"/>
      <c r="W2257" s="231"/>
      <c r="X2257" s="231"/>
      <c r="Y2257" s="231"/>
      <c r="Z2257" s="231"/>
      <c r="AA2257" s="231"/>
      <c r="AB2257" s="22">
        <f t="shared" si="731"/>
        <v>0</v>
      </c>
      <c r="AC2257" s="23">
        <v>0</v>
      </c>
      <c r="AD2257" s="35"/>
      <c r="AE2257" s="35"/>
      <c r="AF2257" s="35"/>
      <c r="AG2257" s="35"/>
      <c r="AH2257" s="35">
        <v>19</v>
      </c>
      <c r="AI2257" s="35"/>
      <c r="AJ2257" s="35"/>
      <c r="AK2257" s="35"/>
      <c r="AL2257" s="35">
        <v>81</v>
      </c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22">
        <f t="shared" si="732"/>
        <v>100</v>
      </c>
      <c r="BC2257" s="23">
        <v>302</v>
      </c>
      <c r="BD2257" s="130">
        <f t="shared" si="733"/>
        <v>100</v>
      </c>
      <c r="BE2257" s="130">
        <f t="shared" si="734"/>
        <v>302</v>
      </c>
      <c r="BF2257" s="195">
        <f t="shared" si="735"/>
        <v>33.112582781456958</v>
      </c>
      <c r="BG2257" s="373">
        <f t="shared" si="727"/>
        <v>202</v>
      </c>
    </row>
    <row r="2258" spans="1:59" s="46" customFormat="1" ht="15.95" customHeight="1">
      <c r="A2258" s="176">
        <v>105</v>
      </c>
      <c r="B2258" s="31" t="s">
        <v>1193</v>
      </c>
      <c r="C2258" s="32" t="s">
        <v>1973</v>
      </c>
      <c r="D2258" s="231"/>
      <c r="E2258" s="231"/>
      <c r="F2258" s="231"/>
      <c r="G2258" s="231"/>
      <c r="H2258" s="231"/>
      <c r="I2258" s="231"/>
      <c r="J2258" s="231"/>
      <c r="K2258" s="231"/>
      <c r="L2258" s="231"/>
      <c r="M2258" s="231"/>
      <c r="N2258" s="231"/>
      <c r="O2258" s="231"/>
      <c r="P2258" s="231"/>
      <c r="Q2258" s="231"/>
      <c r="R2258" s="231"/>
      <c r="S2258" s="231"/>
      <c r="T2258" s="231"/>
      <c r="U2258" s="231"/>
      <c r="V2258" s="231"/>
      <c r="W2258" s="231"/>
      <c r="X2258" s="231"/>
      <c r="Y2258" s="231"/>
      <c r="Z2258" s="231"/>
      <c r="AA2258" s="231"/>
      <c r="AB2258" s="22">
        <f t="shared" si="731"/>
        <v>0</v>
      </c>
      <c r="AC2258" s="23">
        <v>0</v>
      </c>
      <c r="AD2258" s="35"/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>
        <v>43</v>
      </c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22">
        <f t="shared" si="732"/>
        <v>43</v>
      </c>
      <c r="BC2258" s="23">
        <v>73</v>
      </c>
      <c r="BD2258" s="130">
        <f t="shared" si="733"/>
        <v>43</v>
      </c>
      <c r="BE2258" s="130">
        <f t="shared" si="734"/>
        <v>73</v>
      </c>
      <c r="BF2258" s="195">
        <f t="shared" si="735"/>
        <v>58.904109589041099</v>
      </c>
      <c r="BG2258" s="373">
        <f t="shared" si="727"/>
        <v>30</v>
      </c>
    </row>
    <row r="2259" spans="1:59" s="46" customFormat="1" ht="15.95" customHeight="1">
      <c r="A2259" s="176">
        <v>106</v>
      </c>
      <c r="B2259" s="31" t="s">
        <v>1078</v>
      </c>
      <c r="C2259" s="32" t="s">
        <v>1974</v>
      </c>
      <c r="D2259" s="231"/>
      <c r="E2259" s="231"/>
      <c r="F2259" s="231"/>
      <c r="G2259" s="231"/>
      <c r="H2259" s="231"/>
      <c r="I2259" s="231"/>
      <c r="J2259" s="231"/>
      <c r="K2259" s="231"/>
      <c r="L2259" s="231"/>
      <c r="M2259" s="231"/>
      <c r="N2259" s="231"/>
      <c r="O2259" s="231"/>
      <c r="P2259" s="231"/>
      <c r="Q2259" s="231"/>
      <c r="R2259" s="231"/>
      <c r="S2259" s="231"/>
      <c r="T2259" s="231"/>
      <c r="U2259" s="231"/>
      <c r="V2259" s="231"/>
      <c r="W2259" s="231"/>
      <c r="X2259" s="231"/>
      <c r="Y2259" s="231"/>
      <c r="Z2259" s="231"/>
      <c r="AA2259" s="231"/>
      <c r="AB2259" s="22">
        <f t="shared" si="731"/>
        <v>0</v>
      </c>
      <c r="AC2259" s="23">
        <v>0</v>
      </c>
      <c r="AD2259" s="35"/>
      <c r="AE2259" s="35"/>
      <c r="AF2259" s="35"/>
      <c r="AG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22">
        <f t="shared" si="732"/>
        <v>0</v>
      </c>
      <c r="BC2259" s="23">
        <v>6</v>
      </c>
      <c r="BD2259" s="130">
        <f t="shared" si="733"/>
        <v>0</v>
      </c>
      <c r="BE2259" s="130">
        <f t="shared" si="734"/>
        <v>6</v>
      </c>
      <c r="BF2259" s="195">
        <f t="shared" si="735"/>
        <v>0</v>
      </c>
      <c r="BG2259" s="373">
        <f t="shared" si="727"/>
        <v>6</v>
      </c>
    </row>
    <row r="2260" spans="1:59" s="46" customFormat="1" ht="15.95" customHeight="1">
      <c r="A2260" s="176">
        <v>107</v>
      </c>
      <c r="B2260" s="31" t="s">
        <v>2898</v>
      </c>
      <c r="C2260" s="32" t="s">
        <v>2899</v>
      </c>
      <c r="D2260" s="231"/>
      <c r="E2260" s="231"/>
      <c r="F2260" s="231"/>
      <c r="G2260" s="231"/>
      <c r="H2260" s="231"/>
      <c r="I2260" s="231"/>
      <c r="J2260" s="231"/>
      <c r="K2260" s="231"/>
      <c r="L2260" s="231"/>
      <c r="M2260" s="231"/>
      <c r="N2260" s="231"/>
      <c r="O2260" s="231"/>
      <c r="P2260" s="231"/>
      <c r="Q2260" s="231"/>
      <c r="R2260" s="231"/>
      <c r="S2260" s="231"/>
      <c r="T2260" s="231"/>
      <c r="U2260" s="231"/>
      <c r="V2260" s="231"/>
      <c r="W2260" s="231"/>
      <c r="X2260" s="231"/>
      <c r="Y2260" s="231"/>
      <c r="Z2260" s="231"/>
      <c r="AA2260" s="231"/>
      <c r="AB2260" s="22">
        <f t="shared" si="731"/>
        <v>0</v>
      </c>
      <c r="AC2260" s="23">
        <v>0</v>
      </c>
      <c r="AD2260" s="35"/>
      <c r="AE2260" s="35"/>
      <c r="AF2260" s="35"/>
      <c r="AG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  <c r="AX2260" s="35"/>
      <c r="AY2260" s="35"/>
      <c r="AZ2260" s="35"/>
      <c r="BA2260" s="35"/>
      <c r="BB2260" s="22">
        <f t="shared" si="732"/>
        <v>0</v>
      </c>
      <c r="BC2260" s="23">
        <v>1</v>
      </c>
      <c r="BD2260" s="130">
        <f t="shared" si="733"/>
        <v>0</v>
      </c>
      <c r="BE2260" s="130">
        <f t="shared" si="734"/>
        <v>1</v>
      </c>
      <c r="BF2260" s="195">
        <f t="shared" si="735"/>
        <v>0</v>
      </c>
      <c r="BG2260" s="373">
        <f t="shared" si="727"/>
        <v>1</v>
      </c>
    </row>
    <row r="2261" spans="1:59" s="46" customFormat="1" ht="15.95" customHeight="1">
      <c r="A2261" s="176">
        <v>108</v>
      </c>
      <c r="B2261" s="31" t="s">
        <v>949</v>
      </c>
      <c r="C2261" s="32" t="s">
        <v>1196</v>
      </c>
      <c r="D2261" s="231"/>
      <c r="E2261" s="231"/>
      <c r="F2261" s="231"/>
      <c r="G2261" s="231"/>
      <c r="H2261" s="231"/>
      <c r="I2261" s="231"/>
      <c r="J2261" s="231"/>
      <c r="K2261" s="231"/>
      <c r="L2261" s="231"/>
      <c r="M2261" s="231"/>
      <c r="N2261" s="231"/>
      <c r="O2261" s="231"/>
      <c r="P2261" s="231"/>
      <c r="Q2261" s="231"/>
      <c r="R2261" s="231"/>
      <c r="S2261" s="231"/>
      <c r="T2261" s="231"/>
      <c r="U2261" s="231"/>
      <c r="V2261" s="231"/>
      <c r="W2261" s="231"/>
      <c r="X2261" s="231"/>
      <c r="Y2261" s="231"/>
      <c r="Z2261" s="231"/>
      <c r="AA2261" s="231"/>
      <c r="AB2261" s="22">
        <f t="shared" si="731"/>
        <v>0</v>
      </c>
      <c r="AC2261" s="23">
        <v>0</v>
      </c>
      <c r="AD2261" s="35"/>
      <c r="AE2261" s="35"/>
      <c r="AF2261" s="35"/>
      <c r="AG2261" s="35"/>
      <c r="AH2261" s="35">
        <v>2</v>
      </c>
      <c r="AI2261" s="35"/>
      <c r="AJ2261" s="35"/>
      <c r="AK2261" s="35"/>
      <c r="AL2261" s="35">
        <v>11</v>
      </c>
      <c r="AM2261" s="35"/>
      <c r="AN2261" s="35"/>
      <c r="AO2261" s="35"/>
      <c r="AP2261" s="35">
        <v>8</v>
      </c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22">
        <f t="shared" si="732"/>
        <v>21</v>
      </c>
      <c r="BC2261" s="23">
        <v>18</v>
      </c>
      <c r="BD2261" s="130">
        <f t="shared" si="733"/>
        <v>21</v>
      </c>
      <c r="BE2261" s="130">
        <f t="shared" si="734"/>
        <v>18</v>
      </c>
      <c r="BF2261" s="195">
        <f t="shared" si="735"/>
        <v>116.66666666666667</v>
      </c>
      <c r="BG2261" s="373">
        <f t="shared" si="727"/>
        <v>-3</v>
      </c>
    </row>
    <row r="2262" spans="1:59" s="46" customFormat="1" ht="15.95" customHeight="1">
      <c r="A2262" s="176">
        <v>109</v>
      </c>
      <c r="B2262" s="31" t="s">
        <v>1197</v>
      </c>
      <c r="C2262" s="32" t="s">
        <v>1198</v>
      </c>
      <c r="D2262" s="286"/>
      <c r="E2262" s="286"/>
      <c r="F2262" s="286"/>
      <c r="G2262" s="286"/>
      <c r="H2262" s="286"/>
      <c r="I2262" s="286"/>
      <c r="J2262" s="286"/>
      <c r="K2262" s="286"/>
      <c r="L2262" s="286"/>
      <c r="M2262" s="286"/>
      <c r="N2262" s="286"/>
      <c r="O2262" s="286"/>
      <c r="P2262" s="286"/>
      <c r="Q2262" s="286"/>
      <c r="R2262" s="286"/>
      <c r="S2262" s="286"/>
      <c r="T2262" s="286"/>
      <c r="U2262" s="286"/>
      <c r="V2262" s="286"/>
      <c r="W2262" s="286"/>
      <c r="X2262" s="286"/>
      <c r="Y2262" s="286"/>
      <c r="Z2262" s="286"/>
      <c r="AA2262" s="286"/>
      <c r="AB2262" s="22">
        <f t="shared" si="731"/>
        <v>0</v>
      </c>
      <c r="AC2262" s="23">
        <v>0</v>
      </c>
      <c r="AD2262" s="35"/>
      <c r="AE2262" s="35"/>
      <c r="AF2262" s="35"/>
      <c r="AG2262" s="35"/>
      <c r="AH2262" s="35">
        <v>3</v>
      </c>
      <c r="AI2262" s="35"/>
      <c r="AJ2262" s="35"/>
      <c r="AK2262" s="35"/>
      <c r="AL2262" s="35">
        <v>8</v>
      </c>
      <c r="AM2262" s="35"/>
      <c r="AN2262" s="35"/>
      <c r="AO2262" s="35"/>
      <c r="AP2262" s="35">
        <v>3</v>
      </c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22">
        <f t="shared" si="732"/>
        <v>14</v>
      </c>
      <c r="BC2262" s="23">
        <v>14</v>
      </c>
      <c r="BD2262" s="130">
        <f t="shared" si="733"/>
        <v>14</v>
      </c>
      <c r="BE2262" s="130">
        <f t="shared" si="734"/>
        <v>14</v>
      </c>
      <c r="BF2262" s="195">
        <f t="shared" si="735"/>
        <v>100</v>
      </c>
      <c r="BG2262" s="373">
        <f t="shared" si="727"/>
        <v>0</v>
      </c>
    </row>
    <row r="2263" spans="1:59" s="46" customFormat="1" ht="15.95" customHeight="1">
      <c r="A2263" s="176">
        <v>110</v>
      </c>
      <c r="B2263" s="31" t="s">
        <v>1251</v>
      </c>
      <c r="C2263" s="32" t="s">
        <v>1252</v>
      </c>
      <c r="D2263" s="231"/>
      <c r="E2263" s="231"/>
      <c r="F2263" s="231"/>
      <c r="G2263" s="231"/>
      <c r="H2263" s="231"/>
      <c r="I2263" s="231"/>
      <c r="J2263" s="231"/>
      <c r="K2263" s="231"/>
      <c r="L2263" s="231"/>
      <c r="M2263" s="231"/>
      <c r="N2263" s="231"/>
      <c r="O2263" s="231"/>
      <c r="P2263" s="231"/>
      <c r="Q2263" s="231"/>
      <c r="R2263" s="231"/>
      <c r="S2263" s="231"/>
      <c r="T2263" s="231"/>
      <c r="U2263" s="231"/>
      <c r="V2263" s="231"/>
      <c r="W2263" s="231"/>
      <c r="X2263" s="231"/>
      <c r="Y2263" s="231"/>
      <c r="Z2263" s="231"/>
      <c r="AA2263" s="231"/>
      <c r="AB2263" s="22">
        <f t="shared" si="731"/>
        <v>0</v>
      </c>
      <c r="AC2263" s="23">
        <v>0</v>
      </c>
      <c r="AD2263" s="35"/>
      <c r="AE2263" s="35"/>
      <c r="AF2263" s="35"/>
      <c r="AG2263" s="35"/>
      <c r="AH2263" s="35">
        <v>4</v>
      </c>
      <c r="AI2263" s="35"/>
      <c r="AJ2263" s="35"/>
      <c r="AK2263" s="35"/>
      <c r="AL2263" s="35">
        <v>20</v>
      </c>
      <c r="AM2263" s="35"/>
      <c r="AN2263" s="35"/>
      <c r="AO2263" s="35"/>
      <c r="AP2263" s="35">
        <v>24</v>
      </c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22">
        <f t="shared" si="732"/>
        <v>48</v>
      </c>
      <c r="BC2263" s="23">
        <v>118</v>
      </c>
      <c r="BD2263" s="130">
        <f t="shared" si="733"/>
        <v>48</v>
      </c>
      <c r="BE2263" s="130">
        <f t="shared" si="734"/>
        <v>118</v>
      </c>
      <c r="BF2263" s="195">
        <f t="shared" si="735"/>
        <v>40.677966101694921</v>
      </c>
      <c r="BG2263" s="373">
        <f t="shared" si="727"/>
        <v>70</v>
      </c>
    </row>
    <row r="2264" spans="1:59" s="46" customFormat="1" ht="15.95" customHeight="1">
      <c r="A2264" s="176">
        <v>111</v>
      </c>
      <c r="B2264" s="31" t="s">
        <v>1016</v>
      </c>
      <c r="C2264" s="32" t="s">
        <v>1017</v>
      </c>
      <c r="D2264" s="231"/>
      <c r="E2264" s="231"/>
      <c r="F2264" s="231"/>
      <c r="G2264" s="231"/>
      <c r="H2264" s="231"/>
      <c r="I2264" s="231"/>
      <c r="J2264" s="231"/>
      <c r="K2264" s="231"/>
      <c r="L2264" s="231"/>
      <c r="M2264" s="231"/>
      <c r="N2264" s="231"/>
      <c r="O2264" s="231"/>
      <c r="P2264" s="231"/>
      <c r="Q2264" s="231"/>
      <c r="R2264" s="231"/>
      <c r="S2264" s="231"/>
      <c r="T2264" s="231"/>
      <c r="U2264" s="231"/>
      <c r="V2264" s="231"/>
      <c r="W2264" s="231"/>
      <c r="X2264" s="231"/>
      <c r="Y2264" s="231"/>
      <c r="Z2264" s="231"/>
      <c r="AA2264" s="231"/>
      <c r="AB2264" s="22">
        <f t="shared" si="731"/>
        <v>0</v>
      </c>
      <c r="AC2264" s="23">
        <v>0</v>
      </c>
      <c r="AD2264" s="35"/>
      <c r="AE2264" s="35"/>
      <c r="AF2264" s="35"/>
      <c r="AG2264" s="35"/>
      <c r="AH2264" s="35">
        <v>1</v>
      </c>
      <c r="AI2264" s="35"/>
      <c r="AJ2264" s="35"/>
      <c r="AK2264" s="35"/>
      <c r="AL2264" s="35">
        <v>11</v>
      </c>
      <c r="AM2264" s="35"/>
      <c r="AN2264" s="35"/>
      <c r="AO2264" s="35"/>
      <c r="AP2264" s="35">
        <v>16</v>
      </c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22">
        <f t="shared" si="732"/>
        <v>28</v>
      </c>
      <c r="BC2264" s="23">
        <v>71</v>
      </c>
      <c r="BD2264" s="130">
        <f t="shared" si="733"/>
        <v>28</v>
      </c>
      <c r="BE2264" s="130">
        <f t="shared" si="734"/>
        <v>71</v>
      </c>
      <c r="BF2264" s="195">
        <f t="shared" si="735"/>
        <v>39.436619718309856</v>
      </c>
      <c r="BG2264" s="373">
        <f t="shared" si="727"/>
        <v>43</v>
      </c>
    </row>
    <row r="2265" spans="1:59" s="46" customFormat="1" ht="15.95" customHeight="1">
      <c r="A2265" s="176">
        <v>112</v>
      </c>
      <c r="B2265" s="31" t="s">
        <v>1347</v>
      </c>
      <c r="C2265" s="32" t="s">
        <v>1348</v>
      </c>
      <c r="D2265" s="231"/>
      <c r="E2265" s="231"/>
      <c r="F2265" s="231"/>
      <c r="G2265" s="231"/>
      <c r="H2265" s="231"/>
      <c r="I2265" s="231"/>
      <c r="J2265" s="231"/>
      <c r="K2265" s="231"/>
      <c r="L2265" s="231"/>
      <c r="M2265" s="231"/>
      <c r="N2265" s="231"/>
      <c r="O2265" s="231"/>
      <c r="P2265" s="231"/>
      <c r="Q2265" s="231"/>
      <c r="R2265" s="231"/>
      <c r="S2265" s="231"/>
      <c r="T2265" s="231"/>
      <c r="U2265" s="231"/>
      <c r="V2265" s="231"/>
      <c r="W2265" s="231"/>
      <c r="X2265" s="231"/>
      <c r="Y2265" s="231"/>
      <c r="Z2265" s="231"/>
      <c r="AA2265" s="231"/>
      <c r="AB2265" s="22">
        <f t="shared" si="731"/>
        <v>0</v>
      </c>
      <c r="AC2265" s="23">
        <v>0</v>
      </c>
      <c r="AD2265" s="35"/>
      <c r="AE2265" s="35"/>
      <c r="AF2265" s="35"/>
      <c r="AG2265" s="35"/>
      <c r="AH2265" s="35">
        <v>1</v>
      </c>
      <c r="AI2265" s="35"/>
      <c r="AJ2265" s="35"/>
      <c r="AK2265" s="35"/>
      <c r="AL2265" s="35"/>
      <c r="AM2265" s="35"/>
      <c r="AN2265" s="35"/>
      <c r="AO2265" s="35"/>
      <c r="AP2265" s="35">
        <v>1</v>
      </c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22">
        <f t="shared" si="732"/>
        <v>2</v>
      </c>
      <c r="BC2265" s="23">
        <v>11</v>
      </c>
      <c r="BD2265" s="130">
        <f t="shared" si="733"/>
        <v>2</v>
      </c>
      <c r="BE2265" s="130">
        <f t="shared" si="734"/>
        <v>11</v>
      </c>
      <c r="BF2265" s="195">
        <f t="shared" si="735"/>
        <v>18.181818181818183</v>
      </c>
      <c r="BG2265" s="373">
        <f t="shared" si="727"/>
        <v>9</v>
      </c>
    </row>
    <row r="2266" spans="1:59" s="46" customFormat="1" ht="15.95" customHeight="1">
      <c r="A2266" s="176">
        <v>113</v>
      </c>
      <c r="B2266" s="31" t="s">
        <v>950</v>
      </c>
      <c r="C2266" s="32" t="s">
        <v>951</v>
      </c>
      <c r="D2266" s="231"/>
      <c r="E2266" s="231"/>
      <c r="F2266" s="231"/>
      <c r="G2266" s="231"/>
      <c r="H2266" s="231"/>
      <c r="I2266" s="231"/>
      <c r="J2266" s="231"/>
      <c r="K2266" s="231"/>
      <c r="L2266" s="231"/>
      <c r="M2266" s="231"/>
      <c r="N2266" s="231"/>
      <c r="O2266" s="231"/>
      <c r="P2266" s="231"/>
      <c r="Q2266" s="231"/>
      <c r="R2266" s="231"/>
      <c r="S2266" s="231"/>
      <c r="T2266" s="231"/>
      <c r="U2266" s="231"/>
      <c r="V2266" s="231"/>
      <c r="W2266" s="231"/>
      <c r="X2266" s="231"/>
      <c r="Y2266" s="231"/>
      <c r="Z2266" s="231"/>
      <c r="AA2266" s="231"/>
      <c r="AB2266" s="22">
        <f t="shared" si="731"/>
        <v>0</v>
      </c>
      <c r="AC2266" s="23">
        <v>0</v>
      </c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22">
        <f t="shared" si="732"/>
        <v>0</v>
      </c>
      <c r="BC2266" s="23">
        <v>5</v>
      </c>
      <c r="BD2266" s="130">
        <f t="shared" si="733"/>
        <v>0</v>
      </c>
      <c r="BE2266" s="130">
        <f t="shared" si="734"/>
        <v>5</v>
      </c>
      <c r="BF2266" s="195">
        <f t="shared" si="735"/>
        <v>0</v>
      </c>
      <c r="BG2266" s="373">
        <f t="shared" si="727"/>
        <v>5</v>
      </c>
    </row>
    <row r="2267" spans="1:59" s="46" customFormat="1" ht="15.95" customHeight="1">
      <c r="A2267" s="176">
        <v>114</v>
      </c>
      <c r="B2267" s="31" t="s">
        <v>952</v>
      </c>
      <c r="C2267" s="32" t="s">
        <v>953</v>
      </c>
      <c r="D2267" s="231"/>
      <c r="E2267" s="231"/>
      <c r="F2267" s="231"/>
      <c r="G2267" s="231"/>
      <c r="H2267" s="231"/>
      <c r="I2267" s="231"/>
      <c r="J2267" s="231"/>
      <c r="K2267" s="231"/>
      <c r="L2267" s="231"/>
      <c r="M2267" s="231"/>
      <c r="N2267" s="231"/>
      <c r="O2267" s="231"/>
      <c r="P2267" s="231"/>
      <c r="Q2267" s="231"/>
      <c r="R2267" s="231"/>
      <c r="S2267" s="231"/>
      <c r="T2267" s="231"/>
      <c r="U2267" s="231"/>
      <c r="V2267" s="231"/>
      <c r="W2267" s="231"/>
      <c r="X2267" s="231"/>
      <c r="Y2267" s="231"/>
      <c r="Z2267" s="231"/>
      <c r="AA2267" s="231"/>
      <c r="AB2267" s="22">
        <f t="shared" si="731"/>
        <v>0</v>
      </c>
      <c r="AC2267" s="23">
        <v>0</v>
      </c>
      <c r="AD2267" s="35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>
        <v>1</v>
      </c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22">
        <f t="shared" si="732"/>
        <v>1</v>
      </c>
      <c r="BC2267" s="23">
        <v>6</v>
      </c>
      <c r="BD2267" s="130">
        <f t="shared" si="733"/>
        <v>1</v>
      </c>
      <c r="BE2267" s="130">
        <f t="shared" si="734"/>
        <v>6</v>
      </c>
      <c r="BF2267" s="195">
        <f t="shared" si="735"/>
        <v>16.666666666666664</v>
      </c>
      <c r="BG2267" s="373">
        <f t="shared" si="727"/>
        <v>5</v>
      </c>
    </row>
    <row r="2268" spans="1:59" s="46" customFormat="1" ht="15.95" customHeight="1">
      <c r="A2268" s="176">
        <v>115</v>
      </c>
      <c r="B2268" s="31" t="s">
        <v>1349</v>
      </c>
      <c r="C2268" s="32" t="s">
        <v>1397</v>
      </c>
      <c r="D2268" s="564"/>
      <c r="E2268" s="564"/>
      <c r="F2268" s="564"/>
      <c r="G2268" s="564"/>
      <c r="H2268" s="564"/>
      <c r="I2268" s="564"/>
      <c r="J2268" s="564"/>
      <c r="K2268" s="564"/>
      <c r="L2268" s="564"/>
      <c r="M2268" s="564"/>
      <c r="N2268" s="564"/>
      <c r="O2268" s="564"/>
      <c r="P2268" s="564"/>
      <c r="Q2268" s="564"/>
      <c r="R2268" s="564"/>
      <c r="S2268" s="564"/>
      <c r="T2268" s="564"/>
      <c r="U2268" s="564"/>
      <c r="V2268" s="564"/>
      <c r="W2268" s="564"/>
      <c r="X2268" s="564"/>
      <c r="Y2268" s="564"/>
      <c r="Z2268" s="564"/>
      <c r="AA2268" s="564"/>
      <c r="AB2268" s="22">
        <f t="shared" si="731"/>
        <v>0</v>
      </c>
      <c r="AC2268" s="23">
        <v>0</v>
      </c>
      <c r="AD2268" s="35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>
        <v>1</v>
      </c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22">
        <f t="shared" si="732"/>
        <v>1</v>
      </c>
      <c r="BC2268" s="23">
        <v>0</v>
      </c>
      <c r="BD2268" s="130">
        <f t="shared" si="733"/>
        <v>1</v>
      </c>
      <c r="BE2268" s="130">
        <f t="shared" si="734"/>
        <v>0</v>
      </c>
      <c r="BF2268" s="195" t="e">
        <f t="shared" si="735"/>
        <v>#DIV/0!</v>
      </c>
      <c r="BG2268" s="373"/>
    </row>
    <row r="2269" spans="1:59" s="46" customFormat="1" ht="15.95" customHeight="1">
      <c r="A2269" s="176">
        <v>116</v>
      </c>
      <c r="B2269" s="31" t="s">
        <v>847</v>
      </c>
      <c r="C2269" s="32" t="s">
        <v>1253</v>
      </c>
      <c r="D2269" s="231"/>
      <c r="E2269" s="231"/>
      <c r="F2269" s="231"/>
      <c r="G2269" s="231"/>
      <c r="H2269" s="231"/>
      <c r="I2269" s="231"/>
      <c r="J2269" s="231"/>
      <c r="K2269" s="231"/>
      <c r="L2269" s="231"/>
      <c r="M2269" s="231"/>
      <c r="N2269" s="231"/>
      <c r="O2269" s="231"/>
      <c r="P2269" s="231">
        <v>1</v>
      </c>
      <c r="Q2269" s="231"/>
      <c r="R2269" s="231"/>
      <c r="S2269" s="231"/>
      <c r="T2269" s="231"/>
      <c r="U2269" s="231"/>
      <c r="V2269" s="231"/>
      <c r="W2269" s="231"/>
      <c r="X2269" s="231"/>
      <c r="Y2269" s="231"/>
      <c r="Z2269" s="231"/>
      <c r="AA2269" s="231"/>
      <c r="AB2269" s="22">
        <f t="shared" si="731"/>
        <v>1</v>
      </c>
      <c r="AC2269" s="23">
        <v>0</v>
      </c>
      <c r="AD2269" s="35"/>
      <c r="AE2269" s="35"/>
      <c r="AF2269" s="35"/>
      <c r="AG2269" s="35"/>
      <c r="AH2269" s="35"/>
      <c r="AI2269" s="35"/>
      <c r="AJ2269" s="35"/>
      <c r="AK2269" s="35"/>
      <c r="AL2269" s="35">
        <v>2</v>
      </c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22">
        <f t="shared" si="732"/>
        <v>2</v>
      </c>
      <c r="BC2269" s="23">
        <v>6</v>
      </c>
      <c r="BD2269" s="130">
        <f t="shared" si="733"/>
        <v>3</v>
      </c>
      <c r="BE2269" s="130">
        <f t="shared" si="734"/>
        <v>6</v>
      </c>
      <c r="BF2269" s="195">
        <f t="shared" si="735"/>
        <v>50</v>
      </c>
      <c r="BG2269" s="373">
        <f>BE2269-BD2269</f>
        <v>3</v>
      </c>
    </row>
    <row r="2270" spans="1:59" s="46" customFormat="1" ht="15.95" customHeight="1">
      <c r="A2270" s="176">
        <v>117</v>
      </c>
      <c r="B2270" s="31" t="s">
        <v>957</v>
      </c>
      <c r="C2270" s="32" t="s">
        <v>1598</v>
      </c>
      <c r="D2270" s="286"/>
      <c r="E2270" s="286"/>
      <c r="F2270" s="286"/>
      <c r="G2270" s="286"/>
      <c r="H2270" s="286"/>
      <c r="I2270" s="286"/>
      <c r="J2270" s="286"/>
      <c r="K2270" s="286"/>
      <c r="L2270" s="286"/>
      <c r="M2270" s="286"/>
      <c r="N2270" s="286"/>
      <c r="O2270" s="286"/>
      <c r="P2270" s="286"/>
      <c r="Q2270" s="286"/>
      <c r="R2270" s="286"/>
      <c r="S2270" s="286"/>
      <c r="T2270" s="286"/>
      <c r="U2270" s="286"/>
      <c r="V2270" s="286"/>
      <c r="W2270" s="286"/>
      <c r="X2270" s="286"/>
      <c r="Y2270" s="286"/>
      <c r="Z2270" s="286"/>
      <c r="AA2270" s="286"/>
      <c r="AB2270" s="22">
        <f t="shared" si="731"/>
        <v>0</v>
      </c>
      <c r="AC2270" s="23">
        <v>0</v>
      </c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22">
        <f t="shared" si="732"/>
        <v>0</v>
      </c>
      <c r="BC2270" s="23">
        <v>1</v>
      </c>
      <c r="BD2270" s="130">
        <f t="shared" si="733"/>
        <v>0</v>
      </c>
      <c r="BE2270" s="130">
        <f t="shared" si="734"/>
        <v>1</v>
      </c>
      <c r="BF2270" s="195">
        <f t="shared" si="735"/>
        <v>0</v>
      </c>
      <c r="BG2270" s="373">
        <f>BE2270-BD2270</f>
        <v>1</v>
      </c>
    </row>
    <row r="2271" spans="1:59" s="46" customFormat="1" ht="15.95" customHeight="1">
      <c r="A2271" s="176">
        <v>118</v>
      </c>
      <c r="B2271" s="31" t="s">
        <v>959</v>
      </c>
      <c r="C2271" s="32" t="s">
        <v>1975</v>
      </c>
      <c r="D2271" s="231"/>
      <c r="E2271" s="231"/>
      <c r="F2271" s="231"/>
      <c r="G2271" s="231"/>
      <c r="H2271" s="231"/>
      <c r="I2271" s="231"/>
      <c r="J2271" s="231"/>
      <c r="K2271" s="231"/>
      <c r="L2271" s="231"/>
      <c r="M2271" s="231"/>
      <c r="N2271" s="231"/>
      <c r="O2271" s="231"/>
      <c r="P2271" s="231"/>
      <c r="Q2271" s="231"/>
      <c r="R2271" s="231"/>
      <c r="S2271" s="231"/>
      <c r="T2271" s="231"/>
      <c r="U2271" s="231"/>
      <c r="V2271" s="231"/>
      <c r="W2271" s="231"/>
      <c r="X2271" s="231"/>
      <c r="Y2271" s="231"/>
      <c r="Z2271" s="231"/>
      <c r="AA2271" s="231"/>
      <c r="AB2271" s="22">
        <f t="shared" si="731"/>
        <v>0</v>
      </c>
      <c r="AC2271" s="23">
        <v>0</v>
      </c>
      <c r="AD2271" s="35"/>
      <c r="AE2271" s="35"/>
      <c r="AF2271" s="35"/>
      <c r="AG2271" s="35"/>
      <c r="AH2271" s="35">
        <v>1</v>
      </c>
      <c r="AI2271" s="35"/>
      <c r="AJ2271" s="35"/>
      <c r="AK2271" s="35"/>
      <c r="AL2271" s="35"/>
      <c r="AM2271" s="35"/>
      <c r="AN2271" s="35"/>
      <c r="AO2271" s="35"/>
      <c r="AP2271" s="35">
        <v>1</v>
      </c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22">
        <f t="shared" si="732"/>
        <v>2</v>
      </c>
      <c r="BC2271" s="23">
        <v>5</v>
      </c>
      <c r="BD2271" s="130">
        <f t="shared" si="733"/>
        <v>2</v>
      </c>
      <c r="BE2271" s="130">
        <f t="shared" si="734"/>
        <v>5</v>
      </c>
      <c r="BF2271" s="195">
        <f t="shared" si="735"/>
        <v>40</v>
      </c>
      <c r="BG2271" s="373">
        <f>BE2271-BD2271</f>
        <v>3</v>
      </c>
    </row>
    <row r="2272" spans="1:59" s="46" customFormat="1" ht="15.95" customHeight="1">
      <c r="A2272" s="176">
        <v>119</v>
      </c>
      <c r="B2272" s="31" t="s">
        <v>961</v>
      </c>
      <c r="C2272" s="32" t="s">
        <v>1599</v>
      </c>
      <c r="D2272" s="231"/>
      <c r="E2272" s="231"/>
      <c r="F2272" s="231"/>
      <c r="G2272" s="231"/>
      <c r="H2272" s="231"/>
      <c r="I2272" s="231"/>
      <c r="J2272" s="231"/>
      <c r="K2272" s="231"/>
      <c r="L2272" s="231"/>
      <c r="M2272" s="231"/>
      <c r="N2272" s="231"/>
      <c r="O2272" s="231"/>
      <c r="P2272" s="231"/>
      <c r="Q2272" s="231"/>
      <c r="R2272" s="231"/>
      <c r="S2272" s="231"/>
      <c r="T2272" s="231"/>
      <c r="U2272" s="231"/>
      <c r="V2272" s="231"/>
      <c r="W2272" s="231"/>
      <c r="X2272" s="231"/>
      <c r="Y2272" s="231"/>
      <c r="Z2272" s="231"/>
      <c r="AA2272" s="231"/>
      <c r="AB2272" s="22">
        <f t="shared" si="731"/>
        <v>0</v>
      </c>
      <c r="AC2272" s="23">
        <v>0</v>
      </c>
      <c r="AD2272" s="35"/>
      <c r="AE2272" s="35"/>
      <c r="AF2272" s="35"/>
      <c r="AG2272" s="35"/>
      <c r="AH2272" s="35"/>
      <c r="AI2272" s="35"/>
      <c r="AJ2272" s="35"/>
      <c r="AK2272" s="35"/>
      <c r="AL2272" s="35">
        <v>1</v>
      </c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22">
        <f t="shared" si="732"/>
        <v>1</v>
      </c>
      <c r="BC2272" s="23">
        <v>2</v>
      </c>
      <c r="BD2272" s="130">
        <f t="shared" si="733"/>
        <v>1</v>
      </c>
      <c r="BE2272" s="130">
        <f t="shared" si="734"/>
        <v>2</v>
      </c>
      <c r="BF2272" s="195">
        <f t="shared" si="735"/>
        <v>50</v>
      </c>
      <c r="BG2272" s="373">
        <f>BE2272-BD2272</f>
        <v>1</v>
      </c>
    </row>
    <row r="2273" spans="1:59" s="46" customFormat="1" ht="15.95" customHeight="1">
      <c r="A2273" s="176">
        <v>120</v>
      </c>
      <c r="B2273" s="31" t="s">
        <v>3020</v>
      </c>
      <c r="C2273" s="32" t="s">
        <v>3027</v>
      </c>
      <c r="D2273" s="231"/>
      <c r="E2273" s="231"/>
      <c r="F2273" s="231"/>
      <c r="G2273" s="231"/>
      <c r="H2273" s="231"/>
      <c r="I2273" s="231"/>
      <c r="J2273" s="231"/>
      <c r="K2273" s="231"/>
      <c r="L2273" s="231"/>
      <c r="M2273" s="231"/>
      <c r="N2273" s="231"/>
      <c r="O2273" s="231"/>
      <c r="P2273" s="231"/>
      <c r="Q2273" s="231"/>
      <c r="R2273" s="231"/>
      <c r="S2273" s="231"/>
      <c r="T2273" s="231"/>
      <c r="U2273" s="231"/>
      <c r="V2273" s="231"/>
      <c r="W2273" s="231"/>
      <c r="X2273" s="231"/>
      <c r="Y2273" s="231"/>
      <c r="Z2273" s="231"/>
      <c r="AA2273" s="231"/>
      <c r="AB2273" s="22">
        <f t="shared" si="731"/>
        <v>0</v>
      </c>
      <c r="AC2273" s="23">
        <v>0</v>
      </c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22">
        <f t="shared" si="732"/>
        <v>0</v>
      </c>
      <c r="BC2273" s="23">
        <v>1</v>
      </c>
      <c r="BD2273" s="130">
        <f t="shared" si="733"/>
        <v>0</v>
      </c>
      <c r="BE2273" s="130">
        <f t="shared" si="734"/>
        <v>1</v>
      </c>
      <c r="BF2273" s="195">
        <f t="shared" si="735"/>
        <v>0</v>
      </c>
      <c r="BG2273" s="373">
        <f>BE2273-BD2273</f>
        <v>1</v>
      </c>
    </row>
    <row r="2274" spans="1:59" s="46" customFormat="1" ht="15.95" customHeight="1">
      <c r="A2274" s="176">
        <v>121</v>
      </c>
      <c r="B2274" s="31" t="s">
        <v>1049</v>
      </c>
      <c r="C2274" s="32" t="s">
        <v>1050</v>
      </c>
      <c r="D2274" s="564"/>
      <c r="E2274" s="564"/>
      <c r="F2274" s="564"/>
      <c r="G2274" s="564"/>
      <c r="H2274" s="564"/>
      <c r="I2274" s="564"/>
      <c r="J2274" s="564"/>
      <c r="K2274" s="564"/>
      <c r="L2274" s="564"/>
      <c r="M2274" s="564"/>
      <c r="N2274" s="564"/>
      <c r="O2274" s="564"/>
      <c r="P2274" s="564"/>
      <c r="Q2274" s="564"/>
      <c r="R2274" s="564"/>
      <c r="S2274" s="564"/>
      <c r="T2274" s="564"/>
      <c r="U2274" s="564"/>
      <c r="V2274" s="564"/>
      <c r="W2274" s="564"/>
      <c r="X2274" s="564"/>
      <c r="Y2274" s="564"/>
      <c r="Z2274" s="564"/>
      <c r="AA2274" s="564"/>
      <c r="AB2274" s="22">
        <f t="shared" si="731"/>
        <v>0</v>
      </c>
      <c r="AC2274" s="23">
        <v>0</v>
      </c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>
        <v>2</v>
      </c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22">
        <f t="shared" si="732"/>
        <v>2</v>
      </c>
      <c r="BC2274" s="23">
        <v>0</v>
      </c>
      <c r="BD2274" s="130">
        <f t="shared" si="733"/>
        <v>2</v>
      </c>
      <c r="BE2274" s="130">
        <f t="shared" si="734"/>
        <v>0</v>
      </c>
      <c r="BF2274" s="195" t="e">
        <f t="shared" si="735"/>
        <v>#DIV/0!</v>
      </c>
      <c r="BG2274" s="373"/>
    </row>
    <row r="2275" spans="1:59" s="46" customFormat="1" ht="15.95" customHeight="1">
      <c r="A2275" s="176">
        <v>122</v>
      </c>
      <c r="B2275" s="31" t="s">
        <v>1088</v>
      </c>
      <c r="C2275" s="32" t="s">
        <v>1089</v>
      </c>
      <c r="D2275" s="231"/>
      <c r="E2275" s="231"/>
      <c r="F2275" s="231"/>
      <c r="G2275" s="231"/>
      <c r="H2275" s="231"/>
      <c r="I2275" s="231"/>
      <c r="J2275" s="231"/>
      <c r="K2275" s="231"/>
      <c r="L2275" s="231"/>
      <c r="M2275" s="231"/>
      <c r="N2275" s="231"/>
      <c r="O2275" s="231"/>
      <c r="P2275" s="231"/>
      <c r="Q2275" s="231"/>
      <c r="R2275" s="231"/>
      <c r="S2275" s="231"/>
      <c r="T2275" s="231"/>
      <c r="U2275" s="231"/>
      <c r="V2275" s="231"/>
      <c r="W2275" s="231"/>
      <c r="X2275" s="231"/>
      <c r="Y2275" s="231"/>
      <c r="Z2275" s="231"/>
      <c r="AA2275" s="231"/>
      <c r="AB2275" s="22">
        <f t="shared" si="731"/>
        <v>0</v>
      </c>
      <c r="AC2275" s="23">
        <v>0</v>
      </c>
      <c r="AD2275" s="35"/>
      <c r="AE2275" s="35"/>
      <c r="AF2275" s="35"/>
      <c r="AG2275" s="35"/>
      <c r="AH2275" s="35">
        <v>10</v>
      </c>
      <c r="AI2275" s="35"/>
      <c r="AJ2275" s="35"/>
      <c r="AK2275" s="35"/>
      <c r="AL2275" s="35">
        <v>50</v>
      </c>
      <c r="AM2275" s="35"/>
      <c r="AN2275" s="35"/>
      <c r="AO2275" s="35"/>
      <c r="AP2275" s="35">
        <v>55</v>
      </c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22">
        <f t="shared" si="732"/>
        <v>115</v>
      </c>
      <c r="BC2275" s="23">
        <v>302</v>
      </c>
      <c r="BD2275" s="130">
        <f t="shared" si="733"/>
        <v>115</v>
      </c>
      <c r="BE2275" s="130">
        <f t="shared" si="734"/>
        <v>302</v>
      </c>
      <c r="BF2275" s="195">
        <f t="shared" si="735"/>
        <v>38.079470198675494</v>
      </c>
      <c r="BG2275" s="373">
        <f t="shared" ref="BG2275:BG2284" si="736">BE2275-BD2275</f>
        <v>187</v>
      </c>
    </row>
    <row r="2276" spans="1:59" s="46" customFormat="1" ht="15.95" customHeight="1">
      <c r="A2276" s="176">
        <v>123</v>
      </c>
      <c r="B2276" s="31" t="s">
        <v>1018</v>
      </c>
      <c r="C2276" s="32" t="s">
        <v>1402</v>
      </c>
      <c r="D2276" s="293"/>
      <c r="E2276" s="293"/>
      <c r="F2276" s="293"/>
      <c r="G2276" s="293"/>
      <c r="H2276" s="293"/>
      <c r="I2276" s="293"/>
      <c r="J2276" s="293"/>
      <c r="K2276" s="293"/>
      <c r="L2276" s="293"/>
      <c r="M2276" s="293"/>
      <c r="N2276" s="293"/>
      <c r="O2276" s="293"/>
      <c r="P2276" s="293"/>
      <c r="Q2276" s="293"/>
      <c r="R2276" s="293"/>
      <c r="S2276" s="293"/>
      <c r="T2276" s="293"/>
      <c r="U2276" s="293"/>
      <c r="V2276" s="293"/>
      <c r="W2276" s="293"/>
      <c r="X2276" s="293"/>
      <c r="Y2276" s="293"/>
      <c r="Z2276" s="293"/>
      <c r="AA2276" s="293"/>
      <c r="AB2276" s="22">
        <f t="shared" si="731"/>
        <v>0</v>
      </c>
      <c r="AC2276" s="23">
        <v>0</v>
      </c>
      <c r="AD2276" s="35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>
        <v>2</v>
      </c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22">
        <f t="shared" si="732"/>
        <v>2</v>
      </c>
      <c r="BC2276" s="23">
        <v>6</v>
      </c>
      <c r="BD2276" s="130">
        <f t="shared" si="733"/>
        <v>2</v>
      </c>
      <c r="BE2276" s="130">
        <f t="shared" si="734"/>
        <v>6</v>
      </c>
      <c r="BF2276" s="195">
        <f t="shared" si="735"/>
        <v>33.333333333333329</v>
      </c>
      <c r="BG2276" s="373">
        <f t="shared" si="736"/>
        <v>4</v>
      </c>
    </row>
    <row r="2277" spans="1:59" s="46" customFormat="1" ht="15.95" customHeight="1">
      <c r="A2277" s="176">
        <v>124</v>
      </c>
      <c r="B2277" s="31" t="s">
        <v>1051</v>
      </c>
      <c r="C2277" s="32" t="s">
        <v>972</v>
      </c>
      <c r="D2277" s="231"/>
      <c r="E2277" s="231"/>
      <c r="F2277" s="231"/>
      <c r="G2277" s="231"/>
      <c r="H2277" s="231"/>
      <c r="I2277" s="231"/>
      <c r="J2277" s="231"/>
      <c r="K2277" s="231"/>
      <c r="L2277" s="231"/>
      <c r="M2277" s="231"/>
      <c r="N2277" s="231"/>
      <c r="O2277" s="231"/>
      <c r="P2277" s="231"/>
      <c r="Q2277" s="231"/>
      <c r="R2277" s="231"/>
      <c r="S2277" s="231"/>
      <c r="T2277" s="231"/>
      <c r="U2277" s="231"/>
      <c r="V2277" s="231"/>
      <c r="W2277" s="231"/>
      <c r="X2277" s="231"/>
      <c r="Y2277" s="231"/>
      <c r="Z2277" s="231"/>
      <c r="AA2277" s="231"/>
      <c r="AB2277" s="22">
        <f t="shared" si="731"/>
        <v>0</v>
      </c>
      <c r="AC2277" s="23">
        <v>0</v>
      </c>
      <c r="AD2277" s="35"/>
      <c r="AE2277" s="35"/>
      <c r="AF2277" s="35"/>
      <c r="AG2277" s="35"/>
      <c r="AH2277" s="35">
        <v>14</v>
      </c>
      <c r="AI2277" s="35"/>
      <c r="AJ2277" s="35"/>
      <c r="AK2277" s="35"/>
      <c r="AL2277" s="35">
        <v>133</v>
      </c>
      <c r="AM2277" s="35"/>
      <c r="AN2277" s="35"/>
      <c r="AO2277" s="35"/>
      <c r="AP2277" s="35">
        <v>125</v>
      </c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22">
        <f t="shared" si="732"/>
        <v>272</v>
      </c>
      <c r="BC2277" s="23">
        <v>121</v>
      </c>
      <c r="BD2277" s="130">
        <f t="shared" si="733"/>
        <v>272</v>
      </c>
      <c r="BE2277" s="130">
        <f t="shared" si="734"/>
        <v>121</v>
      </c>
      <c r="BF2277" s="195">
        <f t="shared" si="735"/>
        <v>224.79338842975207</v>
      </c>
      <c r="BG2277" s="373">
        <f t="shared" si="736"/>
        <v>-151</v>
      </c>
    </row>
    <row r="2278" spans="1:59" s="46" customFormat="1" ht="15.95" customHeight="1">
      <c r="A2278" s="176">
        <v>125</v>
      </c>
      <c r="B2278" s="31" t="s">
        <v>854</v>
      </c>
      <c r="C2278" s="34" t="s">
        <v>973</v>
      </c>
      <c r="D2278" s="321"/>
      <c r="E2278" s="321"/>
      <c r="F2278" s="321"/>
      <c r="G2278" s="321"/>
      <c r="H2278" s="321"/>
      <c r="I2278" s="321"/>
      <c r="J2278" s="321"/>
      <c r="K2278" s="321"/>
      <c r="L2278" s="321">
        <v>4</v>
      </c>
      <c r="M2278" s="321"/>
      <c r="N2278" s="321"/>
      <c r="O2278" s="321"/>
      <c r="P2278" s="321">
        <v>1</v>
      </c>
      <c r="Q2278" s="321"/>
      <c r="R2278" s="321"/>
      <c r="S2278" s="321"/>
      <c r="T2278" s="321"/>
      <c r="U2278" s="321"/>
      <c r="V2278" s="321"/>
      <c r="W2278" s="321"/>
      <c r="X2278" s="321"/>
      <c r="Y2278" s="321"/>
      <c r="Z2278" s="321"/>
      <c r="AA2278" s="321"/>
      <c r="AB2278" s="22">
        <f t="shared" si="731"/>
        <v>5</v>
      </c>
      <c r="AC2278" s="23">
        <v>10</v>
      </c>
      <c r="AD2278" s="35"/>
      <c r="AE2278" s="35"/>
      <c r="AF2278" s="35"/>
      <c r="AG2278" s="35"/>
      <c r="AH2278" s="35">
        <v>303</v>
      </c>
      <c r="AI2278" s="35"/>
      <c r="AJ2278" s="35"/>
      <c r="AK2278" s="35"/>
      <c r="AL2278" s="35">
        <v>1306</v>
      </c>
      <c r="AM2278" s="35"/>
      <c r="AN2278" s="35"/>
      <c r="AO2278" s="35"/>
      <c r="AP2278" s="35">
        <v>994</v>
      </c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22">
        <f t="shared" si="732"/>
        <v>2603</v>
      </c>
      <c r="BC2278" s="23">
        <v>8385</v>
      </c>
      <c r="BD2278" s="130">
        <f t="shared" si="733"/>
        <v>2608</v>
      </c>
      <c r="BE2278" s="130">
        <f t="shared" si="734"/>
        <v>8395</v>
      </c>
      <c r="BF2278" s="195">
        <f t="shared" si="735"/>
        <v>31.066110780226325</v>
      </c>
      <c r="BG2278" s="373">
        <f t="shared" si="736"/>
        <v>5787</v>
      </c>
    </row>
    <row r="2279" spans="1:59" s="46" customFormat="1" ht="15.95" customHeight="1">
      <c r="A2279" s="176">
        <v>126</v>
      </c>
      <c r="B2279" s="31" t="s">
        <v>856</v>
      </c>
      <c r="C2279" s="34" t="s">
        <v>921</v>
      </c>
      <c r="D2279" s="231"/>
      <c r="E2279" s="231"/>
      <c r="F2279" s="231"/>
      <c r="G2279" s="231"/>
      <c r="H2279" s="231"/>
      <c r="I2279" s="231"/>
      <c r="J2279" s="231"/>
      <c r="K2279" s="231"/>
      <c r="L2279" s="231"/>
      <c r="M2279" s="231"/>
      <c r="N2279" s="231"/>
      <c r="O2279" s="231"/>
      <c r="P2279" s="231"/>
      <c r="Q2279" s="231"/>
      <c r="R2279" s="231"/>
      <c r="S2279" s="231"/>
      <c r="T2279" s="231"/>
      <c r="U2279" s="231"/>
      <c r="V2279" s="231"/>
      <c r="W2279" s="231"/>
      <c r="X2279" s="231"/>
      <c r="Y2279" s="231"/>
      <c r="Z2279" s="231"/>
      <c r="AA2279" s="231"/>
      <c r="AB2279" s="22">
        <f t="shared" si="731"/>
        <v>0</v>
      </c>
      <c r="AC2279" s="23">
        <v>0</v>
      </c>
      <c r="AD2279" s="35"/>
      <c r="AE2279" s="35"/>
      <c r="AF2279" s="35"/>
      <c r="AG2279" s="35"/>
      <c r="AH2279" s="35">
        <v>32</v>
      </c>
      <c r="AI2279" s="35"/>
      <c r="AJ2279" s="35"/>
      <c r="AK2279" s="35"/>
      <c r="AL2279" s="35">
        <v>216</v>
      </c>
      <c r="AM2279" s="35"/>
      <c r="AN2279" s="35"/>
      <c r="AO2279" s="35"/>
      <c r="AP2279" s="35">
        <v>369</v>
      </c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22">
        <f t="shared" si="732"/>
        <v>617</v>
      </c>
      <c r="BC2279" s="23">
        <v>502</v>
      </c>
      <c r="BD2279" s="130">
        <f t="shared" si="733"/>
        <v>617</v>
      </c>
      <c r="BE2279" s="130">
        <f t="shared" si="734"/>
        <v>502</v>
      </c>
      <c r="BF2279" s="195">
        <f t="shared" si="735"/>
        <v>122.90836653386454</v>
      </c>
      <c r="BG2279" s="373">
        <f t="shared" si="736"/>
        <v>-115</v>
      </c>
    </row>
    <row r="2280" spans="1:59" s="46" customFormat="1" ht="15.95" customHeight="1">
      <c r="A2280" s="176">
        <v>127</v>
      </c>
      <c r="B2280" s="31" t="s">
        <v>1024</v>
      </c>
      <c r="C2280" s="32" t="s">
        <v>1606</v>
      </c>
      <c r="D2280" s="231"/>
      <c r="E2280" s="231"/>
      <c r="F2280" s="231"/>
      <c r="G2280" s="231"/>
      <c r="H2280" s="231"/>
      <c r="I2280" s="231"/>
      <c r="J2280" s="231"/>
      <c r="K2280" s="231"/>
      <c r="L2280" s="231"/>
      <c r="M2280" s="231"/>
      <c r="N2280" s="231"/>
      <c r="O2280" s="231"/>
      <c r="P2280" s="231"/>
      <c r="Q2280" s="231"/>
      <c r="R2280" s="231"/>
      <c r="S2280" s="231"/>
      <c r="T2280" s="231"/>
      <c r="U2280" s="231"/>
      <c r="V2280" s="231"/>
      <c r="W2280" s="231"/>
      <c r="X2280" s="231"/>
      <c r="Y2280" s="231"/>
      <c r="Z2280" s="231"/>
      <c r="AA2280" s="231"/>
      <c r="AB2280" s="22">
        <f t="shared" si="731"/>
        <v>0</v>
      </c>
      <c r="AC2280" s="23">
        <v>0</v>
      </c>
      <c r="AD2280" s="35"/>
      <c r="AE2280" s="35"/>
      <c r="AF2280" s="35"/>
      <c r="AG2280" s="35"/>
      <c r="AH2280" s="35">
        <v>11</v>
      </c>
      <c r="AI2280" s="35"/>
      <c r="AJ2280" s="35"/>
      <c r="AK2280" s="35"/>
      <c r="AL2280" s="35">
        <v>49</v>
      </c>
      <c r="AM2280" s="35"/>
      <c r="AN2280" s="35"/>
      <c r="AO2280" s="35"/>
      <c r="AP2280" s="35">
        <v>54</v>
      </c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22">
        <f t="shared" si="732"/>
        <v>114</v>
      </c>
      <c r="BC2280" s="23">
        <v>238</v>
      </c>
      <c r="BD2280" s="130">
        <f t="shared" si="733"/>
        <v>114</v>
      </c>
      <c r="BE2280" s="130">
        <f t="shared" si="734"/>
        <v>238</v>
      </c>
      <c r="BF2280" s="195">
        <f t="shared" si="735"/>
        <v>47.899159663865547</v>
      </c>
      <c r="BG2280" s="373">
        <f t="shared" si="736"/>
        <v>124</v>
      </c>
    </row>
    <row r="2281" spans="1:59" s="46" customFormat="1" ht="15.95" customHeight="1">
      <c r="A2281" s="176">
        <v>128</v>
      </c>
      <c r="B2281" s="31" t="s">
        <v>1209</v>
      </c>
      <c r="C2281" s="32" t="s">
        <v>972</v>
      </c>
      <c r="D2281" s="231"/>
      <c r="E2281" s="231"/>
      <c r="F2281" s="231"/>
      <c r="G2281" s="231"/>
      <c r="H2281" s="231"/>
      <c r="I2281" s="231"/>
      <c r="J2281" s="231"/>
      <c r="K2281" s="231"/>
      <c r="L2281" s="231"/>
      <c r="M2281" s="231"/>
      <c r="N2281" s="231"/>
      <c r="O2281" s="231"/>
      <c r="P2281" s="231"/>
      <c r="Q2281" s="231"/>
      <c r="R2281" s="231"/>
      <c r="S2281" s="231"/>
      <c r="T2281" s="231"/>
      <c r="U2281" s="231"/>
      <c r="V2281" s="231"/>
      <c r="W2281" s="231"/>
      <c r="X2281" s="231"/>
      <c r="Y2281" s="231"/>
      <c r="Z2281" s="231"/>
      <c r="AA2281" s="231"/>
      <c r="AB2281" s="22">
        <f t="shared" si="731"/>
        <v>0</v>
      </c>
      <c r="AC2281" s="23">
        <v>0</v>
      </c>
      <c r="AD2281" s="35"/>
      <c r="AE2281" s="35"/>
      <c r="AF2281" s="35"/>
      <c r="AG2281" s="35"/>
      <c r="AH2281" s="35"/>
      <c r="AI2281" s="35"/>
      <c r="AJ2281" s="35"/>
      <c r="AK2281" s="35"/>
      <c r="AL2281" s="35">
        <v>21</v>
      </c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22">
        <f t="shared" si="732"/>
        <v>21</v>
      </c>
      <c r="BC2281" s="23">
        <v>5</v>
      </c>
      <c r="BD2281" s="130">
        <f t="shared" si="733"/>
        <v>21</v>
      </c>
      <c r="BE2281" s="130">
        <f t="shared" si="734"/>
        <v>5</v>
      </c>
      <c r="BF2281" s="195">
        <f t="shared" si="735"/>
        <v>420</v>
      </c>
      <c r="BG2281" s="373">
        <f t="shared" si="736"/>
        <v>-16</v>
      </c>
    </row>
    <row r="2282" spans="1:59" s="46" customFormat="1" ht="15.95" customHeight="1">
      <c r="A2282" s="176">
        <v>129</v>
      </c>
      <c r="B2282" s="31" t="s">
        <v>858</v>
      </c>
      <c r="C2282" s="32" t="s">
        <v>859</v>
      </c>
      <c r="D2282" s="231"/>
      <c r="E2282" s="231"/>
      <c r="F2282" s="231"/>
      <c r="G2282" s="231"/>
      <c r="H2282" s="231"/>
      <c r="I2282" s="231"/>
      <c r="J2282" s="231"/>
      <c r="K2282" s="231"/>
      <c r="L2282" s="231">
        <v>2</v>
      </c>
      <c r="M2282" s="231"/>
      <c r="N2282" s="231"/>
      <c r="O2282" s="231"/>
      <c r="P2282" s="231">
        <v>2</v>
      </c>
      <c r="Q2282" s="231"/>
      <c r="R2282" s="231"/>
      <c r="S2282" s="231"/>
      <c r="T2282" s="231"/>
      <c r="U2282" s="231"/>
      <c r="V2282" s="231"/>
      <c r="W2282" s="231"/>
      <c r="X2282" s="231"/>
      <c r="Y2282" s="231"/>
      <c r="Z2282" s="231"/>
      <c r="AA2282" s="231"/>
      <c r="AB2282" s="22">
        <f t="shared" si="731"/>
        <v>4</v>
      </c>
      <c r="AC2282" s="23">
        <v>1</v>
      </c>
      <c r="AD2282" s="35"/>
      <c r="AE2282" s="35"/>
      <c r="AF2282" s="35"/>
      <c r="AG2282" s="35"/>
      <c r="AH2282" s="35">
        <v>193</v>
      </c>
      <c r="AI2282" s="35"/>
      <c r="AJ2282" s="35"/>
      <c r="AK2282" s="35"/>
      <c r="AL2282" s="35">
        <v>958</v>
      </c>
      <c r="AM2282" s="35"/>
      <c r="AN2282" s="35"/>
      <c r="AO2282" s="35"/>
      <c r="AP2282" s="35">
        <v>1036</v>
      </c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22">
        <f t="shared" si="732"/>
        <v>2187</v>
      </c>
      <c r="BC2282" s="23">
        <v>7412</v>
      </c>
      <c r="BD2282" s="130">
        <f t="shared" si="733"/>
        <v>2191</v>
      </c>
      <c r="BE2282" s="130">
        <f t="shared" si="734"/>
        <v>7413</v>
      </c>
      <c r="BF2282" s="195">
        <f t="shared" si="735"/>
        <v>29.556185080264402</v>
      </c>
      <c r="BG2282" s="373">
        <f t="shared" si="736"/>
        <v>5222</v>
      </c>
    </row>
    <row r="2283" spans="1:59" s="46" customFormat="1" ht="15.95" customHeight="1">
      <c r="A2283" s="176">
        <v>130</v>
      </c>
      <c r="B2283" s="31" t="s">
        <v>860</v>
      </c>
      <c r="C2283" s="32" t="s">
        <v>972</v>
      </c>
      <c r="D2283" s="231"/>
      <c r="E2283" s="231"/>
      <c r="F2283" s="231"/>
      <c r="G2283" s="231"/>
      <c r="H2283" s="231"/>
      <c r="I2283" s="231"/>
      <c r="J2283" s="231"/>
      <c r="K2283" s="231"/>
      <c r="L2283" s="231">
        <v>2</v>
      </c>
      <c r="M2283" s="231"/>
      <c r="N2283" s="231"/>
      <c r="O2283" s="231"/>
      <c r="P2283" s="231">
        <v>2</v>
      </c>
      <c r="Q2283" s="231"/>
      <c r="R2283" s="231"/>
      <c r="S2283" s="231"/>
      <c r="T2283" s="231"/>
      <c r="U2283" s="231"/>
      <c r="V2283" s="231"/>
      <c r="W2283" s="231"/>
      <c r="X2283" s="231"/>
      <c r="Y2283" s="231"/>
      <c r="Z2283" s="231"/>
      <c r="AA2283" s="231"/>
      <c r="AB2283" s="22">
        <f t="shared" ref="AB2283:AB2292" si="737">SUM(D2283:AA2283)</f>
        <v>4</v>
      </c>
      <c r="AC2283" s="23">
        <v>2</v>
      </c>
      <c r="AD2283" s="35"/>
      <c r="AE2283" s="35"/>
      <c r="AF2283" s="35"/>
      <c r="AG2283" s="35"/>
      <c r="AH2283" s="35">
        <v>136</v>
      </c>
      <c r="AI2283" s="35"/>
      <c r="AJ2283" s="35"/>
      <c r="AK2283" s="35"/>
      <c r="AL2283" s="35">
        <v>1430</v>
      </c>
      <c r="AM2283" s="35"/>
      <c r="AN2283" s="35"/>
      <c r="AO2283" s="35"/>
      <c r="AP2283" s="35">
        <v>1801</v>
      </c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22">
        <f t="shared" ref="BB2283:BB2292" si="738">SUM(AD2283:BA2283)</f>
        <v>3367</v>
      </c>
      <c r="BC2283" s="23">
        <v>7140</v>
      </c>
      <c r="BD2283" s="130">
        <f t="shared" ref="BD2283:BD2292" si="739">AB2283+BB2283</f>
        <v>3371</v>
      </c>
      <c r="BE2283" s="130">
        <f t="shared" ref="BE2283:BE2292" si="740">AC2283+BC2283</f>
        <v>7142</v>
      </c>
      <c r="BF2283" s="195">
        <f t="shared" ref="BF2283:BF2292" si="741">BD2283/BE2283*100</f>
        <v>47.199663959675156</v>
      </c>
      <c r="BG2283" s="373">
        <f t="shared" si="736"/>
        <v>3771</v>
      </c>
    </row>
    <row r="2284" spans="1:59" s="46" customFormat="1" ht="15.95" customHeight="1">
      <c r="A2284" s="176">
        <v>131</v>
      </c>
      <c r="B2284" s="31" t="s">
        <v>862</v>
      </c>
      <c r="C2284" s="32" t="s">
        <v>976</v>
      </c>
      <c r="D2284" s="231"/>
      <c r="E2284" s="231"/>
      <c r="F2284" s="231"/>
      <c r="G2284" s="231"/>
      <c r="H2284" s="231"/>
      <c r="I2284" s="231"/>
      <c r="J2284" s="231"/>
      <c r="K2284" s="231"/>
      <c r="L2284" s="231"/>
      <c r="M2284" s="231"/>
      <c r="N2284" s="231"/>
      <c r="O2284" s="231"/>
      <c r="P2284" s="231"/>
      <c r="Q2284" s="231"/>
      <c r="R2284" s="231"/>
      <c r="S2284" s="231"/>
      <c r="T2284" s="231"/>
      <c r="U2284" s="231"/>
      <c r="V2284" s="231"/>
      <c r="W2284" s="231"/>
      <c r="X2284" s="231"/>
      <c r="Y2284" s="231"/>
      <c r="Z2284" s="231"/>
      <c r="AA2284" s="231"/>
      <c r="AB2284" s="22">
        <f t="shared" si="737"/>
        <v>0</v>
      </c>
      <c r="AC2284" s="23">
        <v>0</v>
      </c>
      <c r="AD2284" s="35"/>
      <c r="AE2284" s="35"/>
      <c r="AF2284" s="35"/>
      <c r="AG2284" s="35"/>
      <c r="AH2284" s="35">
        <v>64</v>
      </c>
      <c r="AI2284" s="35"/>
      <c r="AJ2284" s="35"/>
      <c r="AK2284" s="35"/>
      <c r="AL2284" s="35">
        <v>349</v>
      </c>
      <c r="AM2284" s="35"/>
      <c r="AN2284" s="35"/>
      <c r="AO2284" s="35"/>
      <c r="AP2284" s="35">
        <v>377</v>
      </c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22">
        <f t="shared" si="738"/>
        <v>790</v>
      </c>
      <c r="BC2284" s="23">
        <v>1600</v>
      </c>
      <c r="BD2284" s="130">
        <f t="shared" si="739"/>
        <v>790</v>
      </c>
      <c r="BE2284" s="130">
        <f t="shared" si="740"/>
        <v>1600</v>
      </c>
      <c r="BF2284" s="195">
        <f t="shared" si="741"/>
        <v>49.375</v>
      </c>
      <c r="BG2284" s="373">
        <f t="shared" si="736"/>
        <v>810</v>
      </c>
    </row>
    <row r="2285" spans="1:59" s="46" customFormat="1" ht="15.95" customHeight="1">
      <c r="A2285" s="176">
        <v>132</v>
      </c>
      <c r="B2285" s="31" t="s">
        <v>864</v>
      </c>
      <c r="C2285" s="32" t="s">
        <v>1516</v>
      </c>
      <c r="D2285" s="564"/>
      <c r="E2285" s="564"/>
      <c r="F2285" s="564"/>
      <c r="G2285" s="564"/>
      <c r="H2285" s="564"/>
      <c r="I2285" s="564"/>
      <c r="J2285" s="564"/>
      <c r="K2285" s="564"/>
      <c r="L2285" s="564"/>
      <c r="M2285" s="564"/>
      <c r="N2285" s="564"/>
      <c r="O2285" s="564"/>
      <c r="P2285" s="564"/>
      <c r="Q2285" s="564"/>
      <c r="R2285" s="564"/>
      <c r="S2285" s="564"/>
      <c r="T2285" s="564"/>
      <c r="U2285" s="564"/>
      <c r="V2285" s="564"/>
      <c r="W2285" s="564"/>
      <c r="X2285" s="564"/>
      <c r="Y2285" s="564"/>
      <c r="Z2285" s="564"/>
      <c r="AA2285" s="564"/>
      <c r="AB2285" s="22">
        <f t="shared" si="737"/>
        <v>0</v>
      </c>
      <c r="AC2285" s="23">
        <v>0</v>
      </c>
      <c r="AD2285" s="35"/>
      <c r="AE2285" s="35"/>
      <c r="AF2285" s="35"/>
      <c r="AG2285" s="35"/>
      <c r="AH2285" s="35"/>
      <c r="AI2285" s="35"/>
      <c r="AJ2285" s="35"/>
      <c r="AK2285" s="35"/>
      <c r="AL2285" s="35"/>
      <c r="AM2285" s="35"/>
      <c r="AN2285" s="35"/>
      <c r="AO2285" s="35"/>
      <c r="AP2285" s="35">
        <v>4</v>
      </c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22">
        <f t="shared" si="738"/>
        <v>4</v>
      </c>
      <c r="BC2285" s="23">
        <v>0</v>
      </c>
      <c r="BD2285" s="130">
        <f t="shared" si="739"/>
        <v>4</v>
      </c>
      <c r="BE2285" s="130">
        <f t="shared" si="740"/>
        <v>0</v>
      </c>
      <c r="BF2285" s="195" t="e">
        <f t="shared" si="741"/>
        <v>#DIV/0!</v>
      </c>
      <c r="BG2285" s="373"/>
    </row>
    <row r="2286" spans="1:59" s="46" customFormat="1" ht="15.95" customHeight="1">
      <c r="A2286" s="176">
        <v>133</v>
      </c>
      <c r="B2286" s="31" t="s">
        <v>865</v>
      </c>
      <c r="C2286" s="32" t="s">
        <v>1977</v>
      </c>
      <c r="D2286" s="231"/>
      <c r="E2286" s="231"/>
      <c r="F2286" s="231"/>
      <c r="G2286" s="231"/>
      <c r="H2286" s="231"/>
      <c r="I2286" s="231"/>
      <c r="J2286" s="231"/>
      <c r="K2286" s="231"/>
      <c r="L2286" s="231"/>
      <c r="M2286" s="231"/>
      <c r="N2286" s="231"/>
      <c r="O2286" s="231"/>
      <c r="P2286" s="231"/>
      <c r="Q2286" s="231"/>
      <c r="R2286" s="231"/>
      <c r="S2286" s="231"/>
      <c r="T2286" s="231"/>
      <c r="U2286" s="231"/>
      <c r="V2286" s="231"/>
      <c r="W2286" s="231"/>
      <c r="X2286" s="231"/>
      <c r="Y2286" s="231"/>
      <c r="Z2286" s="231"/>
      <c r="AA2286" s="231"/>
      <c r="AB2286" s="22">
        <f t="shared" si="737"/>
        <v>0</v>
      </c>
      <c r="AC2286" s="23">
        <v>0</v>
      </c>
      <c r="AD2286" s="35"/>
      <c r="AE2286" s="35"/>
      <c r="AF2286" s="35"/>
      <c r="AG2286" s="35"/>
      <c r="AH2286" s="35">
        <v>1</v>
      </c>
      <c r="AI2286" s="35"/>
      <c r="AJ2286" s="35"/>
      <c r="AK2286" s="35"/>
      <c r="AL2286" s="35"/>
      <c r="AM2286" s="35"/>
      <c r="AN2286" s="35"/>
      <c r="AO2286" s="35"/>
      <c r="AP2286" s="35">
        <v>2</v>
      </c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22">
        <f t="shared" si="738"/>
        <v>3</v>
      </c>
      <c r="BC2286" s="23">
        <v>40</v>
      </c>
      <c r="BD2286" s="130">
        <f t="shared" si="739"/>
        <v>3</v>
      </c>
      <c r="BE2286" s="130">
        <f t="shared" si="740"/>
        <v>40</v>
      </c>
      <c r="BF2286" s="195">
        <f t="shared" si="741"/>
        <v>7.5</v>
      </c>
      <c r="BG2286" s="373">
        <f>BE2286-BD2286</f>
        <v>37</v>
      </c>
    </row>
    <row r="2287" spans="1:59" s="46" customFormat="1" ht="15.95" customHeight="1">
      <c r="A2287" s="176">
        <v>134</v>
      </c>
      <c r="B2287" s="37" t="s">
        <v>2743</v>
      </c>
      <c r="C2287" s="38" t="s">
        <v>2744</v>
      </c>
      <c r="D2287" s="231"/>
      <c r="E2287" s="231"/>
      <c r="F2287" s="231"/>
      <c r="G2287" s="231"/>
      <c r="H2287" s="231"/>
      <c r="I2287" s="231"/>
      <c r="J2287" s="231"/>
      <c r="K2287" s="231"/>
      <c r="L2287" s="231"/>
      <c r="M2287" s="231"/>
      <c r="N2287" s="231"/>
      <c r="O2287" s="231"/>
      <c r="P2287" s="231"/>
      <c r="Q2287" s="231"/>
      <c r="R2287" s="231"/>
      <c r="S2287" s="231"/>
      <c r="T2287" s="231"/>
      <c r="U2287" s="231"/>
      <c r="V2287" s="231"/>
      <c r="W2287" s="231"/>
      <c r="X2287" s="231"/>
      <c r="Y2287" s="231"/>
      <c r="Z2287" s="231"/>
      <c r="AA2287" s="231"/>
      <c r="AB2287" s="22">
        <f t="shared" si="737"/>
        <v>0</v>
      </c>
      <c r="AC2287" s="23">
        <v>0</v>
      </c>
      <c r="AD2287" s="35"/>
      <c r="AE2287" s="35"/>
      <c r="AF2287" s="35"/>
      <c r="AG2287" s="35"/>
      <c r="AH2287" s="35">
        <v>11</v>
      </c>
      <c r="AI2287" s="35"/>
      <c r="AJ2287" s="35"/>
      <c r="AK2287" s="35"/>
      <c r="AL2287" s="35">
        <v>53</v>
      </c>
      <c r="AM2287" s="35"/>
      <c r="AN2287" s="35"/>
      <c r="AO2287" s="35"/>
      <c r="AP2287" s="35">
        <v>55</v>
      </c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22">
        <f t="shared" si="738"/>
        <v>119</v>
      </c>
      <c r="BC2287" s="23">
        <v>47</v>
      </c>
      <c r="BD2287" s="130">
        <f t="shared" si="739"/>
        <v>119</v>
      </c>
      <c r="BE2287" s="130">
        <f t="shared" si="740"/>
        <v>47</v>
      </c>
      <c r="BF2287" s="195">
        <f t="shared" si="741"/>
        <v>253.19148936170214</v>
      </c>
      <c r="BG2287" s="373">
        <f>BE2287-BD2287</f>
        <v>-72</v>
      </c>
    </row>
    <row r="2288" spans="1:59" s="46" customFormat="1" ht="15.95" customHeight="1">
      <c r="A2288" s="176">
        <v>135</v>
      </c>
      <c r="B2288" s="31" t="s">
        <v>1030</v>
      </c>
      <c r="C2288" s="32" t="s">
        <v>1653</v>
      </c>
      <c r="D2288" s="231"/>
      <c r="E2288" s="231"/>
      <c r="F2288" s="231"/>
      <c r="G2288" s="231"/>
      <c r="H2288" s="231"/>
      <c r="I2288" s="231"/>
      <c r="J2288" s="231"/>
      <c r="K2288" s="231"/>
      <c r="L2288" s="231"/>
      <c r="M2288" s="231"/>
      <c r="N2288" s="231"/>
      <c r="O2288" s="231"/>
      <c r="P2288" s="231"/>
      <c r="Q2288" s="231"/>
      <c r="R2288" s="231"/>
      <c r="S2288" s="231"/>
      <c r="T2288" s="231"/>
      <c r="U2288" s="231"/>
      <c r="V2288" s="231"/>
      <c r="W2288" s="231"/>
      <c r="X2288" s="231"/>
      <c r="Y2288" s="231"/>
      <c r="Z2288" s="231"/>
      <c r="AA2288" s="231"/>
      <c r="AB2288" s="22">
        <f t="shared" si="737"/>
        <v>0</v>
      </c>
      <c r="AC2288" s="23">
        <v>0</v>
      </c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>
        <v>4</v>
      </c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22">
        <f t="shared" si="738"/>
        <v>4</v>
      </c>
      <c r="BC2288" s="23">
        <v>425</v>
      </c>
      <c r="BD2288" s="130">
        <f t="shared" si="739"/>
        <v>4</v>
      </c>
      <c r="BE2288" s="130">
        <f t="shared" si="740"/>
        <v>425</v>
      </c>
      <c r="BF2288" s="195">
        <f t="shared" si="741"/>
        <v>0.94117647058823517</v>
      </c>
      <c r="BG2288" s="373">
        <f>BE2288-BD2288</f>
        <v>421</v>
      </c>
    </row>
    <row r="2289" spans="1:61" s="46" customFormat="1" ht="15.95" customHeight="1">
      <c r="A2289" s="176">
        <v>136</v>
      </c>
      <c r="B2289" s="31" t="s">
        <v>1654</v>
      </c>
      <c r="C2289" s="32" t="s">
        <v>1983</v>
      </c>
      <c r="D2289" s="564"/>
      <c r="E2289" s="564"/>
      <c r="F2289" s="564"/>
      <c r="G2289" s="564"/>
      <c r="H2289" s="564"/>
      <c r="I2289" s="564"/>
      <c r="J2289" s="564"/>
      <c r="K2289" s="564"/>
      <c r="L2289" s="564"/>
      <c r="M2289" s="564"/>
      <c r="N2289" s="564"/>
      <c r="O2289" s="564"/>
      <c r="P2289" s="564"/>
      <c r="Q2289" s="564"/>
      <c r="R2289" s="564"/>
      <c r="S2289" s="564"/>
      <c r="T2289" s="564"/>
      <c r="U2289" s="564"/>
      <c r="V2289" s="564"/>
      <c r="W2289" s="564"/>
      <c r="X2289" s="564"/>
      <c r="Y2289" s="564"/>
      <c r="Z2289" s="564"/>
      <c r="AA2289" s="564"/>
      <c r="AB2289" s="22">
        <f t="shared" si="737"/>
        <v>0</v>
      </c>
      <c r="AC2289" s="23">
        <v>0</v>
      </c>
      <c r="AD2289" s="35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>
        <v>1</v>
      </c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22">
        <f t="shared" si="738"/>
        <v>1</v>
      </c>
      <c r="BC2289" s="23">
        <v>0</v>
      </c>
      <c r="BD2289" s="130">
        <f t="shared" si="739"/>
        <v>1</v>
      </c>
      <c r="BE2289" s="130">
        <f t="shared" si="740"/>
        <v>0</v>
      </c>
      <c r="BF2289" s="195" t="e">
        <f t="shared" si="741"/>
        <v>#DIV/0!</v>
      </c>
      <c r="BG2289" s="373"/>
    </row>
    <row r="2290" spans="1:61" s="46" customFormat="1" ht="15.95" customHeight="1">
      <c r="A2290" s="176">
        <v>137</v>
      </c>
      <c r="B2290" s="31" t="s">
        <v>1034</v>
      </c>
      <c r="C2290" s="32" t="s">
        <v>2171</v>
      </c>
      <c r="D2290" s="231"/>
      <c r="E2290" s="231"/>
      <c r="F2290" s="231"/>
      <c r="G2290" s="231"/>
      <c r="H2290" s="231"/>
      <c r="I2290" s="231"/>
      <c r="J2290" s="231"/>
      <c r="K2290" s="231"/>
      <c r="L2290" s="231"/>
      <c r="M2290" s="231"/>
      <c r="N2290" s="231"/>
      <c r="O2290" s="231"/>
      <c r="P2290" s="231"/>
      <c r="Q2290" s="231"/>
      <c r="R2290" s="231"/>
      <c r="S2290" s="231"/>
      <c r="T2290" s="231"/>
      <c r="U2290" s="231"/>
      <c r="V2290" s="231"/>
      <c r="W2290" s="231"/>
      <c r="X2290" s="231"/>
      <c r="Y2290" s="231"/>
      <c r="Z2290" s="231"/>
      <c r="AA2290" s="231"/>
      <c r="AB2290" s="22">
        <f t="shared" si="737"/>
        <v>0</v>
      </c>
      <c r="AC2290" s="23">
        <v>0</v>
      </c>
      <c r="AD2290" s="35"/>
      <c r="AE2290" s="35"/>
      <c r="AF2290" s="35"/>
      <c r="AG2290" s="35"/>
      <c r="AH2290" s="35">
        <v>309</v>
      </c>
      <c r="AI2290" s="35"/>
      <c r="AJ2290" s="35"/>
      <c r="AK2290" s="35"/>
      <c r="AL2290" s="35">
        <v>2150</v>
      </c>
      <c r="AM2290" s="35"/>
      <c r="AN2290" s="35"/>
      <c r="AO2290" s="35"/>
      <c r="AP2290" s="35">
        <v>1641</v>
      </c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22">
        <f t="shared" si="738"/>
        <v>4100</v>
      </c>
      <c r="BC2290" s="23">
        <v>8652</v>
      </c>
      <c r="BD2290" s="130">
        <f t="shared" si="739"/>
        <v>4100</v>
      </c>
      <c r="BE2290" s="130">
        <f t="shared" si="740"/>
        <v>8652</v>
      </c>
      <c r="BF2290" s="195">
        <f t="shared" si="741"/>
        <v>47.387887193712437</v>
      </c>
      <c r="BG2290" s="373">
        <f>BE2290-BD2290</f>
        <v>4552</v>
      </c>
    </row>
    <row r="2291" spans="1:61" s="46" customFormat="1" ht="15.95" customHeight="1">
      <c r="A2291" s="176">
        <v>138</v>
      </c>
      <c r="B2291" s="31" t="s">
        <v>1361</v>
      </c>
      <c r="C2291" s="32" t="s">
        <v>1362</v>
      </c>
      <c r="D2291" s="231"/>
      <c r="E2291" s="231"/>
      <c r="F2291" s="231"/>
      <c r="G2291" s="231"/>
      <c r="H2291" s="231"/>
      <c r="I2291" s="231"/>
      <c r="J2291" s="231"/>
      <c r="K2291" s="231"/>
      <c r="L2291" s="231"/>
      <c r="M2291" s="231"/>
      <c r="N2291" s="231"/>
      <c r="O2291" s="231"/>
      <c r="P2291" s="231"/>
      <c r="Q2291" s="231"/>
      <c r="R2291" s="231"/>
      <c r="S2291" s="231"/>
      <c r="T2291" s="231"/>
      <c r="U2291" s="231"/>
      <c r="V2291" s="231"/>
      <c r="W2291" s="231"/>
      <c r="X2291" s="231"/>
      <c r="Y2291" s="231"/>
      <c r="Z2291" s="231"/>
      <c r="AA2291" s="231"/>
      <c r="AB2291" s="22">
        <f t="shared" si="737"/>
        <v>0</v>
      </c>
      <c r="AC2291" s="23">
        <v>1</v>
      </c>
      <c r="AD2291" s="35"/>
      <c r="AE2291" s="35"/>
      <c r="AF2291" s="35"/>
      <c r="AG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22">
        <f t="shared" si="738"/>
        <v>0</v>
      </c>
      <c r="BC2291" s="23">
        <v>0</v>
      </c>
      <c r="BD2291" s="130">
        <f t="shared" si="739"/>
        <v>0</v>
      </c>
      <c r="BE2291" s="130">
        <f t="shared" si="740"/>
        <v>1</v>
      </c>
      <c r="BF2291" s="195">
        <f t="shared" si="741"/>
        <v>0</v>
      </c>
      <c r="BG2291" s="373">
        <f>BE2291-BD2291</f>
        <v>1</v>
      </c>
    </row>
    <row r="2292" spans="1:61" s="46" customFormat="1" ht="15.95" customHeight="1">
      <c r="A2292" s="176">
        <v>139</v>
      </c>
      <c r="B2292" s="437" t="s">
        <v>3047</v>
      </c>
      <c r="C2292" s="439" t="s">
        <v>3048</v>
      </c>
      <c r="D2292" s="231"/>
      <c r="E2292" s="231"/>
      <c r="F2292" s="231"/>
      <c r="G2292" s="231"/>
      <c r="H2292" s="231"/>
      <c r="I2292" s="231"/>
      <c r="J2292" s="231"/>
      <c r="K2292" s="231"/>
      <c r="L2292" s="231"/>
      <c r="M2292" s="231"/>
      <c r="N2292" s="231"/>
      <c r="O2292" s="231"/>
      <c r="P2292" s="231"/>
      <c r="Q2292" s="231"/>
      <c r="R2292" s="231"/>
      <c r="S2292" s="231"/>
      <c r="T2292" s="231"/>
      <c r="U2292" s="231"/>
      <c r="V2292" s="231"/>
      <c r="W2292" s="231"/>
      <c r="X2292" s="231"/>
      <c r="Y2292" s="231"/>
      <c r="Z2292" s="231"/>
      <c r="AA2292" s="231"/>
      <c r="AB2292" s="22">
        <f t="shared" si="737"/>
        <v>0</v>
      </c>
      <c r="AC2292" s="23">
        <f>1+230</f>
        <v>231</v>
      </c>
      <c r="AD2292" s="35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22">
        <f t="shared" si="738"/>
        <v>0</v>
      </c>
      <c r="BC2292" s="23">
        <v>0</v>
      </c>
      <c r="BD2292" s="130">
        <f t="shared" si="739"/>
        <v>0</v>
      </c>
      <c r="BE2292" s="130">
        <f t="shared" si="740"/>
        <v>231</v>
      </c>
      <c r="BF2292" s="195">
        <f t="shared" si="741"/>
        <v>0</v>
      </c>
      <c r="BG2292" s="373">
        <f>BE2292-BD2292</f>
        <v>231</v>
      </c>
    </row>
    <row r="2293" spans="1:61" s="46" customFormat="1" ht="15.95" customHeight="1">
      <c r="A2293" s="636" t="s">
        <v>1255</v>
      </c>
      <c r="B2293" s="637"/>
      <c r="C2293" s="637"/>
      <c r="D2293" s="98">
        <f t="shared" ref="D2293:AI2293" si="742">SUM(D2294:D2337)</f>
        <v>0</v>
      </c>
      <c r="E2293" s="98">
        <f t="shared" si="742"/>
        <v>0</v>
      </c>
      <c r="F2293" s="98">
        <f t="shared" si="742"/>
        <v>0</v>
      </c>
      <c r="G2293" s="98">
        <f t="shared" si="742"/>
        <v>0</v>
      </c>
      <c r="H2293" s="98">
        <f t="shared" si="742"/>
        <v>0</v>
      </c>
      <c r="I2293" s="98">
        <f t="shared" si="742"/>
        <v>0</v>
      </c>
      <c r="J2293" s="98">
        <f t="shared" si="742"/>
        <v>0</v>
      </c>
      <c r="K2293" s="98">
        <f t="shared" si="742"/>
        <v>648</v>
      </c>
      <c r="L2293" s="98">
        <f t="shared" si="742"/>
        <v>0</v>
      </c>
      <c r="M2293" s="98">
        <f t="shared" si="742"/>
        <v>0</v>
      </c>
      <c r="N2293" s="98">
        <f t="shared" si="742"/>
        <v>0</v>
      </c>
      <c r="O2293" s="98">
        <f t="shared" si="742"/>
        <v>2337</v>
      </c>
      <c r="P2293" s="98">
        <f t="shared" si="742"/>
        <v>7</v>
      </c>
      <c r="Q2293" s="98">
        <f t="shared" si="742"/>
        <v>0</v>
      </c>
      <c r="R2293" s="98">
        <f t="shared" si="742"/>
        <v>0</v>
      </c>
      <c r="S2293" s="98">
        <f t="shared" si="742"/>
        <v>2160</v>
      </c>
      <c r="T2293" s="98">
        <f t="shared" si="742"/>
        <v>0</v>
      </c>
      <c r="U2293" s="98">
        <f t="shared" si="742"/>
        <v>0</v>
      </c>
      <c r="V2293" s="98">
        <f t="shared" si="742"/>
        <v>0</v>
      </c>
      <c r="W2293" s="98">
        <f t="shared" si="742"/>
        <v>0</v>
      </c>
      <c r="X2293" s="98">
        <f t="shared" si="742"/>
        <v>0</v>
      </c>
      <c r="Y2293" s="98">
        <f t="shared" si="742"/>
        <v>0</v>
      </c>
      <c r="Z2293" s="98">
        <f t="shared" si="742"/>
        <v>0</v>
      </c>
      <c r="AA2293" s="98">
        <f t="shared" si="742"/>
        <v>0</v>
      </c>
      <c r="AB2293" s="98">
        <f t="shared" si="742"/>
        <v>5152</v>
      </c>
      <c r="AC2293" s="161">
        <f t="shared" si="742"/>
        <v>19967</v>
      </c>
      <c r="AD2293" s="130">
        <f t="shared" si="742"/>
        <v>0</v>
      </c>
      <c r="AE2293" s="130">
        <f t="shared" si="742"/>
        <v>0</v>
      </c>
      <c r="AF2293" s="130">
        <f t="shared" si="742"/>
        <v>0</v>
      </c>
      <c r="AG2293" s="130">
        <f t="shared" si="742"/>
        <v>0</v>
      </c>
      <c r="AH2293" s="130">
        <f t="shared" si="742"/>
        <v>1236</v>
      </c>
      <c r="AI2293" s="130">
        <f t="shared" si="742"/>
        <v>0</v>
      </c>
      <c r="AJ2293" s="130">
        <f t="shared" ref="AJ2293:BC2293" si="743">SUM(AJ2294:AJ2337)</f>
        <v>0</v>
      </c>
      <c r="AK2293" s="130">
        <f t="shared" si="743"/>
        <v>0</v>
      </c>
      <c r="AL2293" s="130">
        <f t="shared" si="743"/>
        <v>5160</v>
      </c>
      <c r="AM2293" s="130">
        <f t="shared" si="743"/>
        <v>0</v>
      </c>
      <c r="AN2293" s="130">
        <f t="shared" si="743"/>
        <v>0</v>
      </c>
      <c r="AO2293" s="130">
        <f t="shared" si="743"/>
        <v>0</v>
      </c>
      <c r="AP2293" s="130">
        <f t="shared" si="743"/>
        <v>5151</v>
      </c>
      <c r="AQ2293" s="130">
        <f t="shared" si="743"/>
        <v>0</v>
      </c>
      <c r="AR2293" s="130">
        <f t="shared" si="743"/>
        <v>0</v>
      </c>
      <c r="AS2293" s="130">
        <f t="shared" si="743"/>
        <v>0</v>
      </c>
      <c r="AT2293" s="130">
        <f t="shared" si="743"/>
        <v>0</v>
      </c>
      <c r="AU2293" s="130">
        <f t="shared" si="743"/>
        <v>0</v>
      </c>
      <c r="AV2293" s="130">
        <f t="shared" si="743"/>
        <v>0</v>
      </c>
      <c r="AW2293" s="130">
        <f t="shared" si="743"/>
        <v>0</v>
      </c>
      <c r="AX2293" s="130">
        <f t="shared" si="743"/>
        <v>0</v>
      </c>
      <c r="AY2293" s="130">
        <f t="shared" si="743"/>
        <v>0</v>
      </c>
      <c r="AZ2293" s="130">
        <f t="shared" si="743"/>
        <v>0</v>
      </c>
      <c r="BA2293" s="130">
        <f t="shared" si="743"/>
        <v>0</v>
      </c>
      <c r="BB2293" s="130">
        <f t="shared" si="743"/>
        <v>11547</v>
      </c>
      <c r="BC2293" s="103">
        <f t="shared" si="743"/>
        <v>23034</v>
      </c>
      <c r="BD2293" s="130">
        <f t="shared" ref="BD2293" si="744">AB2293+BB2293</f>
        <v>16699</v>
      </c>
      <c r="BE2293" s="130">
        <f t="shared" ref="BE2293" si="745">AC2293+BC2293</f>
        <v>43001</v>
      </c>
      <c r="BF2293" s="195">
        <f t="shared" ref="BF2293" si="746">BD2293/BE2293*100</f>
        <v>38.833980605102205</v>
      </c>
      <c r="BG2293" s="374">
        <f t="shared" ref="BG2293" si="747">BE2293-BD2293</f>
        <v>26302</v>
      </c>
    </row>
    <row r="2294" spans="1:61" s="46" customFormat="1" ht="21" customHeight="1">
      <c r="A2294" s="417">
        <v>1</v>
      </c>
      <c r="B2294" s="418" t="s">
        <v>926</v>
      </c>
      <c r="C2294" s="423" t="s">
        <v>927</v>
      </c>
      <c r="D2294" s="231"/>
      <c r="E2294" s="231"/>
      <c r="F2294" s="231"/>
      <c r="G2294" s="231"/>
      <c r="H2294" s="231"/>
      <c r="I2294" s="231"/>
      <c r="J2294" s="231"/>
      <c r="K2294" s="231">
        <v>12</v>
      </c>
      <c r="L2294" s="231"/>
      <c r="M2294" s="231"/>
      <c r="N2294" s="231"/>
      <c r="O2294" s="231">
        <v>51</v>
      </c>
      <c r="P2294" s="231"/>
      <c r="Q2294" s="231"/>
      <c r="R2294" s="231"/>
      <c r="S2294" s="231">
        <v>59</v>
      </c>
      <c r="T2294" s="231"/>
      <c r="U2294" s="231"/>
      <c r="V2294" s="231"/>
      <c r="W2294" s="231"/>
      <c r="X2294" s="231"/>
      <c r="Y2294" s="231"/>
      <c r="Z2294" s="231"/>
      <c r="AA2294" s="231"/>
      <c r="AB2294" s="22">
        <f t="shared" ref="AB2294:AB2337" si="748">SUM(D2294:AA2294)</f>
        <v>122</v>
      </c>
      <c r="AC2294" s="23">
        <f>65+259</f>
        <v>324</v>
      </c>
      <c r="AD2294" s="35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22">
        <f t="shared" ref="BB2294:BB2337" si="749">SUM(AD2294:BA2294)</f>
        <v>0</v>
      </c>
      <c r="BC2294" s="23">
        <v>0</v>
      </c>
      <c r="BD2294" s="130">
        <f t="shared" ref="BD2294:BD2337" si="750">AB2294+BB2294</f>
        <v>122</v>
      </c>
      <c r="BE2294" s="130">
        <f t="shared" ref="BE2294:BE2337" si="751">AC2294+BC2294</f>
        <v>324</v>
      </c>
      <c r="BF2294" s="195">
        <f t="shared" ref="BF2294:BF2337" si="752">BD2294/BE2294*100</f>
        <v>37.654320987654323</v>
      </c>
      <c r="BG2294" s="373">
        <f t="shared" ref="BG2294:BG2301" si="753">BE2294-BD2294</f>
        <v>202</v>
      </c>
      <c r="BH2294" s="426" t="s">
        <v>3675</v>
      </c>
      <c r="BI2294" s="426"/>
    </row>
    <row r="2295" spans="1:61" s="46" customFormat="1" ht="21" customHeight="1">
      <c r="A2295" s="417">
        <v>2</v>
      </c>
      <c r="B2295" s="418" t="s">
        <v>2808</v>
      </c>
      <c r="C2295" s="419" t="s">
        <v>2809</v>
      </c>
      <c r="D2295" s="266"/>
      <c r="E2295" s="266"/>
      <c r="F2295" s="266"/>
      <c r="G2295" s="266"/>
      <c r="H2295" s="266"/>
      <c r="I2295" s="266"/>
      <c r="J2295" s="266"/>
      <c r="K2295" s="266"/>
      <c r="L2295" s="266"/>
      <c r="M2295" s="266"/>
      <c r="N2295" s="266"/>
      <c r="O2295" s="266"/>
      <c r="P2295" s="266"/>
      <c r="Q2295" s="266"/>
      <c r="R2295" s="266"/>
      <c r="S2295" s="266"/>
      <c r="T2295" s="266"/>
      <c r="U2295" s="266"/>
      <c r="V2295" s="266"/>
      <c r="W2295" s="266"/>
      <c r="X2295" s="266"/>
      <c r="Y2295" s="266"/>
      <c r="Z2295" s="266"/>
      <c r="AA2295" s="266"/>
      <c r="AB2295" s="22">
        <f t="shared" si="748"/>
        <v>0</v>
      </c>
      <c r="AC2295" s="23">
        <v>1</v>
      </c>
      <c r="AD2295" s="35"/>
      <c r="AE2295" s="35"/>
      <c r="AF2295" s="35"/>
      <c r="AG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22">
        <f t="shared" si="749"/>
        <v>0</v>
      </c>
      <c r="BC2295" s="23">
        <v>0</v>
      </c>
      <c r="BD2295" s="130">
        <f t="shared" si="750"/>
        <v>0</v>
      </c>
      <c r="BE2295" s="130">
        <f t="shared" si="751"/>
        <v>1</v>
      </c>
      <c r="BF2295" s="195">
        <f t="shared" si="752"/>
        <v>0</v>
      </c>
      <c r="BG2295" s="373">
        <f t="shared" si="753"/>
        <v>1</v>
      </c>
      <c r="BH2295" s="426" t="s">
        <v>3675</v>
      </c>
      <c r="BI2295" s="421"/>
    </row>
    <row r="2296" spans="1:61" s="46" customFormat="1" ht="21" customHeight="1">
      <c r="A2296" s="417">
        <v>3</v>
      </c>
      <c r="B2296" s="418" t="s">
        <v>1266</v>
      </c>
      <c r="C2296" s="419" t="s">
        <v>1267</v>
      </c>
      <c r="D2296" s="250"/>
      <c r="E2296" s="250"/>
      <c r="F2296" s="250"/>
      <c r="G2296" s="250"/>
      <c r="H2296" s="250"/>
      <c r="I2296" s="250"/>
      <c r="J2296" s="250"/>
      <c r="K2296" s="250">
        <v>73</v>
      </c>
      <c r="L2296" s="250"/>
      <c r="M2296" s="250"/>
      <c r="N2296" s="250"/>
      <c r="O2296" s="250">
        <v>308</v>
      </c>
      <c r="P2296" s="250"/>
      <c r="Q2296" s="250"/>
      <c r="R2296" s="250"/>
      <c r="S2296" s="250">
        <v>259</v>
      </c>
      <c r="T2296" s="250"/>
      <c r="U2296" s="250"/>
      <c r="V2296" s="250"/>
      <c r="W2296" s="250"/>
      <c r="X2296" s="250"/>
      <c r="Y2296" s="250"/>
      <c r="Z2296" s="250"/>
      <c r="AA2296" s="250"/>
      <c r="AB2296" s="22">
        <f t="shared" si="748"/>
        <v>640</v>
      </c>
      <c r="AC2296" s="23">
        <f>441+1153</f>
        <v>1594</v>
      </c>
      <c r="AD2296" s="35"/>
      <c r="AE2296" s="35"/>
      <c r="AF2296" s="35"/>
      <c r="AG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22">
        <f t="shared" si="749"/>
        <v>0</v>
      </c>
      <c r="BC2296" s="23">
        <v>0</v>
      </c>
      <c r="BD2296" s="130">
        <f t="shared" si="750"/>
        <v>640</v>
      </c>
      <c r="BE2296" s="130">
        <f t="shared" si="751"/>
        <v>1594</v>
      </c>
      <c r="BF2296" s="195">
        <f t="shared" si="752"/>
        <v>40.150564617314934</v>
      </c>
      <c r="BG2296" s="373">
        <f t="shared" si="753"/>
        <v>954</v>
      </c>
      <c r="BH2296" s="426" t="s">
        <v>3675</v>
      </c>
      <c r="BI2296" s="421"/>
    </row>
    <row r="2297" spans="1:61" s="46" customFormat="1" ht="21" customHeight="1">
      <c r="A2297" s="417">
        <v>4</v>
      </c>
      <c r="B2297" s="418" t="s">
        <v>2218</v>
      </c>
      <c r="C2297" s="419" t="s">
        <v>2224</v>
      </c>
      <c r="D2297" s="231"/>
      <c r="E2297" s="231"/>
      <c r="F2297" s="231"/>
      <c r="G2297" s="231"/>
      <c r="H2297" s="231"/>
      <c r="I2297" s="231"/>
      <c r="J2297" s="231"/>
      <c r="K2297" s="231">
        <v>561</v>
      </c>
      <c r="L2297" s="231"/>
      <c r="M2297" s="231"/>
      <c r="N2297" s="231"/>
      <c r="O2297" s="231">
        <v>1978</v>
      </c>
      <c r="P2297" s="231"/>
      <c r="Q2297" s="231"/>
      <c r="R2297" s="231"/>
      <c r="S2297" s="231">
        <v>1842</v>
      </c>
      <c r="T2297" s="231"/>
      <c r="U2297" s="231"/>
      <c r="V2297" s="231"/>
      <c r="W2297" s="231"/>
      <c r="X2297" s="231"/>
      <c r="Y2297" s="231"/>
      <c r="Z2297" s="231"/>
      <c r="AA2297" s="231"/>
      <c r="AB2297" s="22">
        <f t="shared" si="748"/>
        <v>4381</v>
      </c>
      <c r="AC2297" s="23">
        <f>3144+12000</f>
        <v>15144</v>
      </c>
      <c r="AD2297" s="35"/>
      <c r="AE2297" s="35"/>
      <c r="AF2297" s="35"/>
      <c r="AG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22">
        <f t="shared" si="749"/>
        <v>0</v>
      </c>
      <c r="BC2297" s="23">
        <v>0</v>
      </c>
      <c r="BD2297" s="130">
        <f t="shared" si="750"/>
        <v>4381</v>
      </c>
      <c r="BE2297" s="130">
        <f t="shared" si="751"/>
        <v>15144</v>
      </c>
      <c r="BF2297" s="195">
        <f t="shared" si="752"/>
        <v>28.928948758584255</v>
      </c>
      <c r="BG2297" s="373">
        <f t="shared" si="753"/>
        <v>10763</v>
      </c>
      <c r="BH2297" s="426" t="s">
        <v>3675</v>
      </c>
      <c r="BI2297" s="421"/>
    </row>
    <row r="2298" spans="1:61" s="46" customFormat="1" ht="15.95" customHeight="1">
      <c r="A2298" s="176">
        <v>5</v>
      </c>
      <c r="B2298" s="31" t="s">
        <v>2822</v>
      </c>
      <c r="C2298" s="32" t="s">
        <v>2823</v>
      </c>
      <c r="D2298" s="272"/>
      <c r="E2298" s="272"/>
      <c r="F2298" s="272"/>
      <c r="G2298" s="272"/>
      <c r="H2298" s="272"/>
      <c r="I2298" s="272"/>
      <c r="J2298" s="272"/>
      <c r="K2298" s="272"/>
      <c r="L2298" s="272"/>
      <c r="M2298" s="272"/>
      <c r="N2298" s="272"/>
      <c r="O2298" s="272"/>
      <c r="P2298" s="272"/>
      <c r="Q2298" s="272"/>
      <c r="R2298" s="272"/>
      <c r="S2298" s="272"/>
      <c r="T2298" s="272"/>
      <c r="U2298" s="272"/>
      <c r="V2298" s="272"/>
      <c r="W2298" s="272"/>
      <c r="X2298" s="272"/>
      <c r="Y2298" s="272"/>
      <c r="Z2298" s="272"/>
      <c r="AA2298" s="272"/>
      <c r="AB2298" s="22">
        <f t="shared" si="748"/>
        <v>0</v>
      </c>
      <c r="AC2298" s="23">
        <v>0</v>
      </c>
      <c r="AD2298" s="35"/>
      <c r="AE2298" s="35"/>
      <c r="AF2298" s="35"/>
      <c r="AG2298" s="35"/>
      <c r="AH2298" s="35">
        <v>75</v>
      </c>
      <c r="AI2298" s="35"/>
      <c r="AJ2298" s="35"/>
      <c r="AK2298" s="35"/>
      <c r="AL2298" s="35">
        <v>318</v>
      </c>
      <c r="AM2298" s="35"/>
      <c r="AN2298" s="35"/>
      <c r="AO2298" s="35"/>
      <c r="AP2298" s="35">
        <v>298</v>
      </c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22">
        <f t="shared" si="749"/>
        <v>691</v>
      </c>
      <c r="BC2298" s="23">
        <v>1337</v>
      </c>
      <c r="BD2298" s="130">
        <f t="shared" si="750"/>
        <v>691</v>
      </c>
      <c r="BE2298" s="130">
        <f t="shared" si="751"/>
        <v>1337</v>
      </c>
      <c r="BF2298" s="195">
        <f t="shared" si="752"/>
        <v>51.682872101720264</v>
      </c>
      <c r="BG2298" s="373">
        <f t="shared" si="753"/>
        <v>646</v>
      </c>
    </row>
    <row r="2299" spans="1:61" s="46" customFormat="1" ht="15.95" customHeight="1">
      <c r="A2299" s="176">
        <v>6</v>
      </c>
      <c r="B2299" s="31" t="s">
        <v>736</v>
      </c>
      <c r="C2299" s="32" t="s">
        <v>737</v>
      </c>
      <c r="D2299" s="336"/>
      <c r="E2299" s="336"/>
      <c r="F2299" s="336"/>
      <c r="G2299" s="336"/>
      <c r="H2299" s="336"/>
      <c r="I2299" s="336"/>
      <c r="J2299" s="336"/>
      <c r="K2299" s="336"/>
      <c r="L2299" s="336"/>
      <c r="M2299" s="336"/>
      <c r="N2299" s="336"/>
      <c r="O2299" s="336"/>
      <c r="P2299" s="336"/>
      <c r="Q2299" s="336"/>
      <c r="R2299" s="336"/>
      <c r="S2299" s="336"/>
      <c r="T2299" s="336"/>
      <c r="U2299" s="336"/>
      <c r="V2299" s="336"/>
      <c r="W2299" s="336"/>
      <c r="X2299" s="336"/>
      <c r="Y2299" s="336"/>
      <c r="Z2299" s="336"/>
      <c r="AA2299" s="336"/>
      <c r="AB2299" s="22">
        <f t="shared" si="748"/>
        <v>0</v>
      </c>
      <c r="AC2299" s="23">
        <v>0</v>
      </c>
      <c r="AD2299" s="35"/>
      <c r="AE2299" s="35"/>
      <c r="AF2299" s="35"/>
      <c r="AG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22">
        <f t="shared" si="749"/>
        <v>0</v>
      </c>
      <c r="BC2299" s="23">
        <v>2</v>
      </c>
      <c r="BD2299" s="130">
        <f t="shared" si="750"/>
        <v>0</v>
      </c>
      <c r="BE2299" s="130">
        <f t="shared" si="751"/>
        <v>2</v>
      </c>
      <c r="BF2299" s="195">
        <f t="shared" si="752"/>
        <v>0</v>
      </c>
      <c r="BG2299" s="373">
        <f t="shared" si="753"/>
        <v>2</v>
      </c>
    </row>
    <row r="2300" spans="1:61" s="46" customFormat="1" ht="15.95" customHeight="1">
      <c r="A2300" s="176">
        <v>7</v>
      </c>
      <c r="B2300" s="31" t="s">
        <v>881</v>
      </c>
      <c r="C2300" s="32" t="s">
        <v>882</v>
      </c>
      <c r="D2300" s="231"/>
      <c r="E2300" s="231"/>
      <c r="F2300" s="231"/>
      <c r="G2300" s="231"/>
      <c r="H2300" s="231"/>
      <c r="I2300" s="231"/>
      <c r="J2300" s="231"/>
      <c r="K2300" s="231"/>
      <c r="L2300" s="231"/>
      <c r="M2300" s="231"/>
      <c r="N2300" s="231"/>
      <c r="O2300" s="231"/>
      <c r="P2300" s="231"/>
      <c r="Q2300" s="231"/>
      <c r="R2300" s="231"/>
      <c r="S2300" s="231"/>
      <c r="T2300" s="231"/>
      <c r="U2300" s="231"/>
      <c r="V2300" s="231"/>
      <c r="W2300" s="231"/>
      <c r="X2300" s="231"/>
      <c r="Y2300" s="231"/>
      <c r="Z2300" s="231"/>
      <c r="AA2300" s="231"/>
      <c r="AB2300" s="22">
        <f t="shared" si="748"/>
        <v>0</v>
      </c>
      <c r="AC2300" s="23">
        <v>0</v>
      </c>
      <c r="AD2300" s="35"/>
      <c r="AE2300" s="35"/>
      <c r="AF2300" s="35"/>
      <c r="AG2300" s="35"/>
      <c r="AH2300" s="35">
        <v>3</v>
      </c>
      <c r="AI2300" s="35"/>
      <c r="AJ2300" s="35"/>
      <c r="AK2300" s="35"/>
      <c r="AL2300" s="35">
        <v>5</v>
      </c>
      <c r="AM2300" s="35"/>
      <c r="AN2300" s="35"/>
      <c r="AO2300" s="35"/>
      <c r="AP2300" s="35">
        <v>1</v>
      </c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22">
        <f t="shared" si="749"/>
        <v>9</v>
      </c>
      <c r="BC2300" s="23">
        <v>24</v>
      </c>
      <c r="BD2300" s="130">
        <f t="shared" si="750"/>
        <v>9</v>
      </c>
      <c r="BE2300" s="130">
        <f t="shared" si="751"/>
        <v>24</v>
      </c>
      <c r="BF2300" s="195">
        <f t="shared" si="752"/>
        <v>37.5</v>
      </c>
      <c r="BG2300" s="373">
        <f t="shared" si="753"/>
        <v>15</v>
      </c>
    </row>
    <row r="2301" spans="1:61" s="46" customFormat="1" ht="15.95" customHeight="1">
      <c r="A2301" s="176">
        <v>8</v>
      </c>
      <c r="B2301" s="31" t="s">
        <v>2920</v>
      </c>
      <c r="C2301" s="32" t="s">
        <v>2921</v>
      </c>
      <c r="D2301" s="288"/>
      <c r="E2301" s="288"/>
      <c r="F2301" s="288"/>
      <c r="G2301" s="288"/>
      <c r="H2301" s="288"/>
      <c r="I2301" s="288"/>
      <c r="J2301" s="288"/>
      <c r="K2301" s="288"/>
      <c r="L2301" s="288"/>
      <c r="M2301" s="288"/>
      <c r="N2301" s="288"/>
      <c r="O2301" s="288"/>
      <c r="P2301" s="288"/>
      <c r="Q2301" s="288"/>
      <c r="R2301" s="288"/>
      <c r="S2301" s="288"/>
      <c r="T2301" s="288"/>
      <c r="U2301" s="288"/>
      <c r="V2301" s="288"/>
      <c r="W2301" s="288"/>
      <c r="X2301" s="288"/>
      <c r="Y2301" s="288"/>
      <c r="Z2301" s="288"/>
      <c r="AA2301" s="288"/>
      <c r="AB2301" s="22">
        <f t="shared" si="748"/>
        <v>0</v>
      </c>
      <c r="AC2301" s="23">
        <v>0</v>
      </c>
      <c r="AD2301" s="35"/>
      <c r="AE2301" s="35"/>
      <c r="AF2301" s="35"/>
      <c r="AG2301" s="35"/>
      <c r="AH2301" s="35">
        <v>38</v>
      </c>
      <c r="AI2301" s="35"/>
      <c r="AJ2301" s="35"/>
      <c r="AK2301" s="35"/>
      <c r="AL2301" s="35">
        <v>91</v>
      </c>
      <c r="AM2301" s="35"/>
      <c r="AN2301" s="35"/>
      <c r="AO2301" s="35"/>
      <c r="AP2301" s="35">
        <v>106</v>
      </c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22">
        <f t="shared" si="749"/>
        <v>235</v>
      </c>
      <c r="BC2301" s="23">
        <v>611</v>
      </c>
      <c r="BD2301" s="130">
        <f t="shared" si="750"/>
        <v>235</v>
      </c>
      <c r="BE2301" s="130">
        <f t="shared" si="751"/>
        <v>611</v>
      </c>
      <c r="BF2301" s="195">
        <f t="shared" si="752"/>
        <v>38.461538461538467</v>
      </c>
      <c r="BG2301" s="373">
        <f t="shared" si="753"/>
        <v>376</v>
      </c>
    </row>
    <row r="2302" spans="1:61" s="46" customFormat="1" ht="15.95" customHeight="1">
      <c r="A2302" s="176">
        <v>9</v>
      </c>
      <c r="B2302" s="31" t="s">
        <v>3949</v>
      </c>
      <c r="C2302" s="32" t="s">
        <v>3950</v>
      </c>
      <c r="D2302" s="542"/>
      <c r="E2302" s="542"/>
      <c r="F2302" s="542"/>
      <c r="G2302" s="542"/>
      <c r="H2302" s="542"/>
      <c r="I2302" s="542"/>
      <c r="J2302" s="542"/>
      <c r="K2302" s="542"/>
      <c r="L2302" s="542"/>
      <c r="M2302" s="542"/>
      <c r="N2302" s="542"/>
      <c r="O2302" s="542"/>
      <c r="P2302" s="542"/>
      <c r="Q2302" s="542"/>
      <c r="R2302" s="542"/>
      <c r="S2302" s="542"/>
      <c r="T2302" s="542"/>
      <c r="U2302" s="542"/>
      <c r="V2302" s="542"/>
      <c r="W2302" s="542"/>
      <c r="X2302" s="542"/>
      <c r="Y2302" s="542"/>
      <c r="Z2302" s="542"/>
      <c r="AA2302" s="542"/>
      <c r="AB2302" s="22">
        <f t="shared" si="748"/>
        <v>0</v>
      </c>
      <c r="AC2302" s="23">
        <v>0</v>
      </c>
      <c r="AD2302" s="35"/>
      <c r="AE2302" s="35"/>
      <c r="AF2302" s="35"/>
      <c r="AG2302" s="35"/>
      <c r="AH2302" s="35"/>
      <c r="AI2302" s="35"/>
      <c r="AJ2302" s="35"/>
      <c r="AK2302" s="35"/>
      <c r="AL2302" s="35">
        <v>7</v>
      </c>
      <c r="AM2302" s="35"/>
      <c r="AN2302" s="35"/>
      <c r="AO2302" s="35"/>
      <c r="AP2302" s="35">
        <v>17</v>
      </c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22">
        <f t="shared" si="749"/>
        <v>24</v>
      </c>
      <c r="BC2302" s="23">
        <v>0</v>
      </c>
      <c r="BD2302" s="130">
        <f t="shared" si="750"/>
        <v>24</v>
      </c>
      <c r="BE2302" s="130">
        <f t="shared" si="751"/>
        <v>0</v>
      </c>
      <c r="BF2302" s="195" t="e">
        <f t="shared" si="752"/>
        <v>#DIV/0!</v>
      </c>
      <c r="BG2302" s="373"/>
    </row>
    <row r="2303" spans="1:61" s="46" customFormat="1" ht="21" customHeight="1">
      <c r="A2303" s="176">
        <v>10</v>
      </c>
      <c r="B2303" s="31" t="s">
        <v>1256</v>
      </c>
      <c r="C2303" s="34" t="s">
        <v>1257</v>
      </c>
      <c r="D2303" s="231"/>
      <c r="E2303" s="231"/>
      <c r="F2303" s="231"/>
      <c r="G2303" s="231"/>
      <c r="H2303" s="231"/>
      <c r="I2303" s="231"/>
      <c r="J2303" s="231"/>
      <c r="K2303" s="231"/>
      <c r="L2303" s="231"/>
      <c r="M2303" s="231"/>
      <c r="N2303" s="231"/>
      <c r="O2303" s="231"/>
      <c r="P2303" s="231"/>
      <c r="Q2303" s="231"/>
      <c r="R2303" s="231"/>
      <c r="S2303" s="231"/>
      <c r="T2303" s="231"/>
      <c r="U2303" s="231"/>
      <c r="V2303" s="231"/>
      <c r="W2303" s="231"/>
      <c r="X2303" s="231"/>
      <c r="Y2303" s="231"/>
      <c r="Z2303" s="231"/>
      <c r="AA2303" s="231"/>
      <c r="AB2303" s="22">
        <f t="shared" si="748"/>
        <v>0</v>
      </c>
      <c r="AC2303" s="23">
        <v>0</v>
      </c>
      <c r="AD2303" s="35"/>
      <c r="AE2303" s="35"/>
      <c r="AF2303" s="35"/>
      <c r="AG2303" s="35"/>
      <c r="AH2303" s="35"/>
      <c r="AI2303" s="35"/>
      <c r="AJ2303" s="35"/>
      <c r="AK2303" s="35"/>
      <c r="AL2303" s="35">
        <v>5</v>
      </c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22">
        <f t="shared" si="749"/>
        <v>5</v>
      </c>
      <c r="BC2303" s="23">
        <v>2</v>
      </c>
      <c r="BD2303" s="130">
        <f t="shared" si="750"/>
        <v>5</v>
      </c>
      <c r="BE2303" s="130">
        <f t="shared" si="751"/>
        <v>2</v>
      </c>
      <c r="BF2303" s="195">
        <f t="shared" si="752"/>
        <v>250</v>
      </c>
      <c r="BG2303" s="373">
        <f t="shared" ref="BG2303:BG2337" si="754">BE2303-BD2303</f>
        <v>-3</v>
      </c>
    </row>
    <row r="2304" spans="1:61" s="46" customFormat="1" ht="15.95" customHeight="1">
      <c r="A2304" s="176">
        <v>11</v>
      </c>
      <c r="B2304" s="31" t="s">
        <v>1214</v>
      </c>
      <c r="C2304" s="32" t="s">
        <v>1215</v>
      </c>
      <c r="D2304" s="231"/>
      <c r="E2304" s="231"/>
      <c r="F2304" s="231"/>
      <c r="G2304" s="231"/>
      <c r="H2304" s="231"/>
      <c r="I2304" s="231"/>
      <c r="J2304" s="231"/>
      <c r="K2304" s="231"/>
      <c r="L2304" s="231"/>
      <c r="M2304" s="231"/>
      <c r="N2304" s="231"/>
      <c r="O2304" s="231"/>
      <c r="P2304" s="231">
        <v>1</v>
      </c>
      <c r="Q2304" s="231"/>
      <c r="R2304" s="231"/>
      <c r="S2304" s="231"/>
      <c r="T2304" s="231"/>
      <c r="U2304" s="231"/>
      <c r="V2304" s="231"/>
      <c r="W2304" s="231"/>
      <c r="X2304" s="231"/>
      <c r="Y2304" s="231"/>
      <c r="Z2304" s="231"/>
      <c r="AA2304" s="231"/>
      <c r="AB2304" s="22">
        <f t="shared" si="748"/>
        <v>1</v>
      </c>
      <c r="AC2304" s="23">
        <v>0</v>
      </c>
      <c r="AD2304" s="35"/>
      <c r="AE2304" s="35"/>
      <c r="AF2304" s="35"/>
      <c r="AG2304" s="35"/>
      <c r="AH2304" s="35">
        <v>119</v>
      </c>
      <c r="AI2304" s="35"/>
      <c r="AJ2304" s="35"/>
      <c r="AK2304" s="35"/>
      <c r="AL2304" s="35">
        <v>632</v>
      </c>
      <c r="AM2304" s="35"/>
      <c r="AN2304" s="35"/>
      <c r="AO2304" s="35"/>
      <c r="AP2304" s="35">
        <v>623</v>
      </c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22">
        <f t="shared" si="749"/>
        <v>1374</v>
      </c>
      <c r="BC2304" s="23">
        <v>3690</v>
      </c>
      <c r="BD2304" s="130">
        <f t="shared" si="750"/>
        <v>1375</v>
      </c>
      <c r="BE2304" s="130">
        <f t="shared" si="751"/>
        <v>3690</v>
      </c>
      <c r="BF2304" s="195">
        <f t="shared" si="752"/>
        <v>37.262872628726285</v>
      </c>
      <c r="BG2304" s="373">
        <f t="shared" si="754"/>
        <v>2315</v>
      </c>
    </row>
    <row r="2305" spans="1:59" s="46" customFormat="1" ht="15.95" customHeight="1">
      <c r="A2305" s="176">
        <v>12</v>
      </c>
      <c r="B2305" s="31" t="s">
        <v>750</v>
      </c>
      <c r="C2305" s="32" t="s">
        <v>751</v>
      </c>
      <c r="D2305" s="231"/>
      <c r="E2305" s="231"/>
      <c r="F2305" s="231"/>
      <c r="G2305" s="231"/>
      <c r="H2305" s="231"/>
      <c r="I2305" s="231"/>
      <c r="J2305" s="231"/>
      <c r="K2305" s="231"/>
      <c r="L2305" s="231"/>
      <c r="M2305" s="231"/>
      <c r="N2305" s="231"/>
      <c r="O2305" s="231"/>
      <c r="P2305" s="231"/>
      <c r="Q2305" s="231"/>
      <c r="R2305" s="231"/>
      <c r="S2305" s="231"/>
      <c r="T2305" s="231"/>
      <c r="U2305" s="231"/>
      <c r="V2305" s="231"/>
      <c r="W2305" s="231"/>
      <c r="X2305" s="231"/>
      <c r="Y2305" s="231"/>
      <c r="Z2305" s="231"/>
      <c r="AA2305" s="231"/>
      <c r="AB2305" s="22">
        <f t="shared" si="748"/>
        <v>0</v>
      </c>
      <c r="AC2305" s="23">
        <v>0</v>
      </c>
      <c r="AD2305" s="35"/>
      <c r="AE2305" s="35"/>
      <c r="AF2305" s="35"/>
      <c r="AG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22">
        <f t="shared" si="749"/>
        <v>0</v>
      </c>
      <c r="BC2305" s="23">
        <v>3</v>
      </c>
      <c r="BD2305" s="130">
        <f t="shared" si="750"/>
        <v>0</v>
      </c>
      <c r="BE2305" s="130">
        <f t="shared" si="751"/>
        <v>3</v>
      </c>
      <c r="BF2305" s="195">
        <f t="shared" si="752"/>
        <v>0</v>
      </c>
      <c r="BG2305" s="373">
        <f t="shared" si="754"/>
        <v>3</v>
      </c>
    </row>
    <row r="2306" spans="1:59" s="46" customFormat="1" ht="15.95" customHeight="1">
      <c r="A2306" s="176">
        <v>13</v>
      </c>
      <c r="B2306" s="31" t="s">
        <v>756</v>
      </c>
      <c r="C2306" s="32" t="s">
        <v>757</v>
      </c>
      <c r="D2306" s="231"/>
      <c r="E2306" s="231"/>
      <c r="F2306" s="231"/>
      <c r="G2306" s="231"/>
      <c r="H2306" s="231"/>
      <c r="I2306" s="231"/>
      <c r="J2306" s="231"/>
      <c r="K2306" s="231"/>
      <c r="L2306" s="231"/>
      <c r="M2306" s="231"/>
      <c r="N2306" s="231"/>
      <c r="O2306" s="231"/>
      <c r="P2306" s="231"/>
      <c r="Q2306" s="231"/>
      <c r="R2306" s="231"/>
      <c r="S2306" s="231"/>
      <c r="T2306" s="231"/>
      <c r="U2306" s="231"/>
      <c r="V2306" s="231"/>
      <c r="W2306" s="231"/>
      <c r="X2306" s="231"/>
      <c r="Y2306" s="231"/>
      <c r="Z2306" s="231"/>
      <c r="AA2306" s="231"/>
      <c r="AB2306" s="22">
        <f t="shared" si="748"/>
        <v>0</v>
      </c>
      <c r="AC2306" s="23">
        <v>0</v>
      </c>
      <c r="AD2306" s="35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22">
        <f t="shared" si="749"/>
        <v>0</v>
      </c>
      <c r="BC2306" s="23">
        <v>1</v>
      </c>
      <c r="BD2306" s="130">
        <f t="shared" si="750"/>
        <v>0</v>
      </c>
      <c r="BE2306" s="130">
        <f t="shared" si="751"/>
        <v>1</v>
      </c>
      <c r="BF2306" s="195">
        <f t="shared" si="752"/>
        <v>0</v>
      </c>
      <c r="BG2306" s="373">
        <f t="shared" si="754"/>
        <v>1</v>
      </c>
    </row>
    <row r="2307" spans="1:59" s="46" customFormat="1" ht="15.95" customHeight="1">
      <c r="A2307" s="176">
        <v>14</v>
      </c>
      <c r="B2307" s="31" t="s">
        <v>758</v>
      </c>
      <c r="C2307" s="32" t="s">
        <v>759</v>
      </c>
      <c r="D2307" s="366"/>
      <c r="E2307" s="366"/>
      <c r="F2307" s="366"/>
      <c r="G2307" s="366"/>
      <c r="H2307" s="366"/>
      <c r="I2307" s="366"/>
      <c r="J2307" s="366"/>
      <c r="K2307" s="366"/>
      <c r="L2307" s="366"/>
      <c r="M2307" s="366"/>
      <c r="N2307" s="366"/>
      <c r="O2307" s="366"/>
      <c r="P2307" s="366"/>
      <c r="Q2307" s="366"/>
      <c r="R2307" s="366"/>
      <c r="S2307" s="366"/>
      <c r="T2307" s="366"/>
      <c r="U2307" s="366"/>
      <c r="V2307" s="366"/>
      <c r="W2307" s="366"/>
      <c r="X2307" s="366"/>
      <c r="Y2307" s="366"/>
      <c r="Z2307" s="366"/>
      <c r="AA2307" s="366"/>
      <c r="AB2307" s="22">
        <f t="shared" si="748"/>
        <v>0</v>
      </c>
      <c r="AC2307" s="23">
        <v>0</v>
      </c>
      <c r="AD2307" s="35"/>
      <c r="AE2307" s="35"/>
      <c r="AF2307" s="35"/>
      <c r="AG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22">
        <f t="shared" si="749"/>
        <v>0</v>
      </c>
      <c r="BC2307" s="23">
        <v>2</v>
      </c>
      <c r="BD2307" s="130">
        <f t="shared" si="750"/>
        <v>0</v>
      </c>
      <c r="BE2307" s="130">
        <f t="shared" si="751"/>
        <v>2</v>
      </c>
      <c r="BF2307" s="195">
        <f t="shared" si="752"/>
        <v>0</v>
      </c>
      <c r="BG2307" s="373">
        <f t="shared" si="754"/>
        <v>2</v>
      </c>
    </row>
    <row r="2308" spans="1:59" s="46" customFormat="1" ht="15.95" customHeight="1">
      <c r="A2308" s="176">
        <v>15</v>
      </c>
      <c r="B2308" s="31" t="s">
        <v>768</v>
      </c>
      <c r="C2308" s="34" t="s">
        <v>769</v>
      </c>
      <c r="D2308" s="366"/>
      <c r="E2308" s="366"/>
      <c r="F2308" s="366"/>
      <c r="G2308" s="366"/>
      <c r="H2308" s="366"/>
      <c r="I2308" s="366"/>
      <c r="J2308" s="366"/>
      <c r="K2308" s="366"/>
      <c r="L2308" s="366"/>
      <c r="M2308" s="366"/>
      <c r="N2308" s="366"/>
      <c r="O2308" s="366"/>
      <c r="P2308" s="366"/>
      <c r="Q2308" s="366"/>
      <c r="R2308" s="366"/>
      <c r="S2308" s="366"/>
      <c r="T2308" s="366"/>
      <c r="U2308" s="366"/>
      <c r="V2308" s="366"/>
      <c r="W2308" s="366"/>
      <c r="X2308" s="366"/>
      <c r="Y2308" s="366"/>
      <c r="Z2308" s="366"/>
      <c r="AA2308" s="366"/>
      <c r="AB2308" s="22">
        <f t="shared" si="748"/>
        <v>0</v>
      </c>
      <c r="AC2308" s="23">
        <v>0</v>
      </c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>
        <v>2</v>
      </c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22">
        <f t="shared" si="749"/>
        <v>2</v>
      </c>
      <c r="BC2308" s="23">
        <v>4</v>
      </c>
      <c r="BD2308" s="130">
        <f t="shared" si="750"/>
        <v>2</v>
      </c>
      <c r="BE2308" s="130">
        <f t="shared" si="751"/>
        <v>4</v>
      </c>
      <c r="BF2308" s="195">
        <f t="shared" si="752"/>
        <v>50</v>
      </c>
      <c r="BG2308" s="373">
        <f t="shared" si="754"/>
        <v>2</v>
      </c>
    </row>
    <row r="2309" spans="1:59" s="46" customFormat="1" ht="15.95" customHeight="1">
      <c r="A2309" s="176">
        <v>16</v>
      </c>
      <c r="B2309" s="31" t="s">
        <v>772</v>
      </c>
      <c r="C2309" s="32" t="s">
        <v>1258</v>
      </c>
      <c r="D2309" s="366"/>
      <c r="E2309" s="366"/>
      <c r="F2309" s="366"/>
      <c r="G2309" s="366"/>
      <c r="H2309" s="366"/>
      <c r="I2309" s="366"/>
      <c r="J2309" s="366"/>
      <c r="K2309" s="366"/>
      <c r="L2309" s="366"/>
      <c r="M2309" s="366"/>
      <c r="N2309" s="366"/>
      <c r="O2309" s="366"/>
      <c r="P2309" s="366"/>
      <c r="Q2309" s="366"/>
      <c r="R2309" s="366"/>
      <c r="S2309" s="366"/>
      <c r="T2309" s="366"/>
      <c r="U2309" s="366"/>
      <c r="V2309" s="366"/>
      <c r="W2309" s="366"/>
      <c r="X2309" s="366"/>
      <c r="Y2309" s="366"/>
      <c r="Z2309" s="366"/>
      <c r="AA2309" s="366"/>
      <c r="AB2309" s="22">
        <f t="shared" si="748"/>
        <v>0</v>
      </c>
      <c r="AC2309" s="23">
        <v>0</v>
      </c>
      <c r="AD2309" s="35"/>
      <c r="AE2309" s="35"/>
      <c r="AF2309" s="35"/>
      <c r="AG2309" s="35"/>
      <c r="AH2309" s="35">
        <v>322</v>
      </c>
      <c r="AI2309" s="35"/>
      <c r="AJ2309" s="35"/>
      <c r="AK2309" s="35"/>
      <c r="AL2309" s="35">
        <v>1366</v>
      </c>
      <c r="AM2309" s="35"/>
      <c r="AN2309" s="35"/>
      <c r="AO2309" s="35"/>
      <c r="AP2309" s="35">
        <v>1255</v>
      </c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22">
        <f t="shared" si="749"/>
        <v>2943</v>
      </c>
      <c r="BC2309" s="23">
        <v>7718</v>
      </c>
      <c r="BD2309" s="130">
        <f t="shared" si="750"/>
        <v>2943</v>
      </c>
      <c r="BE2309" s="130">
        <f t="shared" si="751"/>
        <v>7718</v>
      </c>
      <c r="BF2309" s="195">
        <f t="shared" si="752"/>
        <v>38.131640321326771</v>
      </c>
      <c r="BG2309" s="373">
        <f t="shared" si="754"/>
        <v>4775</v>
      </c>
    </row>
    <row r="2310" spans="1:59" s="46" customFormat="1" ht="15.95" customHeight="1">
      <c r="A2310" s="176">
        <v>17</v>
      </c>
      <c r="B2310" s="31" t="s">
        <v>819</v>
      </c>
      <c r="C2310" s="32" t="s">
        <v>1074</v>
      </c>
      <c r="D2310" s="366"/>
      <c r="E2310" s="366"/>
      <c r="F2310" s="366"/>
      <c r="G2310" s="366"/>
      <c r="H2310" s="366"/>
      <c r="I2310" s="366"/>
      <c r="J2310" s="366"/>
      <c r="K2310" s="366"/>
      <c r="L2310" s="366"/>
      <c r="M2310" s="366"/>
      <c r="N2310" s="366"/>
      <c r="O2310" s="366"/>
      <c r="P2310" s="366"/>
      <c r="Q2310" s="366"/>
      <c r="R2310" s="366"/>
      <c r="S2310" s="366"/>
      <c r="T2310" s="366"/>
      <c r="U2310" s="366"/>
      <c r="V2310" s="366"/>
      <c r="W2310" s="366"/>
      <c r="X2310" s="366"/>
      <c r="Y2310" s="366"/>
      <c r="Z2310" s="366"/>
      <c r="AA2310" s="366"/>
      <c r="AB2310" s="22">
        <f t="shared" si="748"/>
        <v>0</v>
      </c>
      <c r="AC2310" s="23">
        <v>0</v>
      </c>
      <c r="AD2310" s="35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22">
        <f t="shared" si="749"/>
        <v>0</v>
      </c>
      <c r="BC2310" s="23">
        <v>1</v>
      </c>
      <c r="BD2310" s="130">
        <f t="shared" si="750"/>
        <v>0</v>
      </c>
      <c r="BE2310" s="130">
        <f t="shared" si="751"/>
        <v>1</v>
      </c>
      <c r="BF2310" s="195">
        <f t="shared" si="752"/>
        <v>0</v>
      </c>
      <c r="BG2310" s="373">
        <f t="shared" si="754"/>
        <v>1</v>
      </c>
    </row>
    <row r="2311" spans="1:59" s="46" customFormat="1" ht="15.95" customHeight="1">
      <c r="A2311" s="176">
        <v>18</v>
      </c>
      <c r="B2311" s="31" t="s">
        <v>1259</v>
      </c>
      <c r="C2311" s="32" t="s">
        <v>1260</v>
      </c>
      <c r="D2311" s="366"/>
      <c r="E2311" s="366"/>
      <c r="F2311" s="366"/>
      <c r="G2311" s="366"/>
      <c r="H2311" s="366"/>
      <c r="I2311" s="366"/>
      <c r="J2311" s="366"/>
      <c r="K2311" s="366"/>
      <c r="L2311" s="366"/>
      <c r="M2311" s="366"/>
      <c r="N2311" s="366"/>
      <c r="O2311" s="366"/>
      <c r="P2311" s="366"/>
      <c r="Q2311" s="366"/>
      <c r="R2311" s="366"/>
      <c r="S2311" s="366"/>
      <c r="T2311" s="366"/>
      <c r="U2311" s="366"/>
      <c r="V2311" s="366"/>
      <c r="W2311" s="366"/>
      <c r="X2311" s="366"/>
      <c r="Y2311" s="366"/>
      <c r="Z2311" s="366"/>
      <c r="AA2311" s="366"/>
      <c r="AB2311" s="22">
        <f t="shared" si="748"/>
        <v>0</v>
      </c>
      <c r="AC2311" s="23">
        <v>0</v>
      </c>
      <c r="AD2311" s="35"/>
      <c r="AE2311" s="35"/>
      <c r="AF2311" s="35"/>
      <c r="AG2311" s="35"/>
      <c r="AH2311" s="35">
        <v>9</v>
      </c>
      <c r="AI2311" s="35"/>
      <c r="AJ2311" s="35"/>
      <c r="AK2311" s="35"/>
      <c r="AL2311" s="35">
        <v>74</v>
      </c>
      <c r="AM2311" s="35"/>
      <c r="AN2311" s="35"/>
      <c r="AO2311" s="35"/>
      <c r="AP2311" s="35">
        <v>84</v>
      </c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22">
        <f t="shared" si="749"/>
        <v>167</v>
      </c>
      <c r="BC2311" s="23">
        <v>475</v>
      </c>
      <c r="BD2311" s="130">
        <f t="shared" si="750"/>
        <v>167</v>
      </c>
      <c r="BE2311" s="130">
        <f t="shared" si="751"/>
        <v>475</v>
      </c>
      <c r="BF2311" s="195">
        <f t="shared" si="752"/>
        <v>35.157894736842103</v>
      </c>
      <c r="BG2311" s="373">
        <f t="shared" si="754"/>
        <v>308</v>
      </c>
    </row>
    <row r="2312" spans="1:59" s="46" customFormat="1" ht="15.95" customHeight="1">
      <c r="A2312" s="176">
        <v>19</v>
      </c>
      <c r="B2312" s="31" t="s">
        <v>3374</v>
      </c>
      <c r="C2312" s="32" t="s">
        <v>3189</v>
      </c>
      <c r="D2312" s="366"/>
      <c r="E2312" s="366"/>
      <c r="F2312" s="366"/>
      <c r="G2312" s="366"/>
      <c r="H2312" s="366"/>
      <c r="I2312" s="366"/>
      <c r="J2312" s="366"/>
      <c r="K2312" s="366"/>
      <c r="L2312" s="366"/>
      <c r="M2312" s="366"/>
      <c r="N2312" s="366"/>
      <c r="O2312" s="366"/>
      <c r="P2312" s="366"/>
      <c r="Q2312" s="366"/>
      <c r="R2312" s="366"/>
      <c r="S2312" s="366"/>
      <c r="T2312" s="366"/>
      <c r="U2312" s="366"/>
      <c r="V2312" s="366"/>
      <c r="W2312" s="366"/>
      <c r="X2312" s="366"/>
      <c r="Y2312" s="366"/>
      <c r="Z2312" s="366"/>
      <c r="AA2312" s="366"/>
      <c r="AB2312" s="22">
        <f t="shared" si="748"/>
        <v>0</v>
      </c>
      <c r="AC2312" s="23">
        <v>0</v>
      </c>
      <c r="AD2312" s="35"/>
      <c r="AE2312" s="35"/>
      <c r="AF2312" s="35"/>
      <c r="AG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22">
        <f t="shared" si="749"/>
        <v>0</v>
      </c>
      <c r="BC2312" s="23">
        <v>684</v>
      </c>
      <c r="BD2312" s="130">
        <f t="shared" si="750"/>
        <v>0</v>
      </c>
      <c r="BE2312" s="130">
        <f t="shared" si="751"/>
        <v>684</v>
      </c>
      <c r="BF2312" s="195">
        <f t="shared" si="752"/>
        <v>0</v>
      </c>
      <c r="BG2312" s="373">
        <f t="shared" si="754"/>
        <v>684</v>
      </c>
    </row>
    <row r="2313" spans="1:59" s="46" customFormat="1" ht="15.95" customHeight="1">
      <c r="A2313" s="176">
        <v>20</v>
      </c>
      <c r="B2313" s="31" t="s">
        <v>821</v>
      </c>
      <c r="C2313" s="32" t="s">
        <v>822</v>
      </c>
      <c r="D2313" s="231"/>
      <c r="E2313" s="231"/>
      <c r="F2313" s="231"/>
      <c r="G2313" s="231"/>
      <c r="H2313" s="231"/>
      <c r="I2313" s="231"/>
      <c r="J2313" s="231"/>
      <c r="K2313" s="231"/>
      <c r="L2313" s="231"/>
      <c r="M2313" s="231"/>
      <c r="N2313" s="231"/>
      <c r="O2313" s="231"/>
      <c r="P2313" s="231"/>
      <c r="Q2313" s="231"/>
      <c r="R2313" s="231"/>
      <c r="S2313" s="231"/>
      <c r="T2313" s="231"/>
      <c r="U2313" s="231"/>
      <c r="V2313" s="231"/>
      <c r="W2313" s="231"/>
      <c r="X2313" s="231"/>
      <c r="Y2313" s="231"/>
      <c r="Z2313" s="231"/>
      <c r="AA2313" s="231"/>
      <c r="AB2313" s="22">
        <f t="shared" si="748"/>
        <v>0</v>
      </c>
      <c r="AC2313" s="23">
        <v>0</v>
      </c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22">
        <f t="shared" si="749"/>
        <v>0</v>
      </c>
      <c r="BC2313" s="23">
        <v>6</v>
      </c>
      <c r="BD2313" s="130">
        <f t="shared" si="750"/>
        <v>0</v>
      </c>
      <c r="BE2313" s="130">
        <f t="shared" si="751"/>
        <v>6</v>
      </c>
      <c r="BF2313" s="195">
        <f t="shared" si="752"/>
        <v>0</v>
      </c>
      <c r="BG2313" s="373">
        <f t="shared" si="754"/>
        <v>6</v>
      </c>
    </row>
    <row r="2314" spans="1:59" s="46" customFormat="1" ht="15.95" customHeight="1">
      <c r="A2314" s="176">
        <v>21</v>
      </c>
      <c r="B2314" s="31" t="s">
        <v>825</v>
      </c>
      <c r="C2314" s="32" t="s">
        <v>907</v>
      </c>
      <c r="D2314" s="231"/>
      <c r="E2314" s="231"/>
      <c r="F2314" s="231"/>
      <c r="G2314" s="231"/>
      <c r="H2314" s="231"/>
      <c r="I2314" s="231"/>
      <c r="J2314" s="231"/>
      <c r="K2314" s="231"/>
      <c r="L2314" s="231"/>
      <c r="M2314" s="231"/>
      <c r="N2314" s="231"/>
      <c r="O2314" s="231"/>
      <c r="P2314" s="231"/>
      <c r="Q2314" s="231"/>
      <c r="R2314" s="231"/>
      <c r="S2314" s="231"/>
      <c r="T2314" s="231"/>
      <c r="U2314" s="231"/>
      <c r="V2314" s="231"/>
      <c r="W2314" s="231"/>
      <c r="X2314" s="231"/>
      <c r="Y2314" s="231"/>
      <c r="Z2314" s="231"/>
      <c r="AA2314" s="231"/>
      <c r="AB2314" s="22">
        <f t="shared" si="748"/>
        <v>0</v>
      </c>
      <c r="AC2314" s="23">
        <v>0</v>
      </c>
      <c r="AD2314" s="35"/>
      <c r="AE2314" s="35"/>
      <c r="AF2314" s="35"/>
      <c r="AG2314" s="35"/>
      <c r="AH2314" s="35">
        <v>1</v>
      </c>
      <c r="AI2314" s="35"/>
      <c r="AJ2314" s="35"/>
      <c r="AK2314" s="35"/>
      <c r="AL2314" s="35">
        <v>5</v>
      </c>
      <c r="AM2314" s="35"/>
      <c r="AN2314" s="35"/>
      <c r="AO2314" s="35"/>
      <c r="AP2314" s="35">
        <v>9</v>
      </c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22">
        <f t="shared" si="749"/>
        <v>15</v>
      </c>
      <c r="BC2314" s="23">
        <v>29</v>
      </c>
      <c r="BD2314" s="130">
        <f t="shared" si="750"/>
        <v>15</v>
      </c>
      <c r="BE2314" s="130">
        <f t="shared" si="751"/>
        <v>29</v>
      </c>
      <c r="BF2314" s="195">
        <f t="shared" si="752"/>
        <v>51.724137931034484</v>
      </c>
      <c r="BG2314" s="373">
        <f t="shared" si="754"/>
        <v>14</v>
      </c>
    </row>
    <row r="2315" spans="1:59" s="46" customFormat="1" ht="15.95" customHeight="1">
      <c r="A2315" s="176">
        <v>22</v>
      </c>
      <c r="B2315" s="31" t="s">
        <v>827</v>
      </c>
      <c r="C2315" s="32" t="s">
        <v>828</v>
      </c>
      <c r="D2315" s="231"/>
      <c r="E2315" s="231"/>
      <c r="F2315" s="231"/>
      <c r="G2315" s="231"/>
      <c r="H2315" s="231"/>
      <c r="I2315" s="231"/>
      <c r="J2315" s="231"/>
      <c r="K2315" s="231"/>
      <c r="L2315" s="231"/>
      <c r="M2315" s="231"/>
      <c r="N2315" s="231"/>
      <c r="O2315" s="231"/>
      <c r="P2315" s="231"/>
      <c r="Q2315" s="231"/>
      <c r="R2315" s="231"/>
      <c r="S2315" s="231"/>
      <c r="T2315" s="231"/>
      <c r="U2315" s="231"/>
      <c r="V2315" s="231"/>
      <c r="W2315" s="231"/>
      <c r="X2315" s="231"/>
      <c r="Y2315" s="231"/>
      <c r="Z2315" s="231"/>
      <c r="AA2315" s="231"/>
      <c r="AB2315" s="22">
        <f t="shared" si="748"/>
        <v>0</v>
      </c>
      <c r="AC2315" s="23">
        <v>0</v>
      </c>
      <c r="AD2315" s="35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22">
        <f t="shared" si="749"/>
        <v>0</v>
      </c>
      <c r="BC2315" s="23">
        <v>3</v>
      </c>
      <c r="BD2315" s="130">
        <f t="shared" si="750"/>
        <v>0</v>
      </c>
      <c r="BE2315" s="130">
        <f t="shared" si="751"/>
        <v>3</v>
      </c>
      <c r="BF2315" s="195">
        <f t="shared" si="752"/>
        <v>0</v>
      </c>
      <c r="BG2315" s="373">
        <f t="shared" si="754"/>
        <v>3</v>
      </c>
    </row>
    <row r="2316" spans="1:59" s="46" customFormat="1" ht="15.95" customHeight="1">
      <c r="A2316" s="176">
        <v>23</v>
      </c>
      <c r="B2316" s="31" t="s">
        <v>837</v>
      </c>
      <c r="C2316" s="32" t="s">
        <v>838</v>
      </c>
      <c r="D2316" s="231"/>
      <c r="E2316" s="231"/>
      <c r="F2316" s="231"/>
      <c r="G2316" s="231"/>
      <c r="H2316" s="231"/>
      <c r="I2316" s="231"/>
      <c r="J2316" s="231"/>
      <c r="K2316" s="231"/>
      <c r="L2316" s="231"/>
      <c r="M2316" s="231"/>
      <c r="N2316" s="231"/>
      <c r="O2316" s="231"/>
      <c r="P2316" s="231"/>
      <c r="Q2316" s="231"/>
      <c r="R2316" s="231"/>
      <c r="S2316" s="231"/>
      <c r="T2316" s="231"/>
      <c r="U2316" s="231"/>
      <c r="V2316" s="231"/>
      <c r="W2316" s="231"/>
      <c r="X2316" s="231"/>
      <c r="Y2316" s="231"/>
      <c r="Z2316" s="231"/>
      <c r="AA2316" s="231"/>
      <c r="AB2316" s="22">
        <f t="shared" si="748"/>
        <v>0</v>
      </c>
      <c r="AC2316" s="23">
        <v>0</v>
      </c>
      <c r="AD2316" s="35"/>
      <c r="AE2316" s="35"/>
      <c r="AF2316" s="35"/>
      <c r="AG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22">
        <f t="shared" si="749"/>
        <v>0</v>
      </c>
      <c r="BC2316" s="23">
        <v>2</v>
      </c>
      <c r="BD2316" s="130">
        <f t="shared" si="750"/>
        <v>0</v>
      </c>
      <c r="BE2316" s="130">
        <f t="shared" si="751"/>
        <v>2</v>
      </c>
      <c r="BF2316" s="195">
        <f t="shared" si="752"/>
        <v>0</v>
      </c>
      <c r="BG2316" s="373">
        <f t="shared" si="754"/>
        <v>2</v>
      </c>
    </row>
    <row r="2317" spans="1:59" s="46" customFormat="1" ht="15.95" customHeight="1">
      <c r="A2317" s="176">
        <v>24</v>
      </c>
      <c r="B2317" s="31" t="s">
        <v>3497</v>
      </c>
      <c r="C2317" s="32" t="s">
        <v>910</v>
      </c>
      <c r="D2317" s="231"/>
      <c r="E2317" s="231"/>
      <c r="F2317" s="231"/>
      <c r="G2317" s="231"/>
      <c r="H2317" s="231"/>
      <c r="I2317" s="231"/>
      <c r="J2317" s="231"/>
      <c r="K2317" s="231"/>
      <c r="L2317" s="231"/>
      <c r="M2317" s="231"/>
      <c r="N2317" s="231"/>
      <c r="O2317" s="231"/>
      <c r="P2317" s="231"/>
      <c r="Q2317" s="231"/>
      <c r="R2317" s="231"/>
      <c r="S2317" s="231"/>
      <c r="T2317" s="231"/>
      <c r="U2317" s="231"/>
      <c r="V2317" s="231"/>
      <c r="W2317" s="231"/>
      <c r="X2317" s="231"/>
      <c r="Y2317" s="231"/>
      <c r="Z2317" s="231"/>
      <c r="AA2317" s="231"/>
      <c r="AB2317" s="22">
        <f t="shared" si="748"/>
        <v>0</v>
      </c>
      <c r="AC2317" s="23">
        <v>0</v>
      </c>
      <c r="AD2317" s="35"/>
      <c r="AE2317" s="35"/>
      <c r="AF2317" s="35"/>
      <c r="AG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22">
        <f t="shared" si="749"/>
        <v>0</v>
      </c>
      <c r="BC2317" s="23">
        <v>1</v>
      </c>
      <c r="BD2317" s="130">
        <f t="shared" si="750"/>
        <v>0</v>
      </c>
      <c r="BE2317" s="130">
        <f t="shared" si="751"/>
        <v>1</v>
      </c>
      <c r="BF2317" s="195">
        <f t="shared" si="752"/>
        <v>0</v>
      </c>
      <c r="BG2317" s="373">
        <f t="shared" si="754"/>
        <v>1</v>
      </c>
    </row>
    <row r="2318" spans="1:59" s="46" customFormat="1" ht="15.95" customHeight="1">
      <c r="A2318" s="176">
        <v>25</v>
      </c>
      <c r="B2318" s="31" t="s">
        <v>1236</v>
      </c>
      <c r="C2318" s="32" t="s">
        <v>1237</v>
      </c>
      <c r="D2318" s="390"/>
      <c r="E2318" s="390"/>
      <c r="F2318" s="390"/>
      <c r="G2318" s="390"/>
      <c r="H2318" s="390"/>
      <c r="I2318" s="390"/>
      <c r="J2318" s="390"/>
      <c r="K2318" s="390"/>
      <c r="L2318" s="390"/>
      <c r="M2318" s="390"/>
      <c r="N2318" s="390"/>
      <c r="O2318" s="390"/>
      <c r="P2318" s="390"/>
      <c r="Q2318" s="390"/>
      <c r="R2318" s="390"/>
      <c r="S2318" s="390"/>
      <c r="T2318" s="390"/>
      <c r="U2318" s="390"/>
      <c r="V2318" s="390"/>
      <c r="W2318" s="390"/>
      <c r="X2318" s="390"/>
      <c r="Y2318" s="390"/>
      <c r="Z2318" s="390"/>
      <c r="AA2318" s="390"/>
      <c r="AB2318" s="22">
        <f t="shared" si="748"/>
        <v>0</v>
      </c>
      <c r="AC2318" s="23">
        <v>0</v>
      </c>
      <c r="AD2318" s="35"/>
      <c r="AE2318" s="35"/>
      <c r="AF2318" s="35"/>
      <c r="AG2318" s="35"/>
      <c r="AH2318" s="35">
        <v>71</v>
      </c>
      <c r="AI2318" s="35"/>
      <c r="AJ2318" s="35"/>
      <c r="AK2318" s="35"/>
      <c r="AL2318" s="35">
        <v>309</v>
      </c>
      <c r="AM2318" s="35"/>
      <c r="AN2318" s="35"/>
      <c r="AO2318" s="35"/>
      <c r="AP2318" s="35">
        <v>273</v>
      </c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22">
        <f t="shared" si="749"/>
        <v>653</v>
      </c>
      <c r="BC2318" s="23">
        <v>1784</v>
      </c>
      <c r="BD2318" s="130">
        <f t="shared" si="750"/>
        <v>653</v>
      </c>
      <c r="BE2318" s="130">
        <f t="shared" si="751"/>
        <v>1784</v>
      </c>
      <c r="BF2318" s="195">
        <f t="shared" si="752"/>
        <v>36.60313901345291</v>
      </c>
      <c r="BG2318" s="373">
        <f t="shared" si="754"/>
        <v>1131</v>
      </c>
    </row>
    <row r="2319" spans="1:59" s="46" customFormat="1" ht="15.95" customHeight="1">
      <c r="A2319" s="176">
        <v>26</v>
      </c>
      <c r="B2319" s="31" t="s">
        <v>2573</v>
      </c>
      <c r="C2319" s="32" t="s">
        <v>2574</v>
      </c>
      <c r="D2319" s="390"/>
      <c r="E2319" s="390"/>
      <c r="F2319" s="390"/>
      <c r="G2319" s="390"/>
      <c r="H2319" s="390"/>
      <c r="I2319" s="390"/>
      <c r="J2319" s="390"/>
      <c r="K2319" s="390"/>
      <c r="L2319" s="390"/>
      <c r="M2319" s="390"/>
      <c r="N2319" s="390"/>
      <c r="O2319" s="390"/>
      <c r="P2319" s="390"/>
      <c r="Q2319" s="390"/>
      <c r="R2319" s="390"/>
      <c r="S2319" s="390"/>
      <c r="T2319" s="390"/>
      <c r="U2319" s="390"/>
      <c r="V2319" s="390"/>
      <c r="W2319" s="390"/>
      <c r="X2319" s="390"/>
      <c r="Y2319" s="390"/>
      <c r="Z2319" s="390"/>
      <c r="AA2319" s="390"/>
      <c r="AB2319" s="22">
        <f t="shared" si="748"/>
        <v>0</v>
      </c>
      <c r="AC2319" s="23">
        <v>0</v>
      </c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>
        <v>1</v>
      </c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22">
        <f t="shared" si="749"/>
        <v>1</v>
      </c>
      <c r="BC2319" s="23">
        <v>2</v>
      </c>
      <c r="BD2319" s="130">
        <f t="shared" si="750"/>
        <v>1</v>
      </c>
      <c r="BE2319" s="130">
        <f t="shared" si="751"/>
        <v>2</v>
      </c>
      <c r="BF2319" s="195">
        <f t="shared" si="752"/>
        <v>50</v>
      </c>
      <c r="BG2319" s="373">
        <f t="shared" si="754"/>
        <v>1</v>
      </c>
    </row>
    <row r="2320" spans="1:59" s="46" customFormat="1" ht="15.95" customHeight="1">
      <c r="A2320" s="176">
        <v>27</v>
      </c>
      <c r="B2320" s="31" t="s">
        <v>1238</v>
      </c>
      <c r="C2320" s="32" t="s">
        <v>1239</v>
      </c>
      <c r="D2320" s="390"/>
      <c r="E2320" s="390"/>
      <c r="F2320" s="390"/>
      <c r="G2320" s="390"/>
      <c r="H2320" s="390"/>
      <c r="I2320" s="390"/>
      <c r="J2320" s="390"/>
      <c r="K2320" s="390"/>
      <c r="L2320" s="390"/>
      <c r="M2320" s="390"/>
      <c r="N2320" s="390"/>
      <c r="O2320" s="390"/>
      <c r="P2320" s="390"/>
      <c r="Q2320" s="390"/>
      <c r="R2320" s="390"/>
      <c r="S2320" s="390"/>
      <c r="T2320" s="390"/>
      <c r="U2320" s="390"/>
      <c r="V2320" s="390"/>
      <c r="W2320" s="390"/>
      <c r="X2320" s="390"/>
      <c r="Y2320" s="390"/>
      <c r="Z2320" s="390"/>
      <c r="AA2320" s="390"/>
      <c r="AB2320" s="22">
        <f t="shared" si="748"/>
        <v>0</v>
      </c>
      <c r="AC2320" s="23">
        <v>0</v>
      </c>
      <c r="AD2320" s="35"/>
      <c r="AE2320" s="35"/>
      <c r="AF2320" s="35"/>
      <c r="AG2320" s="35"/>
      <c r="AH2320" s="35">
        <v>74</v>
      </c>
      <c r="AI2320" s="35"/>
      <c r="AJ2320" s="35"/>
      <c r="AK2320" s="35"/>
      <c r="AL2320" s="35">
        <v>316</v>
      </c>
      <c r="AM2320" s="35"/>
      <c r="AN2320" s="35"/>
      <c r="AO2320" s="35"/>
      <c r="AP2320" s="35">
        <v>297</v>
      </c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22">
        <f t="shared" si="749"/>
        <v>687</v>
      </c>
      <c r="BC2320" s="23">
        <v>1774</v>
      </c>
      <c r="BD2320" s="130">
        <f t="shared" si="750"/>
        <v>687</v>
      </c>
      <c r="BE2320" s="130">
        <f t="shared" si="751"/>
        <v>1774</v>
      </c>
      <c r="BF2320" s="195">
        <f t="shared" si="752"/>
        <v>38.726042841037206</v>
      </c>
      <c r="BG2320" s="373">
        <f t="shared" si="754"/>
        <v>1087</v>
      </c>
    </row>
    <row r="2321" spans="1:61" s="46" customFormat="1" ht="21" customHeight="1">
      <c r="A2321" s="176">
        <v>28</v>
      </c>
      <c r="B2321" s="31" t="s">
        <v>1240</v>
      </c>
      <c r="C2321" s="34" t="s">
        <v>1241</v>
      </c>
      <c r="D2321" s="390"/>
      <c r="E2321" s="390"/>
      <c r="F2321" s="390"/>
      <c r="G2321" s="390"/>
      <c r="H2321" s="390"/>
      <c r="I2321" s="390"/>
      <c r="J2321" s="390"/>
      <c r="K2321" s="390"/>
      <c r="L2321" s="390"/>
      <c r="M2321" s="390"/>
      <c r="N2321" s="390"/>
      <c r="O2321" s="390"/>
      <c r="P2321" s="390"/>
      <c r="Q2321" s="390"/>
      <c r="R2321" s="390"/>
      <c r="S2321" s="390"/>
      <c r="T2321" s="390"/>
      <c r="U2321" s="390"/>
      <c r="V2321" s="390"/>
      <c r="W2321" s="390"/>
      <c r="X2321" s="390"/>
      <c r="Y2321" s="390"/>
      <c r="Z2321" s="390"/>
      <c r="AA2321" s="390"/>
      <c r="AB2321" s="22">
        <f t="shared" si="748"/>
        <v>0</v>
      </c>
      <c r="AC2321" s="23">
        <v>0</v>
      </c>
      <c r="AD2321" s="35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22">
        <f t="shared" si="749"/>
        <v>0</v>
      </c>
      <c r="BC2321" s="23">
        <v>120</v>
      </c>
      <c r="BD2321" s="130">
        <f t="shared" si="750"/>
        <v>0</v>
      </c>
      <c r="BE2321" s="130">
        <f t="shared" si="751"/>
        <v>120</v>
      </c>
      <c r="BF2321" s="195">
        <f t="shared" si="752"/>
        <v>0</v>
      </c>
      <c r="BG2321" s="373">
        <f t="shared" si="754"/>
        <v>120</v>
      </c>
    </row>
    <row r="2322" spans="1:61" s="46" customFormat="1" ht="15.95" customHeight="1">
      <c r="A2322" s="176">
        <v>29</v>
      </c>
      <c r="B2322" s="31" t="s">
        <v>1075</v>
      </c>
      <c r="C2322" s="32" t="s">
        <v>1076</v>
      </c>
      <c r="D2322" s="390"/>
      <c r="E2322" s="390"/>
      <c r="F2322" s="390"/>
      <c r="G2322" s="390"/>
      <c r="H2322" s="390"/>
      <c r="I2322" s="390"/>
      <c r="J2322" s="390"/>
      <c r="K2322" s="390"/>
      <c r="L2322" s="390"/>
      <c r="M2322" s="390"/>
      <c r="N2322" s="390"/>
      <c r="O2322" s="390"/>
      <c r="P2322" s="390"/>
      <c r="Q2322" s="390"/>
      <c r="R2322" s="390"/>
      <c r="S2322" s="390"/>
      <c r="T2322" s="390"/>
      <c r="U2322" s="390"/>
      <c r="V2322" s="390"/>
      <c r="W2322" s="390"/>
      <c r="X2322" s="390"/>
      <c r="Y2322" s="390"/>
      <c r="Z2322" s="390"/>
      <c r="AA2322" s="390"/>
      <c r="AB2322" s="22">
        <f t="shared" si="748"/>
        <v>0</v>
      </c>
      <c r="AC2322" s="23">
        <v>0</v>
      </c>
      <c r="AD2322" s="35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22">
        <f t="shared" si="749"/>
        <v>0</v>
      </c>
      <c r="BC2322" s="23">
        <v>1</v>
      </c>
      <c r="BD2322" s="130">
        <f t="shared" si="750"/>
        <v>0</v>
      </c>
      <c r="BE2322" s="130">
        <f t="shared" si="751"/>
        <v>1</v>
      </c>
      <c r="BF2322" s="195">
        <f t="shared" si="752"/>
        <v>0</v>
      </c>
      <c r="BG2322" s="373">
        <f t="shared" si="754"/>
        <v>1</v>
      </c>
    </row>
    <row r="2323" spans="1:61" s="46" customFormat="1" ht="15.95" customHeight="1">
      <c r="A2323" s="176">
        <v>30</v>
      </c>
      <c r="B2323" s="31" t="s">
        <v>959</v>
      </c>
      <c r="C2323" s="36" t="s">
        <v>960</v>
      </c>
      <c r="D2323" s="231"/>
      <c r="E2323" s="231"/>
      <c r="F2323" s="231"/>
      <c r="G2323" s="231"/>
      <c r="H2323" s="231"/>
      <c r="I2323" s="231"/>
      <c r="J2323" s="231"/>
      <c r="K2323" s="231"/>
      <c r="L2323" s="231"/>
      <c r="M2323" s="231"/>
      <c r="N2323" s="231"/>
      <c r="O2323" s="231"/>
      <c r="P2323" s="231"/>
      <c r="Q2323" s="231"/>
      <c r="R2323" s="231"/>
      <c r="S2323" s="231"/>
      <c r="T2323" s="231"/>
      <c r="U2323" s="231"/>
      <c r="V2323" s="231"/>
      <c r="W2323" s="231"/>
      <c r="X2323" s="231"/>
      <c r="Y2323" s="231"/>
      <c r="Z2323" s="231"/>
      <c r="AA2323" s="231"/>
      <c r="AB2323" s="22">
        <f t="shared" si="748"/>
        <v>0</v>
      </c>
      <c r="AC2323" s="23">
        <v>0</v>
      </c>
      <c r="AD2323" s="35"/>
      <c r="AE2323" s="35"/>
      <c r="AF2323" s="35"/>
      <c r="AG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22">
        <f t="shared" si="749"/>
        <v>0</v>
      </c>
      <c r="BC2323" s="23">
        <v>1</v>
      </c>
      <c r="BD2323" s="130">
        <f t="shared" si="750"/>
        <v>0</v>
      </c>
      <c r="BE2323" s="130">
        <f t="shared" si="751"/>
        <v>1</v>
      </c>
      <c r="BF2323" s="195">
        <f t="shared" si="752"/>
        <v>0</v>
      </c>
      <c r="BG2323" s="373">
        <f t="shared" si="754"/>
        <v>1</v>
      </c>
    </row>
    <row r="2324" spans="1:61" s="46" customFormat="1" ht="15.95" customHeight="1">
      <c r="A2324" s="176">
        <v>31</v>
      </c>
      <c r="B2324" s="31" t="s">
        <v>1088</v>
      </c>
      <c r="C2324" s="32" t="s">
        <v>2084</v>
      </c>
      <c r="D2324" s="231"/>
      <c r="E2324" s="231"/>
      <c r="F2324" s="231"/>
      <c r="G2324" s="231"/>
      <c r="H2324" s="231"/>
      <c r="I2324" s="231"/>
      <c r="J2324" s="231"/>
      <c r="K2324" s="231"/>
      <c r="L2324" s="231"/>
      <c r="M2324" s="231"/>
      <c r="N2324" s="231"/>
      <c r="O2324" s="231"/>
      <c r="P2324" s="231"/>
      <c r="Q2324" s="231"/>
      <c r="R2324" s="231"/>
      <c r="S2324" s="231"/>
      <c r="T2324" s="231"/>
      <c r="U2324" s="231"/>
      <c r="V2324" s="231"/>
      <c r="W2324" s="231"/>
      <c r="X2324" s="231"/>
      <c r="Y2324" s="231"/>
      <c r="Z2324" s="231"/>
      <c r="AA2324" s="231"/>
      <c r="AB2324" s="22">
        <f t="shared" si="748"/>
        <v>0</v>
      </c>
      <c r="AC2324" s="23">
        <v>0</v>
      </c>
      <c r="AD2324" s="35"/>
      <c r="AE2324" s="35"/>
      <c r="AF2324" s="35"/>
      <c r="AG2324" s="35"/>
      <c r="AH2324" s="35">
        <v>1</v>
      </c>
      <c r="AI2324" s="35"/>
      <c r="AJ2324" s="35"/>
      <c r="AK2324" s="35"/>
      <c r="AL2324" s="35">
        <v>32</v>
      </c>
      <c r="AM2324" s="35"/>
      <c r="AN2324" s="35"/>
      <c r="AO2324" s="35"/>
      <c r="AP2324" s="35">
        <v>9</v>
      </c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22">
        <f t="shared" si="749"/>
        <v>42</v>
      </c>
      <c r="BC2324" s="23">
        <v>12</v>
      </c>
      <c r="BD2324" s="130">
        <f t="shared" si="750"/>
        <v>42</v>
      </c>
      <c r="BE2324" s="130">
        <f t="shared" si="751"/>
        <v>12</v>
      </c>
      <c r="BF2324" s="195">
        <f t="shared" si="752"/>
        <v>350</v>
      </c>
      <c r="BG2324" s="373">
        <f t="shared" si="754"/>
        <v>-30</v>
      </c>
    </row>
    <row r="2325" spans="1:61" s="46" customFormat="1" ht="15.95" customHeight="1">
      <c r="A2325" s="176">
        <v>32</v>
      </c>
      <c r="B2325" s="31" t="s">
        <v>1018</v>
      </c>
      <c r="C2325" s="32" t="s">
        <v>1019</v>
      </c>
      <c r="D2325" s="231"/>
      <c r="E2325" s="231"/>
      <c r="F2325" s="231"/>
      <c r="G2325" s="231"/>
      <c r="H2325" s="231"/>
      <c r="I2325" s="231"/>
      <c r="J2325" s="231"/>
      <c r="K2325" s="231"/>
      <c r="L2325" s="231"/>
      <c r="M2325" s="231"/>
      <c r="N2325" s="231"/>
      <c r="O2325" s="231"/>
      <c r="P2325" s="231"/>
      <c r="Q2325" s="231"/>
      <c r="R2325" s="231"/>
      <c r="S2325" s="231"/>
      <c r="T2325" s="231"/>
      <c r="U2325" s="231"/>
      <c r="V2325" s="231"/>
      <c r="W2325" s="231"/>
      <c r="X2325" s="231"/>
      <c r="Y2325" s="231"/>
      <c r="Z2325" s="231"/>
      <c r="AA2325" s="231"/>
      <c r="AB2325" s="22">
        <f t="shared" si="748"/>
        <v>0</v>
      </c>
      <c r="AC2325" s="23">
        <v>0</v>
      </c>
      <c r="AD2325" s="35"/>
      <c r="AE2325" s="35"/>
      <c r="AF2325" s="35"/>
      <c r="AG2325" s="35"/>
      <c r="AH2325" s="35">
        <v>1</v>
      </c>
      <c r="AI2325" s="35"/>
      <c r="AJ2325" s="35"/>
      <c r="AK2325" s="35"/>
      <c r="AL2325" s="35">
        <v>3</v>
      </c>
      <c r="AM2325" s="35"/>
      <c r="AN2325" s="35"/>
      <c r="AO2325" s="35"/>
      <c r="AP2325" s="35">
        <v>2</v>
      </c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22">
        <f t="shared" si="749"/>
        <v>6</v>
      </c>
      <c r="BC2325" s="23">
        <v>30</v>
      </c>
      <c r="BD2325" s="130">
        <f t="shared" si="750"/>
        <v>6</v>
      </c>
      <c r="BE2325" s="130">
        <f t="shared" si="751"/>
        <v>30</v>
      </c>
      <c r="BF2325" s="195">
        <f t="shared" si="752"/>
        <v>20</v>
      </c>
      <c r="BG2325" s="373">
        <f t="shared" si="754"/>
        <v>24</v>
      </c>
    </row>
    <row r="2326" spans="1:61" s="46" customFormat="1" ht="15.95" customHeight="1">
      <c r="A2326" s="176">
        <v>33</v>
      </c>
      <c r="B2326" s="31" t="s">
        <v>1051</v>
      </c>
      <c r="C2326" s="392" t="s">
        <v>1263</v>
      </c>
      <c r="D2326" s="231"/>
      <c r="E2326" s="231"/>
      <c r="F2326" s="231"/>
      <c r="G2326" s="231"/>
      <c r="H2326" s="231"/>
      <c r="I2326" s="231"/>
      <c r="J2326" s="231"/>
      <c r="K2326" s="231"/>
      <c r="L2326" s="231"/>
      <c r="M2326" s="231"/>
      <c r="N2326" s="231"/>
      <c r="O2326" s="231"/>
      <c r="P2326" s="231"/>
      <c r="Q2326" s="231"/>
      <c r="R2326" s="231"/>
      <c r="S2326" s="231"/>
      <c r="T2326" s="231"/>
      <c r="U2326" s="231"/>
      <c r="V2326" s="231"/>
      <c r="W2326" s="231"/>
      <c r="X2326" s="231"/>
      <c r="Y2326" s="231"/>
      <c r="Z2326" s="231"/>
      <c r="AA2326" s="231"/>
      <c r="AB2326" s="22">
        <f t="shared" si="748"/>
        <v>0</v>
      </c>
      <c r="AC2326" s="23">
        <v>0</v>
      </c>
      <c r="AD2326" s="35"/>
      <c r="AE2326" s="35"/>
      <c r="AF2326" s="35"/>
      <c r="AG2326" s="35"/>
      <c r="AH2326" s="35"/>
      <c r="AI2326" s="35"/>
      <c r="AJ2326" s="35"/>
      <c r="AK2326" s="35"/>
      <c r="AL2326" s="35">
        <v>5</v>
      </c>
      <c r="AM2326" s="35"/>
      <c r="AN2326" s="35"/>
      <c r="AO2326" s="35"/>
      <c r="AP2326" s="35">
        <v>6</v>
      </c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22">
        <f t="shared" si="749"/>
        <v>11</v>
      </c>
      <c r="BC2326" s="23">
        <v>27</v>
      </c>
      <c r="BD2326" s="130">
        <f t="shared" si="750"/>
        <v>11</v>
      </c>
      <c r="BE2326" s="130">
        <f t="shared" si="751"/>
        <v>27</v>
      </c>
      <c r="BF2326" s="195">
        <f t="shared" si="752"/>
        <v>40.74074074074074</v>
      </c>
      <c r="BG2326" s="373">
        <f t="shared" si="754"/>
        <v>16</v>
      </c>
    </row>
    <row r="2327" spans="1:61" s="46" customFormat="1" ht="18" customHeight="1">
      <c r="A2327" s="176">
        <v>34</v>
      </c>
      <c r="B2327" s="31" t="s">
        <v>854</v>
      </c>
      <c r="C2327" s="392" t="s">
        <v>1263</v>
      </c>
      <c r="D2327" s="231"/>
      <c r="E2327" s="231"/>
      <c r="F2327" s="231"/>
      <c r="G2327" s="231"/>
      <c r="H2327" s="231"/>
      <c r="I2327" s="231"/>
      <c r="J2327" s="231"/>
      <c r="K2327" s="231"/>
      <c r="L2327" s="231"/>
      <c r="M2327" s="231"/>
      <c r="N2327" s="231"/>
      <c r="O2327" s="231"/>
      <c r="P2327" s="231"/>
      <c r="Q2327" s="231"/>
      <c r="R2327" s="231"/>
      <c r="S2327" s="231"/>
      <c r="T2327" s="231"/>
      <c r="U2327" s="231"/>
      <c r="V2327" s="231"/>
      <c r="W2327" s="231"/>
      <c r="X2327" s="231"/>
      <c r="Y2327" s="231"/>
      <c r="Z2327" s="231"/>
      <c r="AA2327" s="231"/>
      <c r="AB2327" s="22">
        <f t="shared" si="748"/>
        <v>0</v>
      </c>
      <c r="AC2327" s="23">
        <v>0</v>
      </c>
      <c r="AD2327" s="35"/>
      <c r="AE2327" s="35"/>
      <c r="AF2327" s="35"/>
      <c r="AG2327" s="35"/>
      <c r="AH2327" s="35">
        <v>78</v>
      </c>
      <c r="AI2327" s="35"/>
      <c r="AJ2327" s="35"/>
      <c r="AK2327" s="35"/>
      <c r="AL2327" s="35">
        <v>324</v>
      </c>
      <c r="AM2327" s="35"/>
      <c r="AN2327" s="35"/>
      <c r="AO2327" s="35"/>
      <c r="AP2327" s="35">
        <v>298</v>
      </c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22">
        <f t="shared" si="749"/>
        <v>700</v>
      </c>
      <c r="BC2327" s="23">
        <v>1791</v>
      </c>
      <c r="BD2327" s="130">
        <f t="shared" si="750"/>
        <v>700</v>
      </c>
      <c r="BE2327" s="130">
        <f t="shared" si="751"/>
        <v>1791</v>
      </c>
      <c r="BF2327" s="195">
        <f t="shared" si="752"/>
        <v>39.08431044109436</v>
      </c>
      <c r="BG2327" s="373">
        <f t="shared" si="754"/>
        <v>1091</v>
      </c>
    </row>
    <row r="2328" spans="1:61" s="46" customFormat="1" ht="16.5" customHeight="1">
      <c r="A2328" s="176">
        <v>35</v>
      </c>
      <c r="B2328" s="31" t="s">
        <v>856</v>
      </c>
      <c r="C2328" s="392" t="s">
        <v>1264</v>
      </c>
      <c r="D2328" s="231"/>
      <c r="E2328" s="231"/>
      <c r="F2328" s="231"/>
      <c r="G2328" s="231"/>
      <c r="H2328" s="231"/>
      <c r="I2328" s="231"/>
      <c r="J2328" s="231"/>
      <c r="K2328" s="231"/>
      <c r="L2328" s="231"/>
      <c r="M2328" s="231"/>
      <c r="N2328" s="231"/>
      <c r="O2328" s="231"/>
      <c r="P2328" s="231"/>
      <c r="Q2328" s="231"/>
      <c r="R2328" s="231"/>
      <c r="S2328" s="231"/>
      <c r="T2328" s="231"/>
      <c r="U2328" s="231"/>
      <c r="V2328" s="231"/>
      <c r="W2328" s="231"/>
      <c r="X2328" s="231"/>
      <c r="Y2328" s="231"/>
      <c r="Z2328" s="231"/>
      <c r="AA2328" s="231"/>
      <c r="AB2328" s="22">
        <f t="shared" si="748"/>
        <v>0</v>
      </c>
      <c r="AC2328" s="23">
        <v>0</v>
      </c>
      <c r="AD2328" s="35"/>
      <c r="AE2328" s="35"/>
      <c r="AF2328" s="35"/>
      <c r="AG2328" s="35"/>
      <c r="AH2328" s="35">
        <v>33</v>
      </c>
      <c r="AI2328" s="35"/>
      <c r="AJ2328" s="35"/>
      <c r="AK2328" s="35"/>
      <c r="AL2328" s="35">
        <v>206</v>
      </c>
      <c r="AM2328" s="35"/>
      <c r="AN2328" s="35"/>
      <c r="AO2328" s="35"/>
      <c r="AP2328" s="35">
        <v>258</v>
      </c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22">
        <f t="shared" si="749"/>
        <v>497</v>
      </c>
      <c r="BC2328" s="23">
        <v>784</v>
      </c>
      <c r="BD2328" s="130">
        <f t="shared" si="750"/>
        <v>497</v>
      </c>
      <c r="BE2328" s="130">
        <f t="shared" si="751"/>
        <v>784</v>
      </c>
      <c r="BF2328" s="195">
        <f t="shared" si="752"/>
        <v>63.392857142857139</v>
      </c>
      <c r="BG2328" s="373">
        <f t="shared" si="754"/>
        <v>287</v>
      </c>
    </row>
    <row r="2329" spans="1:61" s="46" customFormat="1" ht="15.95" customHeight="1">
      <c r="A2329" s="176">
        <v>36</v>
      </c>
      <c r="B2329" s="31" t="s">
        <v>858</v>
      </c>
      <c r="C2329" s="32" t="s">
        <v>859</v>
      </c>
      <c r="D2329" s="231"/>
      <c r="E2329" s="231"/>
      <c r="F2329" s="231"/>
      <c r="G2329" s="231"/>
      <c r="H2329" s="231"/>
      <c r="I2329" s="231"/>
      <c r="J2329" s="231"/>
      <c r="K2329" s="231"/>
      <c r="L2329" s="231"/>
      <c r="M2329" s="231"/>
      <c r="N2329" s="231"/>
      <c r="O2329" s="231"/>
      <c r="P2329" s="231"/>
      <c r="Q2329" s="231"/>
      <c r="R2329" s="231"/>
      <c r="S2329" s="231"/>
      <c r="T2329" s="231"/>
      <c r="U2329" s="231"/>
      <c r="V2329" s="231"/>
      <c r="W2329" s="231"/>
      <c r="X2329" s="231"/>
      <c r="Y2329" s="231"/>
      <c r="Z2329" s="231"/>
      <c r="AA2329" s="231"/>
      <c r="AB2329" s="22">
        <f t="shared" si="748"/>
        <v>0</v>
      </c>
      <c r="AC2329" s="23">
        <v>0</v>
      </c>
      <c r="AD2329" s="35"/>
      <c r="AE2329" s="35"/>
      <c r="AF2329" s="35"/>
      <c r="AG2329" s="35"/>
      <c r="AH2329" s="35">
        <v>5</v>
      </c>
      <c r="AI2329" s="35"/>
      <c r="AJ2329" s="35"/>
      <c r="AK2329" s="35"/>
      <c r="AL2329" s="35">
        <v>42</v>
      </c>
      <c r="AM2329" s="35"/>
      <c r="AN2329" s="35"/>
      <c r="AO2329" s="35"/>
      <c r="AP2329" s="35">
        <v>71</v>
      </c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22">
        <f t="shared" si="749"/>
        <v>118</v>
      </c>
      <c r="BC2329" s="23">
        <v>173</v>
      </c>
      <c r="BD2329" s="130">
        <f t="shared" si="750"/>
        <v>118</v>
      </c>
      <c r="BE2329" s="130">
        <f t="shared" si="751"/>
        <v>173</v>
      </c>
      <c r="BF2329" s="195">
        <f t="shared" si="752"/>
        <v>68.20809248554913</v>
      </c>
      <c r="BG2329" s="373">
        <f t="shared" si="754"/>
        <v>55</v>
      </c>
    </row>
    <row r="2330" spans="1:61" s="46" customFormat="1" ht="21.75" customHeight="1">
      <c r="A2330" s="176">
        <v>37</v>
      </c>
      <c r="B2330" s="31" t="s">
        <v>860</v>
      </c>
      <c r="C2330" s="49" t="s">
        <v>2509</v>
      </c>
      <c r="D2330" s="231"/>
      <c r="E2330" s="231"/>
      <c r="F2330" s="231"/>
      <c r="G2330" s="231"/>
      <c r="H2330" s="231"/>
      <c r="I2330" s="231"/>
      <c r="J2330" s="231"/>
      <c r="K2330" s="231"/>
      <c r="L2330" s="231"/>
      <c r="M2330" s="231"/>
      <c r="N2330" s="231"/>
      <c r="O2330" s="231"/>
      <c r="P2330" s="231"/>
      <c r="Q2330" s="231"/>
      <c r="R2330" s="231"/>
      <c r="S2330" s="231"/>
      <c r="T2330" s="231"/>
      <c r="U2330" s="231"/>
      <c r="V2330" s="231"/>
      <c r="W2330" s="231"/>
      <c r="X2330" s="231"/>
      <c r="Y2330" s="231"/>
      <c r="Z2330" s="231"/>
      <c r="AA2330" s="231"/>
      <c r="AB2330" s="22">
        <f t="shared" si="748"/>
        <v>0</v>
      </c>
      <c r="AC2330" s="23">
        <v>0</v>
      </c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>
        <v>12</v>
      </c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22">
        <f t="shared" si="749"/>
        <v>12</v>
      </c>
      <c r="BC2330" s="23">
        <v>35</v>
      </c>
      <c r="BD2330" s="130">
        <f t="shared" si="750"/>
        <v>12</v>
      </c>
      <c r="BE2330" s="130">
        <f t="shared" si="751"/>
        <v>35</v>
      </c>
      <c r="BF2330" s="195">
        <f t="shared" si="752"/>
        <v>34.285714285714285</v>
      </c>
      <c r="BG2330" s="373">
        <f t="shared" si="754"/>
        <v>23</v>
      </c>
    </row>
    <row r="2331" spans="1:61" s="46" customFormat="1" ht="21.75" customHeight="1">
      <c r="A2331" s="176">
        <v>38</v>
      </c>
      <c r="B2331" s="31" t="s">
        <v>862</v>
      </c>
      <c r="C2331" s="49" t="s">
        <v>3321</v>
      </c>
      <c r="D2331" s="231"/>
      <c r="E2331" s="231"/>
      <c r="F2331" s="231"/>
      <c r="G2331" s="231"/>
      <c r="H2331" s="231"/>
      <c r="I2331" s="231"/>
      <c r="J2331" s="231"/>
      <c r="K2331" s="231"/>
      <c r="L2331" s="231"/>
      <c r="M2331" s="231"/>
      <c r="N2331" s="231"/>
      <c r="O2331" s="231"/>
      <c r="P2331" s="231"/>
      <c r="Q2331" s="231"/>
      <c r="R2331" s="231"/>
      <c r="S2331" s="231"/>
      <c r="T2331" s="231"/>
      <c r="U2331" s="231"/>
      <c r="V2331" s="231"/>
      <c r="W2331" s="231"/>
      <c r="X2331" s="231"/>
      <c r="Y2331" s="231"/>
      <c r="Z2331" s="231"/>
      <c r="AA2331" s="231"/>
      <c r="AB2331" s="22">
        <f t="shared" si="748"/>
        <v>0</v>
      </c>
      <c r="AC2331" s="23">
        <v>0</v>
      </c>
      <c r="AD2331" s="35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22">
        <f t="shared" si="749"/>
        <v>0</v>
      </c>
      <c r="BC2331" s="23">
        <v>1</v>
      </c>
      <c r="BD2331" s="130">
        <f t="shared" si="750"/>
        <v>0</v>
      </c>
      <c r="BE2331" s="130">
        <f t="shared" si="751"/>
        <v>1</v>
      </c>
      <c r="BF2331" s="195">
        <f t="shared" si="752"/>
        <v>0</v>
      </c>
      <c r="BG2331" s="373">
        <f t="shared" si="754"/>
        <v>1</v>
      </c>
    </row>
    <row r="2332" spans="1:61" s="46" customFormat="1" ht="21.75" customHeight="1">
      <c r="A2332" s="176">
        <v>39</v>
      </c>
      <c r="B2332" s="31" t="s">
        <v>1034</v>
      </c>
      <c r="C2332" s="49" t="s">
        <v>1660</v>
      </c>
      <c r="D2332" s="231"/>
      <c r="E2332" s="231"/>
      <c r="F2332" s="231"/>
      <c r="G2332" s="231"/>
      <c r="H2332" s="231"/>
      <c r="I2332" s="231"/>
      <c r="J2332" s="231"/>
      <c r="K2332" s="231"/>
      <c r="L2332" s="231"/>
      <c r="M2332" s="231"/>
      <c r="N2332" s="231"/>
      <c r="O2332" s="231"/>
      <c r="P2332" s="231"/>
      <c r="Q2332" s="231"/>
      <c r="R2332" s="231"/>
      <c r="S2332" s="231"/>
      <c r="T2332" s="231"/>
      <c r="U2332" s="231"/>
      <c r="V2332" s="231"/>
      <c r="W2332" s="231"/>
      <c r="X2332" s="231"/>
      <c r="Y2332" s="231"/>
      <c r="Z2332" s="231"/>
      <c r="AA2332" s="231"/>
      <c r="AB2332" s="22">
        <f t="shared" si="748"/>
        <v>0</v>
      </c>
      <c r="AC2332" s="23">
        <v>0</v>
      </c>
      <c r="AD2332" s="35"/>
      <c r="AE2332" s="35"/>
      <c r="AF2332" s="35"/>
      <c r="AG2332" s="35"/>
      <c r="AH2332" s="35"/>
      <c r="AI2332" s="35"/>
      <c r="AJ2332" s="35"/>
      <c r="AK2332" s="35"/>
      <c r="AL2332" s="35">
        <v>12</v>
      </c>
      <c r="AM2332" s="35"/>
      <c r="AN2332" s="35"/>
      <c r="AO2332" s="35"/>
      <c r="AP2332" s="35">
        <v>1</v>
      </c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22">
        <f t="shared" si="749"/>
        <v>13</v>
      </c>
      <c r="BC2332" s="23">
        <v>21</v>
      </c>
      <c r="BD2332" s="130">
        <f t="shared" si="750"/>
        <v>13</v>
      </c>
      <c r="BE2332" s="130">
        <f t="shared" si="751"/>
        <v>21</v>
      </c>
      <c r="BF2332" s="195">
        <f t="shared" si="752"/>
        <v>61.904761904761905</v>
      </c>
      <c r="BG2332" s="373">
        <f t="shared" si="754"/>
        <v>8</v>
      </c>
    </row>
    <row r="2333" spans="1:61" s="46" customFormat="1" ht="15.95" customHeight="1">
      <c r="A2333" s="176">
        <v>40</v>
      </c>
      <c r="B2333" s="31" t="s">
        <v>2421</v>
      </c>
      <c r="C2333" s="32" t="s">
        <v>3498</v>
      </c>
      <c r="D2333" s="231"/>
      <c r="E2333" s="231"/>
      <c r="F2333" s="231"/>
      <c r="G2333" s="231"/>
      <c r="H2333" s="231"/>
      <c r="I2333" s="231"/>
      <c r="J2333" s="231"/>
      <c r="K2333" s="231"/>
      <c r="L2333" s="231"/>
      <c r="M2333" s="231"/>
      <c r="N2333" s="231"/>
      <c r="O2333" s="231"/>
      <c r="P2333" s="231"/>
      <c r="Q2333" s="231"/>
      <c r="R2333" s="231"/>
      <c r="S2333" s="231"/>
      <c r="T2333" s="231"/>
      <c r="U2333" s="231"/>
      <c r="V2333" s="231"/>
      <c r="W2333" s="231"/>
      <c r="X2333" s="231"/>
      <c r="Y2333" s="231"/>
      <c r="Z2333" s="231"/>
      <c r="AA2333" s="231"/>
      <c r="AB2333" s="22">
        <f t="shared" si="748"/>
        <v>0</v>
      </c>
      <c r="AC2333" s="23">
        <v>0</v>
      </c>
      <c r="AD2333" s="35"/>
      <c r="AE2333" s="35"/>
      <c r="AF2333" s="35"/>
      <c r="AG2333" s="35"/>
      <c r="AH2333" s="35">
        <v>1</v>
      </c>
      <c r="AI2333" s="35"/>
      <c r="AJ2333" s="35"/>
      <c r="AK2333" s="35"/>
      <c r="AL2333" s="35"/>
      <c r="AM2333" s="35"/>
      <c r="AN2333" s="35"/>
      <c r="AO2333" s="35"/>
      <c r="AP2333" s="35">
        <v>1</v>
      </c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22">
        <f t="shared" si="749"/>
        <v>2</v>
      </c>
      <c r="BC2333" s="23">
        <v>1</v>
      </c>
      <c r="BD2333" s="130">
        <f t="shared" si="750"/>
        <v>2</v>
      </c>
      <c r="BE2333" s="130">
        <f t="shared" si="751"/>
        <v>1</v>
      </c>
      <c r="BF2333" s="195">
        <f t="shared" si="752"/>
        <v>200</v>
      </c>
      <c r="BG2333" s="373">
        <f t="shared" si="754"/>
        <v>-1</v>
      </c>
    </row>
    <row r="2334" spans="1:61" s="46" customFormat="1" ht="15.95" customHeight="1">
      <c r="A2334" s="176">
        <v>41</v>
      </c>
      <c r="B2334" s="31" t="s">
        <v>977</v>
      </c>
      <c r="C2334" s="392" t="s">
        <v>2213</v>
      </c>
      <c r="D2334" s="231"/>
      <c r="E2334" s="231"/>
      <c r="F2334" s="231"/>
      <c r="G2334" s="231"/>
      <c r="H2334" s="231"/>
      <c r="I2334" s="231"/>
      <c r="J2334" s="231"/>
      <c r="K2334" s="231"/>
      <c r="L2334" s="231"/>
      <c r="M2334" s="231"/>
      <c r="N2334" s="231"/>
      <c r="O2334" s="231"/>
      <c r="P2334" s="231"/>
      <c r="Q2334" s="231"/>
      <c r="R2334" s="231"/>
      <c r="S2334" s="231"/>
      <c r="T2334" s="231"/>
      <c r="U2334" s="231"/>
      <c r="V2334" s="231"/>
      <c r="W2334" s="231"/>
      <c r="X2334" s="231"/>
      <c r="Y2334" s="231"/>
      <c r="Z2334" s="231"/>
      <c r="AA2334" s="231"/>
      <c r="AB2334" s="22">
        <f t="shared" si="748"/>
        <v>0</v>
      </c>
      <c r="AC2334" s="23">
        <v>0</v>
      </c>
      <c r="AD2334" s="35"/>
      <c r="AE2334" s="35"/>
      <c r="AF2334" s="35"/>
      <c r="AG2334" s="35"/>
      <c r="AH2334" s="35">
        <v>83</v>
      </c>
      <c r="AI2334" s="35"/>
      <c r="AJ2334" s="35"/>
      <c r="AK2334" s="35"/>
      <c r="AL2334" s="35">
        <v>42</v>
      </c>
      <c r="AM2334" s="35"/>
      <c r="AN2334" s="35"/>
      <c r="AO2334" s="35"/>
      <c r="AP2334" s="35">
        <v>269</v>
      </c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22">
        <f t="shared" si="749"/>
        <v>394</v>
      </c>
      <c r="BC2334" s="23">
        <v>1882</v>
      </c>
      <c r="BD2334" s="130">
        <f t="shared" si="750"/>
        <v>394</v>
      </c>
      <c r="BE2334" s="130">
        <f t="shared" si="751"/>
        <v>1882</v>
      </c>
      <c r="BF2334" s="195">
        <f t="shared" si="752"/>
        <v>20.935175345377257</v>
      </c>
      <c r="BG2334" s="373">
        <f t="shared" si="754"/>
        <v>1488</v>
      </c>
    </row>
    <row r="2335" spans="1:61" s="46" customFormat="1" ht="15.95" customHeight="1">
      <c r="A2335" s="176">
        <v>42</v>
      </c>
      <c r="B2335" s="31" t="s">
        <v>3047</v>
      </c>
      <c r="C2335" s="32" t="s">
        <v>3499</v>
      </c>
      <c r="D2335" s="231"/>
      <c r="E2335" s="231"/>
      <c r="F2335" s="231"/>
      <c r="G2335" s="231"/>
      <c r="H2335" s="231"/>
      <c r="I2335" s="231"/>
      <c r="J2335" s="231"/>
      <c r="K2335" s="231"/>
      <c r="L2335" s="231"/>
      <c r="M2335" s="231"/>
      <c r="N2335" s="231"/>
      <c r="O2335" s="231"/>
      <c r="P2335" s="231"/>
      <c r="Q2335" s="231"/>
      <c r="R2335" s="231"/>
      <c r="S2335" s="231"/>
      <c r="T2335" s="231"/>
      <c r="U2335" s="231"/>
      <c r="V2335" s="231"/>
      <c r="W2335" s="231"/>
      <c r="X2335" s="231"/>
      <c r="Y2335" s="231"/>
      <c r="Z2335" s="231"/>
      <c r="AA2335" s="231"/>
      <c r="AB2335" s="22">
        <f t="shared" si="748"/>
        <v>0</v>
      </c>
      <c r="AC2335" s="23">
        <v>3</v>
      </c>
      <c r="AD2335" s="35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22">
        <f t="shared" si="749"/>
        <v>0</v>
      </c>
      <c r="BC2335" s="23">
        <v>0</v>
      </c>
      <c r="BD2335" s="130">
        <f t="shared" si="750"/>
        <v>0</v>
      </c>
      <c r="BE2335" s="130">
        <f t="shared" si="751"/>
        <v>3</v>
      </c>
      <c r="BF2335" s="195">
        <f t="shared" si="752"/>
        <v>0</v>
      </c>
      <c r="BG2335" s="373">
        <f t="shared" si="754"/>
        <v>3</v>
      </c>
    </row>
    <row r="2336" spans="1:61" s="46" customFormat="1" ht="15.95" customHeight="1">
      <c r="A2336" s="417">
        <v>43</v>
      </c>
      <c r="B2336" s="418" t="s">
        <v>3070</v>
      </c>
      <c r="C2336" s="419" t="s">
        <v>904</v>
      </c>
      <c r="D2336" s="231"/>
      <c r="E2336" s="231"/>
      <c r="F2336" s="231"/>
      <c r="G2336" s="231"/>
      <c r="H2336" s="231"/>
      <c r="I2336" s="231"/>
      <c r="J2336" s="231"/>
      <c r="K2336" s="231">
        <v>2</v>
      </c>
      <c r="L2336" s="231"/>
      <c r="M2336" s="231"/>
      <c r="N2336" s="231"/>
      <c r="O2336" s="231"/>
      <c r="P2336" s="231">
        <f>1+5</f>
        <v>6</v>
      </c>
      <c r="Q2336" s="231"/>
      <c r="R2336" s="231"/>
      <c r="S2336" s="231"/>
      <c r="T2336" s="231"/>
      <c r="U2336" s="231"/>
      <c r="V2336" s="231"/>
      <c r="W2336" s="231"/>
      <c r="X2336" s="231"/>
      <c r="Y2336" s="231"/>
      <c r="Z2336" s="231"/>
      <c r="AA2336" s="231"/>
      <c r="AB2336" s="22">
        <f t="shared" si="748"/>
        <v>8</v>
      </c>
      <c r="AC2336" s="23">
        <f>20+1</f>
        <v>21</v>
      </c>
      <c r="AD2336" s="35"/>
      <c r="AE2336" s="35"/>
      <c r="AF2336" s="35"/>
      <c r="AG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22">
        <f t="shared" si="749"/>
        <v>0</v>
      </c>
      <c r="BC2336" s="23">
        <v>0</v>
      </c>
      <c r="BD2336" s="130">
        <f t="shared" si="750"/>
        <v>8</v>
      </c>
      <c r="BE2336" s="130">
        <f t="shared" si="751"/>
        <v>21</v>
      </c>
      <c r="BF2336" s="195">
        <f t="shared" si="752"/>
        <v>38.095238095238095</v>
      </c>
      <c r="BG2336" s="373">
        <f t="shared" si="754"/>
        <v>13</v>
      </c>
      <c r="BH2336" s="421" t="s">
        <v>3675</v>
      </c>
      <c r="BI2336" s="420"/>
    </row>
    <row r="2337" spans="1:61" s="46" customFormat="1" ht="15.95" customHeight="1">
      <c r="A2337" s="176">
        <v>44</v>
      </c>
      <c r="B2337" s="31" t="s">
        <v>3238</v>
      </c>
      <c r="C2337" s="32" t="s">
        <v>3189</v>
      </c>
      <c r="D2337" s="231"/>
      <c r="E2337" s="231"/>
      <c r="F2337" s="231"/>
      <c r="G2337" s="231"/>
      <c r="H2337" s="231"/>
      <c r="I2337" s="231"/>
      <c r="J2337" s="231"/>
      <c r="K2337" s="231"/>
      <c r="L2337" s="231"/>
      <c r="M2337" s="231"/>
      <c r="N2337" s="231"/>
      <c r="O2337" s="231"/>
      <c r="P2337" s="231"/>
      <c r="Q2337" s="231"/>
      <c r="R2337" s="231"/>
      <c r="S2337" s="231"/>
      <c r="T2337" s="231"/>
      <c r="U2337" s="231"/>
      <c r="V2337" s="231"/>
      <c r="W2337" s="231"/>
      <c r="X2337" s="231"/>
      <c r="Y2337" s="231"/>
      <c r="Z2337" s="231"/>
      <c r="AA2337" s="231"/>
      <c r="AB2337" s="22">
        <f t="shared" si="748"/>
        <v>0</v>
      </c>
      <c r="AC2337" s="23">
        <f>1582+1298</f>
        <v>2880</v>
      </c>
      <c r="AD2337" s="35"/>
      <c r="AE2337" s="35"/>
      <c r="AF2337" s="35"/>
      <c r="AG2337" s="35"/>
      <c r="AH2337" s="35">
        <v>322</v>
      </c>
      <c r="AI2337" s="35"/>
      <c r="AJ2337" s="35"/>
      <c r="AK2337" s="35"/>
      <c r="AL2337" s="35">
        <v>1366</v>
      </c>
      <c r="AM2337" s="35"/>
      <c r="AN2337" s="35"/>
      <c r="AO2337" s="35"/>
      <c r="AP2337" s="35">
        <v>1258</v>
      </c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22">
        <f t="shared" si="749"/>
        <v>2946</v>
      </c>
      <c r="BC2337" s="23">
        <v>0</v>
      </c>
      <c r="BD2337" s="130">
        <f t="shared" si="750"/>
        <v>2946</v>
      </c>
      <c r="BE2337" s="130">
        <f t="shared" si="751"/>
        <v>2880</v>
      </c>
      <c r="BF2337" s="195">
        <f t="shared" si="752"/>
        <v>102.29166666666667</v>
      </c>
      <c r="BG2337" s="373">
        <f t="shared" si="754"/>
        <v>-66</v>
      </c>
    </row>
    <row r="2338" spans="1:61" s="46" customFormat="1" ht="15.95" customHeight="1">
      <c r="A2338" s="636" t="s">
        <v>1265</v>
      </c>
      <c r="B2338" s="637"/>
      <c r="C2338" s="637"/>
      <c r="D2338" s="98">
        <f t="shared" ref="D2338:AI2338" si="755">SUM(D2339:D2380)</f>
        <v>0</v>
      </c>
      <c r="E2338" s="98">
        <f t="shared" si="755"/>
        <v>0</v>
      </c>
      <c r="F2338" s="98">
        <f t="shared" si="755"/>
        <v>0</v>
      </c>
      <c r="G2338" s="98">
        <f t="shared" si="755"/>
        <v>0</v>
      </c>
      <c r="H2338" s="98">
        <f t="shared" si="755"/>
        <v>392</v>
      </c>
      <c r="I2338" s="98">
        <f t="shared" si="755"/>
        <v>0</v>
      </c>
      <c r="J2338" s="98">
        <f t="shared" si="755"/>
        <v>0</v>
      </c>
      <c r="K2338" s="98">
        <f t="shared" si="755"/>
        <v>430</v>
      </c>
      <c r="L2338" s="98">
        <f t="shared" si="755"/>
        <v>1731</v>
      </c>
      <c r="M2338" s="98">
        <f t="shared" si="755"/>
        <v>0</v>
      </c>
      <c r="N2338" s="98">
        <f t="shared" si="755"/>
        <v>0</v>
      </c>
      <c r="O2338" s="98">
        <f t="shared" si="755"/>
        <v>1110</v>
      </c>
      <c r="P2338" s="98">
        <f t="shared" si="755"/>
        <v>1948</v>
      </c>
      <c r="Q2338" s="98">
        <f t="shared" si="755"/>
        <v>0</v>
      </c>
      <c r="R2338" s="98">
        <f t="shared" si="755"/>
        <v>0</v>
      </c>
      <c r="S2338" s="98">
        <f t="shared" si="755"/>
        <v>1211</v>
      </c>
      <c r="T2338" s="98">
        <f t="shared" si="755"/>
        <v>0</v>
      </c>
      <c r="U2338" s="98">
        <f t="shared" si="755"/>
        <v>0</v>
      </c>
      <c r="V2338" s="98">
        <f t="shared" si="755"/>
        <v>0</v>
      </c>
      <c r="W2338" s="98">
        <f t="shared" si="755"/>
        <v>0</v>
      </c>
      <c r="X2338" s="98">
        <f t="shared" si="755"/>
        <v>0</v>
      </c>
      <c r="Y2338" s="98">
        <f t="shared" si="755"/>
        <v>0</v>
      </c>
      <c r="Z2338" s="98">
        <f t="shared" si="755"/>
        <v>0</v>
      </c>
      <c r="AA2338" s="98">
        <f t="shared" si="755"/>
        <v>0</v>
      </c>
      <c r="AB2338" s="98">
        <f t="shared" si="755"/>
        <v>6822</v>
      </c>
      <c r="AC2338" s="161">
        <f t="shared" si="755"/>
        <v>13369</v>
      </c>
      <c r="AD2338" s="130">
        <f t="shared" si="755"/>
        <v>0</v>
      </c>
      <c r="AE2338" s="130">
        <f t="shared" si="755"/>
        <v>0</v>
      </c>
      <c r="AF2338" s="130">
        <f t="shared" si="755"/>
        <v>0</v>
      </c>
      <c r="AG2338" s="130">
        <f t="shared" si="755"/>
        <v>0</v>
      </c>
      <c r="AH2338" s="130">
        <f t="shared" si="755"/>
        <v>2231</v>
      </c>
      <c r="AI2338" s="130">
        <f t="shared" si="755"/>
        <v>0</v>
      </c>
      <c r="AJ2338" s="130">
        <f t="shared" ref="AJ2338:BC2338" si="756">SUM(AJ2339:AJ2380)</f>
        <v>0</v>
      </c>
      <c r="AK2338" s="130">
        <f t="shared" si="756"/>
        <v>0</v>
      </c>
      <c r="AL2338" s="130">
        <f t="shared" si="756"/>
        <v>6277</v>
      </c>
      <c r="AM2338" s="130">
        <f t="shared" si="756"/>
        <v>0</v>
      </c>
      <c r="AN2338" s="130">
        <f t="shared" si="756"/>
        <v>0</v>
      </c>
      <c r="AO2338" s="130">
        <f t="shared" si="756"/>
        <v>0</v>
      </c>
      <c r="AP2338" s="130">
        <f t="shared" si="756"/>
        <v>7146</v>
      </c>
      <c r="AQ2338" s="130">
        <f t="shared" si="756"/>
        <v>0</v>
      </c>
      <c r="AR2338" s="130">
        <f t="shared" si="756"/>
        <v>0</v>
      </c>
      <c r="AS2338" s="130">
        <f t="shared" si="756"/>
        <v>0</v>
      </c>
      <c r="AT2338" s="130">
        <f t="shared" si="756"/>
        <v>0</v>
      </c>
      <c r="AU2338" s="130">
        <f t="shared" si="756"/>
        <v>0</v>
      </c>
      <c r="AV2338" s="130">
        <f t="shared" si="756"/>
        <v>0</v>
      </c>
      <c r="AW2338" s="130">
        <f t="shared" si="756"/>
        <v>0</v>
      </c>
      <c r="AX2338" s="130">
        <f t="shared" si="756"/>
        <v>0</v>
      </c>
      <c r="AY2338" s="130">
        <f t="shared" si="756"/>
        <v>0</v>
      </c>
      <c r="AZ2338" s="130">
        <f t="shared" si="756"/>
        <v>0</v>
      </c>
      <c r="BA2338" s="130">
        <f t="shared" si="756"/>
        <v>0</v>
      </c>
      <c r="BB2338" s="130">
        <f t="shared" si="756"/>
        <v>15654</v>
      </c>
      <c r="BC2338" s="103">
        <f t="shared" si="756"/>
        <v>298</v>
      </c>
      <c r="BD2338" s="130">
        <f t="shared" ref="BD2338" si="757">AB2338+BB2338</f>
        <v>22476</v>
      </c>
      <c r="BE2338" s="130">
        <f t="shared" ref="BE2338" si="758">AC2338+BC2338</f>
        <v>13667</v>
      </c>
      <c r="BF2338" s="195">
        <f t="shared" ref="BF2338:BF2381" si="759">BD2338/BE2338*100</f>
        <v>164.45452549937806</v>
      </c>
      <c r="BG2338" s="374">
        <f t="shared" ref="BG2338:BG2381" si="760">BE2338-BD2338</f>
        <v>-8809</v>
      </c>
    </row>
    <row r="2339" spans="1:61" s="46" customFormat="1" ht="21" customHeight="1">
      <c r="A2339" s="417">
        <v>1</v>
      </c>
      <c r="B2339" s="418" t="s">
        <v>1266</v>
      </c>
      <c r="C2339" s="419" t="s">
        <v>1267</v>
      </c>
      <c r="D2339" s="231"/>
      <c r="E2339" s="231"/>
      <c r="F2339" s="231"/>
      <c r="G2339" s="231"/>
      <c r="H2339" s="231"/>
      <c r="I2339" s="231"/>
      <c r="J2339" s="231"/>
      <c r="K2339" s="231">
        <f>5+156</f>
        <v>161</v>
      </c>
      <c r="L2339" s="231"/>
      <c r="M2339" s="231"/>
      <c r="N2339" s="231"/>
      <c r="O2339" s="231">
        <f>356+25</f>
        <v>381</v>
      </c>
      <c r="P2339" s="231"/>
      <c r="Q2339" s="231"/>
      <c r="R2339" s="231"/>
      <c r="S2339" s="231">
        <f>321+35</f>
        <v>356</v>
      </c>
      <c r="T2339" s="231"/>
      <c r="U2339" s="231"/>
      <c r="V2339" s="231"/>
      <c r="W2339" s="231"/>
      <c r="X2339" s="231"/>
      <c r="Y2339" s="231"/>
      <c r="Z2339" s="231"/>
      <c r="AA2339" s="231"/>
      <c r="AB2339" s="22">
        <f t="shared" ref="AB2339:AB2380" si="761">SUM(D2339:AA2339)</f>
        <v>898</v>
      </c>
      <c r="AC2339" s="23">
        <v>92</v>
      </c>
      <c r="AD2339" s="35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22">
        <f t="shared" ref="BB2339:BB2380" si="762">SUM(AD2339:BA2339)</f>
        <v>0</v>
      </c>
      <c r="BC2339" s="23">
        <v>0</v>
      </c>
      <c r="BD2339" s="130">
        <f t="shared" ref="BD2339:BD2380" si="763">AB2339+BB2339</f>
        <v>898</v>
      </c>
      <c r="BE2339" s="130">
        <f t="shared" ref="BE2339:BE2380" si="764">AC2339+BC2339</f>
        <v>92</v>
      </c>
      <c r="BF2339" s="195">
        <f t="shared" ref="BF2339:BF2380" si="765">BD2339/BE2339*100</f>
        <v>976.08695652173901</v>
      </c>
      <c r="BG2339" s="373">
        <f>BE2339-BD2339</f>
        <v>-806</v>
      </c>
      <c r="BH2339" s="426" t="s">
        <v>3675</v>
      </c>
      <c r="BI2339" s="421"/>
    </row>
    <row r="2340" spans="1:61" s="46" customFormat="1" ht="21" customHeight="1">
      <c r="A2340" s="417">
        <v>2</v>
      </c>
      <c r="B2340" s="418" t="s">
        <v>2218</v>
      </c>
      <c r="C2340" s="419" t="s">
        <v>3500</v>
      </c>
      <c r="D2340" s="390"/>
      <c r="E2340" s="390"/>
      <c r="F2340" s="390"/>
      <c r="G2340" s="390"/>
      <c r="H2340" s="390"/>
      <c r="I2340" s="390"/>
      <c r="J2340" s="390"/>
      <c r="K2340" s="390">
        <v>11</v>
      </c>
      <c r="L2340" s="390"/>
      <c r="M2340" s="390"/>
      <c r="N2340" s="390"/>
      <c r="O2340" s="390">
        <v>102</v>
      </c>
      <c r="P2340" s="390"/>
      <c r="Q2340" s="390"/>
      <c r="R2340" s="390"/>
      <c r="S2340" s="390">
        <v>246</v>
      </c>
      <c r="T2340" s="390"/>
      <c r="U2340" s="390"/>
      <c r="V2340" s="390"/>
      <c r="W2340" s="390"/>
      <c r="X2340" s="390"/>
      <c r="Y2340" s="390"/>
      <c r="Z2340" s="390"/>
      <c r="AA2340" s="390"/>
      <c r="AB2340" s="22">
        <f t="shared" si="761"/>
        <v>359</v>
      </c>
      <c r="AC2340" s="23">
        <v>40</v>
      </c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22">
        <f t="shared" si="762"/>
        <v>0</v>
      </c>
      <c r="BC2340" s="23">
        <v>0</v>
      </c>
      <c r="BD2340" s="130">
        <f t="shared" si="763"/>
        <v>359</v>
      </c>
      <c r="BE2340" s="130">
        <f t="shared" si="764"/>
        <v>40</v>
      </c>
      <c r="BF2340" s="195">
        <f t="shared" si="765"/>
        <v>897.5</v>
      </c>
      <c r="BG2340" s="373">
        <f>BE2340-BD2340</f>
        <v>-319</v>
      </c>
      <c r="BH2340" s="426" t="s">
        <v>3675</v>
      </c>
      <c r="BI2340" s="421"/>
    </row>
    <row r="2341" spans="1:61" s="46" customFormat="1" ht="21" customHeight="1">
      <c r="A2341" s="417">
        <v>3</v>
      </c>
      <c r="B2341" s="418" t="s">
        <v>2246</v>
      </c>
      <c r="C2341" s="419" t="s">
        <v>2247</v>
      </c>
      <c r="D2341" s="390"/>
      <c r="E2341" s="390"/>
      <c r="F2341" s="390"/>
      <c r="G2341" s="390"/>
      <c r="H2341" s="390"/>
      <c r="I2341" s="390"/>
      <c r="J2341" s="390"/>
      <c r="K2341" s="390">
        <v>15</v>
      </c>
      <c r="L2341" s="390"/>
      <c r="M2341" s="390"/>
      <c r="N2341" s="390"/>
      <c r="O2341" s="390">
        <f>9+7+152</f>
        <v>168</v>
      </c>
      <c r="P2341" s="390"/>
      <c r="Q2341" s="390"/>
      <c r="R2341" s="390"/>
      <c r="S2341" s="390">
        <f>6+2+196</f>
        <v>204</v>
      </c>
      <c r="T2341" s="390"/>
      <c r="U2341" s="390"/>
      <c r="V2341" s="390"/>
      <c r="W2341" s="390"/>
      <c r="X2341" s="390"/>
      <c r="Y2341" s="390"/>
      <c r="Z2341" s="390"/>
      <c r="AA2341" s="390"/>
      <c r="AB2341" s="22">
        <f t="shared" si="761"/>
        <v>387</v>
      </c>
      <c r="AC2341" s="23">
        <v>32</v>
      </c>
      <c r="AD2341" s="35"/>
      <c r="AE2341" s="35"/>
      <c r="AF2341" s="35"/>
      <c r="AG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22">
        <f t="shared" si="762"/>
        <v>0</v>
      </c>
      <c r="BC2341" s="23">
        <v>0</v>
      </c>
      <c r="BD2341" s="130">
        <f t="shared" si="763"/>
        <v>387</v>
      </c>
      <c r="BE2341" s="130">
        <f t="shared" si="764"/>
        <v>32</v>
      </c>
      <c r="BF2341" s="195">
        <f t="shared" si="765"/>
        <v>1209.375</v>
      </c>
      <c r="BG2341" s="373">
        <f>BE2341-BD2341</f>
        <v>-355</v>
      </c>
      <c r="BH2341" s="426" t="s">
        <v>3675</v>
      </c>
      <c r="BI2341" s="421"/>
    </row>
    <row r="2342" spans="1:61" s="46" customFormat="1" ht="21" customHeight="1">
      <c r="A2342" s="417">
        <v>4</v>
      </c>
      <c r="B2342" s="418" t="s">
        <v>1268</v>
      </c>
      <c r="C2342" s="419" t="s">
        <v>1269</v>
      </c>
      <c r="D2342" s="231"/>
      <c r="E2342" s="231"/>
      <c r="F2342" s="231"/>
      <c r="G2342" s="231"/>
      <c r="H2342" s="231"/>
      <c r="I2342" s="231"/>
      <c r="J2342" s="231"/>
      <c r="K2342" s="231">
        <f>12+231</f>
        <v>243</v>
      </c>
      <c r="L2342" s="231"/>
      <c r="M2342" s="231"/>
      <c r="N2342" s="231"/>
      <c r="O2342" s="231">
        <f>361+1+97</f>
        <v>459</v>
      </c>
      <c r="P2342" s="231"/>
      <c r="Q2342" s="231"/>
      <c r="R2342" s="231"/>
      <c r="S2342" s="231">
        <f>296+2+107</f>
        <v>405</v>
      </c>
      <c r="T2342" s="231"/>
      <c r="U2342" s="231"/>
      <c r="V2342" s="231"/>
      <c r="W2342" s="231"/>
      <c r="X2342" s="231"/>
      <c r="Y2342" s="231"/>
      <c r="Z2342" s="231"/>
      <c r="AA2342" s="231"/>
      <c r="AB2342" s="22">
        <f t="shared" si="761"/>
        <v>1107</v>
      </c>
      <c r="AC2342" s="23">
        <v>1322</v>
      </c>
      <c r="AD2342" s="35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22">
        <f t="shared" si="762"/>
        <v>0</v>
      </c>
      <c r="BC2342" s="23">
        <v>0</v>
      </c>
      <c r="BD2342" s="130">
        <f t="shared" si="763"/>
        <v>1107</v>
      </c>
      <c r="BE2342" s="130">
        <f t="shared" si="764"/>
        <v>1322</v>
      </c>
      <c r="BF2342" s="195">
        <f t="shared" si="765"/>
        <v>83.736762481089258</v>
      </c>
      <c r="BG2342" s="373">
        <f>BE2342-BD2342</f>
        <v>215</v>
      </c>
      <c r="BH2342" s="426" t="s">
        <v>3675</v>
      </c>
      <c r="BI2342" s="421"/>
    </row>
    <row r="2343" spans="1:61" s="46" customFormat="1" ht="15.95" customHeight="1">
      <c r="A2343" s="176">
        <v>5</v>
      </c>
      <c r="B2343" s="31" t="s">
        <v>4000</v>
      </c>
      <c r="C2343" s="32" t="s">
        <v>4001</v>
      </c>
      <c r="D2343" s="231"/>
      <c r="E2343" s="231"/>
      <c r="F2343" s="231"/>
      <c r="G2343" s="231"/>
      <c r="H2343" s="231"/>
      <c r="I2343" s="231"/>
      <c r="J2343" s="231"/>
      <c r="K2343" s="231"/>
      <c r="L2343" s="231"/>
      <c r="M2343" s="231"/>
      <c r="N2343" s="231"/>
      <c r="O2343" s="231"/>
      <c r="P2343" s="231">
        <v>2</v>
      </c>
      <c r="Q2343" s="231"/>
      <c r="R2343" s="231"/>
      <c r="S2343" s="231"/>
      <c r="T2343" s="231"/>
      <c r="U2343" s="231"/>
      <c r="V2343" s="231"/>
      <c r="W2343" s="231"/>
      <c r="X2343" s="231"/>
      <c r="Y2343" s="231"/>
      <c r="Z2343" s="231"/>
      <c r="AA2343" s="231"/>
      <c r="AB2343" s="22">
        <f t="shared" si="761"/>
        <v>2</v>
      </c>
      <c r="AC2343" s="23">
        <v>0</v>
      </c>
      <c r="AD2343" s="35"/>
      <c r="AE2343" s="35"/>
      <c r="AF2343" s="35"/>
      <c r="AG2343" s="35"/>
      <c r="AH2343" s="35"/>
      <c r="AI2343" s="35"/>
      <c r="AJ2343" s="35"/>
      <c r="AK2343" s="35"/>
      <c r="AL2343" s="35">
        <v>1</v>
      </c>
      <c r="AM2343" s="35"/>
      <c r="AN2343" s="35"/>
      <c r="AO2343" s="35"/>
      <c r="AP2343" s="35">
        <v>1</v>
      </c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22">
        <f t="shared" si="762"/>
        <v>2</v>
      </c>
      <c r="BC2343" s="23">
        <v>0</v>
      </c>
      <c r="BD2343" s="130">
        <f t="shared" si="763"/>
        <v>4</v>
      </c>
      <c r="BE2343" s="130">
        <f t="shared" si="764"/>
        <v>0</v>
      </c>
      <c r="BF2343" s="195" t="e">
        <f t="shared" si="765"/>
        <v>#DIV/0!</v>
      </c>
      <c r="BG2343" s="373"/>
    </row>
    <row r="2344" spans="1:61" s="46" customFormat="1" ht="15.95" customHeight="1">
      <c r="A2344" s="176">
        <v>6</v>
      </c>
      <c r="B2344" s="31" t="s">
        <v>1270</v>
      </c>
      <c r="C2344" s="32" t="s">
        <v>1271</v>
      </c>
      <c r="D2344" s="552"/>
      <c r="E2344" s="552"/>
      <c r="F2344" s="552"/>
      <c r="G2344" s="552"/>
      <c r="H2344" s="552">
        <v>12</v>
      </c>
      <c r="I2344" s="552"/>
      <c r="J2344" s="552"/>
      <c r="K2344" s="552"/>
      <c r="L2344" s="552">
        <v>1</v>
      </c>
      <c r="M2344" s="552"/>
      <c r="N2344" s="552"/>
      <c r="O2344" s="552"/>
      <c r="P2344" s="552">
        <v>107</v>
      </c>
      <c r="Q2344" s="552"/>
      <c r="R2344" s="552"/>
      <c r="S2344" s="552"/>
      <c r="T2344" s="552"/>
      <c r="U2344" s="552"/>
      <c r="V2344" s="552"/>
      <c r="W2344" s="552"/>
      <c r="X2344" s="552"/>
      <c r="Y2344" s="552"/>
      <c r="Z2344" s="552"/>
      <c r="AA2344" s="552"/>
      <c r="AB2344" s="22">
        <f t="shared" si="761"/>
        <v>120</v>
      </c>
      <c r="AC2344" s="23">
        <v>1315</v>
      </c>
      <c r="AD2344" s="35"/>
      <c r="AE2344" s="35"/>
      <c r="AF2344" s="35"/>
      <c r="AG2344" s="35"/>
      <c r="AH2344" s="35">
        <v>2</v>
      </c>
      <c r="AI2344" s="35"/>
      <c r="AJ2344" s="35"/>
      <c r="AK2344" s="35"/>
      <c r="AL2344" s="35">
        <v>1</v>
      </c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22">
        <f t="shared" si="762"/>
        <v>3</v>
      </c>
      <c r="BC2344" s="23">
        <v>0</v>
      </c>
      <c r="BD2344" s="130">
        <f t="shared" si="763"/>
        <v>123</v>
      </c>
      <c r="BE2344" s="130">
        <f t="shared" si="764"/>
        <v>1315</v>
      </c>
      <c r="BF2344" s="195">
        <f t="shared" si="765"/>
        <v>9.3536121673003798</v>
      </c>
      <c r="BG2344" s="373">
        <f>BE2344-BD2344</f>
        <v>1192</v>
      </c>
    </row>
    <row r="2345" spans="1:61" s="46" customFormat="1" ht="15.95" customHeight="1">
      <c r="A2345" s="176">
        <v>7</v>
      </c>
      <c r="B2345" s="31" t="s">
        <v>1270</v>
      </c>
      <c r="C2345" s="32" t="s">
        <v>1271</v>
      </c>
      <c r="D2345" s="552"/>
      <c r="E2345" s="552"/>
      <c r="F2345" s="552"/>
      <c r="G2345" s="552"/>
      <c r="H2345" s="552"/>
      <c r="I2345" s="552"/>
      <c r="J2345" s="552"/>
      <c r="K2345" s="552"/>
      <c r="L2345" s="552">
        <v>95</v>
      </c>
      <c r="M2345" s="552"/>
      <c r="N2345" s="552"/>
      <c r="O2345" s="552"/>
      <c r="P2345" s="552"/>
      <c r="Q2345" s="552"/>
      <c r="R2345" s="552"/>
      <c r="S2345" s="552"/>
      <c r="T2345" s="552"/>
      <c r="U2345" s="552"/>
      <c r="V2345" s="552"/>
      <c r="W2345" s="552"/>
      <c r="X2345" s="552"/>
      <c r="Y2345" s="552"/>
      <c r="Z2345" s="552"/>
      <c r="AA2345" s="552"/>
      <c r="AB2345" s="22">
        <f t="shared" si="761"/>
        <v>95</v>
      </c>
      <c r="AC2345" s="23">
        <v>0</v>
      </c>
      <c r="AD2345" s="35"/>
      <c r="AE2345" s="35"/>
      <c r="AF2345" s="35"/>
      <c r="AG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22">
        <f t="shared" si="762"/>
        <v>0</v>
      </c>
      <c r="BC2345" s="23">
        <v>0</v>
      </c>
      <c r="BD2345" s="130">
        <f t="shared" si="763"/>
        <v>95</v>
      </c>
      <c r="BE2345" s="130">
        <f t="shared" si="764"/>
        <v>0</v>
      </c>
      <c r="BF2345" s="195" t="e">
        <f t="shared" si="765"/>
        <v>#DIV/0!</v>
      </c>
      <c r="BG2345" s="373"/>
    </row>
    <row r="2346" spans="1:61" s="46" customFormat="1" ht="15.95" customHeight="1">
      <c r="A2346" s="176">
        <v>8</v>
      </c>
      <c r="B2346" s="31" t="s">
        <v>1272</v>
      </c>
      <c r="C2346" s="32" t="s">
        <v>1273</v>
      </c>
      <c r="D2346" s="390"/>
      <c r="E2346" s="390"/>
      <c r="F2346" s="390"/>
      <c r="G2346" s="390"/>
      <c r="H2346" s="390"/>
      <c r="I2346" s="390"/>
      <c r="J2346" s="390"/>
      <c r="K2346" s="390"/>
      <c r="L2346" s="390"/>
      <c r="M2346" s="390"/>
      <c r="N2346" s="390"/>
      <c r="O2346" s="390"/>
      <c r="P2346" s="390"/>
      <c r="Q2346" s="390"/>
      <c r="R2346" s="390"/>
      <c r="S2346" s="390"/>
      <c r="T2346" s="390"/>
      <c r="U2346" s="390"/>
      <c r="V2346" s="390"/>
      <c r="W2346" s="390"/>
      <c r="X2346" s="390"/>
      <c r="Y2346" s="390"/>
      <c r="Z2346" s="390"/>
      <c r="AA2346" s="390"/>
      <c r="AB2346" s="22">
        <f t="shared" si="761"/>
        <v>0</v>
      </c>
      <c r="AC2346" s="23">
        <v>0</v>
      </c>
      <c r="AD2346" s="35"/>
      <c r="AE2346" s="35"/>
      <c r="AF2346" s="35"/>
      <c r="AG2346" s="35"/>
      <c r="AH2346" s="35"/>
      <c r="AI2346" s="35"/>
      <c r="AJ2346" s="35"/>
      <c r="AK2346" s="35"/>
      <c r="AL2346" s="35">
        <v>1</v>
      </c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22">
        <f t="shared" si="762"/>
        <v>1</v>
      </c>
      <c r="BC2346" s="23">
        <v>1</v>
      </c>
      <c r="BD2346" s="130">
        <f t="shared" si="763"/>
        <v>1</v>
      </c>
      <c r="BE2346" s="130">
        <f t="shared" si="764"/>
        <v>1</v>
      </c>
      <c r="BF2346" s="195">
        <f t="shared" si="765"/>
        <v>100</v>
      </c>
      <c r="BG2346" s="373">
        <f t="shared" ref="BG2346:BG2352" si="766">BE2346-BD2346</f>
        <v>0</v>
      </c>
    </row>
    <row r="2347" spans="1:61" s="46" customFormat="1" ht="15.95" customHeight="1">
      <c r="A2347" s="176">
        <v>9</v>
      </c>
      <c r="B2347" s="31" t="s">
        <v>735</v>
      </c>
      <c r="C2347" s="32" t="s">
        <v>880</v>
      </c>
      <c r="D2347" s="231"/>
      <c r="E2347" s="231"/>
      <c r="F2347" s="231"/>
      <c r="G2347" s="231"/>
      <c r="H2347" s="231">
        <v>15</v>
      </c>
      <c r="I2347" s="231"/>
      <c r="J2347" s="231"/>
      <c r="K2347" s="231"/>
      <c r="L2347" s="231">
        <f>1+120</f>
        <v>121</v>
      </c>
      <c r="M2347" s="231"/>
      <c r="N2347" s="231"/>
      <c r="O2347" s="231"/>
      <c r="P2347" s="231">
        <f>2+133</f>
        <v>135</v>
      </c>
      <c r="Q2347" s="231"/>
      <c r="R2347" s="231"/>
      <c r="S2347" s="231"/>
      <c r="T2347" s="231"/>
      <c r="U2347" s="231"/>
      <c r="V2347" s="231"/>
      <c r="W2347" s="231"/>
      <c r="X2347" s="231"/>
      <c r="Y2347" s="231"/>
      <c r="Z2347" s="231"/>
      <c r="AA2347" s="231"/>
      <c r="AB2347" s="22">
        <f t="shared" si="761"/>
        <v>271</v>
      </c>
      <c r="AC2347" s="23">
        <v>1810</v>
      </c>
      <c r="AD2347" s="35"/>
      <c r="AE2347" s="35"/>
      <c r="AF2347" s="35"/>
      <c r="AG2347" s="35"/>
      <c r="AH2347" s="35">
        <v>2</v>
      </c>
      <c r="AI2347" s="35"/>
      <c r="AJ2347" s="35"/>
      <c r="AK2347" s="35"/>
      <c r="AL2347" s="35">
        <v>1</v>
      </c>
      <c r="AM2347" s="35"/>
      <c r="AN2347" s="35"/>
      <c r="AO2347" s="35"/>
      <c r="AP2347" s="35">
        <v>1</v>
      </c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22">
        <f t="shared" si="762"/>
        <v>4</v>
      </c>
      <c r="BC2347" s="23">
        <v>0</v>
      </c>
      <c r="BD2347" s="130">
        <f t="shared" si="763"/>
        <v>275</v>
      </c>
      <c r="BE2347" s="130">
        <f t="shared" si="764"/>
        <v>1810</v>
      </c>
      <c r="BF2347" s="195">
        <f t="shared" si="765"/>
        <v>15.193370165745856</v>
      </c>
      <c r="BG2347" s="373">
        <f t="shared" si="766"/>
        <v>1535</v>
      </c>
    </row>
    <row r="2348" spans="1:61" s="46" customFormat="1" ht="15.95" customHeight="1">
      <c r="A2348" s="176">
        <v>10</v>
      </c>
      <c r="B2348" s="31" t="s">
        <v>742</v>
      </c>
      <c r="C2348" s="32" t="s">
        <v>743</v>
      </c>
      <c r="D2348" s="390"/>
      <c r="E2348" s="390"/>
      <c r="F2348" s="390"/>
      <c r="G2348" s="390"/>
      <c r="H2348" s="390"/>
      <c r="I2348" s="390"/>
      <c r="J2348" s="390"/>
      <c r="K2348" s="390"/>
      <c r="L2348" s="390"/>
      <c r="M2348" s="390"/>
      <c r="N2348" s="390"/>
      <c r="O2348" s="390"/>
      <c r="P2348" s="390"/>
      <c r="Q2348" s="390"/>
      <c r="R2348" s="390"/>
      <c r="S2348" s="390"/>
      <c r="T2348" s="390"/>
      <c r="U2348" s="390"/>
      <c r="V2348" s="390"/>
      <c r="W2348" s="390"/>
      <c r="X2348" s="390"/>
      <c r="Y2348" s="390"/>
      <c r="Z2348" s="390"/>
      <c r="AA2348" s="390"/>
      <c r="AB2348" s="22">
        <f t="shared" si="761"/>
        <v>0</v>
      </c>
      <c r="AC2348" s="23">
        <v>129</v>
      </c>
      <c r="AD2348" s="35"/>
      <c r="AE2348" s="35"/>
      <c r="AF2348" s="35"/>
      <c r="AG2348" s="35"/>
      <c r="AH2348" s="35"/>
      <c r="AI2348" s="35"/>
      <c r="AJ2348" s="35"/>
      <c r="AK2348" s="35"/>
      <c r="AL2348" s="35">
        <v>1</v>
      </c>
      <c r="AM2348" s="35"/>
      <c r="AN2348" s="35"/>
      <c r="AO2348" s="35"/>
      <c r="AP2348" s="35">
        <v>1</v>
      </c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22">
        <f t="shared" si="762"/>
        <v>2</v>
      </c>
      <c r="BC2348" s="23">
        <v>0</v>
      </c>
      <c r="BD2348" s="130">
        <f t="shared" si="763"/>
        <v>2</v>
      </c>
      <c r="BE2348" s="130">
        <f t="shared" si="764"/>
        <v>129</v>
      </c>
      <c r="BF2348" s="195">
        <f t="shared" si="765"/>
        <v>1.5503875968992249</v>
      </c>
      <c r="BG2348" s="373">
        <f t="shared" si="766"/>
        <v>127</v>
      </c>
    </row>
    <row r="2349" spans="1:61" s="46" customFormat="1" ht="15.95" customHeight="1">
      <c r="A2349" s="176">
        <v>11</v>
      </c>
      <c r="B2349" s="31" t="s">
        <v>746</v>
      </c>
      <c r="C2349" s="32" t="s">
        <v>747</v>
      </c>
      <c r="D2349" s="390"/>
      <c r="E2349" s="390"/>
      <c r="F2349" s="390"/>
      <c r="G2349" s="390"/>
      <c r="H2349" s="390">
        <f>2+7</f>
        <v>9</v>
      </c>
      <c r="I2349" s="390"/>
      <c r="J2349" s="390"/>
      <c r="K2349" s="390"/>
      <c r="L2349" s="390">
        <f>15+170+72</f>
        <v>257</v>
      </c>
      <c r="M2349" s="390"/>
      <c r="N2349" s="390"/>
      <c r="O2349" s="390"/>
      <c r="P2349" s="390">
        <f>1+117+59</f>
        <v>177</v>
      </c>
      <c r="Q2349" s="390"/>
      <c r="R2349" s="390"/>
      <c r="S2349" s="390"/>
      <c r="T2349" s="390"/>
      <c r="U2349" s="390"/>
      <c r="V2349" s="390"/>
      <c r="W2349" s="390"/>
      <c r="X2349" s="390"/>
      <c r="Y2349" s="390"/>
      <c r="Z2349" s="390"/>
      <c r="AA2349" s="390"/>
      <c r="AB2349" s="22">
        <f t="shared" si="761"/>
        <v>443</v>
      </c>
      <c r="AC2349" s="23">
        <v>2435</v>
      </c>
      <c r="AD2349" s="35"/>
      <c r="AE2349" s="35"/>
      <c r="AF2349" s="35"/>
      <c r="AG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22">
        <f t="shared" si="762"/>
        <v>0</v>
      </c>
      <c r="BC2349" s="23">
        <v>0</v>
      </c>
      <c r="BD2349" s="130">
        <f t="shared" si="763"/>
        <v>443</v>
      </c>
      <c r="BE2349" s="130">
        <f t="shared" si="764"/>
        <v>2435</v>
      </c>
      <c r="BF2349" s="195">
        <f t="shared" si="765"/>
        <v>18.19301848049281</v>
      </c>
      <c r="BG2349" s="373">
        <f t="shared" si="766"/>
        <v>1992</v>
      </c>
    </row>
    <row r="2350" spans="1:61" s="46" customFormat="1" ht="15.95" customHeight="1">
      <c r="A2350" s="176">
        <v>12</v>
      </c>
      <c r="B2350" s="31" t="s">
        <v>883</v>
      </c>
      <c r="C2350" s="32" t="s">
        <v>1274</v>
      </c>
      <c r="D2350" s="390"/>
      <c r="E2350" s="390"/>
      <c r="F2350" s="390"/>
      <c r="G2350" s="390"/>
      <c r="H2350" s="390">
        <v>2</v>
      </c>
      <c r="I2350" s="390"/>
      <c r="J2350" s="390"/>
      <c r="K2350" s="390"/>
      <c r="L2350" s="390">
        <v>28</v>
      </c>
      <c r="M2350" s="390"/>
      <c r="N2350" s="390"/>
      <c r="O2350" s="390"/>
      <c r="P2350" s="390">
        <v>62</v>
      </c>
      <c r="Q2350" s="390"/>
      <c r="R2350" s="390"/>
      <c r="S2350" s="390"/>
      <c r="T2350" s="390"/>
      <c r="U2350" s="390"/>
      <c r="V2350" s="390"/>
      <c r="W2350" s="390"/>
      <c r="X2350" s="390"/>
      <c r="Y2350" s="390"/>
      <c r="Z2350" s="390"/>
      <c r="AA2350" s="390"/>
      <c r="AB2350" s="22">
        <f t="shared" si="761"/>
        <v>92</v>
      </c>
      <c r="AC2350" s="23">
        <v>602</v>
      </c>
      <c r="AD2350" s="35"/>
      <c r="AE2350" s="35"/>
      <c r="AF2350" s="35"/>
      <c r="AG2350" s="35"/>
      <c r="AH2350" s="35">
        <v>1</v>
      </c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22">
        <f t="shared" si="762"/>
        <v>1</v>
      </c>
      <c r="BC2350" s="23">
        <v>0</v>
      </c>
      <c r="BD2350" s="130">
        <f t="shared" si="763"/>
        <v>93</v>
      </c>
      <c r="BE2350" s="130">
        <f t="shared" si="764"/>
        <v>602</v>
      </c>
      <c r="BF2350" s="195">
        <f t="shared" si="765"/>
        <v>15.448504983388705</v>
      </c>
      <c r="BG2350" s="373">
        <f t="shared" si="766"/>
        <v>509</v>
      </c>
    </row>
    <row r="2351" spans="1:61" s="46" customFormat="1" ht="15.95" customHeight="1">
      <c r="A2351" s="176">
        <v>13</v>
      </c>
      <c r="B2351" s="31" t="s">
        <v>756</v>
      </c>
      <c r="C2351" s="32" t="s">
        <v>757</v>
      </c>
      <c r="D2351" s="390"/>
      <c r="E2351" s="390"/>
      <c r="F2351" s="390"/>
      <c r="G2351" s="390"/>
      <c r="H2351" s="390">
        <v>82</v>
      </c>
      <c r="I2351" s="390"/>
      <c r="J2351" s="390"/>
      <c r="K2351" s="390"/>
      <c r="L2351" s="390">
        <v>199</v>
      </c>
      <c r="M2351" s="390"/>
      <c r="N2351" s="390"/>
      <c r="O2351" s="390"/>
      <c r="P2351" s="390">
        <v>137</v>
      </c>
      <c r="Q2351" s="390"/>
      <c r="R2351" s="390"/>
      <c r="S2351" s="390"/>
      <c r="T2351" s="390"/>
      <c r="U2351" s="390"/>
      <c r="V2351" s="390"/>
      <c r="W2351" s="390"/>
      <c r="X2351" s="390"/>
      <c r="Y2351" s="390"/>
      <c r="Z2351" s="390"/>
      <c r="AA2351" s="390"/>
      <c r="AB2351" s="22">
        <f t="shared" si="761"/>
        <v>418</v>
      </c>
      <c r="AC2351" s="23">
        <v>192</v>
      </c>
      <c r="AD2351" s="35"/>
      <c r="AE2351" s="35"/>
      <c r="AF2351" s="35"/>
      <c r="AG2351" s="35"/>
      <c r="AH2351" s="35">
        <v>174</v>
      </c>
      <c r="AI2351" s="35"/>
      <c r="AJ2351" s="35"/>
      <c r="AK2351" s="35"/>
      <c r="AL2351" s="35">
        <v>655</v>
      </c>
      <c r="AM2351" s="35"/>
      <c r="AN2351" s="35"/>
      <c r="AO2351" s="35"/>
      <c r="AP2351" s="35">
        <v>629</v>
      </c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22">
        <f t="shared" si="762"/>
        <v>1458</v>
      </c>
      <c r="BC2351" s="23">
        <v>0</v>
      </c>
      <c r="BD2351" s="130">
        <f t="shared" si="763"/>
        <v>1876</v>
      </c>
      <c r="BE2351" s="130">
        <f t="shared" si="764"/>
        <v>192</v>
      </c>
      <c r="BF2351" s="195">
        <f t="shared" si="765"/>
        <v>977.08333333333337</v>
      </c>
      <c r="BG2351" s="373">
        <f t="shared" si="766"/>
        <v>-1684</v>
      </c>
    </row>
    <row r="2352" spans="1:61" s="46" customFormat="1" ht="15.95" customHeight="1">
      <c r="A2352" s="176">
        <v>14</v>
      </c>
      <c r="B2352" s="31" t="s">
        <v>758</v>
      </c>
      <c r="C2352" s="32" t="s">
        <v>759</v>
      </c>
      <c r="D2352" s="390"/>
      <c r="E2352" s="390"/>
      <c r="F2352" s="390"/>
      <c r="G2352" s="390"/>
      <c r="H2352" s="390"/>
      <c r="I2352" s="390"/>
      <c r="J2352" s="390"/>
      <c r="K2352" s="390"/>
      <c r="L2352" s="390"/>
      <c r="M2352" s="390"/>
      <c r="N2352" s="390"/>
      <c r="O2352" s="390"/>
      <c r="P2352" s="390"/>
      <c r="Q2352" s="390"/>
      <c r="R2352" s="390"/>
      <c r="S2352" s="390"/>
      <c r="T2352" s="390"/>
      <c r="U2352" s="390"/>
      <c r="V2352" s="390"/>
      <c r="W2352" s="390"/>
      <c r="X2352" s="390"/>
      <c r="Y2352" s="390"/>
      <c r="Z2352" s="390"/>
      <c r="AA2352" s="390"/>
      <c r="AB2352" s="22">
        <f t="shared" si="761"/>
        <v>0</v>
      </c>
      <c r="AC2352" s="23">
        <v>203</v>
      </c>
      <c r="AD2352" s="35"/>
      <c r="AE2352" s="35"/>
      <c r="AF2352" s="35"/>
      <c r="AG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22">
        <f t="shared" si="762"/>
        <v>0</v>
      </c>
      <c r="BC2352" s="23">
        <v>0</v>
      </c>
      <c r="BD2352" s="130">
        <f t="shared" si="763"/>
        <v>0</v>
      </c>
      <c r="BE2352" s="130">
        <f t="shared" si="764"/>
        <v>203</v>
      </c>
      <c r="BF2352" s="195">
        <f t="shared" si="765"/>
        <v>0</v>
      </c>
      <c r="BG2352" s="373">
        <f t="shared" si="766"/>
        <v>203</v>
      </c>
    </row>
    <row r="2353" spans="1:59" s="46" customFormat="1" ht="15.95" customHeight="1">
      <c r="A2353" s="176">
        <v>15</v>
      </c>
      <c r="B2353" s="31" t="s">
        <v>768</v>
      </c>
      <c r="C2353" s="32" t="s">
        <v>769</v>
      </c>
      <c r="D2353" s="552"/>
      <c r="E2353" s="552"/>
      <c r="F2353" s="552"/>
      <c r="G2353" s="552"/>
      <c r="H2353" s="552"/>
      <c r="I2353" s="552"/>
      <c r="J2353" s="552"/>
      <c r="K2353" s="552"/>
      <c r="L2353" s="552"/>
      <c r="M2353" s="552"/>
      <c r="N2353" s="552"/>
      <c r="O2353" s="552"/>
      <c r="P2353" s="552"/>
      <c r="Q2353" s="552"/>
      <c r="R2353" s="552"/>
      <c r="S2353" s="552"/>
      <c r="T2353" s="552"/>
      <c r="U2353" s="552"/>
      <c r="V2353" s="552"/>
      <c r="W2353" s="552"/>
      <c r="X2353" s="552"/>
      <c r="Y2353" s="552"/>
      <c r="Z2353" s="552"/>
      <c r="AA2353" s="552"/>
      <c r="AB2353" s="22">
        <f t="shared" si="761"/>
        <v>0</v>
      </c>
      <c r="AC2353" s="23">
        <v>0</v>
      </c>
      <c r="AD2353" s="35"/>
      <c r="AE2353" s="35"/>
      <c r="AF2353" s="35"/>
      <c r="AG2353" s="35"/>
      <c r="AH2353" s="35"/>
      <c r="AI2353" s="35"/>
      <c r="AJ2353" s="35"/>
      <c r="AK2353" s="35"/>
      <c r="AL2353" s="35">
        <v>1</v>
      </c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22">
        <f t="shared" si="762"/>
        <v>1</v>
      </c>
      <c r="BC2353" s="23">
        <v>0</v>
      </c>
      <c r="BD2353" s="130">
        <f t="shared" si="763"/>
        <v>1</v>
      </c>
      <c r="BE2353" s="130">
        <f t="shared" si="764"/>
        <v>0</v>
      </c>
      <c r="BF2353" s="195" t="e">
        <f t="shared" si="765"/>
        <v>#DIV/0!</v>
      </c>
      <c r="BG2353" s="373"/>
    </row>
    <row r="2354" spans="1:59" s="46" customFormat="1" ht="15.95" customHeight="1">
      <c r="A2354" s="176">
        <v>16</v>
      </c>
      <c r="B2354" s="31" t="s">
        <v>770</v>
      </c>
      <c r="C2354" s="32" t="s">
        <v>4002</v>
      </c>
      <c r="D2354" s="552"/>
      <c r="E2354" s="552"/>
      <c r="F2354" s="552"/>
      <c r="G2354" s="552"/>
      <c r="H2354" s="552"/>
      <c r="I2354" s="552"/>
      <c r="J2354" s="552"/>
      <c r="K2354" s="552"/>
      <c r="L2354" s="552"/>
      <c r="M2354" s="552"/>
      <c r="N2354" s="552"/>
      <c r="O2354" s="552"/>
      <c r="P2354" s="552"/>
      <c r="Q2354" s="552"/>
      <c r="R2354" s="552"/>
      <c r="S2354" s="552"/>
      <c r="T2354" s="552"/>
      <c r="U2354" s="552"/>
      <c r="V2354" s="552"/>
      <c r="W2354" s="552"/>
      <c r="X2354" s="552"/>
      <c r="Y2354" s="552"/>
      <c r="Z2354" s="552"/>
      <c r="AA2354" s="552"/>
      <c r="AB2354" s="22">
        <f t="shared" si="761"/>
        <v>0</v>
      </c>
      <c r="AC2354" s="23">
        <v>0</v>
      </c>
      <c r="AD2354" s="35"/>
      <c r="AE2354" s="35"/>
      <c r="AF2354" s="35"/>
      <c r="AG2354" s="35"/>
      <c r="AH2354" s="35"/>
      <c r="AI2354" s="35"/>
      <c r="AJ2354" s="35"/>
      <c r="AK2354" s="35"/>
      <c r="AL2354" s="35">
        <v>1</v>
      </c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22">
        <f t="shared" si="762"/>
        <v>1</v>
      </c>
      <c r="BC2354" s="23">
        <v>0</v>
      </c>
      <c r="BD2354" s="130">
        <f t="shared" si="763"/>
        <v>1</v>
      </c>
      <c r="BE2354" s="130">
        <f t="shared" si="764"/>
        <v>0</v>
      </c>
      <c r="BF2354" s="195" t="e">
        <f t="shared" si="765"/>
        <v>#DIV/0!</v>
      </c>
      <c r="BG2354" s="373"/>
    </row>
    <row r="2355" spans="1:59" s="46" customFormat="1" ht="15.95" customHeight="1">
      <c r="A2355" s="176">
        <v>17</v>
      </c>
      <c r="B2355" s="31" t="s">
        <v>3501</v>
      </c>
      <c r="C2355" s="32" t="s">
        <v>3502</v>
      </c>
      <c r="D2355" s="390"/>
      <c r="E2355" s="390"/>
      <c r="F2355" s="390"/>
      <c r="G2355" s="390"/>
      <c r="H2355" s="390"/>
      <c r="I2355" s="390"/>
      <c r="J2355" s="390"/>
      <c r="K2355" s="390"/>
      <c r="L2355" s="390"/>
      <c r="M2355" s="390"/>
      <c r="N2355" s="390"/>
      <c r="O2355" s="390"/>
      <c r="P2355" s="390"/>
      <c r="Q2355" s="390"/>
      <c r="R2355" s="390"/>
      <c r="S2355" s="390"/>
      <c r="T2355" s="390"/>
      <c r="U2355" s="390"/>
      <c r="V2355" s="390"/>
      <c r="W2355" s="390"/>
      <c r="X2355" s="390"/>
      <c r="Y2355" s="390"/>
      <c r="Z2355" s="390"/>
      <c r="AA2355" s="390"/>
      <c r="AB2355" s="22">
        <f t="shared" si="761"/>
        <v>0</v>
      </c>
      <c r="AC2355" s="23">
        <v>0</v>
      </c>
      <c r="AD2355" s="35"/>
      <c r="AE2355" s="35"/>
      <c r="AF2355" s="35"/>
      <c r="AG2355" s="35"/>
      <c r="AH2355" s="35">
        <v>21</v>
      </c>
      <c r="AI2355" s="35"/>
      <c r="AJ2355" s="35"/>
      <c r="AK2355" s="35"/>
      <c r="AL2355" s="35">
        <v>40</v>
      </c>
      <c r="AM2355" s="35"/>
      <c r="AN2355" s="35"/>
      <c r="AO2355" s="35"/>
      <c r="AP2355" s="35">
        <v>39</v>
      </c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22">
        <f t="shared" si="762"/>
        <v>100</v>
      </c>
      <c r="BC2355" s="23">
        <v>2</v>
      </c>
      <c r="BD2355" s="130">
        <f t="shared" si="763"/>
        <v>100</v>
      </c>
      <c r="BE2355" s="130">
        <f t="shared" si="764"/>
        <v>2</v>
      </c>
      <c r="BF2355" s="195">
        <f t="shared" si="765"/>
        <v>5000</v>
      </c>
      <c r="BG2355" s="373">
        <f>BE2355-BD2355</f>
        <v>-98</v>
      </c>
    </row>
    <row r="2356" spans="1:59" s="46" customFormat="1" ht="15.95" customHeight="1">
      <c r="A2356" s="176">
        <v>18</v>
      </c>
      <c r="B2356" s="31" t="s">
        <v>1042</v>
      </c>
      <c r="C2356" s="32" t="s">
        <v>3503</v>
      </c>
      <c r="D2356" s="390"/>
      <c r="E2356" s="390"/>
      <c r="F2356" s="390"/>
      <c r="G2356" s="390"/>
      <c r="H2356" s="390"/>
      <c r="I2356" s="390"/>
      <c r="J2356" s="390"/>
      <c r="K2356" s="390"/>
      <c r="L2356" s="390"/>
      <c r="M2356" s="390"/>
      <c r="N2356" s="390"/>
      <c r="O2356" s="390"/>
      <c r="P2356" s="390"/>
      <c r="Q2356" s="390"/>
      <c r="R2356" s="390"/>
      <c r="S2356" s="390"/>
      <c r="T2356" s="390"/>
      <c r="U2356" s="390"/>
      <c r="V2356" s="390"/>
      <c r="W2356" s="390"/>
      <c r="X2356" s="390"/>
      <c r="Y2356" s="390"/>
      <c r="Z2356" s="390"/>
      <c r="AA2356" s="390"/>
      <c r="AB2356" s="22">
        <f t="shared" si="761"/>
        <v>0</v>
      </c>
      <c r="AC2356" s="23">
        <v>0</v>
      </c>
      <c r="AD2356" s="35"/>
      <c r="AE2356" s="35"/>
      <c r="AF2356" s="35"/>
      <c r="AG2356" s="35"/>
      <c r="AH2356" s="35">
        <v>23</v>
      </c>
      <c r="AI2356" s="35"/>
      <c r="AJ2356" s="35"/>
      <c r="AK2356" s="35"/>
      <c r="AL2356" s="35">
        <v>60</v>
      </c>
      <c r="AM2356" s="35"/>
      <c r="AN2356" s="35"/>
      <c r="AO2356" s="35"/>
      <c r="AP2356" s="35">
        <v>99</v>
      </c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22">
        <f t="shared" si="762"/>
        <v>182</v>
      </c>
      <c r="BC2356" s="23">
        <v>2</v>
      </c>
      <c r="BD2356" s="130">
        <f t="shared" si="763"/>
        <v>182</v>
      </c>
      <c r="BE2356" s="130">
        <f t="shared" si="764"/>
        <v>2</v>
      </c>
      <c r="BF2356" s="195">
        <f t="shared" si="765"/>
        <v>9100</v>
      </c>
      <c r="BG2356" s="373">
        <f>BE2356-BD2356</f>
        <v>-180</v>
      </c>
    </row>
    <row r="2357" spans="1:59" s="46" customFormat="1" ht="15.95" customHeight="1">
      <c r="A2357" s="176">
        <v>19</v>
      </c>
      <c r="B2357" s="31" t="s">
        <v>814</v>
      </c>
      <c r="C2357" s="32" t="s">
        <v>1317</v>
      </c>
      <c r="D2357" s="552"/>
      <c r="E2357" s="552"/>
      <c r="F2357" s="552"/>
      <c r="G2357" s="552"/>
      <c r="H2357" s="552"/>
      <c r="I2357" s="552"/>
      <c r="J2357" s="552"/>
      <c r="K2357" s="552"/>
      <c r="L2357" s="552"/>
      <c r="M2357" s="552"/>
      <c r="N2357" s="552"/>
      <c r="O2357" s="552"/>
      <c r="P2357" s="552"/>
      <c r="Q2357" s="552"/>
      <c r="R2357" s="552"/>
      <c r="S2357" s="552"/>
      <c r="T2357" s="552"/>
      <c r="U2357" s="552"/>
      <c r="V2357" s="552"/>
      <c r="W2357" s="552"/>
      <c r="X2357" s="552"/>
      <c r="Y2357" s="552"/>
      <c r="Z2357" s="552"/>
      <c r="AA2357" s="552"/>
      <c r="AB2357" s="22">
        <f t="shared" si="761"/>
        <v>0</v>
      </c>
      <c r="AC2357" s="23">
        <v>0</v>
      </c>
      <c r="AD2357" s="35"/>
      <c r="AE2357" s="35"/>
      <c r="AF2357" s="35"/>
      <c r="AG2357" s="35"/>
      <c r="AH2357" s="35"/>
      <c r="AI2357" s="35"/>
      <c r="AJ2357" s="35"/>
      <c r="AK2357" s="35"/>
      <c r="AL2357" s="35">
        <v>1</v>
      </c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22">
        <f t="shared" si="762"/>
        <v>1</v>
      </c>
      <c r="BC2357" s="23">
        <v>0</v>
      </c>
      <c r="BD2357" s="130">
        <f t="shared" si="763"/>
        <v>1</v>
      </c>
      <c r="BE2357" s="130">
        <f t="shared" si="764"/>
        <v>0</v>
      </c>
      <c r="BF2357" s="195" t="e">
        <f t="shared" si="765"/>
        <v>#DIV/0!</v>
      </c>
      <c r="BG2357" s="373"/>
    </row>
    <row r="2358" spans="1:59" s="46" customFormat="1" ht="15.95" customHeight="1">
      <c r="A2358" s="176">
        <v>20</v>
      </c>
      <c r="B2358" s="31" t="s">
        <v>819</v>
      </c>
      <c r="C2358" s="32" t="s">
        <v>1074</v>
      </c>
      <c r="D2358" s="552"/>
      <c r="E2358" s="552"/>
      <c r="F2358" s="552"/>
      <c r="G2358" s="552"/>
      <c r="H2358" s="552"/>
      <c r="I2358" s="552"/>
      <c r="J2358" s="552"/>
      <c r="K2358" s="552"/>
      <c r="L2358" s="552"/>
      <c r="M2358" s="552"/>
      <c r="N2358" s="552"/>
      <c r="O2358" s="552"/>
      <c r="P2358" s="552"/>
      <c r="Q2358" s="552"/>
      <c r="R2358" s="552"/>
      <c r="S2358" s="552"/>
      <c r="T2358" s="552"/>
      <c r="U2358" s="552"/>
      <c r="V2358" s="552"/>
      <c r="W2358" s="552"/>
      <c r="X2358" s="552"/>
      <c r="Y2358" s="552"/>
      <c r="Z2358" s="552"/>
      <c r="AA2358" s="552"/>
      <c r="AB2358" s="22">
        <f t="shared" si="761"/>
        <v>0</v>
      </c>
      <c r="AC2358" s="23">
        <v>0</v>
      </c>
      <c r="AD2358" s="35"/>
      <c r="AE2358" s="35"/>
      <c r="AF2358" s="35"/>
      <c r="AG2358" s="35"/>
      <c r="AH2358" s="35"/>
      <c r="AI2358" s="35"/>
      <c r="AJ2358" s="35"/>
      <c r="AK2358" s="35"/>
      <c r="AL2358" s="35">
        <v>1</v>
      </c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22">
        <f t="shared" si="762"/>
        <v>1</v>
      </c>
      <c r="BC2358" s="23">
        <v>0</v>
      </c>
      <c r="BD2358" s="130">
        <f t="shared" si="763"/>
        <v>1</v>
      </c>
      <c r="BE2358" s="130">
        <f t="shared" si="764"/>
        <v>0</v>
      </c>
      <c r="BF2358" s="195" t="e">
        <f t="shared" si="765"/>
        <v>#DIV/0!</v>
      </c>
      <c r="BG2358" s="373"/>
    </row>
    <row r="2359" spans="1:59" s="46" customFormat="1" ht="15.95" customHeight="1">
      <c r="A2359" s="176">
        <v>21</v>
      </c>
      <c r="B2359" s="31" t="s">
        <v>1275</v>
      </c>
      <c r="C2359" s="32" t="s">
        <v>1276</v>
      </c>
      <c r="D2359" s="390"/>
      <c r="E2359" s="390"/>
      <c r="F2359" s="390"/>
      <c r="G2359" s="390"/>
      <c r="H2359" s="390">
        <v>15</v>
      </c>
      <c r="I2359" s="390"/>
      <c r="J2359" s="390"/>
      <c r="K2359" s="390"/>
      <c r="L2359" s="390">
        <v>51</v>
      </c>
      <c r="M2359" s="390"/>
      <c r="N2359" s="390"/>
      <c r="O2359" s="390"/>
      <c r="P2359" s="390">
        <v>68</v>
      </c>
      <c r="Q2359" s="390"/>
      <c r="R2359" s="390"/>
      <c r="S2359" s="390"/>
      <c r="T2359" s="390"/>
      <c r="U2359" s="390"/>
      <c r="V2359" s="390"/>
      <c r="W2359" s="390"/>
      <c r="X2359" s="390"/>
      <c r="Y2359" s="390"/>
      <c r="Z2359" s="390"/>
      <c r="AA2359" s="390"/>
      <c r="AB2359" s="22">
        <f t="shared" si="761"/>
        <v>134</v>
      </c>
      <c r="AC2359" s="23">
        <v>480</v>
      </c>
      <c r="AD2359" s="35"/>
      <c r="AE2359" s="35"/>
      <c r="AF2359" s="35"/>
      <c r="AG2359" s="35"/>
      <c r="AH2359" s="35">
        <v>125</v>
      </c>
      <c r="AI2359" s="35"/>
      <c r="AJ2359" s="35"/>
      <c r="AK2359" s="35"/>
      <c r="AL2359" s="35">
        <v>396</v>
      </c>
      <c r="AM2359" s="35"/>
      <c r="AN2359" s="35"/>
      <c r="AO2359" s="35"/>
      <c r="AP2359" s="35">
        <v>510</v>
      </c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22">
        <f t="shared" si="762"/>
        <v>1031</v>
      </c>
      <c r="BC2359" s="23">
        <v>0</v>
      </c>
      <c r="BD2359" s="130">
        <f t="shared" si="763"/>
        <v>1165</v>
      </c>
      <c r="BE2359" s="130">
        <f t="shared" si="764"/>
        <v>480</v>
      </c>
      <c r="BF2359" s="195">
        <f t="shared" si="765"/>
        <v>242.70833333333334</v>
      </c>
      <c r="BG2359" s="373">
        <f>BE2359-BD2359</f>
        <v>-685</v>
      </c>
    </row>
    <row r="2360" spans="1:59" s="46" customFormat="1" ht="15.95" customHeight="1">
      <c r="A2360" s="176">
        <v>22</v>
      </c>
      <c r="B2360" s="31" t="s">
        <v>823</v>
      </c>
      <c r="C2360" s="34" t="s">
        <v>824</v>
      </c>
      <c r="D2360" s="231"/>
      <c r="E2360" s="231"/>
      <c r="F2360" s="231"/>
      <c r="G2360" s="231"/>
      <c r="H2360" s="231">
        <v>8</v>
      </c>
      <c r="I2360" s="231"/>
      <c r="J2360" s="231"/>
      <c r="K2360" s="231"/>
      <c r="L2360" s="231">
        <v>46</v>
      </c>
      <c r="M2360" s="231"/>
      <c r="N2360" s="231"/>
      <c r="O2360" s="231"/>
      <c r="P2360" s="231">
        <v>46</v>
      </c>
      <c r="Q2360" s="231"/>
      <c r="R2360" s="231"/>
      <c r="S2360" s="231"/>
      <c r="T2360" s="231"/>
      <c r="U2360" s="231"/>
      <c r="V2360" s="231"/>
      <c r="W2360" s="231"/>
      <c r="X2360" s="231"/>
      <c r="Y2360" s="231"/>
      <c r="Z2360" s="231"/>
      <c r="AA2360" s="231"/>
      <c r="AB2360" s="22">
        <f t="shared" si="761"/>
        <v>100</v>
      </c>
      <c r="AC2360" s="23">
        <v>444</v>
      </c>
      <c r="AD2360" s="35"/>
      <c r="AE2360" s="35"/>
      <c r="AF2360" s="35"/>
      <c r="AG2360" s="35"/>
      <c r="AH2360" s="35">
        <v>168</v>
      </c>
      <c r="AI2360" s="35"/>
      <c r="AJ2360" s="35"/>
      <c r="AK2360" s="35"/>
      <c r="AL2360" s="35">
        <v>254</v>
      </c>
      <c r="AM2360" s="35"/>
      <c r="AN2360" s="35"/>
      <c r="AO2360" s="35"/>
      <c r="AP2360" s="35">
        <v>396</v>
      </c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22">
        <f t="shared" si="762"/>
        <v>818</v>
      </c>
      <c r="BC2360" s="23">
        <v>0</v>
      </c>
      <c r="BD2360" s="130">
        <f t="shared" si="763"/>
        <v>918</v>
      </c>
      <c r="BE2360" s="130">
        <f t="shared" si="764"/>
        <v>444</v>
      </c>
      <c r="BF2360" s="195">
        <f t="shared" si="765"/>
        <v>206.75675675675674</v>
      </c>
      <c r="BG2360" s="373">
        <f>BE2360-BD2360</f>
        <v>-474</v>
      </c>
    </row>
    <row r="2361" spans="1:59" s="46" customFormat="1" ht="15.95" customHeight="1">
      <c r="A2361" s="176">
        <v>23</v>
      </c>
      <c r="B2361" s="31" t="s">
        <v>825</v>
      </c>
      <c r="C2361" s="32" t="s">
        <v>907</v>
      </c>
      <c r="D2361" s="231"/>
      <c r="E2361" s="231"/>
      <c r="F2361" s="231"/>
      <c r="G2361" s="231"/>
      <c r="H2361" s="231"/>
      <c r="I2361" s="231"/>
      <c r="J2361" s="231"/>
      <c r="K2361" s="231"/>
      <c r="L2361" s="231"/>
      <c r="M2361" s="231"/>
      <c r="N2361" s="231"/>
      <c r="O2361" s="231"/>
      <c r="P2361" s="231"/>
      <c r="Q2361" s="231"/>
      <c r="R2361" s="231"/>
      <c r="S2361" s="231"/>
      <c r="T2361" s="231"/>
      <c r="U2361" s="231"/>
      <c r="V2361" s="231"/>
      <c r="W2361" s="231"/>
      <c r="X2361" s="231"/>
      <c r="Y2361" s="231"/>
      <c r="Z2361" s="231"/>
      <c r="AA2361" s="231"/>
      <c r="AB2361" s="22">
        <f t="shared" si="761"/>
        <v>0</v>
      </c>
      <c r="AC2361" s="23">
        <v>0</v>
      </c>
      <c r="AD2361" s="35"/>
      <c r="AE2361" s="35"/>
      <c r="AF2361" s="35"/>
      <c r="AG2361" s="35"/>
      <c r="AH2361" s="35">
        <v>10</v>
      </c>
      <c r="AI2361" s="35"/>
      <c r="AJ2361" s="35"/>
      <c r="AK2361" s="35"/>
      <c r="AL2361" s="35">
        <v>69</v>
      </c>
      <c r="AM2361" s="35"/>
      <c r="AN2361" s="35"/>
      <c r="AO2361" s="35"/>
      <c r="AP2361" s="35">
        <v>62</v>
      </c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22">
        <f t="shared" si="762"/>
        <v>141</v>
      </c>
      <c r="BC2361" s="23">
        <v>5</v>
      </c>
      <c r="BD2361" s="130">
        <f t="shared" si="763"/>
        <v>141</v>
      </c>
      <c r="BE2361" s="130">
        <f t="shared" si="764"/>
        <v>5</v>
      </c>
      <c r="BF2361" s="195">
        <f t="shared" si="765"/>
        <v>2820</v>
      </c>
      <c r="BG2361" s="373">
        <f>BE2361-BD2361</f>
        <v>-136</v>
      </c>
    </row>
    <row r="2362" spans="1:59" s="46" customFormat="1" ht="15.95" customHeight="1">
      <c r="A2362" s="176">
        <v>24</v>
      </c>
      <c r="B2362" s="31" t="s">
        <v>845</v>
      </c>
      <c r="C2362" s="32" t="s">
        <v>948</v>
      </c>
      <c r="D2362" s="552"/>
      <c r="E2362" s="552"/>
      <c r="F2362" s="552"/>
      <c r="G2362" s="552"/>
      <c r="H2362" s="552"/>
      <c r="I2362" s="552"/>
      <c r="J2362" s="552"/>
      <c r="K2362" s="552"/>
      <c r="L2362" s="552"/>
      <c r="M2362" s="552"/>
      <c r="N2362" s="552"/>
      <c r="O2362" s="552"/>
      <c r="P2362" s="552"/>
      <c r="Q2362" s="552"/>
      <c r="R2362" s="552"/>
      <c r="S2362" s="552"/>
      <c r="T2362" s="552"/>
      <c r="U2362" s="552"/>
      <c r="V2362" s="552"/>
      <c r="W2362" s="552"/>
      <c r="X2362" s="552"/>
      <c r="Y2362" s="552"/>
      <c r="Z2362" s="552"/>
      <c r="AA2362" s="552"/>
      <c r="AB2362" s="22">
        <f t="shared" si="761"/>
        <v>0</v>
      </c>
      <c r="AC2362" s="23">
        <v>0</v>
      </c>
      <c r="AD2362" s="35"/>
      <c r="AE2362" s="35"/>
      <c r="AF2362" s="35"/>
      <c r="AG2362" s="35"/>
      <c r="AH2362" s="35"/>
      <c r="AI2362" s="35"/>
      <c r="AJ2362" s="35"/>
      <c r="AK2362" s="35"/>
      <c r="AL2362" s="35">
        <v>1</v>
      </c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22">
        <f t="shared" si="762"/>
        <v>1</v>
      </c>
      <c r="BC2362" s="23">
        <v>0</v>
      </c>
      <c r="BD2362" s="130">
        <f t="shared" si="763"/>
        <v>1</v>
      </c>
      <c r="BE2362" s="130">
        <f t="shared" si="764"/>
        <v>0</v>
      </c>
      <c r="BF2362" s="195" t="e">
        <f t="shared" si="765"/>
        <v>#DIV/0!</v>
      </c>
      <c r="BG2362" s="373"/>
    </row>
    <row r="2363" spans="1:59" s="46" customFormat="1" ht="15.95" customHeight="1">
      <c r="A2363" s="176">
        <v>25</v>
      </c>
      <c r="B2363" s="31" t="s">
        <v>1016</v>
      </c>
      <c r="C2363" s="32" t="s">
        <v>2471</v>
      </c>
      <c r="D2363" s="552"/>
      <c r="E2363" s="552"/>
      <c r="F2363" s="552"/>
      <c r="G2363" s="552"/>
      <c r="H2363" s="552"/>
      <c r="I2363" s="552"/>
      <c r="J2363" s="552"/>
      <c r="K2363" s="552"/>
      <c r="L2363" s="552"/>
      <c r="M2363" s="552"/>
      <c r="N2363" s="552"/>
      <c r="O2363" s="552"/>
      <c r="P2363" s="552"/>
      <c r="Q2363" s="552"/>
      <c r="R2363" s="552"/>
      <c r="S2363" s="552"/>
      <c r="T2363" s="552"/>
      <c r="U2363" s="552"/>
      <c r="V2363" s="552"/>
      <c r="W2363" s="552"/>
      <c r="X2363" s="552"/>
      <c r="Y2363" s="552"/>
      <c r="Z2363" s="552"/>
      <c r="AA2363" s="552"/>
      <c r="AB2363" s="22">
        <f t="shared" si="761"/>
        <v>0</v>
      </c>
      <c r="AC2363" s="23">
        <v>0</v>
      </c>
      <c r="AD2363" s="35"/>
      <c r="AE2363" s="35"/>
      <c r="AF2363" s="35"/>
      <c r="AG2363" s="35"/>
      <c r="AH2363" s="35"/>
      <c r="AI2363" s="35"/>
      <c r="AJ2363" s="35"/>
      <c r="AK2363" s="35"/>
      <c r="AL2363" s="35">
        <v>1</v>
      </c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22">
        <f t="shared" si="762"/>
        <v>1</v>
      </c>
      <c r="BC2363" s="23">
        <v>0</v>
      </c>
      <c r="BD2363" s="130">
        <f t="shared" si="763"/>
        <v>1</v>
      </c>
      <c r="BE2363" s="130">
        <f t="shared" si="764"/>
        <v>0</v>
      </c>
      <c r="BF2363" s="195" t="e">
        <f t="shared" si="765"/>
        <v>#DIV/0!</v>
      </c>
      <c r="BG2363" s="373"/>
    </row>
    <row r="2364" spans="1:59" s="46" customFormat="1" ht="15.95" customHeight="1">
      <c r="A2364" s="176">
        <v>26</v>
      </c>
      <c r="B2364" s="31" t="s">
        <v>3504</v>
      </c>
      <c r="C2364" s="32" t="s">
        <v>3505</v>
      </c>
      <c r="D2364" s="231"/>
      <c r="E2364" s="231"/>
      <c r="F2364" s="231"/>
      <c r="G2364" s="231"/>
      <c r="H2364" s="231"/>
      <c r="I2364" s="231"/>
      <c r="J2364" s="231"/>
      <c r="K2364" s="231"/>
      <c r="L2364" s="231"/>
      <c r="M2364" s="231"/>
      <c r="N2364" s="231"/>
      <c r="O2364" s="231"/>
      <c r="P2364" s="231"/>
      <c r="Q2364" s="231"/>
      <c r="R2364" s="231"/>
      <c r="S2364" s="231"/>
      <c r="T2364" s="231"/>
      <c r="U2364" s="231"/>
      <c r="V2364" s="231"/>
      <c r="W2364" s="231"/>
      <c r="X2364" s="231"/>
      <c r="Y2364" s="231"/>
      <c r="Z2364" s="231"/>
      <c r="AA2364" s="231"/>
      <c r="AB2364" s="22">
        <f t="shared" si="761"/>
        <v>0</v>
      </c>
      <c r="AC2364" s="23">
        <v>0</v>
      </c>
      <c r="AD2364" s="35"/>
      <c r="AE2364" s="35"/>
      <c r="AF2364" s="35"/>
      <c r="AG2364" s="35"/>
      <c r="AH2364" s="35">
        <v>9</v>
      </c>
      <c r="AI2364" s="35"/>
      <c r="AJ2364" s="35"/>
      <c r="AK2364" s="35"/>
      <c r="AL2364" s="35">
        <v>33</v>
      </c>
      <c r="AM2364" s="35"/>
      <c r="AN2364" s="35"/>
      <c r="AO2364" s="35"/>
      <c r="AP2364" s="35">
        <v>23</v>
      </c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22">
        <f t="shared" si="762"/>
        <v>65</v>
      </c>
      <c r="BC2364" s="23">
        <v>4</v>
      </c>
      <c r="BD2364" s="130">
        <f t="shared" si="763"/>
        <v>65</v>
      </c>
      <c r="BE2364" s="130">
        <f t="shared" si="764"/>
        <v>4</v>
      </c>
      <c r="BF2364" s="195">
        <f t="shared" si="765"/>
        <v>1625</v>
      </c>
      <c r="BG2364" s="373">
        <f>BE2364-BD2364</f>
        <v>-61</v>
      </c>
    </row>
    <row r="2365" spans="1:59" s="46" customFormat="1" ht="15.95" customHeight="1">
      <c r="A2365" s="176">
        <v>27</v>
      </c>
      <c r="B2365" s="31" t="s">
        <v>851</v>
      </c>
      <c r="C2365" s="32" t="s">
        <v>1359</v>
      </c>
      <c r="D2365" s="575"/>
      <c r="E2365" s="575"/>
      <c r="F2365" s="575"/>
      <c r="G2365" s="575"/>
      <c r="H2365" s="575"/>
      <c r="I2365" s="575"/>
      <c r="J2365" s="575"/>
      <c r="K2365" s="575"/>
      <c r="L2365" s="575"/>
      <c r="M2365" s="575"/>
      <c r="N2365" s="575"/>
      <c r="O2365" s="575"/>
      <c r="P2365" s="575"/>
      <c r="Q2365" s="575"/>
      <c r="R2365" s="575"/>
      <c r="S2365" s="575"/>
      <c r="T2365" s="575"/>
      <c r="U2365" s="575"/>
      <c r="V2365" s="575"/>
      <c r="W2365" s="575"/>
      <c r="X2365" s="575"/>
      <c r="Y2365" s="575"/>
      <c r="Z2365" s="575"/>
      <c r="AA2365" s="575"/>
      <c r="AB2365" s="22">
        <f t="shared" si="761"/>
        <v>0</v>
      </c>
      <c r="AC2365" s="23">
        <v>0</v>
      </c>
      <c r="AD2365" s="35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>
        <v>6</v>
      </c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22">
        <f t="shared" si="762"/>
        <v>6</v>
      </c>
      <c r="BC2365" s="23">
        <v>0</v>
      </c>
      <c r="BD2365" s="130">
        <f t="shared" si="763"/>
        <v>6</v>
      </c>
      <c r="BE2365" s="130">
        <f t="shared" si="764"/>
        <v>0</v>
      </c>
      <c r="BF2365" s="195" t="e">
        <f t="shared" si="765"/>
        <v>#DIV/0!</v>
      </c>
      <c r="BG2365" s="373"/>
    </row>
    <row r="2366" spans="1:59" s="46" customFormat="1" ht="15.95" customHeight="1">
      <c r="A2366" s="176">
        <v>28</v>
      </c>
      <c r="B2366" s="31" t="s">
        <v>1867</v>
      </c>
      <c r="C2366" s="32" t="s">
        <v>1868</v>
      </c>
      <c r="D2366" s="552"/>
      <c r="E2366" s="552"/>
      <c r="F2366" s="552"/>
      <c r="G2366" s="552"/>
      <c r="H2366" s="552"/>
      <c r="I2366" s="552"/>
      <c r="J2366" s="552"/>
      <c r="K2366" s="552"/>
      <c r="L2366" s="552"/>
      <c r="M2366" s="552"/>
      <c r="N2366" s="552"/>
      <c r="O2366" s="552"/>
      <c r="P2366" s="552"/>
      <c r="Q2366" s="552"/>
      <c r="R2366" s="552"/>
      <c r="S2366" s="552"/>
      <c r="T2366" s="552"/>
      <c r="U2366" s="552"/>
      <c r="V2366" s="552"/>
      <c r="W2366" s="552"/>
      <c r="X2366" s="552"/>
      <c r="Y2366" s="552"/>
      <c r="Z2366" s="552"/>
      <c r="AA2366" s="552"/>
      <c r="AB2366" s="22">
        <f t="shared" si="761"/>
        <v>0</v>
      </c>
      <c r="AC2366" s="23">
        <v>0</v>
      </c>
      <c r="AD2366" s="35"/>
      <c r="AE2366" s="35"/>
      <c r="AF2366" s="35"/>
      <c r="AG2366" s="35"/>
      <c r="AH2366" s="35"/>
      <c r="AI2366" s="35"/>
      <c r="AJ2366" s="35"/>
      <c r="AK2366" s="35"/>
      <c r="AL2366" s="35">
        <v>4</v>
      </c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22">
        <f t="shared" si="762"/>
        <v>4</v>
      </c>
      <c r="BC2366" s="23">
        <v>0</v>
      </c>
      <c r="BD2366" s="130">
        <f t="shared" si="763"/>
        <v>4</v>
      </c>
      <c r="BE2366" s="130">
        <f t="shared" si="764"/>
        <v>0</v>
      </c>
      <c r="BF2366" s="195" t="e">
        <f t="shared" si="765"/>
        <v>#DIV/0!</v>
      </c>
      <c r="BG2366" s="373"/>
    </row>
    <row r="2367" spans="1:59" s="46" customFormat="1" ht="15.95" customHeight="1">
      <c r="A2367" s="176">
        <v>29</v>
      </c>
      <c r="B2367" s="31" t="s">
        <v>1088</v>
      </c>
      <c r="C2367" s="32" t="s">
        <v>2084</v>
      </c>
      <c r="D2367" s="231"/>
      <c r="E2367" s="231"/>
      <c r="F2367" s="231"/>
      <c r="G2367" s="231"/>
      <c r="H2367" s="231"/>
      <c r="I2367" s="231"/>
      <c r="J2367" s="231"/>
      <c r="K2367" s="231"/>
      <c r="L2367" s="231"/>
      <c r="M2367" s="231"/>
      <c r="N2367" s="231"/>
      <c r="O2367" s="231"/>
      <c r="P2367" s="231"/>
      <c r="Q2367" s="231"/>
      <c r="R2367" s="231"/>
      <c r="S2367" s="231"/>
      <c r="T2367" s="231"/>
      <c r="U2367" s="231"/>
      <c r="V2367" s="231"/>
      <c r="W2367" s="231"/>
      <c r="X2367" s="231"/>
      <c r="Y2367" s="231"/>
      <c r="Z2367" s="231"/>
      <c r="AA2367" s="231"/>
      <c r="AB2367" s="22">
        <f t="shared" si="761"/>
        <v>0</v>
      </c>
      <c r="AC2367" s="23">
        <v>0</v>
      </c>
      <c r="AD2367" s="35"/>
      <c r="AE2367" s="35"/>
      <c r="AF2367" s="35"/>
      <c r="AG2367" s="35"/>
      <c r="AH2367" s="35">
        <v>30</v>
      </c>
      <c r="AI2367" s="35"/>
      <c r="AJ2367" s="35"/>
      <c r="AK2367" s="35"/>
      <c r="AL2367" s="35">
        <v>89</v>
      </c>
      <c r="AM2367" s="35"/>
      <c r="AN2367" s="35"/>
      <c r="AO2367" s="35"/>
      <c r="AP2367" s="35">
        <v>186</v>
      </c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22">
        <f t="shared" si="762"/>
        <v>305</v>
      </c>
      <c r="BC2367" s="23">
        <v>2</v>
      </c>
      <c r="BD2367" s="130">
        <f t="shared" si="763"/>
        <v>305</v>
      </c>
      <c r="BE2367" s="130">
        <f t="shared" si="764"/>
        <v>2</v>
      </c>
      <c r="BF2367" s="195">
        <f t="shared" si="765"/>
        <v>15250</v>
      </c>
      <c r="BG2367" s="373">
        <f>BE2367-BD2367</f>
        <v>-303</v>
      </c>
    </row>
    <row r="2368" spans="1:59" s="46" customFormat="1" ht="15.95" customHeight="1">
      <c r="A2368" s="176">
        <v>30</v>
      </c>
      <c r="B2368" s="31" t="s">
        <v>1051</v>
      </c>
      <c r="C2368" s="34" t="s">
        <v>1052</v>
      </c>
      <c r="D2368" s="327"/>
      <c r="E2368" s="327"/>
      <c r="F2368" s="327"/>
      <c r="G2368" s="327"/>
      <c r="H2368" s="327">
        <v>1</v>
      </c>
      <c r="I2368" s="327"/>
      <c r="J2368" s="327"/>
      <c r="K2368" s="327"/>
      <c r="L2368" s="327"/>
      <c r="M2368" s="327"/>
      <c r="N2368" s="327"/>
      <c r="O2368" s="327"/>
      <c r="P2368" s="327"/>
      <c r="Q2368" s="327"/>
      <c r="R2368" s="327"/>
      <c r="S2368" s="327"/>
      <c r="T2368" s="327"/>
      <c r="U2368" s="327"/>
      <c r="V2368" s="327"/>
      <c r="W2368" s="327"/>
      <c r="X2368" s="327"/>
      <c r="Y2368" s="327"/>
      <c r="Z2368" s="327"/>
      <c r="AA2368" s="327"/>
      <c r="AB2368" s="22">
        <f t="shared" si="761"/>
        <v>1</v>
      </c>
      <c r="AC2368" s="23">
        <v>4</v>
      </c>
      <c r="AD2368" s="35"/>
      <c r="AE2368" s="35"/>
      <c r="AF2368" s="35"/>
      <c r="AG2368" s="35"/>
      <c r="AH2368" s="35"/>
      <c r="AI2368" s="35"/>
      <c r="AJ2368" s="35"/>
      <c r="AK2368" s="35"/>
      <c r="AL2368" s="35">
        <v>1</v>
      </c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22">
        <f t="shared" si="762"/>
        <v>1</v>
      </c>
      <c r="BC2368" s="23">
        <v>0</v>
      </c>
      <c r="BD2368" s="130">
        <f t="shared" si="763"/>
        <v>2</v>
      </c>
      <c r="BE2368" s="130">
        <f t="shared" si="764"/>
        <v>4</v>
      </c>
      <c r="BF2368" s="195">
        <f t="shared" si="765"/>
        <v>50</v>
      </c>
      <c r="BG2368" s="373">
        <f>BE2368-BD2368</f>
        <v>2</v>
      </c>
    </row>
    <row r="2369" spans="1:61" s="46" customFormat="1" ht="15.95" customHeight="1">
      <c r="A2369" s="176">
        <v>31</v>
      </c>
      <c r="B2369" s="31" t="s">
        <v>856</v>
      </c>
      <c r="C2369" s="34" t="s">
        <v>1123</v>
      </c>
      <c r="D2369" s="366"/>
      <c r="E2369" s="366"/>
      <c r="F2369" s="366"/>
      <c r="G2369" s="366"/>
      <c r="H2369" s="366">
        <v>10</v>
      </c>
      <c r="I2369" s="366"/>
      <c r="J2369" s="366"/>
      <c r="K2369" s="366"/>
      <c r="L2369" s="366">
        <v>23</v>
      </c>
      <c r="M2369" s="366"/>
      <c r="N2369" s="366"/>
      <c r="O2369" s="366"/>
      <c r="P2369" s="366">
        <v>21</v>
      </c>
      <c r="Q2369" s="366"/>
      <c r="R2369" s="366"/>
      <c r="S2369" s="366"/>
      <c r="T2369" s="366"/>
      <c r="U2369" s="366"/>
      <c r="V2369" s="366"/>
      <c r="W2369" s="366"/>
      <c r="X2369" s="366"/>
      <c r="Y2369" s="366"/>
      <c r="Z2369" s="366"/>
      <c r="AA2369" s="366"/>
      <c r="AB2369" s="22">
        <f t="shared" si="761"/>
        <v>54</v>
      </c>
      <c r="AC2369" s="23">
        <v>67</v>
      </c>
      <c r="AD2369" s="35"/>
      <c r="AE2369" s="35"/>
      <c r="AF2369" s="35"/>
      <c r="AG2369" s="35"/>
      <c r="AH2369" s="35">
        <v>210</v>
      </c>
      <c r="AI2369" s="35"/>
      <c r="AJ2369" s="35"/>
      <c r="AK2369" s="35"/>
      <c r="AL2369" s="35">
        <v>873</v>
      </c>
      <c r="AM2369" s="35"/>
      <c r="AN2369" s="35"/>
      <c r="AO2369" s="35"/>
      <c r="AP2369" s="35">
        <v>1049</v>
      </c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22">
        <f t="shared" si="762"/>
        <v>2132</v>
      </c>
      <c r="BC2369" s="23">
        <v>0</v>
      </c>
      <c r="BD2369" s="130">
        <f t="shared" si="763"/>
        <v>2186</v>
      </c>
      <c r="BE2369" s="130">
        <f t="shared" si="764"/>
        <v>67</v>
      </c>
      <c r="BF2369" s="195">
        <f t="shared" si="765"/>
        <v>3262.686567164179</v>
      </c>
      <c r="BG2369" s="373">
        <f>BE2369-BD2369</f>
        <v>-2119</v>
      </c>
    </row>
    <row r="2370" spans="1:61" s="46" customFormat="1" ht="15.95" customHeight="1">
      <c r="A2370" s="176">
        <v>32</v>
      </c>
      <c r="B2370" s="31" t="s">
        <v>1024</v>
      </c>
      <c r="C2370" s="34" t="s">
        <v>1644</v>
      </c>
      <c r="D2370" s="552"/>
      <c r="E2370" s="552"/>
      <c r="F2370" s="552"/>
      <c r="G2370" s="552"/>
      <c r="H2370" s="552"/>
      <c r="I2370" s="552"/>
      <c r="J2370" s="552"/>
      <c r="K2370" s="552"/>
      <c r="L2370" s="552"/>
      <c r="M2370" s="552"/>
      <c r="N2370" s="552"/>
      <c r="O2370" s="552"/>
      <c r="P2370" s="552"/>
      <c r="Q2370" s="552"/>
      <c r="R2370" s="552"/>
      <c r="S2370" s="552"/>
      <c r="T2370" s="552"/>
      <c r="U2370" s="552"/>
      <c r="V2370" s="552"/>
      <c r="W2370" s="552"/>
      <c r="X2370" s="552"/>
      <c r="Y2370" s="552"/>
      <c r="Z2370" s="552"/>
      <c r="AA2370" s="552"/>
      <c r="AB2370" s="22">
        <f t="shared" si="761"/>
        <v>0</v>
      </c>
      <c r="AC2370" s="23">
        <v>0</v>
      </c>
      <c r="AD2370" s="35"/>
      <c r="AE2370" s="35"/>
      <c r="AF2370" s="35"/>
      <c r="AG2370" s="35"/>
      <c r="AH2370" s="35"/>
      <c r="AI2370" s="35"/>
      <c r="AJ2370" s="35"/>
      <c r="AK2370" s="35"/>
      <c r="AL2370" s="35">
        <v>1</v>
      </c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22">
        <f t="shared" si="762"/>
        <v>1</v>
      </c>
      <c r="BC2370" s="23">
        <v>0</v>
      </c>
      <c r="BD2370" s="130">
        <f t="shared" si="763"/>
        <v>1</v>
      </c>
      <c r="BE2370" s="130">
        <f t="shared" si="764"/>
        <v>0</v>
      </c>
      <c r="BF2370" s="195" t="e">
        <f t="shared" si="765"/>
        <v>#DIV/0!</v>
      </c>
      <c r="BG2370" s="373"/>
    </row>
    <row r="2371" spans="1:61" s="46" customFormat="1" ht="15.95" customHeight="1">
      <c r="A2371" s="176">
        <v>33</v>
      </c>
      <c r="B2371" s="31" t="s">
        <v>1209</v>
      </c>
      <c r="C2371" s="34" t="s">
        <v>1645</v>
      </c>
      <c r="D2371" s="575"/>
      <c r="E2371" s="575"/>
      <c r="F2371" s="575"/>
      <c r="G2371" s="575"/>
      <c r="H2371" s="575"/>
      <c r="I2371" s="575"/>
      <c r="J2371" s="575"/>
      <c r="K2371" s="575"/>
      <c r="L2371" s="575"/>
      <c r="M2371" s="575"/>
      <c r="N2371" s="575"/>
      <c r="O2371" s="575"/>
      <c r="P2371" s="575"/>
      <c r="Q2371" s="575"/>
      <c r="R2371" s="575"/>
      <c r="S2371" s="575"/>
      <c r="T2371" s="575"/>
      <c r="U2371" s="575"/>
      <c r="V2371" s="575"/>
      <c r="W2371" s="575"/>
      <c r="X2371" s="575"/>
      <c r="Y2371" s="575"/>
      <c r="Z2371" s="575"/>
      <c r="AA2371" s="575"/>
      <c r="AB2371" s="22">
        <f t="shared" si="761"/>
        <v>0</v>
      </c>
      <c r="AC2371" s="23">
        <v>0</v>
      </c>
      <c r="AD2371" s="35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>
        <v>1</v>
      </c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22">
        <f t="shared" si="762"/>
        <v>1</v>
      </c>
      <c r="BC2371" s="23">
        <v>0</v>
      </c>
      <c r="BD2371" s="130">
        <f t="shared" si="763"/>
        <v>1</v>
      </c>
      <c r="BE2371" s="130">
        <f t="shared" si="764"/>
        <v>0</v>
      </c>
      <c r="BF2371" s="195" t="e">
        <f t="shared" si="765"/>
        <v>#DIV/0!</v>
      </c>
      <c r="BG2371" s="373"/>
    </row>
    <row r="2372" spans="1:61" s="46" customFormat="1" ht="15.95" customHeight="1">
      <c r="A2372" s="176">
        <v>34</v>
      </c>
      <c r="B2372" s="31" t="s">
        <v>858</v>
      </c>
      <c r="C2372" s="32" t="s">
        <v>859</v>
      </c>
      <c r="D2372" s="366"/>
      <c r="E2372" s="366"/>
      <c r="F2372" s="366"/>
      <c r="G2372" s="366"/>
      <c r="H2372" s="366"/>
      <c r="I2372" s="366"/>
      <c r="J2372" s="366"/>
      <c r="K2372" s="366"/>
      <c r="L2372" s="366"/>
      <c r="M2372" s="366"/>
      <c r="N2372" s="366"/>
      <c r="O2372" s="366"/>
      <c r="P2372" s="366"/>
      <c r="Q2372" s="366"/>
      <c r="R2372" s="366"/>
      <c r="S2372" s="366"/>
      <c r="T2372" s="366"/>
      <c r="U2372" s="366"/>
      <c r="V2372" s="366"/>
      <c r="W2372" s="366"/>
      <c r="X2372" s="366"/>
      <c r="Y2372" s="366"/>
      <c r="Z2372" s="366"/>
      <c r="AA2372" s="366"/>
      <c r="AB2372" s="22">
        <f t="shared" si="761"/>
        <v>0</v>
      </c>
      <c r="AC2372" s="23">
        <v>0</v>
      </c>
      <c r="AD2372" s="35"/>
      <c r="AE2372" s="35"/>
      <c r="AF2372" s="35"/>
      <c r="AG2372" s="35"/>
      <c r="AH2372" s="35">
        <v>48</v>
      </c>
      <c r="AI2372" s="35"/>
      <c r="AJ2372" s="35"/>
      <c r="AK2372" s="35"/>
      <c r="AL2372" s="35">
        <v>288</v>
      </c>
      <c r="AM2372" s="35"/>
      <c r="AN2372" s="35"/>
      <c r="AO2372" s="35"/>
      <c r="AP2372" s="35">
        <v>275</v>
      </c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22">
        <f t="shared" si="762"/>
        <v>611</v>
      </c>
      <c r="BC2372" s="23">
        <v>23</v>
      </c>
      <c r="BD2372" s="130">
        <f t="shared" si="763"/>
        <v>611</v>
      </c>
      <c r="BE2372" s="130">
        <f t="shared" si="764"/>
        <v>23</v>
      </c>
      <c r="BF2372" s="195">
        <f t="shared" si="765"/>
        <v>2656.521739130435</v>
      </c>
      <c r="BG2372" s="373">
        <f>BE2372-BD2372</f>
        <v>-588</v>
      </c>
    </row>
    <row r="2373" spans="1:61" s="46" customFormat="1" ht="15.95" customHeight="1">
      <c r="A2373" s="176">
        <v>35</v>
      </c>
      <c r="B2373" s="31" t="s">
        <v>860</v>
      </c>
      <c r="C2373" s="32" t="s">
        <v>2509</v>
      </c>
      <c r="D2373" s="231"/>
      <c r="E2373" s="231"/>
      <c r="F2373" s="231"/>
      <c r="G2373" s="231"/>
      <c r="H2373" s="231"/>
      <c r="I2373" s="231"/>
      <c r="J2373" s="231"/>
      <c r="K2373" s="231"/>
      <c r="L2373" s="231"/>
      <c r="M2373" s="231"/>
      <c r="N2373" s="231"/>
      <c r="O2373" s="231"/>
      <c r="P2373" s="231"/>
      <c r="Q2373" s="231"/>
      <c r="R2373" s="231"/>
      <c r="S2373" s="231"/>
      <c r="T2373" s="231"/>
      <c r="U2373" s="231"/>
      <c r="V2373" s="231"/>
      <c r="W2373" s="231"/>
      <c r="X2373" s="231"/>
      <c r="Y2373" s="231"/>
      <c r="Z2373" s="231"/>
      <c r="AA2373" s="231"/>
      <c r="AB2373" s="22">
        <f t="shared" si="761"/>
        <v>0</v>
      </c>
      <c r="AC2373" s="23">
        <v>0</v>
      </c>
      <c r="AD2373" s="35"/>
      <c r="AE2373" s="35"/>
      <c r="AF2373" s="35"/>
      <c r="AG2373" s="35"/>
      <c r="AH2373" s="35">
        <v>248</v>
      </c>
      <c r="AI2373" s="35"/>
      <c r="AJ2373" s="35"/>
      <c r="AK2373" s="35"/>
      <c r="AL2373" s="35">
        <v>877</v>
      </c>
      <c r="AM2373" s="35"/>
      <c r="AN2373" s="35"/>
      <c r="AO2373" s="35"/>
      <c r="AP2373" s="35">
        <v>934</v>
      </c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22">
        <f t="shared" si="762"/>
        <v>2059</v>
      </c>
      <c r="BC2373" s="23">
        <v>257</v>
      </c>
      <c r="BD2373" s="130">
        <f t="shared" si="763"/>
        <v>2059</v>
      </c>
      <c r="BE2373" s="130">
        <f t="shared" si="764"/>
        <v>257</v>
      </c>
      <c r="BF2373" s="195">
        <f t="shared" si="765"/>
        <v>801.16731517509731</v>
      </c>
      <c r="BG2373" s="373">
        <f>BE2373-BD2373</f>
        <v>-1802</v>
      </c>
    </row>
    <row r="2374" spans="1:61" s="46" customFormat="1" ht="15.95" customHeight="1">
      <c r="A2374" s="176">
        <v>36</v>
      </c>
      <c r="B2374" s="31" t="s">
        <v>922</v>
      </c>
      <c r="C2374" s="32" t="s">
        <v>2013</v>
      </c>
      <c r="D2374" s="552"/>
      <c r="E2374" s="552"/>
      <c r="F2374" s="552"/>
      <c r="G2374" s="552"/>
      <c r="H2374" s="552"/>
      <c r="I2374" s="552"/>
      <c r="J2374" s="552"/>
      <c r="K2374" s="552"/>
      <c r="L2374" s="552"/>
      <c r="M2374" s="552"/>
      <c r="N2374" s="552"/>
      <c r="O2374" s="552"/>
      <c r="P2374" s="552"/>
      <c r="Q2374" s="552"/>
      <c r="R2374" s="552"/>
      <c r="S2374" s="552"/>
      <c r="T2374" s="552"/>
      <c r="U2374" s="552"/>
      <c r="V2374" s="552"/>
      <c r="W2374" s="552"/>
      <c r="X2374" s="552"/>
      <c r="Y2374" s="552"/>
      <c r="Z2374" s="552"/>
      <c r="AA2374" s="552"/>
      <c r="AB2374" s="22">
        <f t="shared" si="761"/>
        <v>0</v>
      </c>
      <c r="AC2374" s="23">
        <v>0</v>
      </c>
      <c r="AD2374" s="35"/>
      <c r="AE2374" s="35"/>
      <c r="AF2374" s="35"/>
      <c r="AG2374" s="35"/>
      <c r="AH2374" s="35"/>
      <c r="AI2374" s="35"/>
      <c r="AJ2374" s="35"/>
      <c r="AK2374" s="35"/>
      <c r="AL2374" s="35">
        <v>11</v>
      </c>
      <c r="AM2374" s="35"/>
      <c r="AN2374" s="35"/>
      <c r="AO2374" s="35"/>
      <c r="AP2374" s="35">
        <v>4</v>
      </c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22">
        <f t="shared" si="762"/>
        <v>15</v>
      </c>
      <c r="BC2374" s="23">
        <v>0</v>
      </c>
      <c r="BD2374" s="130">
        <f t="shared" si="763"/>
        <v>15</v>
      </c>
      <c r="BE2374" s="130">
        <f t="shared" si="764"/>
        <v>0</v>
      </c>
      <c r="BF2374" s="195" t="e">
        <f t="shared" si="765"/>
        <v>#DIV/0!</v>
      </c>
      <c r="BG2374" s="373"/>
    </row>
    <row r="2375" spans="1:61" s="46" customFormat="1" ht="15.95" customHeight="1">
      <c r="A2375" s="176">
        <v>37</v>
      </c>
      <c r="B2375" s="31" t="s">
        <v>1029</v>
      </c>
      <c r="C2375" s="32" t="s">
        <v>1123</v>
      </c>
      <c r="D2375" s="231"/>
      <c r="E2375" s="231"/>
      <c r="F2375" s="231"/>
      <c r="G2375" s="231"/>
      <c r="H2375" s="231"/>
      <c r="I2375" s="231"/>
      <c r="J2375" s="231"/>
      <c r="K2375" s="231"/>
      <c r="L2375" s="231"/>
      <c r="M2375" s="231"/>
      <c r="N2375" s="231"/>
      <c r="O2375" s="231"/>
      <c r="P2375" s="231"/>
      <c r="Q2375" s="231"/>
      <c r="R2375" s="231"/>
      <c r="S2375" s="231"/>
      <c r="T2375" s="231"/>
      <c r="U2375" s="231"/>
      <c r="V2375" s="231"/>
      <c r="W2375" s="231"/>
      <c r="X2375" s="231"/>
      <c r="Y2375" s="231"/>
      <c r="Z2375" s="231"/>
      <c r="AA2375" s="231"/>
      <c r="AB2375" s="22">
        <f t="shared" si="761"/>
        <v>0</v>
      </c>
      <c r="AC2375" s="23">
        <v>0</v>
      </c>
      <c r="AD2375" s="35"/>
      <c r="AE2375" s="35"/>
      <c r="AF2375" s="35"/>
      <c r="AG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22">
        <f t="shared" si="762"/>
        <v>0</v>
      </c>
      <c r="BC2375" s="23">
        <v>2</v>
      </c>
      <c r="BD2375" s="130">
        <f t="shared" si="763"/>
        <v>0</v>
      </c>
      <c r="BE2375" s="130">
        <f t="shared" si="764"/>
        <v>2</v>
      </c>
      <c r="BF2375" s="195">
        <f t="shared" si="765"/>
        <v>0</v>
      </c>
      <c r="BG2375" s="373">
        <f>BE2375-BD2375</f>
        <v>2</v>
      </c>
    </row>
    <row r="2376" spans="1:61" s="46" customFormat="1" ht="15.95" customHeight="1">
      <c r="A2376" s="176">
        <v>38</v>
      </c>
      <c r="B2376" s="31" t="s">
        <v>1030</v>
      </c>
      <c r="C2376" s="34" t="s">
        <v>1653</v>
      </c>
      <c r="D2376" s="231"/>
      <c r="E2376" s="231"/>
      <c r="F2376" s="231"/>
      <c r="G2376" s="231"/>
      <c r="H2376" s="231">
        <v>4</v>
      </c>
      <c r="I2376" s="231"/>
      <c r="J2376" s="231"/>
      <c r="K2376" s="231"/>
      <c r="L2376" s="231">
        <v>5</v>
      </c>
      <c r="M2376" s="231"/>
      <c r="N2376" s="231"/>
      <c r="O2376" s="231"/>
      <c r="P2376" s="231">
        <v>10</v>
      </c>
      <c r="Q2376" s="231"/>
      <c r="R2376" s="231"/>
      <c r="S2376" s="231"/>
      <c r="T2376" s="231"/>
      <c r="U2376" s="231"/>
      <c r="V2376" s="231"/>
      <c r="W2376" s="231"/>
      <c r="X2376" s="231"/>
      <c r="Y2376" s="231"/>
      <c r="Z2376" s="231"/>
      <c r="AA2376" s="231"/>
      <c r="AB2376" s="22">
        <f t="shared" si="761"/>
        <v>19</v>
      </c>
      <c r="AC2376" s="23">
        <v>2</v>
      </c>
      <c r="AD2376" s="35"/>
      <c r="AE2376" s="35"/>
      <c r="AF2376" s="35"/>
      <c r="AG2376" s="35"/>
      <c r="AH2376" s="35">
        <v>230</v>
      </c>
      <c r="AI2376" s="35"/>
      <c r="AJ2376" s="35"/>
      <c r="AK2376" s="35"/>
      <c r="AL2376" s="35">
        <v>469</v>
      </c>
      <c r="AM2376" s="35"/>
      <c r="AN2376" s="35"/>
      <c r="AO2376" s="35"/>
      <c r="AP2376" s="35">
        <v>396</v>
      </c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22">
        <f t="shared" si="762"/>
        <v>1095</v>
      </c>
      <c r="BC2376" s="23">
        <v>0</v>
      </c>
      <c r="BD2376" s="130">
        <f t="shared" si="763"/>
        <v>1114</v>
      </c>
      <c r="BE2376" s="130">
        <f t="shared" si="764"/>
        <v>2</v>
      </c>
      <c r="BF2376" s="195">
        <f t="shared" si="765"/>
        <v>55700</v>
      </c>
      <c r="BG2376" s="373">
        <f>BE2376-BD2376</f>
        <v>-1112</v>
      </c>
    </row>
    <row r="2377" spans="1:61" s="46" customFormat="1" ht="15.95" customHeight="1">
      <c r="A2377" s="176">
        <v>39</v>
      </c>
      <c r="B2377" s="31" t="s">
        <v>1034</v>
      </c>
      <c r="C2377" s="34" t="s">
        <v>1660</v>
      </c>
      <c r="D2377" s="575"/>
      <c r="E2377" s="575"/>
      <c r="F2377" s="575"/>
      <c r="G2377" s="575"/>
      <c r="H2377" s="575"/>
      <c r="I2377" s="575"/>
      <c r="J2377" s="575"/>
      <c r="K2377" s="575"/>
      <c r="L2377" s="575"/>
      <c r="M2377" s="575"/>
      <c r="N2377" s="575"/>
      <c r="O2377" s="575"/>
      <c r="P2377" s="575">
        <v>1</v>
      </c>
      <c r="Q2377" s="575"/>
      <c r="R2377" s="575"/>
      <c r="S2377" s="575"/>
      <c r="T2377" s="575"/>
      <c r="U2377" s="575"/>
      <c r="V2377" s="575"/>
      <c r="W2377" s="575"/>
      <c r="X2377" s="575"/>
      <c r="Y2377" s="575"/>
      <c r="Z2377" s="575"/>
      <c r="AA2377" s="575"/>
      <c r="AB2377" s="22">
        <f t="shared" si="761"/>
        <v>1</v>
      </c>
      <c r="AC2377" s="23">
        <v>0</v>
      </c>
      <c r="AD2377" s="35"/>
      <c r="AE2377" s="35"/>
      <c r="AF2377" s="35"/>
      <c r="AG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22">
        <f t="shared" si="762"/>
        <v>0</v>
      </c>
      <c r="BC2377" s="23">
        <v>0</v>
      </c>
      <c r="BD2377" s="130">
        <f t="shared" si="763"/>
        <v>1</v>
      </c>
      <c r="BE2377" s="130">
        <f t="shared" si="764"/>
        <v>0</v>
      </c>
      <c r="BF2377" s="195" t="e">
        <f t="shared" si="765"/>
        <v>#DIV/0!</v>
      </c>
      <c r="BG2377" s="373"/>
    </row>
    <row r="2378" spans="1:61" s="46" customFormat="1" ht="15.95" customHeight="1">
      <c r="A2378" s="176">
        <v>40</v>
      </c>
      <c r="B2378" s="31" t="s">
        <v>977</v>
      </c>
      <c r="C2378" s="34" t="s">
        <v>978</v>
      </c>
      <c r="D2378" s="552"/>
      <c r="E2378" s="552"/>
      <c r="F2378" s="552"/>
      <c r="G2378" s="552"/>
      <c r="H2378" s="552"/>
      <c r="I2378" s="552"/>
      <c r="J2378" s="552"/>
      <c r="K2378" s="552"/>
      <c r="L2378" s="552">
        <v>13</v>
      </c>
      <c r="M2378" s="552"/>
      <c r="N2378" s="552"/>
      <c r="O2378" s="552"/>
      <c r="P2378" s="552">
        <v>33</v>
      </c>
      <c r="Q2378" s="552"/>
      <c r="R2378" s="552"/>
      <c r="S2378" s="552"/>
      <c r="T2378" s="552"/>
      <c r="U2378" s="552"/>
      <c r="V2378" s="552"/>
      <c r="W2378" s="552"/>
      <c r="X2378" s="552"/>
      <c r="Y2378" s="552"/>
      <c r="Z2378" s="552"/>
      <c r="AA2378" s="552"/>
      <c r="AB2378" s="22">
        <f t="shared" si="761"/>
        <v>46</v>
      </c>
      <c r="AC2378" s="23">
        <v>0</v>
      </c>
      <c r="AD2378" s="35"/>
      <c r="AE2378" s="35"/>
      <c r="AF2378" s="35"/>
      <c r="AG2378" s="35"/>
      <c r="AH2378" s="35"/>
      <c r="AI2378" s="35"/>
      <c r="AJ2378" s="35"/>
      <c r="AK2378" s="35"/>
      <c r="AL2378" s="35">
        <v>67</v>
      </c>
      <c r="AM2378" s="35"/>
      <c r="AN2378" s="35"/>
      <c r="AO2378" s="35"/>
      <c r="AP2378" s="35">
        <v>35</v>
      </c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22">
        <f t="shared" si="762"/>
        <v>102</v>
      </c>
      <c r="BC2378" s="23">
        <v>0</v>
      </c>
      <c r="BD2378" s="130">
        <f t="shared" si="763"/>
        <v>148</v>
      </c>
      <c r="BE2378" s="130">
        <f t="shared" si="764"/>
        <v>0</v>
      </c>
      <c r="BF2378" s="195" t="e">
        <f t="shared" si="765"/>
        <v>#DIV/0!</v>
      </c>
      <c r="BG2378" s="373"/>
    </row>
    <row r="2379" spans="1:61" s="46" customFormat="1" ht="15.95" customHeight="1">
      <c r="A2379" s="176">
        <v>41</v>
      </c>
      <c r="B2379" s="411" t="s">
        <v>3052</v>
      </c>
      <c r="C2379" s="448" t="s">
        <v>3053</v>
      </c>
      <c r="D2379" s="231"/>
      <c r="E2379" s="231"/>
      <c r="F2379" s="231"/>
      <c r="G2379" s="231"/>
      <c r="H2379" s="231"/>
      <c r="I2379" s="231"/>
      <c r="J2379" s="231"/>
      <c r="K2379" s="231"/>
      <c r="L2379" s="231">
        <v>1</v>
      </c>
      <c r="M2379" s="231"/>
      <c r="N2379" s="231"/>
      <c r="O2379" s="231"/>
      <c r="P2379" s="231"/>
      <c r="Q2379" s="231"/>
      <c r="R2379" s="231"/>
      <c r="S2379" s="231"/>
      <c r="T2379" s="231"/>
      <c r="U2379" s="231"/>
      <c r="V2379" s="231"/>
      <c r="W2379" s="231"/>
      <c r="X2379" s="231"/>
      <c r="Y2379" s="231"/>
      <c r="Z2379" s="231"/>
      <c r="AA2379" s="231"/>
      <c r="AB2379" s="22">
        <f t="shared" si="761"/>
        <v>1</v>
      </c>
      <c r="AC2379" s="23">
        <v>205</v>
      </c>
      <c r="AD2379" s="35"/>
      <c r="AE2379" s="35"/>
      <c r="AF2379" s="35"/>
      <c r="AG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22">
        <f t="shared" si="762"/>
        <v>0</v>
      </c>
      <c r="BC2379" s="23">
        <v>0</v>
      </c>
      <c r="BD2379" s="130">
        <f t="shared" si="763"/>
        <v>1</v>
      </c>
      <c r="BE2379" s="130">
        <f t="shared" si="764"/>
        <v>205</v>
      </c>
      <c r="BF2379" s="195">
        <f t="shared" si="765"/>
        <v>0.48780487804878048</v>
      </c>
      <c r="BG2379" s="373">
        <f>BE2379-BD2379</f>
        <v>204</v>
      </c>
    </row>
    <row r="2380" spans="1:61" s="46" customFormat="1" ht="15.95" customHeight="1">
      <c r="A2380" s="176">
        <v>42</v>
      </c>
      <c r="B2380" s="437" t="s">
        <v>3047</v>
      </c>
      <c r="C2380" s="439" t="s">
        <v>3048</v>
      </c>
      <c r="D2380" s="231"/>
      <c r="E2380" s="231"/>
      <c r="F2380" s="231"/>
      <c r="G2380" s="231"/>
      <c r="H2380" s="231">
        <v>234</v>
      </c>
      <c r="I2380" s="231"/>
      <c r="J2380" s="231"/>
      <c r="K2380" s="231"/>
      <c r="L2380" s="231">
        <f>3+888</f>
        <v>891</v>
      </c>
      <c r="M2380" s="231"/>
      <c r="N2380" s="231"/>
      <c r="O2380" s="231"/>
      <c r="P2380" s="231">
        <f>6+1143</f>
        <v>1149</v>
      </c>
      <c r="Q2380" s="231"/>
      <c r="R2380" s="231"/>
      <c r="S2380" s="231"/>
      <c r="T2380" s="231"/>
      <c r="U2380" s="231"/>
      <c r="V2380" s="231"/>
      <c r="W2380" s="231"/>
      <c r="X2380" s="231"/>
      <c r="Y2380" s="231"/>
      <c r="Z2380" s="231"/>
      <c r="AA2380" s="231"/>
      <c r="AB2380" s="22">
        <f t="shared" si="761"/>
        <v>2274</v>
      </c>
      <c r="AC2380" s="23">
        <v>3995</v>
      </c>
      <c r="AD2380" s="35"/>
      <c r="AE2380" s="35"/>
      <c r="AF2380" s="35"/>
      <c r="AG2380" s="35"/>
      <c r="AH2380" s="35">
        <v>930</v>
      </c>
      <c r="AI2380" s="35"/>
      <c r="AJ2380" s="35"/>
      <c r="AK2380" s="35"/>
      <c r="AL2380" s="35">
        <v>2079</v>
      </c>
      <c r="AM2380" s="35"/>
      <c r="AN2380" s="35"/>
      <c r="AO2380" s="35"/>
      <c r="AP2380" s="35">
        <v>2499</v>
      </c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22">
        <f t="shared" si="762"/>
        <v>5508</v>
      </c>
      <c r="BC2380" s="23">
        <v>0</v>
      </c>
      <c r="BD2380" s="130">
        <f t="shared" si="763"/>
        <v>7782</v>
      </c>
      <c r="BE2380" s="130">
        <f t="shared" si="764"/>
        <v>3995</v>
      </c>
      <c r="BF2380" s="195">
        <f t="shared" si="765"/>
        <v>194.79349186483103</v>
      </c>
      <c r="BG2380" s="373">
        <f>BE2380-BD2380</f>
        <v>-3787</v>
      </c>
    </row>
    <row r="2381" spans="1:61" s="46" customFormat="1" ht="15.95" customHeight="1">
      <c r="A2381" s="638" t="s">
        <v>1279</v>
      </c>
      <c r="B2381" s="639"/>
      <c r="C2381" s="639"/>
      <c r="D2381" s="98">
        <f t="shared" ref="D2381:AI2381" si="767">SUM(D2382:D2613)</f>
        <v>161</v>
      </c>
      <c r="E2381" s="98">
        <f t="shared" si="767"/>
        <v>0</v>
      </c>
      <c r="F2381" s="98">
        <f t="shared" si="767"/>
        <v>0</v>
      </c>
      <c r="G2381" s="98">
        <f t="shared" si="767"/>
        <v>353</v>
      </c>
      <c r="H2381" s="98">
        <f t="shared" si="767"/>
        <v>296</v>
      </c>
      <c r="I2381" s="98">
        <f t="shared" si="767"/>
        <v>0</v>
      </c>
      <c r="J2381" s="98">
        <f t="shared" si="767"/>
        <v>0</v>
      </c>
      <c r="K2381" s="98">
        <f t="shared" si="767"/>
        <v>3177</v>
      </c>
      <c r="L2381" s="98">
        <f t="shared" si="767"/>
        <v>1074</v>
      </c>
      <c r="M2381" s="98">
        <f t="shared" si="767"/>
        <v>0</v>
      </c>
      <c r="N2381" s="98">
        <f t="shared" si="767"/>
        <v>0</v>
      </c>
      <c r="O2381" s="98">
        <f t="shared" si="767"/>
        <v>4928</v>
      </c>
      <c r="P2381" s="98">
        <f t="shared" si="767"/>
        <v>5241</v>
      </c>
      <c r="Q2381" s="98">
        <f t="shared" si="767"/>
        <v>0</v>
      </c>
      <c r="R2381" s="98">
        <f t="shared" si="767"/>
        <v>0</v>
      </c>
      <c r="S2381" s="98">
        <f t="shared" si="767"/>
        <v>1678</v>
      </c>
      <c r="T2381" s="98">
        <f t="shared" si="767"/>
        <v>0</v>
      </c>
      <c r="U2381" s="98">
        <f t="shared" si="767"/>
        <v>0</v>
      </c>
      <c r="V2381" s="98">
        <f t="shared" si="767"/>
        <v>0</v>
      </c>
      <c r="W2381" s="98">
        <f t="shared" si="767"/>
        <v>0</v>
      </c>
      <c r="X2381" s="98">
        <f t="shared" si="767"/>
        <v>0</v>
      </c>
      <c r="Y2381" s="98">
        <f t="shared" si="767"/>
        <v>0</v>
      </c>
      <c r="Z2381" s="98">
        <f t="shared" si="767"/>
        <v>0</v>
      </c>
      <c r="AA2381" s="98">
        <f t="shared" si="767"/>
        <v>0</v>
      </c>
      <c r="AB2381" s="98">
        <f t="shared" si="767"/>
        <v>16908</v>
      </c>
      <c r="AC2381" s="161">
        <f t="shared" si="767"/>
        <v>18677</v>
      </c>
      <c r="AD2381" s="130">
        <f t="shared" si="767"/>
        <v>22696</v>
      </c>
      <c r="AE2381" s="130">
        <f t="shared" si="767"/>
        <v>0</v>
      </c>
      <c r="AF2381" s="130">
        <f t="shared" si="767"/>
        <v>0</v>
      </c>
      <c r="AG2381" s="130">
        <f t="shared" si="767"/>
        <v>0</v>
      </c>
      <c r="AH2381" s="130">
        <f t="shared" si="767"/>
        <v>22910</v>
      </c>
      <c r="AI2381" s="130">
        <f t="shared" si="767"/>
        <v>0</v>
      </c>
      <c r="AJ2381" s="130">
        <f t="shared" ref="AJ2381:BC2381" si="768">SUM(AJ2382:AJ2613)</f>
        <v>0</v>
      </c>
      <c r="AK2381" s="130">
        <f t="shared" si="768"/>
        <v>0</v>
      </c>
      <c r="AL2381" s="130">
        <f t="shared" si="768"/>
        <v>74010</v>
      </c>
      <c r="AM2381" s="130">
        <f t="shared" si="768"/>
        <v>0</v>
      </c>
      <c r="AN2381" s="130">
        <f t="shared" si="768"/>
        <v>0</v>
      </c>
      <c r="AO2381" s="130">
        <f t="shared" si="768"/>
        <v>0</v>
      </c>
      <c r="AP2381" s="130">
        <f t="shared" si="768"/>
        <v>66219</v>
      </c>
      <c r="AQ2381" s="130">
        <f t="shared" si="768"/>
        <v>0</v>
      </c>
      <c r="AR2381" s="130">
        <f t="shared" si="768"/>
        <v>0</v>
      </c>
      <c r="AS2381" s="130">
        <f t="shared" si="768"/>
        <v>0</v>
      </c>
      <c r="AT2381" s="130">
        <f t="shared" si="768"/>
        <v>0</v>
      </c>
      <c r="AU2381" s="130">
        <f t="shared" si="768"/>
        <v>0</v>
      </c>
      <c r="AV2381" s="130">
        <f t="shared" si="768"/>
        <v>0</v>
      </c>
      <c r="AW2381" s="130">
        <f t="shared" si="768"/>
        <v>0</v>
      </c>
      <c r="AX2381" s="130">
        <f t="shared" si="768"/>
        <v>0</v>
      </c>
      <c r="AY2381" s="130">
        <f t="shared" si="768"/>
        <v>0</v>
      </c>
      <c r="AZ2381" s="130">
        <f t="shared" si="768"/>
        <v>0</v>
      </c>
      <c r="BA2381" s="130">
        <f t="shared" si="768"/>
        <v>0</v>
      </c>
      <c r="BB2381" s="130">
        <f t="shared" si="768"/>
        <v>185835</v>
      </c>
      <c r="BC2381" s="103">
        <f t="shared" si="768"/>
        <v>222492</v>
      </c>
      <c r="BD2381" s="130">
        <f t="shared" ref="BD2381" si="769">AB2381+BB2381</f>
        <v>202743</v>
      </c>
      <c r="BE2381" s="130">
        <f t="shared" ref="BE2381" si="770">AC2381+BC2381</f>
        <v>241169</v>
      </c>
      <c r="BF2381" s="195">
        <f t="shared" si="759"/>
        <v>84.066774751315464</v>
      </c>
      <c r="BG2381" s="374">
        <f t="shared" si="760"/>
        <v>38426</v>
      </c>
    </row>
    <row r="2382" spans="1:61" s="46" customFormat="1" ht="21" customHeight="1">
      <c r="A2382" s="176">
        <v>1</v>
      </c>
      <c r="B2382" s="31" t="s">
        <v>731</v>
      </c>
      <c r="C2382" s="32" t="s">
        <v>3613</v>
      </c>
      <c r="D2382" s="231"/>
      <c r="E2382" s="231"/>
      <c r="F2382" s="231"/>
      <c r="G2382" s="231"/>
      <c r="H2382" s="231"/>
      <c r="I2382" s="231"/>
      <c r="J2382" s="231"/>
      <c r="K2382" s="231"/>
      <c r="L2382" s="231"/>
      <c r="M2382" s="231"/>
      <c r="N2382" s="231"/>
      <c r="O2382" s="231"/>
      <c r="P2382" s="231">
        <v>109</v>
      </c>
      <c r="Q2382" s="231"/>
      <c r="R2382" s="231"/>
      <c r="S2382" s="231"/>
      <c r="T2382" s="231"/>
      <c r="U2382" s="231"/>
      <c r="V2382" s="231"/>
      <c r="W2382" s="231"/>
      <c r="X2382" s="231"/>
      <c r="Y2382" s="231"/>
      <c r="Z2382" s="231"/>
      <c r="AA2382" s="231"/>
      <c r="AB2382" s="22">
        <f t="shared" ref="AB2382:AB2446" si="771">SUM(D2382:AA2382)</f>
        <v>109</v>
      </c>
      <c r="AC2382" s="23">
        <v>0</v>
      </c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22">
        <f t="shared" ref="BB2382:BB2446" si="772">SUM(AD2382:BA2382)</f>
        <v>0</v>
      </c>
      <c r="BC2382" s="23">
        <v>0</v>
      </c>
      <c r="BD2382" s="130">
        <f t="shared" ref="BD2382:BD2446" si="773">AB2382+BB2382</f>
        <v>109</v>
      </c>
      <c r="BE2382" s="130">
        <f t="shared" ref="BE2382:BE2446" si="774">AC2382+BC2382</f>
        <v>0</v>
      </c>
      <c r="BF2382" s="195" t="e">
        <f t="shared" ref="BF2382:BF2446" si="775">BD2382/BE2382*100</f>
        <v>#DIV/0!</v>
      </c>
      <c r="BG2382" s="373"/>
    </row>
    <row r="2383" spans="1:61" s="46" customFormat="1" ht="21" customHeight="1">
      <c r="A2383" s="417">
        <v>2</v>
      </c>
      <c r="B2383" s="418" t="s">
        <v>926</v>
      </c>
      <c r="C2383" s="423" t="s">
        <v>927</v>
      </c>
      <c r="D2383" s="231"/>
      <c r="E2383" s="231"/>
      <c r="F2383" s="231"/>
      <c r="G2383" s="231"/>
      <c r="H2383" s="231"/>
      <c r="I2383" s="231"/>
      <c r="J2383" s="231"/>
      <c r="K2383" s="231">
        <f>2+8</f>
        <v>10</v>
      </c>
      <c r="L2383" s="231"/>
      <c r="M2383" s="231"/>
      <c r="N2383" s="231"/>
      <c r="O2383" s="231"/>
      <c r="P2383" s="231"/>
      <c r="Q2383" s="231"/>
      <c r="R2383" s="231"/>
      <c r="S2383" s="231"/>
      <c r="T2383" s="231"/>
      <c r="U2383" s="231"/>
      <c r="V2383" s="231"/>
      <c r="W2383" s="231"/>
      <c r="X2383" s="231"/>
      <c r="Y2383" s="231"/>
      <c r="Z2383" s="231"/>
      <c r="AA2383" s="231"/>
      <c r="AB2383" s="22">
        <f t="shared" si="771"/>
        <v>10</v>
      </c>
      <c r="AC2383" s="23">
        <f>6+174</f>
        <v>180</v>
      </c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22">
        <f t="shared" si="772"/>
        <v>0</v>
      </c>
      <c r="BC2383" s="23">
        <v>0</v>
      </c>
      <c r="BD2383" s="130">
        <f t="shared" si="773"/>
        <v>10</v>
      </c>
      <c r="BE2383" s="130">
        <f t="shared" si="774"/>
        <v>180</v>
      </c>
      <c r="BF2383" s="195">
        <f t="shared" si="775"/>
        <v>5.5555555555555554</v>
      </c>
      <c r="BG2383" s="373">
        <f t="shared" ref="BG2383:BG2389" si="776">BE2383-BD2383</f>
        <v>170</v>
      </c>
      <c r="BH2383" s="426" t="s">
        <v>3675</v>
      </c>
      <c r="BI2383" s="426"/>
    </row>
    <row r="2384" spans="1:61" s="46" customFormat="1" ht="21" customHeight="1">
      <c r="A2384" s="417">
        <v>3</v>
      </c>
      <c r="B2384" s="418" t="s">
        <v>1266</v>
      </c>
      <c r="C2384" s="419" t="s">
        <v>1267</v>
      </c>
      <c r="D2384" s="231"/>
      <c r="E2384" s="231"/>
      <c r="F2384" s="231"/>
      <c r="G2384" s="231">
        <v>94</v>
      </c>
      <c r="H2384" s="231"/>
      <c r="I2384" s="231"/>
      <c r="J2384" s="231"/>
      <c r="K2384" s="231">
        <f>1+75</f>
        <v>76</v>
      </c>
      <c r="L2384" s="231"/>
      <c r="M2384" s="231"/>
      <c r="N2384" s="231"/>
      <c r="O2384" s="231">
        <v>64</v>
      </c>
      <c r="P2384" s="231"/>
      <c r="Q2384" s="231"/>
      <c r="R2384" s="231"/>
      <c r="S2384" s="231">
        <v>1</v>
      </c>
      <c r="T2384" s="231"/>
      <c r="U2384" s="231"/>
      <c r="V2384" s="231"/>
      <c r="W2384" s="231"/>
      <c r="X2384" s="231"/>
      <c r="Y2384" s="231"/>
      <c r="Z2384" s="231"/>
      <c r="AA2384" s="231"/>
      <c r="AB2384" s="22">
        <f t="shared" si="771"/>
        <v>235</v>
      </c>
      <c r="AC2384" s="23">
        <f>90+2182</f>
        <v>2272</v>
      </c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22">
        <f t="shared" si="772"/>
        <v>0</v>
      </c>
      <c r="BC2384" s="23">
        <v>0</v>
      </c>
      <c r="BD2384" s="130">
        <f t="shared" si="773"/>
        <v>235</v>
      </c>
      <c r="BE2384" s="130">
        <f t="shared" si="774"/>
        <v>2272</v>
      </c>
      <c r="BF2384" s="195">
        <f t="shared" si="775"/>
        <v>10.34330985915493</v>
      </c>
      <c r="BG2384" s="373">
        <f t="shared" si="776"/>
        <v>2037</v>
      </c>
      <c r="BH2384" s="426" t="s">
        <v>3675</v>
      </c>
      <c r="BI2384" s="421"/>
    </row>
    <row r="2385" spans="1:61" s="46" customFormat="1" ht="21" customHeight="1">
      <c r="A2385" s="417">
        <v>4</v>
      </c>
      <c r="B2385" s="418" t="s">
        <v>2218</v>
      </c>
      <c r="C2385" s="419" t="s">
        <v>2224</v>
      </c>
      <c r="D2385" s="231"/>
      <c r="E2385" s="231"/>
      <c r="F2385" s="231"/>
      <c r="G2385" s="231">
        <v>26</v>
      </c>
      <c r="H2385" s="231"/>
      <c r="I2385" s="231"/>
      <c r="J2385" s="231"/>
      <c r="K2385" s="231">
        <v>211</v>
      </c>
      <c r="L2385" s="231"/>
      <c r="M2385" s="231"/>
      <c r="N2385" s="231"/>
      <c r="O2385" s="231">
        <v>18</v>
      </c>
      <c r="P2385" s="231"/>
      <c r="Q2385" s="231"/>
      <c r="R2385" s="231"/>
      <c r="S2385" s="231"/>
      <c r="T2385" s="231"/>
      <c r="U2385" s="231"/>
      <c r="V2385" s="231"/>
      <c r="W2385" s="231"/>
      <c r="X2385" s="231"/>
      <c r="Y2385" s="231"/>
      <c r="Z2385" s="231"/>
      <c r="AA2385" s="231"/>
      <c r="AB2385" s="22">
        <f t="shared" si="771"/>
        <v>255</v>
      </c>
      <c r="AC2385" s="23">
        <f>1456+4985</f>
        <v>6441</v>
      </c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22">
        <f t="shared" si="772"/>
        <v>0</v>
      </c>
      <c r="BC2385" s="23">
        <v>0</v>
      </c>
      <c r="BD2385" s="130">
        <f t="shared" si="773"/>
        <v>255</v>
      </c>
      <c r="BE2385" s="130">
        <f t="shared" si="774"/>
        <v>6441</v>
      </c>
      <c r="BF2385" s="195">
        <f t="shared" si="775"/>
        <v>3.9590125756870052</v>
      </c>
      <c r="BG2385" s="373">
        <f t="shared" si="776"/>
        <v>6186</v>
      </c>
      <c r="BH2385" s="426" t="s">
        <v>3675</v>
      </c>
      <c r="BI2385" s="421"/>
    </row>
    <row r="2386" spans="1:61" s="46" customFormat="1" ht="21" customHeight="1">
      <c r="A2386" s="417">
        <v>5</v>
      </c>
      <c r="B2386" s="418" t="s">
        <v>2246</v>
      </c>
      <c r="C2386" s="419" t="s">
        <v>2247</v>
      </c>
      <c r="D2386" s="231"/>
      <c r="E2386" s="231"/>
      <c r="F2386" s="231"/>
      <c r="G2386" s="231">
        <v>233</v>
      </c>
      <c r="H2386" s="231"/>
      <c r="I2386" s="231"/>
      <c r="J2386" s="231"/>
      <c r="K2386" s="231">
        <f>481+2399</f>
        <v>2880</v>
      </c>
      <c r="L2386" s="231"/>
      <c r="M2386" s="231"/>
      <c r="N2386" s="231"/>
      <c r="O2386" s="231">
        <f>2648+2198</f>
        <v>4846</v>
      </c>
      <c r="P2386" s="231"/>
      <c r="Q2386" s="231"/>
      <c r="R2386" s="231"/>
      <c r="S2386" s="231">
        <f>67+1603</f>
        <v>1670</v>
      </c>
      <c r="T2386" s="231"/>
      <c r="U2386" s="231"/>
      <c r="V2386" s="231"/>
      <c r="W2386" s="231"/>
      <c r="X2386" s="231"/>
      <c r="Y2386" s="231"/>
      <c r="Z2386" s="231"/>
      <c r="AA2386" s="231"/>
      <c r="AB2386" s="22">
        <f t="shared" si="771"/>
        <v>9629</v>
      </c>
      <c r="AC2386" s="23">
        <f>6774+115</f>
        <v>6889</v>
      </c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22">
        <f t="shared" si="772"/>
        <v>0</v>
      </c>
      <c r="BC2386" s="23">
        <v>0</v>
      </c>
      <c r="BD2386" s="130">
        <f t="shared" si="773"/>
        <v>9629</v>
      </c>
      <c r="BE2386" s="130">
        <f t="shared" si="774"/>
        <v>6889</v>
      </c>
      <c r="BF2386" s="195">
        <f t="shared" si="775"/>
        <v>139.77355203948323</v>
      </c>
      <c r="BG2386" s="373">
        <f t="shared" si="776"/>
        <v>-2740</v>
      </c>
      <c r="BH2386" s="426" t="s">
        <v>3675</v>
      </c>
      <c r="BI2386" s="421"/>
    </row>
    <row r="2387" spans="1:61" s="46" customFormat="1" ht="15.95" customHeight="1">
      <c r="A2387" s="417">
        <v>6</v>
      </c>
      <c r="B2387" s="418" t="s">
        <v>2248</v>
      </c>
      <c r="C2387" s="419" t="s">
        <v>2249</v>
      </c>
      <c r="D2387" s="231"/>
      <c r="E2387" s="231"/>
      <c r="F2387" s="231"/>
      <c r="G2387" s="231"/>
      <c r="H2387" s="231"/>
      <c r="I2387" s="231"/>
      <c r="J2387" s="231"/>
      <c r="K2387" s="231"/>
      <c r="L2387" s="231"/>
      <c r="M2387" s="231"/>
      <c r="N2387" s="231"/>
      <c r="O2387" s="231"/>
      <c r="P2387" s="231"/>
      <c r="Q2387" s="231"/>
      <c r="R2387" s="231"/>
      <c r="S2387" s="231">
        <v>7</v>
      </c>
      <c r="T2387" s="231"/>
      <c r="U2387" s="231"/>
      <c r="V2387" s="231"/>
      <c r="W2387" s="231"/>
      <c r="X2387" s="231"/>
      <c r="Y2387" s="231"/>
      <c r="Z2387" s="231"/>
      <c r="AA2387" s="231"/>
      <c r="AB2387" s="22">
        <f t="shared" si="771"/>
        <v>7</v>
      </c>
      <c r="AC2387" s="23">
        <f>9+22</f>
        <v>31</v>
      </c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22">
        <f t="shared" si="772"/>
        <v>0</v>
      </c>
      <c r="BC2387" s="23">
        <v>0</v>
      </c>
      <c r="BD2387" s="130">
        <f t="shared" si="773"/>
        <v>7</v>
      </c>
      <c r="BE2387" s="130">
        <f t="shared" si="774"/>
        <v>31</v>
      </c>
      <c r="BF2387" s="195">
        <f t="shared" si="775"/>
        <v>22.58064516129032</v>
      </c>
      <c r="BG2387" s="373">
        <f t="shared" si="776"/>
        <v>24</v>
      </c>
      <c r="BH2387" s="426" t="s">
        <v>3675</v>
      </c>
      <c r="BI2387" s="421"/>
    </row>
    <row r="2388" spans="1:61" s="46" customFormat="1" ht="15.95" customHeight="1">
      <c r="A2388" s="176">
        <v>7</v>
      </c>
      <c r="B2388" s="31" t="s">
        <v>736</v>
      </c>
      <c r="C2388" s="32" t="s">
        <v>737</v>
      </c>
      <c r="D2388" s="576"/>
      <c r="E2388" s="576"/>
      <c r="F2388" s="576"/>
      <c r="G2388" s="576"/>
      <c r="H2388" s="576"/>
      <c r="I2388" s="576"/>
      <c r="J2388" s="576"/>
      <c r="K2388" s="576"/>
      <c r="L2388" s="576"/>
      <c r="M2388" s="576"/>
      <c r="N2388" s="576"/>
      <c r="O2388" s="576"/>
      <c r="P2388" s="576"/>
      <c r="Q2388" s="576"/>
      <c r="R2388" s="576"/>
      <c r="S2388" s="576"/>
      <c r="T2388" s="576"/>
      <c r="U2388" s="576"/>
      <c r="V2388" s="576"/>
      <c r="W2388" s="576"/>
      <c r="X2388" s="576"/>
      <c r="Y2388" s="576"/>
      <c r="Z2388" s="576"/>
      <c r="AA2388" s="576"/>
      <c r="AB2388" s="22">
        <f t="shared" si="771"/>
        <v>0</v>
      </c>
      <c r="AC2388" s="23">
        <v>0</v>
      </c>
      <c r="AD2388" s="33">
        <v>44</v>
      </c>
      <c r="AE2388" s="33"/>
      <c r="AF2388" s="33"/>
      <c r="AG2388" s="33"/>
      <c r="AH2388" s="33">
        <f>32+12</f>
        <v>44</v>
      </c>
      <c r="AI2388" s="33"/>
      <c r="AJ2388" s="33"/>
      <c r="AK2388" s="33"/>
      <c r="AL2388" s="33">
        <f>285+32+2</f>
        <v>319</v>
      </c>
      <c r="AM2388" s="33"/>
      <c r="AN2388" s="33"/>
      <c r="AO2388" s="33"/>
      <c r="AP2388" s="33">
        <v>203</v>
      </c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22">
        <f t="shared" si="772"/>
        <v>610</v>
      </c>
      <c r="BC2388" s="23">
        <v>2359</v>
      </c>
      <c r="BD2388" s="130">
        <f t="shared" si="773"/>
        <v>610</v>
      </c>
      <c r="BE2388" s="130">
        <f t="shared" si="774"/>
        <v>2359</v>
      </c>
      <c r="BF2388" s="195">
        <f t="shared" si="775"/>
        <v>25.858414582450191</v>
      </c>
      <c r="BG2388" s="373">
        <f t="shared" si="776"/>
        <v>1749</v>
      </c>
    </row>
    <row r="2389" spans="1:61" s="46" customFormat="1" ht="15.95" customHeight="1">
      <c r="A2389" s="176">
        <v>8</v>
      </c>
      <c r="B2389" s="31" t="s">
        <v>738</v>
      </c>
      <c r="C2389" s="32" t="s">
        <v>739</v>
      </c>
      <c r="D2389" s="231"/>
      <c r="E2389" s="231"/>
      <c r="F2389" s="231"/>
      <c r="G2389" s="231"/>
      <c r="H2389" s="231"/>
      <c r="I2389" s="231"/>
      <c r="J2389" s="231"/>
      <c r="K2389" s="231"/>
      <c r="L2389" s="231"/>
      <c r="M2389" s="231"/>
      <c r="N2389" s="231"/>
      <c r="O2389" s="231"/>
      <c r="P2389" s="231"/>
      <c r="Q2389" s="231"/>
      <c r="R2389" s="231"/>
      <c r="S2389" s="231"/>
      <c r="T2389" s="231"/>
      <c r="U2389" s="231"/>
      <c r="V2389" s="231"/>
      <c r="W2389" s="231"/>
      <c r="X2389" s="231"/>
      <c r="Y2389" s="231"/>
      <c r="Z2389" s="231"/>
      <c r="AA2389" s="231"/>
      <c r="AB2389" s="22">
        <f t="shared" si="771"/>
        <v>0</v>
      </c>
      <c r="AC2389" s="23">
        <v>0</v>
      </c>
      <c r="AD2389" s="33"/>
      <c r="AE2389" s="33"/>
      <c r="AF2389" s="33"/>
      <c r="AG2389" s="33"/>
      <c r="AH2389" s="33">
        <v>7</v>
      </c>
      <c r="AI2389" s="33"/>
      <c r="AJ2389" s="33"/>
      <c r="AK2389" s="33"/>
      <c r="AL2389" s="33">
        <v>59</v>
      </c>
      <c r="AM2389" s="33"/>
      <c r="AN2389" s="33"/>
      <c r="AO2389" s="33"/>
      <c r="AP2389" s="33">
        <v>25</v>
      </c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22">
        <f t="shared" si="772"/>
        <v>91</v>
      </c>
      <c r="BC2389" s="23">
        <v>57</v>
      </c>
      <c r="BD2389" s="130">
        <f t="shared" si="773"/>
        <v>91</v>
      </c>
      <c r="BE2389" s="130">
        <f t="shared" si="774"/>
        <v>57</v>
      </c>
      <c r="BF2389" s="195">
        <f t="shared" si="775"/>
        <v>159.64912280701756</v>
      </c>
      <c r="BG2389" s="373">
        <f t="shared" si="776"/>
        <v>-34</v>
      </c>
    </row>
    <row r="2390" spans="1:61" s="46" customFormat="1" ht="15.95" customHeight="1">
      <c r="A2390" s="176">
        <v>9</v>
      </c>
      <c r="B2390" s="31" t="s">
        <v>1675</v>
      </c>
      <c r="C2390" s="32" t="s">
        <v>1676</v>
      </c>
      <c r="D2390" s="576"/>
      <c r="E2390" s="576"/>
      <c r="F2390" s="576"/>
      <c r="G2390" s="576"/>
      <c r="H2390" s="576"/>
      <c r="I2390" s="576"/>
      <c r="J2390" s="576"/>
      <c r="K2390" s="576"/>
      <c r="L2390" s="576"/>
      <c r="M2390" s="576"/>
      <c r="N2390" s="576"/>
      <c r="O2390" s="576"/>
      <c r="P2390" s="576">
        <v>69</v>
      </c>
      <c r="Q2390" s="576"/>
      <c r="R2390" s="576"/>
      <c r="S2390" s="576"/>
      <c r="T2390" s="576"/>
      <c r="U2390" s="576"/>
      <c r="V2390" s="576"/>
      <c r="W2390" s="576"/>
      <c r="X2390" s="576"/>
      <c r="Y2390" s="576"/>
      <c r="Z2390" s="576"/>
      <c r="AA2390" s="576"/>
      <c r="AB2390" s="22">
        <f t="shared" si="771"/>
        <v>69</v>
      </c>
      <c r="AC2390" s="23">
        <v>0</v>
      </c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22">
        <f t="shared" si="772"/>
        <v>0</v>
      </c>
      <c r="BC2390" s="23">
        <v>0</v>
      </c>
      <c r="BD2390" s="130">
        <f t="shared" si="773"/>
        <v>69</v>
      </c>
      <c r="BE2390" s="130">
        <f t="shared" si="774"/>
        <v>0</v>
      </c>
      <c r="BF2390" s="195" t="e">
        <f t="shared" si="775"/>
        <v>#DIV/0!</v>
      </c>
      <c r="BG2390" s="373"/>
    </row>
    <row r="2391" spans="1:61" s="46" customFormat="1" ht="15.95" customHeight="1">
      <c r="A2391" s="176">
        <v>10</v>
      </c>
      <c r="B2391" s="31" t="s">
        <v>746</v>
      </c>
      <c r="C2391" s="32" t="s">
        <v>747</v>
      </c>
      <c r="D2391" s="231"/>
      <c r="E2391" s="231"/>
      <c r="F2391" s="231"/>
      <c r="G2391" s="231"/>
      <c r="H2391" s="231"/>
      <c r="I2391" s="231"/>
      <c r="J2391" s="231"/>
      <c r="K2391" s="231"/>
      <c r="L2391" s="231"/>
      <c r="M2391" s="231"/>
      <c r="N2391" s="231"/>
      <c r="O2391" s="231"/>
      <c r="P2391" s="231"/>
      <c r="Q2391" s="231"/>
      <c r="R2391" s="231"/>
      <c r="S2391" s="231"/>
      <c r="T2391" s="231"/>
      <c r="U2391" s="231"/>
      <c r="V2391" s="231"/>
      <c r="W2391" s="231"/>
      <c r="X2391" s="231"/>
      <c r="Y2391" s="231"/>
      <c r="Z2391" s="231"/>
      <c r="AA2391" s="231"/>
      <c r="AB2391" s="22">
        <f t="shared" si="771"/>
        <v>0</v>
      </c>
      <c r="AC2391" s="23">
        <v>0</v>
      </c>
      <c r="AD2391" s="33">
        <v>26</v>
      </c>
      <c r="AE2391" s="33"/>
      <c r="AF2391" s="33"/>
      <c r="AG2391" s="33"/>
      <c r="AH2391" s="33">
        <f>131+8</f>
        <v>139</v>
      </c>
      <c r="AI2391" s="33"/>
      <c r="AJ2391" s="33"/>
      <c r="AK2391" s="33"/>
      <c r="AL2391" s="33">
        <f>723+18+4</f>
        <v>745</v>
      </c>
      <c r="AM2391" s="33"/>
      <c r="AN2391" s="33"/>
      <c r="AO2391" s="33"/>
      <c r="AP2391" s="33">
        <v>699</v>
      </c>
      <c r="AQ2391" s="33"/>
      <c r="AR2391" s="33"/>
      <c r="AS2391" s="33"/>
      <c r="AT2391" s="33"/>
      <c r="AU2391" s="33"/>
      <c r="AV2391" s="33"/>
      <c r="AW2391" s="33"/>
      <c r="AX2391" s="33"/>
      <c r="AY2391" s="33"/>
      <c r="AZ2391" s="33"/>
      <c r="BA2391" s="33"/>
      <c r="BB2391" s="22">
        <f t="shared" si="772"/>
        <v>1609</v>
      </c>
      <c r="BC2391" s="23">
        <v>875</v>
      </c>
      <c r="BD2391" s="130">
        <f t="shared" si="773"/>
        <v>1609</v>
      </c>
      <c r="BE2391" s="130">
        <f t="shared" si="774"/>
        <v>875</v>
      </c>
      <c r="BF2391" s="195">
        <f t="shared" si="775"/>
        <v>183.8857142857143</v>
      </c>
      <c r="BG2391" s="373">
        <f>BE2391-BD2391</f>
        <v>-734</v>
      </c>
    </row>
    <row r="2392" spans="1:61" s="46" customFormat="1" ht="15.95" customHeight="1">
      <c r="A2392" s="176">
        <v>11</v>
      </c>
      <c r="B2392" s="31" t="s">
        <v>881</v>
      </c>
      <c r="C2392" s="32" t="s">
        <v>882</v>
      </c>
      <c r="D2392" s="231"/>
      <c r="E2392" s="231"/>
      <c r="F2392" s="231"/>
      <c r="G2392" s="231"/>
      <c r="H2392" s="231"/>
      <c r="I2392" s="231"/>
      <c r="J2392" s="231"/>
      <c r="K2392" s="231"/>
      <c r="L2392" s="231"/>
      <c r="M2392" s="231"/>
      <c r="N2392" s="231"/>
      <c r="O2392" s="231"/>
      <c r="P2392" s="231"/>
      <c r="Q2392" s="231"/>
      <c r="R2392" s="231"/>
      <c r="S2392" s="231"/>
      <c r="T2392" s="231"/>
      <c r="U2392" s="231"/>
      <c r="V2392" s="231"/>
      <c r="W2392" s="231"/>
      <c r="X2392" s="231"/>
      <c r="Y2392" s="231"/>
      <c r="Z2392" s="231"/>
      <c r="AA2392" s="231"/>
      <c r="AB2392" s="22">
        <f t="shared" si="771"/>
        <v>0</v>
      </c>
      <c r="AC2392" s="23">
        <v>0</v>
      </c>
      <c r="AD2392" s="33">
        <v>348</v>
      </c>
      <c r="AE2392" s="33"/>
      <c r="AF2392" s="33"/>
      <c r="AG2392" s="33"/>
      <c r="AH2392" s="33">
        <f>230+376</f>
        <v>606</v>
      </c>
      <c r="AI2392" s="33"/>
      <c r="AJ2392" s="33"/>
      <c r="AK2392" s="33"/>
      <c r="AL2392" s="33">
        <f>1917+205+4</f>
        <v>2126</v>
      </c>
      <c r="AM2392" s="33"/>
      <c r="AN2392" s="33"/>
      <c r="AO2392" s="33"/>
      <c r="AP2392" s="33">
        <f>1877+3</f>
        <v>1880</v>
      </c>
      <c r="AQ2392" s="33"/>
      <c r="AR2392" s="33"/>
      <c r="AS2392" s="33"/>
      <c r="AT2392" s="33"/>
      <c r="AU2392" s="33"/>
      <c r="AV2392" s="33"/>
      <c r="AW2392" s="33"/>
      <c r="AX2392" s="33"/>
      <c r="AY2392" s="33"/>
      <c r="AZ2392" s="33"/>
      <c r="BA2392" s="33"/>
      <c r="BB2392" s="22">
        <f t="shared" si="772"/>
        <v>4960</v>
      </c>
      <c r="BC2392" s="23">
        <v>9137</v>
      </c>
      <c r="BD2392" s="130">
        <f t="shared" si="773"/>
        <v>4960</v>
      </c>
      <c r="BE2392" s="130">
        <f t="shared" si="774"/>
        <v>9137</v>
      </c>
      <c r="BF2392" s="195">
        <f t="shared" si="775"/>
        <v>54.284776184743357</v>
      </c>
      <c r="BG2392" s="373">
        <f>BE2392-BD2392</f>
        <v>4177</v>
      </c>
    </row>
    <row r="2393" spans="1:61" s="46" customFormat="1" ht="15.95" customHeight="1">
      <c r="A2393" s="176">
        <v>12</v>
      </c>
      <c r="B2393" s="31" t="s">
        <v>621</v>
      </c>
      <c r="C2393" s="32" t="s">
        <v>3702</v>
      </c>
      <c r="D2393" s="407"/>
      <c r="E2393" s="407"/>
      <c r="F2393" s="407"/>
      <c r="G2393" s="407"/>
      <c r="H2393" s="407"/>
      <c r="I2393" s="407"/>
      <c r="J2393" s="407"/>
      <c r="K2393" s="407"/>
      <c r="L2393" s="407"/>
      <c r="M2393" s="407"/>
      <c r="N2393" s="407"/>
      <c r="O2393" s="407"/>
      <c r="P2393" s="407"/>
      <c r="Q2393" s="407"/>
      <c r="R2393" s="407"/>
      <c r="S2393" s="407"/>
      <c r="T2393" s="407"/>
      <c r="U2393" s="407"/>
      <c r="V2393" s="407"/>
      <c r="W2393" s="407"/>
      <c r="X2393" s="407"/>
      <c r="Y2393" s="407"/>
      <c r="Z2393" s="407"/>
      <c r="AA2393" s="407"/>
      <c r="AB2393" s="22">
        <f t="shared" si="771"/>
        <v>0</v>
      </c>
      <c r="AC2393" s="23">
        <v>0</v>
      </c>
      <c r="AD2393" s="33">
        <v>2</v>
      </c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  <c r="AU2393" s="33"/>
      <c r="AV2393" s="33"/>
      <c r="AW2393" s="33"/>
      <c r="AX2393" s="33"/>
      <c r="AY2393" s="33"/>
      <c r="AZ2393" s="33"/>
      <c r="BA2393" s="33"/>
      <c r="BB2393" s="22">
        <f t="shared" si="772"/>
        <v>2</v>
      </c>
      <c r="BC2393" s="23">
        <v>0</v>
      </c>
      <c r="BD2393" s="130">
        <f t="shared" si="773"/>
        <v>2</v>
      </c>
      <c r="BE2393" s="130">
        <f t="shared" si="774"/>
        <v>0</v>
      </c>
      <c r="BF2393" s="195" t="e">
        <f t="shared" si="775"/>
        <v>#DIV/0!</v>
      </c>
      <c r="BG2393" s="373"/>
    </row>
    <row r="2394" spans="1:61" s="46" customFormat="1" ht="15.95" customHeight="1">
      <c r="A2394" s="176">
        <v>13</v>
      </c>
      <c r="B2394" s="31" t="s">
        <v>748</v>
      </c>
      <c r="C2394" s="32" t="s">
        <v>749</v>
      </c>
      <c r="D2394" s="231"/>
      <c r="E2394" s="231"/>
      <c r="F2394" s="231"/>
      <c r="G2394" s="231"/>
      <c r="H2394" s="231"/>
      <c r="I2394" s="231"/>
      <c r="J2394" s="231"/>
      <c r="K2394" s="231"/>
      <c r="L2394" s="231"/>
      <c r="M2394" s="231"/>
      <c r="N2394" s="231"/>
      <c r="O2394" s="231"/>
      <c r="P2394" s="231"/>
      <c r="Q2394" s="231"/>
      <c r="R2394" s="231"/>
      <c r="S2394" s="231"/>
      <c r="T2394" s="231"/>
      <c r="U2394" s="231"/>
      <c r="V2394" s="231"/>
      <c r="W2394" s="231"/>
      <c r="X2394" s="231"/>
      <c r="Y2394" s="231"/>
      <c r="Z2394" s="231"/>
      <c r="AA2394" s="231"/>
      <c r="AB2394" s="22">
        <f t="shared" si="771"/>
        <v>0</v>
      </c>
      <c r="AC2394" s="23">
        <v>0</v>
      </c>
      <c r="AD2394" s="33"/>
      <c r="AE2394" s="33"/>
      <c r="AF2394" s="33"/>
      <c r="AG2394" s="33"/>
      <c r="AH2394" s="33"/>
      <c r="AI2394" s="33"/>
      <c r="AJ2394" s="33"/>
      <c r="AK2394" s="33"/>
      <c r="AL2394" s="33">
        <v>7</v>
      </c>
      <c r="AM2394" s="33"/>
      <c r="AN2394" s="33"/>
      <c r="AO2394" s="33"/>
      <c r="AP2394" s="33">
        <v>4</v>
      </c>
      <c r="AQ2394" s="33"/>
      <c r="AR2394" s="33"/>
      <c r="AS2394" s="33"/>
      <c r="AT2394" s="33"/>
      <c r="AU2394" s="33"/>
      <c r="AV2394" s="33"/>
      <c r="AW2394" s="33"/>
      <c r="AX2394" s="33"/>
      <c r="AY2394" s="33"/>
      <c r="AZ2394" s="33"/>
      <c r="BA2394" s="33"/>
      <c r="BB2394" s="22">
        <f t="shared" si="772"/>
        <v>11</v>
      </c>
      <c r="BC2394" s="23">
        <v>28</v>
      </c>
      <c r="BD2394" s="130">
        <f t="shared" si="773"/>
        <v>11</v>
      </c>
      <c r="BE2394" s="130">
        <f t="shared" si="774"/>
        <v>28</v>
      </c>
      <c r="BF2394" s="195">
        <f t="shared" si="775"/>
        <v>39.285714285714285</v>
      </c>
      <c r="BG2394" s="373">
        <f t="shared" ref="BG2394:BG2437" si="777">BE2394-BD2394</f>
        <v>17</v>
      </c>
    </row>
    <row r="2395" spans="1:61" s="46" customFormat="1" ht="15.95" customHeight="1">
      <c r="A2395" s="176">
        <v>14</v>
      </c>
      <c r="B2395" s="31" t="s">
        <v>1066</v>
      </c>
      <c r="C2395" s="32" t="s">
        <v>1067</v>
      </c>
      <c r="D2395" s="231"/>
      <c r="E2395" s="231"/>
      <c r="F2395" s="231"/>
      <c r="G2395" s="231"/>
      <c r="H2395" s="231"/>
      <c r="I2395" s="231"/>
      <c r="J2395" s="231"/>
      <c r="K2395" s="231"/>
      <c r="L2395" s="231"/>
      <c r="M2395" s="231"/>
      <c r="N2395" s="231"/>
      <c r="O2395" s="231"/>
      <c r="P2395" s="231"/>
      <c r="Q2395" s="231"/>
      <c r="R2395" s="231"/>
      <c r="S2395" s="231"/>
      <c r="T2395" s="231"/>
      <c r="U2395" s="231"/>
      <c r="V2395" s="231"/>
      <c r="W2395" s="231"/>
      <c r="X2395" s="231"/>
      <c r="Y2395" s="231"/>
      <c r="Z2395" s="231"/>
      <c r="AA2395" s="231"/>
      <c r="AB2395" s="22">
        <f t="shared" si="771"/>
        <v>0</v>
      </c>
      <c r="AC2395" s="23">
        <v>0</v>
      </c>
      <c r="AD2395" s="35"/>
      <c r="AE2395" s="35"/>
      <c r="AF2395" s="35"/>
      <c r="AG2395" s="35"/>
      <c r="AH2395" s="35">
        <v>1</v>
      </c>
      <c r="AI2395" s="35"/>
      <c r="AJ2395" s="35"/>
      <c r="AK2395" s="35"/>
      <c r="AL2395" s="35"/>
      <c r="AM2395" s="35"/>
      <c r="AN2395" s="35"/>
      <c r="AO2395" s="35"/>
      <c r="AP2395" s="35">
        <v>3</v>
      </c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22">
        <f t="shared" si="772"/>
        <v>4</v>
      </c>
      <c r="BC2395" s="23">
        <v>4</v>
      </c>
      <c r="BD2395" s="130">
        <f t="shared" si="773"/>
        <v>4</v>
      </c>
      <c r="BE2395" s="130">
        <f t="shared" si="774"/>
        <v>4</v>
      </c>
      <c r="BF2395" s="195">
        <f t="shared" si="775"/>
        <v>100</v>
      </c>
      <c r="BG2395" s="373">
        <f t="shared" si="777"/>
        <v>0</v>
      </c>
    </row>
    <row r="2396" spans="1:61" s="46" customFormat="1" ht="15.95" customHeight="1">
      <c r="A2396" s="176">
        <v>15</v>
      </c>
      <c r="B2396" s="31" t="s">
        <v>750</v>
      </c>
      <c r="C2396" s="32" t="s">
        <v>751</v>
      </c>
      <c r="D2396" s="231"/>
      <c r="E2396" s="231"/>
      <c r="F2396" s="231"/>
      <c r="G2396" s="231"/>
      <c r="H2396" s="231"/>
      <c r="I2396" s="231"/>
      <c r="J2396" s="231"/>
      <c r="K2396" s="231"/>
      <c r="L2396" s="231"/>
      <c r="M2396" s="231"/>
      <c r="N2396" s="231"/>
      <c r="O2396" s="231"/>
      <c r="P2396" s="231"/>
      <c r="Q2396" s="231"/>
      <c r="R2396" s="231"/>
      <c r="S2396" s="231"/>
      <c r="T2396" s="231"/>
      <c r="U2396" s="231"/>
      <c r="V2396" s="231"/>
      <c r="W2396" s="231"/>
      <c r="X2396" s="231"/>
      <c r="Y2396" s="231"/>
      <c r="Z2396" s="231"/>
      <c r="AA2396" s="231"/>
      <c r="AB2396" s="22">
        <f t="shared" si="771"/>
        <v>0</v>
      </c>
      <c r="AC2396" s="23">
        <v>0</v>
      </c>
      <c r="AD2396" s="35">
        <v>78</v>
      </c>
      <c r="AE2396" s="35"/>
      <c r="AF2396" s="35"/>
      <c r="AG2396" s="35"/>
      <c r="AH2396" s="35">
        <f>47+35</f>
        <v>82</v>
      </c>
      <c r="AI2396" s="35"/>
      <c r="AJ2396" s="35"/>
      <c r="AK2396" s="35"/>
      <c r="AL2396" s="35">
        <f>1+295+37+2</f>
        <v>335</v>
      </c>
      <c r="AM2396" s="35"/>
      <c r="AN2396" s="35"/>
      <c r="AO2396" s="35"/>
      <c r="AP2396" s="35">
        <f>343+1</f>
        <v>344</v>
      </c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22">
        <f t="shared" si="772"/>
        <v>839</v>
      </c>
      <c r="BC2396" s="23">
        <v>1138</v>
      </c>
      <c r="BD2396" s="130">
        <f t="shared" si="773"/>
        <v>839</v>
      </c>
      <c r="BE2396" s="130">
        <f t="shared" si="774"/>
        <v>1138</v>
      </c>
      <c r="BF2396" s="195">
        <f t="shared" si="775"/>
        <v>73.725834797891025</v>
      </c>
      <c r="BG2396" s="373">
        <f t="shared" si="777"/>
        <v>299</v>
      </c>
    </row>
    <row r="2397" spans="1:61" s="46" customFormat="1" ht="15.95" customHeight="1">
      <c r="A2397" s="176">
        <v>16</v>
      </c>
      <c r="B2397" s="31" t="s">
        <v>930</v>
      </c>
      <c r="C2397" s="32" t="s">
        <v>931</v>
      </c>
      <c r="D2397" s="231"/>
      <c r="E2397" s="231"/>
      <c r="F2397" s="231"/>
      <c r="G2397" s="231"/>
      <c r="H2397" s="231"/>
      <c r="I2397" s="231"/>
      <c r="J2397" s="231"/>
      <c r="K2397" s="231"/>
      <c r="L2397" s="231"/>
      <c r="M2397" s="231"/>
      <c r="N2397" s="231"/>
      <c r="O2397" s="231"/>
      <c r="P2397" s="231"/>
      <c r="Q2397" s="231"/>
      <c r="R2397" s="231"/>
      <c r="S2397" s="231"/>
      <c r="T2397" s="231"/>
      <c r="U2397" s="231"/>
      <c r="V2397" s="231"/>
      <c r="W2397" s="231"/>
      <c r="X2397" s="231"/>
      <c r="Y2397" s="231"/>
      <c r="Z2397" s="231"/>
      <c r="AA2397" s="231"/>
      <c r="AB2397" s="22">
        <f t="shared" si="771"/>
        <v>0</v>
      </c>
      <c r="AC2397" s="23">
        <v>0</v>
      </c>
      <c r="AD2397" s="35"/>
      <c r="AE2397" s="35"/>
      <c r="AF2397" s="35"/>
      <c r="AG2397" s="35"/>
      <c r="AH2397" s="35">
        <f>10+8</f>
        <v>18</v>
      </c>
      <c r="AI2397" s="35"/>
      <c r="AJ2397" s="35"/>
      <c r="AK2397" s="35"/>
      <c r="AL2397" s="35">
        <v>44</v>
      </c>
      <c r="AM2397" s="35"/>
      <c r="AN2397" s="35"/>
      <c r="AO2397" s="35"/>
      <c r="AP2397" s="35">
        <v>16</v>
      </c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22">
        <f t="shared" si="772"/>
        <v>78</v>
      </c>
      <c r="BC2397" s="23">
        <v>146</v>
      </c>
      <c r="BD2397" s="130">
        <f t="shared" si="773"/>
        <v>78</v>
      </c>
      <c r="BE2397" s="130">
        <f t="shared" si="774"/>
        <v>146</v>
      </c>
      <c r="BF2397" s="195">
        <f t="shared" si="775"/>
        <v>53.424657534246577</v>
      </c>
      <c r="BG2397" s="373">
        <f t="shared" si="777"/>
        <v>68</v>
      </c>
    </row>
    <row r="2398" spans="1:61" s="46" customFormat="1" ht="15.95" customHeight="1">
      <c r="A2398" s="176">
        <v>17</v>
      </c>
      <c r="B2398" s="31" t="s">
        <v>887</v>
      </c>
      <c r="C2398" s="32" t="s">
        <v>888</v>
      </c>
      <c r="D2398" s="339"/>
      <c r="E2398" s="339"/>
      <c r="F2398" s="339"/>
      <c r="G2398" s="339"/>
      <c r="H2398" s="339"/>
      <c r="I2398" s="339"/>
      <c r="J2398" s="339"/>
      <c r="K2398" s="339"/>
      <c r="L2398" s="339"/>
      <c r="M2398" s="339"/>
      <c r="N2398" s="339"/>
      <c r="O2398" s="339"/>
      <c r="P2398" s="339"/>
      <c r="Q2398" s="339"/>
      <c r="R2398" s="339"/>
      <c r="S2398" s="339"/>
      <c r="T2398" s="339"/>
      <c r="U2398" s="339"/>
      <c r="V2398" s="339"/>
      <c r="W2398" s="339"/>
      <c r="X2398" s="339"/>
      <c r="Y2398" s="339"/>
      <c r="Z2398" s="339"/>
      <c r="AA2398" s="339"/>
      <c r="AB2398" s="22">
        <f t="shared" si="771"/>
        <v>0</v>
      </c>
      <c r="AC2398" s="23">
        <v>0</v>
      </c>
      <c r="AD2398" s="35"/>
      <c r="AE2398" s="35"/>
      <c r="AF2398" s="35"/>
      <c r="AG2398" s="35"/>
      <c r="AH2398" s="35">
        <v>2</v>
      </c>
      <c r="AI2398" s="35"/>
      <c r="AJ2398" s="35"/>
      <c r="AK2398" s="35"/>
      <c r="AL2398" s="35">
        <v>3</v>
      </c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22">
        <f t="shared" si="772"/>
        <v>5</v>
      </c>
      <c r="BC2398" s="23">
        <v>1</v>
      </c>
      <c r="BD2398" s="130">
        <f t="shared" si="773"/>
        <v>5</v>
      </c>
      <c r="BE2398" s="130">
        <f t="shared" si="774"/>
        <v>1</v>
      </c>
      <c r="BF2398" s="195">
        <f t="shared" si="775"/>
        <v>500</v>
      </c>
      <c r="BG2398" s="373">
        <f t="shared" si="777"/>
        <v>-4</v>
      </c>
    </row>
    <row r="2399" spans="1:61" s="46" customFormat="1" ht="15.95" customHeight="1">
      <c r="A2399" s="176">
        <v>18</v>
      </c>
      <c r="B2399" s="31" t="s">
        <v>752</v>
      </c>
      <c r="C2399" s="32" t="s">
        <v>753</v>
      </c>
      <c r="D2399" s="231"/>
      <c r="E2399" s="231"/>
      <c r="F2399" s="231"/>
      <c r="G2399" s="231"/>
      <c r="H2399" s="231"/>
      <c r="I2399" s="231"/>
      <c r="J2399" s="231"/>
      <c r="K2399" s="231"/>
      <c r="L2399" s="231"/>
      <c r="M2399" s="231"/>
      <c r="N2399" s="231"/>
      <c r="O2399" s="231"/>
      <c r="P2399" s="231"/>
      <c r="Q2399" s="231"/>
      <c r="R2399" s="231"/>
      <c r="S2399" s="231"/>
      <c r="T2399" s="231"/>
      <c r="U2399" s="231"/>
      <c r="V2399" s="231"/>
      <c r="W2399" s="231"/>
      <c r="X2399" s="231"/>
      <c r="Y2399" s="231"/>
      <c r="Z2399" s="231"/>
      <c r="AA2399" s="231"/>
      <c r="AB2399" s="22">
        <f t="shared" si="771"/>
        <v>0</v>
      </c>
      <c r="AC2399" s="23">
        <v>0</v>
      </c>
      <c r="AD2399" s="35"/>
      <c r="AE2399" s="35"/>
      <c r="AF2399" s="35"/>
      <c r="AG2399" s="35"/>
      <c r="AH2399" s="35">
        <v>1</v>
      </c>
      <c r="AI2399" s="35"/>
      <c r="AJ2399" s="35"/>
      <c r="AK2399" s="35"/>
      <c r="AL2399" s="35">
        <v>2</v>
      </c>
      <c r="AM2399" s="35"/>
      <c r="AN2399" s="35"/>
      <c r="AO2399" s="35"/>
      <c r="AP2399" s="35">
        <v>4</v>
      </c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22">
        <f t="shared" si="772"/>
        <v>7</v>
      </c>
      <c r="BC2399" s="23">
        <v>1</v>
      </c>
      <c r="BD2399" s="130">
        <f t="shared" si="773"/>
        <v>7</v>
      </c>
      <c r="BE2399" s="130">
        <f t="shared" si="774"/>
        <v>1</v>
      </c>
      <c r="BF2399" s="195">
        <f t="shared" si="775"/>
        <v>700</v>
      </c>
      <c r="BG2399" s="373">
        <f t="shared" si="777"/>
        <v>-6</v>
      </c>
    </row>
    <row r="2400" spans="1:61" s="46" customFormat="1" ht="15.95" customHeight="1">
      <c r="A2400" s="176">
        <v>19</v>
      </c>
      <c r="B2400" s="37" t="s">
        <v>754</v>
      </c>
      <c r="C2400" s="38" t="s">
        <v>1280</v>
      </c>
      <c r="D2400" s="231"/>
      <c r="E2400" s="231"/>
      <c r="F2400" s="231"/>
      <c r="G2400" s="231"/>
      <c r="H2400" s="231"/>
      <c r="I2400" s="231"/>
      <c r="J2400" s="231"/>
      <c r="K2400" s="231"/>
      <c r="L2400" s="231"/>
      <c r="M2400" s="231"/>
      <c r="N2400" s="231"/>
      <c r="O2400" s="231"/>
      <c r="P2400" s="231"/>
      <c r="Q2400" s="231"/>
      <c r="R2400" s="231"/>
      <c r="S2400" s="231"/>
      <c r="T2400" s="231"/>
      <c r="U2400" s="231"/>
      <c r="V2400" s="231"/>
      <c r="W2400" s="231"/>
      <c r="X2400" s="231"/>
      <c r="Y2400" s="231"/>
      <c r="Z2400" s="231"/>
      <c r="AA2400" s="231"/>
      <c r="AB2400" s="22">
        <f t="shared" si="771"/>
        <v>0</v>
      </c>
      <c r="AC2400" s="23">
        <v>0</v>
      </c>
      <c r="AD2400" s="35">
        <f>12+1</f>
        <v>13</v>
      </c>
      <c r="AE2400" s="35"/>
      <c r="AF2400" s="35"/>
      <c r="AG2400" s="35"/>
      <c r="AH2400" s="35">
        <f>23+2</f>
        <v>25</v>
      </c>
      <c r="AI2400" s="35"/>
      <c r="AJ2400" s="35"/>
      <c r="AK2400" s="35"/>
      <c r="AL2400" s="35">
        <f>126+7+1</f>
        <v>134</v>
      </c>
      <c r="AM2400" s="35"/>
      <c r="AN2400" s="35"/>
      <c r="AO2400" s="35"/>
      <c r="AP2400" s="35">
        <v>143</v>
      </c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22">
        <f t="shared" si="772"/>
        <v>315</v>
      </c>
      <c r="BC2400" s="23">
        <v>556</v>
      </c>
      <c r="BD2400" s="130">
        <f t="shared" si="773"/>
        <v>315</v>
      </c>
      <c r="BE2400" s="130">
        <f t="shared" si="774"/>
        <v>556</v>
      </c>
      <c r="BF2400" s="195">
        <f t="shared" si="775"/>
        <v>56.654676258992808</v>
      </c>
      <c r="BG2400" s="373">
        <f t="shared" si="777"/>
        <v>241</v>
      </c>
    </row>
    <row r="2401" spans="1:59" s="46" customFormat="1" ht="15.95" customHeight="1">
      <c r="A2401" s="176">
        <v>20</v>
      </c>
      <c r="B2401" s="31" t="s">
        <v>756</v>
      </c>
      <c r="C2401" s="32" t="s">
        <v>757</v>
      </c>
      <c r="D2401" s="231"/>
      <c r="E2401" s="231"/>
      <c r="F2401" s="231"/>
      <c r="G2401" s="231"/>
      <c r="H2401" s="231"/>
      <c r="I2401" s="231"/>
      <c r="J2401" s="231"/>
      <c r="K2401" s="231"/>
      <c r="L2401" s="231"/>
      <c r="M2401" s="231"/>
      <c r="N2401" s="231"/>
      <c r="O2401" s="231"/>
      <c r="P2401" s="231">
        <v>2374</v>
      </c>
      <c r="Q2401" s="231"/>
      <c r="R2401" s="231"/>
      <c r="S2401" s="231"/>
      <c r="T2401" s="231"/>
      <c r="U2401" s="231"/>
      <c r="V2401" s="231"/>
      <c r="W2401" s="231"/>
      <c r="X2401" s="231"/>
      <c r="Y2401" s="231"/>
      <c r="Z2401" s="231"/>
      <c r="AA2401" s="231"/>
      <c r="AB2401" s="22">
        <f t="shared" si="771"/>
        <v>2374</v>
      </c>
      <c r="AC2401" s="23">
        <v>0</v>
      </c>
      <c r="AD2401" s="33">
        <v>619</v>
      </c>
      <c r="AE2401" s="33"/>
      <c r="AF2401" s="33"/>
      <c r="AG2401" s="33"/>
      <c r="AH2401" s="33">
        <f>457+338</f>
        <v>795</v>
      </c>
      <c r="AI2401" s="33"/>
      <c r="AJ2401" s="33"/>
      <c r="AK2401" s="33"/>
      <c r="AL2401" s="33">
        <f>2283+244+10</f>
        <v>2537</v>
      </c>
      <c r="AM2401" s="33"/>
      <c r="AN2401" s="33"/>
      <c r="AO2401" s="33"/>
      <c r="AP2401" s="33">
        <f>1+2040+5</f>
        <v>2046</v>
      </c>
      <c r="AQ2401" s="33"/>
      <c r="AR2401" s="33"/>
      <c r="AS2401" s="33"/>
      <c r="AT2401" s="33"/>
      <c r="AU2401" s="33"/>
      <c r="AV2401" s="33"/>
      <c r="AW2401" s="33"/>
      <c r="AX2401" s="33"/>
      <c r="AY2401" s="33"/>
      <c r="AZ2401" s="33"/>
      <c r="BA2401" s="33"/>
      <c r="BB2401" s="22">
        <f t="shared" si="772"/>
        <v>5997</v>
      </c>
      <c r="BC2401" s="23">
        <v>9946</v>
      </c>
      <c r="BD2401" s="130">
        <f t="shared" si="773"/>
        <v>8371</v>
      </c>
      <c r="BE2401" s="130">
        <f t="shared" si="774"/>
        <v>9946</v>
      </c>
      <c r="BF2401" s="195">
        <f t="shared" si="775"/>
        <v>84.16448823647697</v>
      </c>
      <c r="BG2401" s="373">
        <f t="shared" si="777"/>
        <v>1575</v>
      </c>
    </row>
    <row r="2402" spans="1:59" s="46" customFormat="1" ht="15.95" customHeight="1">
      <c r="A2402" s="176">
        <v>21</v>
      </c>
      <c r="B2402" s="31" t="s">
        <v>758</v>
      </c>
      <c r="C2402" s="32" t="s">
        <v>759</v>
      </c>
      <c r="D2402" s="231"/>
      <c r="E2402" s="231"/>
      <c r="F2402" s="231"/>
      <c r="G2402" s="231"/>
      <c r="H2402" s="231"/>
      <c r="I2402" s="231"/>
      <c r="J2402" s="231"/>
      <c r="K2402" s="231"/>
      <c r="L2402" s="231"/>
      <c r="M2402" s="231"/>
      <c r="N2402" s="231"/>
      <c r="O2402" s="231"/>
      <c r="P2402" s="231"/>
      <c r="Q2402" s="231"/>
      <c r="R2402" s="231"/>
      <c r="S2402" s="231"/>
      <c r="T2402" s="231"/>
      <c r="U2402" s="231"/>
      <c r="V2402" s="231"/>
      <c r="W2402" s="231"/>
      <c r="X2402" s="231"/>
      <c r="Y2402" s="231"/>
      <c r="Z2402" s="231"/>
      <c r="AA2402" s="231"/>
      <c r="AB2402" s="22">
        <f t="shared" si="771"/>
        <v>0</v>
      </c>
      <c r="AC2402" s="23">
        <v>0</v>
      </c>
      <c r="AD2402" s="33">
        <v>25</v>
      </c>
      <c r="AE2402" s="33"/>
      <c r="AF2402" s="33"/>
      <c r="AG2402" s="33"/>
      <c r="AH2402" s="33">
        <f>60+8</f>
        <v>68</v>
      </c>
      <c r="AI2402" s="33"/>
      <c r="AJ2402" s="33"/>
      <c r="AK2402" s="33"/>
      <c r="AL2402" s="33">
        <f>312+18</f>
        <v>330</v>
      </c>
      <c r="AM2402" s="33"/>
      <c r="AN2402" s="33"/>
      <c r="AO2402" s="33"/>
      <c r="AP2402" s="33">
        <v>280</v>
      </c>
      <c r="AQ2402" s="33"/>
      <c r="AR2402" s="33"/>
      <c r="AS2402" s="33"/>
      <c r="AT2402" s="33"/>
      <c r="AU2402" s="33"/>
      <c r="AV2402" s="33"/>
      <c r="AW2402" s="33"/>
      <c r="AX2402" s="33"/>
      <c r="AY2402" s="33"/>
      <c r="AZ2402" s="33"/>
      <c r="BA2402" s="33"/>
      <c r="BB2402" s="22">
        <f t="shared" si="772"/>
        <v>703</v>
      </c>
      <c r="BC2402" s="23">
        <v>1670</v>
      </c>
      <c r="BD2402" s="130">
        <f t="shared" si="773"/>
        <v>703</v>
      </c>
      <c r="BE2402" s="130">
        <f t="shared" si="774"/>
        <v>1670</v>
      </c>
      <c r="BF2402" s="195">
        <f t="shared" si="775"/>
        <v>42.095808383233532</v>
      </c>
      <c r="BG2402" s="373">
        <f t="shared" si="777"/>
        <v>967</v>
      </c>
    </row>
    <row r="2403" spans="1:59" s="46" customFormat="1" ht="15.95" customHeight="1">
      <c r="A2403" s="176">
        <v>22</v>
      </c>
      <c r="B2403" s="31" t="s">
        <v>760</v>
      </c>
      <c r="C2403" s="34" t="s">
        <v>891</v>
      </c>
      <c r="D2403" s="231"/>
      <c r="E2403" s="231"/>
      <c r="F2403" s="231"/>
      <c r="G2403" s="231"/>
      <c r="H2403" s="231"/>
      <c r="I2403" s="231"/>
      <c r="J2403" s="231"/>
      <c r="K2403" s="231"/>
      <c r="L2403" s="231"/>
      <c r="M2403" s="231"/>
      <c r="N2403" s="231"/>
      <c r="O2403" s="231"/>
      <c r="P2403" s="231"/>
      <c r="Q2403" s="231"/>
      <c r="R2403" s="231"/>
      <c r="S2403" s="231"/>
      <c r="T2403" s="231"/>
      <c r="U2403" s="231"/>
      <c r="V2403" s="231"/>
      <c r="W2403" s="231"/>
      <c r="X2403" s="231"/>
      <c r="Y2403" s="231"/>
      <c r="Z2403" s="231"/>
      <c r="AA2403" s="231"/>
      <c r="AB2403" s="22">
        <f t="shared" si="771"/>
        <v>0</v>
      </c>
      <c r="AC2403" s="23">
        <v>0</v>
      </c>
      <c r="AD2403" s="35">
        <v>1</v>
      </c>
      <c r="AE2403" s="35"/>
      <c r="AF2403" s="35"/>
      <c r="AG2403" s="35"/>
      <c r="AH2403" s="35">
        <v>20</v>
      </c>
      <c r="AI2403" s="35"/>
      <c r="AJ2403" s="35"/>
      <c r="AK2403" s="35"/>
      <c r="AL2403" s="35">
        <v>102</v>
      </c>
      <c r="AM2403" s="35"/>
      <c r="AN2403" s="35"/>
      <c r="AO2403" s="35"/>
      <c r="AP2403" s="35">
        <v>109</v>
      </c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22">
        <f t="shared" si="772"/>
        <v>232</v>
      </c>
      <c r="BC2403" s="23">
        <v>1031</v>
      </c>
      <c r="BD2403" s="130">
        <f t="shared" si="773"/>
        <v>232</v>
      </c>
      <c r="BE2403" s="130">
        <f t="shared" si="774"/>
        <v>1031</v>
      </c>
      <c r="BF2403" s="195">
        <f t="shared" si="775"/>
        <v>22.502424830261884</v>
      </c>
      <c r="BG2403" s="373">
        <f t="shared" si="777"/>
        <v>799</v>
      </c>
    </row>
    <row r="2404" spans="1:59" s="46" customFormat="1" ht="15.95" customHeight="1">
      <c r="A2404" s="176">
        <v>23</v>
      </c>
      <c r="B2404" s="31" t="s">
        <v>762</v>
      </c>
      <c r="C2404" s="34" t="s">
        <v>891</v>
      </c>
      <c r="D2404" s="231"/>
      <c r="E2404" s="231"/>
      <c r="F2404" s="231"/>
      <c r="G2404" s="231"/>
      <c r="H2404" s="231"/>
      <c r="I2404" s="231"/>
      <c r="J2404" s="231"/>
      <c r="K2404" s="231"/>
      <c r="L2404" s="231"/>
      <c r="M2404" s="231"/>
      <c r="N2404" s="231"/>
      <c r="O2404" s="231"/>
      <c r="P2404" s="231"/>
      <c r="Q2404" s="231"/>
      <c r="R2404" s="231"/>
      <c r="S2404" s="231"/>
      <c r="T2404" s="231"/>
      <c r="U2404" s="231"/>
      <c r="V2404" s="231"/>
      <c r="W2404" s="231"/>
      <c r="X2404" s="231"/>
      <c r="Y2404" s="231"/>
      <c r="Z2404" s="231"/>
      <c r="AA2404" s="231"/>
      <c r="AB2404" s="22">
        <f t="shared" si="771"/>
        <v>0</v>
      </c>
      <c r="AC2404" s="23">
        <v>0</v>
      </c>
      <c r="AD2404" s="35">
        <v>2</v>
      </c>
      <c r="AE2404" s="35"/>
      <c r="AF2404" s="35"/>
      <c r="AG2404" s="35"/>
      <c r="AH2404" s="35"/>
      <c r="AI2404" s="35"/>
      <c r="AJ2404" s="35"/>
      <c r="AK2404" s="35"/>
      <c r="AL2404" s="35">
        <v>1</v>
      </c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22">
        <f t="shared" si="772"/>
        <v>3</v>
      </c>
      <c r="BC2404" s="23">
        <v>6</v>
      </c>
      <c r="BD2404" s="130">
        <f t="shared" si="773"/>
        <v>3</v>
      </c>
      <c r="BE2404" s="130">
        <f t="shared" si="774"/>
        <v>6</v>
      </c>
      <c r="BF2404" s="195">
        <f t="shared" si="775"/>
        <v>50</v>
      </c>
      <c r="BG2404" s="373">
        <f t="shared" si="777"/>
        <v>3</v>
      </c>
    </row>
    <row r="2405" spans="1:59" s="46" customFormat="1" ht="15.95" customHeight="1">
      <c r="A2405" s="176">
        <v>24</v>
      </c>
      <c r="B2405" s="31" t="s">
        <v>763</v>
      </c>
      <c r="C2405" s="34" t="s">
        <v>891</v>
      </c>
      <c r="D2405" s="231"/>
      <c r="E2405" s="231"/>
      <c r="F2405" s="231"/>
      <c r="G2405" s="231"/>
      <c r="H2405" s="231"/>
      <c r="I2405" s="231"/>
      <c r="J2405" s="231"/>
      <c r="K2405" s="231"/>
      <c r="L2405" s="231"/>
      <c r="M2405" s="231"/>
      <c r="N2405" s="231"/>
      <c r="O2405" s="231"/>
      <c r="P2405" s="231"/>
      <c r="Q2405" s="231"/>
      <c r="R2405" s="231"/>
      <c r="S2405" s="231"/>
      <c r="T2405" s="231"/>
      <c r="U2405" s="231"/>
      <c r="V2405" s="231"/>
      <c r="W2405" s="231"/>
      <c r="X2405" s="231"/>
      <c r="Y2405" s="231"/>
      <c r="Z2405" s="231"/>
      <c r="AA2405" s="231"/>
      <c r="AB2405" s="22">
        <f t="shared" si="771"/>
        <v>0</v>
      </c>
      <c r="AC2405" s="23">
        <v>0</v>
      </c>
      <c r="AD2405" s="35">
        <v>5</v>
      </c>
      <c r="AE2405" s="35"/>
      <c r="AF2405" s="35"/>
      <c r="AG2405" s="35"/>
      <c r="AH2405" s="35">
        <v>2</v>
      </c>
      <c r="AI2405" s="35"/>
      <c r="AJ2405" s="35"/>
      <c r="AK2405" s="35"/>
      <c r="AL2405" s="35">
        <v>4</v>
      </c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22">
        <f t="shared" si="772"/>
        <v>11</v>
      </c>
      <c r="BC2405" s="23">
        <v>114</v>
      </c>
      <c r="BD2405" s="130">
        <f t="shared" si="773"/>
        <v>11</v>
      </c>
      <c r="BE2405" s="130">
        <f t="shared" si="774"/>
        <v>114</v>
      </c>
      <c r="BF2405" s="195">
        <f t="shared" si="775"/>
        <v>9.6491228070175428</v>
      </c>
      <c r="BG2405" s="373">
        <f t="shared" si="777"/>
        <v>103</v>
      </c>
    </row>
    <row r="2406" spans="1:59" s="46" customFormat="1" ht="15.95" customHeight="1">
      <c r="A2406" s="176">
        <v>25</v>
      </c>
      <c r="B2406" s="31" t="s">
        <v>764</v>
      </c>
      <c r="C2406" s="32" t="s">
        <v>765</v>
      </c>
      <c r="D2406" s="231"/>
      <c r="E2406" s="231"/>
      <c r="F2406" s="231"/>
      <c r="G2406" s="231"/>
      <c r="H2406" s="231"/>
      <c r="I2406" s="231"/>
      <c r="J2406" s="231"/>
      <c r="K2406" s="231"/>
      <c r="L2406" s="231"/>
      <c r="M2406" s="231"/>
      <c r="N2406" s="231"/>
      <c r="O2406" s="231"/>
      <c r="P2406" s="231"/>
      <c r="Q2406" s="231"/>
      <c r="R2406" s="231"/>
      <c r="S2406" s="231"/>
      <c r="T2406" s="231"/>
      <c r="U2406" s="231"/>
      <c r="V2406" s="231"/>
      <c r="W2406" s="231"/>
      <c r="X2406" s="231"/>
      <c r="Y2406" s="231"/>
      <c r="Z2406" s="231"/>
      <c r="AA2406" s="231"/>
      <c r="AB2406" s="22">
        <f t="shared" si="771"/>
        <v>0</v>
      </c>
      <c r="AC2406" s="23">
        <v>0</v>
      </c>
      <c r="AD2406" s="35">
        <v>6</v>
      </c>
      <c r="AE2406" s="35"/>
      <c r="AF2406" s="35"/>
      <c r="AG2406" s="35"/>
      <c r="AH2406" s="35">
        <f>30+6</f>
        <v>36</v>
      </c>
      <c r="AI2406" s="35"/>
      <c r="AJ2406" s="35"/>
      <c r="AK2406" s="35"/>
      <c r="AL2406" s="35">
        <f>269+5</f>
        <v>274</v>
      </c>
      <c r="AM2406" s="35"/>
      <c r="AN2406" s="35"/>
      <c r="AO2406" s="35"/>
      <c r="AP2406" s="35">
        <v>254</v>
      </c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22">
        <f t="shared" si="772"/>
        <v>570</v>
      </c>
      <c r="BC2406" s="23">
        <v>323</v>
      </c>
      <c r="BD2406" s="130">
        <f t="shared" si="773"/>
        <v>570</v>
      </c>
      <c r="BE2406" s="130">
        <f t="shared" si="774"/>
        <v>323</v>
      </c>
      <c r="BF2406" s="195">
        <f t="shared" si="775"/>
        <v>176.47058823529412</v>
      </c>
      <c r="BG2406" s="373">
        <f t="shared" si="777"/>
        <v>-247</v>
      </c>
    </row>
    <row r="2407" spans="1:59" s="46" customFormat="1" ht="15.95" customHeight="1">
      <c r="A2407" s="176">
        <v>26</v>
      </c>
      <c r="B2407" s="31" t="s">
        <v>1069</v>
      </c>
      <c r="C2407" s="32" t="s">
        <v>1070</v>
      </c>
      <c r="D2407" s="231"/>
      <c r="E2407" s="231"/>
      <c r="F2407" s="231"/>
      <c r="G2407" s="231"/>
      <c r="H2407" s="231"/>
      <c r="I2407" s="231"/>
      <c r="J2407" s="231"/>
      <c r="K2407" s="231"/>
      <c r="L2407" s="231"/>
      <c r="M2407" s="231"/>
      <c r="N2407" s="231"/>
      <c r="O2407" s="231"/>
      <c r="P2407" s="231"/>
      <c r="Q2407" s="231"/>
      <c r="R2407" s="231"/>
      <c r="S2407" s="231"/>
      <c r="T2407" s="231"/>
      <c r="U2407" s="231"/>
      <c r="V2407" s="231"/>
      <c r="W2407" s="231"/>
      <c r="X2407" s="231"/>
      <c r="Y2407" s="231"/>
      <c r="Z2407" s="231"/>
      <c r="AA2407" s="231"/>
      <c r="AB2407" s="22">
        <f t="shared" si="771"/>
        <v>0</v>
      </c>
      <c r="AC2407" s="23">
        <v>0</v>
      </c>
      <c r="AD2407" s="35"/>
      <c r="AE2407" s="35"/>
      <c r="AF2407" s="35"/>
      <c r="AG2407" s="35"/>
      <c r="AH2407" s="35">
        <v>1</v>
      </c>
      <c r="AI2407" s="35"/>
      <c r="AJ2407" s="35"/>
      <c r="AK2407" s="35"/>
      <c r="AL2407" s="35">
        <v>1</v>
      </c>
      <c r="AM2407" s="35"/>
      <c r="AN2407" s="35"/>
      <c r="AO2407" s="35"/>
      <c r="AP2407" s="35">
        <v>4</v>
      </c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22">
        <f t="shared" si="772"/>
        <v>6</v>
      </c>
      <c r="BC2407" s="23">
        <v>13</v>
      </c>
      <c r="BD2407" s="130">
        <f t="shared" si="773"/>
        <v>6</v>
      </c>
      <c r="BE2407" s="130">
        <f t="shared" si="774"/>
        <v>13</v>
      </c>
      <c r="BF2407" s="195">
        <f t="shared" si="775"/>
        <v>46.153846153846153</v>
      </c>
      <c r="BG2407" s="373">
        <f t="shared" si="777"/>
        <v>7</v>
      </c>
    </row>
    <row r="2408" spans="1:59" s="46" customFormat="1" ht="15.95" customHeight="1">
      <c r="A2408" s="176">
        <v>27</v>
      </c>
      <c r="B2408" s="31" t="s">
        <v>1135</v>
      </c>
      <c r="C2408" s="32" t="s">
        <v>1216</v>
      </c>
      <c r="D2408" s="288"/>
      <c r="E2408" s="288"/>
      <c r="F2408" s="288"/>
      <c r="G2408" s="288"/>
      <c r="H2408" s="288"/>
      <c r="I2408" s="288"/>
      <c r="J2408" s="288"/>
      <c r="K2408" s="288"/>
      <c r="L2408" s="288"/>
      <c r="M2408" s="288"/>
      <c r="N2408" s="288"/>
      <c r="O2408" s="288"/>
      <c r="P2408" s="288"/>
      <c r="Q2408" s="288"/>
      <c r="R2408" s="288"/>
      <c r="S2408" s="288"/>
      <c r="T2408" s="288"/>
      <c r="U2408" s="288"/>
      <c r="V2408" s="288"/>
      <c r="W2408" s="288"/>
      <c r="X2408" s="288"/>
      <c r="Y2408" s="288"/>
      <c r="Z2408" s="288"/>
      <c r="AA2408" s="288"/>
      <c r="AB2408" s="22">
        <f t="shared" si="771"/>
        <v>0</v>
      </c>
      <c r="AC2408" s="23">
        <v>0</v>
      </c>
      <c r="AD2408" s="35"/>
      <c r="AE2408" s="35"/>
      <c r="AF2408" s="35"/>
      <c r="AG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22">
        <f t="shared" si="772"/>
        <v>0</v>
      </c>
      <c r="BC2408" s="23">
        <v>6</v>
      </c>
      <c r="BD2408" s="130">
        <f t="shared" si="773"/>
        <v>0</v>
      </c>
      <c r="BE2408" s="130">
        <f t="shared" si="774"/>
        <v>6</v>
      </c>
      <c r="BF2408" s="195">
        <f t="shared" si="775"/>
        <v>0</v>
      </c>
      <c r="BG2408" s="373">
        <f t="shared" si="777"/>
        <v>6</v>
      </c>
    </row>
    <row r="2409" spans="1:59" s="46" customFormat="1" ht="15.95" customHeight="1">
      <c r="A2409" s="176">
        <v>28</v>
      </c>
      <c r="B2409" s="31" t="s">
        <v>1364</v>
      </c>
      <c r="C2409" s="32" t="s">
        <v>1365</v>
      </c>
      <c r="D2409" s="231"/>
      <c r="E2409" s="231"/>
      <c r="F2409" s="231"/>
      <c r="G2409" s="231"/>
      <c r="H2409" s="231"/>
      <c r="I2409" s="231"/>
      <c r="J2409" s="231"/>
      <c r="K2409" s="231"/>
      <c r="L2409" s="231"/>
      <c r="M2409" s="231"/>
      <c r="N2409" s="231"/>
      <c r="O2409" s="231"/>
      <c r="P2409" s="231"/>
      <c r="Q2409" s="231"/>
      <c r="R2409" s="231"/>
      <c r="S2409" s="231"/>
      <c r="T2409" s="231"/>
      <c r="U2409" s="231"/>
      <c r="V2409" s="231"/>
      <c r="W2409" s="231"/>
      <c r="X2409" s="231"/>
      <c r="Y2409" s="231"/>
      <c r="Z2409" s="231"/>
      <c r="AA2409" s="231"/>
      <c r="AB2409" s="22">
        <f t="shared" si="771"/>
        <v>0</v>
      </c>
      <c r="AC2409" s="23">
        <v>0</v>
      </c>
      <c r="AD2409" s="35"/>
      <c r="AE2409" s="35"/>
      <c r="AF2409" s="35"/>
      <c r="AG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22">
        <f t="shared" si="772"/>
        <v>0</v>
      </c>
      <c r="BC2409" s="23">
        <v>1</v>
      </c>
      <c r="BD2409" s="130">
        <f t="shared" si="773"/>
        <v>0</v>
      </c>
      <c r="BE2409" s="130">
        <f t="shared" si="774"/>
        <v>1</v>
      </c>
      <c r="BF2409" s="195">
        <f t="shared" si="775"/>
        <v>0</v>
      </c>
      <c r="BG2409" s="373">
        <f t="shared" si="777"/>
        <v>1</v>
      </c>
    </row>
    <row r="2410" spans="1:59" s="46" customFormat="1" ht="15.95" customHeight="1">
      <c r="A2410" s="176">
        <v>29</v>
      </c>
      <c r="B2410" s="31" t="s">
        <v>1366</v>
      </c>
      <c r="C2410" s="32" t="s">
        <v>1367</v>
      </c>
      <c r="D2410" s="231"/>
      <c r="E2410" s="231"/>
      <c r="F2410" s="231"/>
      <c r="G2410" s="231"/>
      <c r="H2410" s="231"/>
      <c r="I2410" s="231"/>
      <c r="J2410" s="231"/>
      <c r="K2410" s="231"/>
      <c r="L2410" s="231"/>
      <c r="M2410" s="231"/>
      <c r="N2410" s="231"/>
      <c r="O2410" s="231"/>
      <c r="P2410" s="231"/>
      <c r="Q2410" s="231"/>
      <c r="R2410" s="231"/>
      <c r="S2410" s="231"/>
      <c r="T2410" s="231"/>
      <c r="U2410" s="231"/>
      <c r="V2410" s="231"/>
      <c r="W2410" s="231"/>
      <c r="X2410" s="231"/>
      <c r="Y2410" s="231"/>
      <c r="Z2410" s="231"/>
      <c r="AA2410" s="231"/>
      <c r="AB2410" s="22">
        <f t="shared" si="771"/>
        <v>0</v>
      </c>
      <c r="AC2410" s="23">
        <v>0</v>
      </c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>
        <v>7</v>
      </c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22">
        <f t="shared" si="772"/>
        <v>7</v>
      </c>
      <c r="BC2410" s="23">
        <v>46</v>
      </c>
      <c r="BD2410" s="130">
        <f t="shared" si="773"/>
        <v>7</v>
      </c>
      <c r="BE2410" s="130">
        <f t="shared" si="774"/>
        <v>46</v>
      </c>
      <c r="BF2410" s="195">
        <f t="shared" si="775"/>
        <v>15.217391304347828</v>
      </c>
      <c r="BG2410" s="373">
        <f t="shared" si="777"/>
        <v>39</v>
      </c>
    </row>
    <row r="2411" spans="1:59" s="46" customFormat="1" ht="15.95" customHeight="1">
      <c r="A2411" s="176">
        <v>30</v>
      </c>
      <c r="B2411" s="31" t="s">
        <v>2910</v>
      </c>
      <c r="C2411" s="298" t="s">
        <v>3062</v>
      </c>
      <c r="D2411" s="288"/>
      <c r="E2411" s="288"/>
      <c r="F2411" s="288"/>
      <c r="G2411" s="288"/>
      <c r="H2411" s="288"/>
      <c r="I2411" s="288"/>
      <c r="J2411" s="288"/>
      <c r="K2411" s="288"/>
      <c r="L2411" s="288"/>
      <c r="M2411" s="288"/>
      <c r="N2411" s="288"/>
      <c r="O2411" s="288"/>
      <c r="P2411" s="288"/>
      <c r="Q2411" s="288"/>
      <c r="R2411" s="288"/>
      <c r="S2411" s="288"/>
      <c r="T2411" s="288"/>
      <c r="U2411" s="288"/>
      <c r="V2411" s="288"/>
      <c r="W2411" s="288"/>
      <c r="X2411" s="288"/>
      <c r="Y2411" s="288"/>
      <c r="Z2411" s="288"/>
      <c r="AA2411" s="288"/>
      <c r="AB2411" s="22">
        <f t="shared" si="771"/>
        <v>0</v>
      </c>
      <c r="AC2411" s="23">
        <v>0</v>
      </c>
      <c r="AD2411" s="35"/>
      <c r="AE2411" s="35"/>
      <c r="AF2411" s="35"/>
      <c r="AG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22">
        <f t="shared" si="772"/>
        <v>0</v>
      </c>
      <c r="BC2411" s="23">
        <v>3</v>
      </c>
      <c r="BD2411" s="130">
        <f t="shared" si="773"/>
        <v>0</v>
      </c>
      <c r="BE2411" s="130">
        <f t="shared" si="774"/>
        <v>3</v>
      </c>
      <c r="BF2411" s="195">
        <f t="shared" si="775"/>
        <v>0</v>
      </c>
      <c r="BG2411" s="373">
        <f t="shared" si="777"/>
        <v>3</v>
      </c>
    </row>
    <row r="2412" spans="1:59" s="46" customFormat="1" ht="15.95" customHeight="1">
      <c r="A2412" s="176">
        <v>31</v>
      </c>
      <c r="B2412" s="31" t="s">
        <v>768</v>
      </c>
      <c r="C2412" s="32" t="s">
        <v>769</v>
      </c>
      <c r="D2412" s="231"/>
      <c r="E2412" s="231"/>
      <c r="F2412" s="231"/>
      <c r="G2412" s="231"/>
      <c r="H2412" s="231"/>
      <c r="I2412" s="231"/>
      <c r="J2412" s="231"/>
      <c r="K2412" s="231"/>
      <c r="L2412" s="231"/>
      <c r="M2412" s="231"/>
      <c r="N2412" s="231"/>
      <c r="O2412" s="231"/>
      <c r="P2412" s="231"/>
      <c r="Q2412" s="231"/>
      <c r="R2412" s="231"/>
      <c r="S2412" s="231"/>
      <c r="T2412" s="231"/>
      <c r="U2412" s="231"/>
      <c r="V2412" s="231"/>
      <c r="W2412" s="231"/>
      <c r="X2412" s="231"/>
      <c r="Y2412" s="231"/>
      <c r="Z2412" s="231"/>
      <c r="AA2412" s="231"/>
      <c r="AB2412" s="22">
        <f t="shared" si="771"/>
        <v>0</v>
      </c>
      <c r="AC2412" s="23">
        <v>0</v>
      </c>
      <c r="AD2412" s="35">
        <v>5</v>
      </c>
      <c r="AE2412" s="35"/>
      <c r="AF2412" s="35"/>
      <c r="AG2412" s="35"/>
      <c r="AH2412" s="35">
        <f>100+6</f>
        <v>106</v>
      </c>
      <c r="AI2412" s="35"/>
      <c r="AJ2412" s="35"/>
      <c r="AK2412" s="35"/>
      <c r="AL2412" s="35">
        <f>512+6</f>
        <v>518</v>
      </c>
      <c r="AM2412" s="35"/>
      <c r="AN2412" s="35"/>
      <c r="AO2412" s="35"/>
      <c r="AP2412" s="35">
        <v>420</v>
      </c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22">
        <f t="shared" si="772"/>
        <v>1049</v>
      </c>
      <c r="BC2412" s="23">
        <v>1930</v>
      </c>
      <c r="BD2412" s="130">
        <f t="shared" si="773"/>
        <v>1049</v>
      </c>
      <c r="BE2412" s="130">
        <f t="shared" si="774"/>
        <v>1930</v>
      </c>
      <c r="BF2412" s="195">
        <f t="shared" si="775"/>
        <v>54.352331606217618</v>
      </c>
      <c r="BG2412" s="373">
        <f t="shared" si="777"/>
        <v>881</v>
      </c>
    </row>
    <row r="2413" spans="1:59" s="46" customFormat="1" ht="21.75" customHeight="1">
      <c r="A2413" s="176">
        <v>32</v>
      </c>
      <c r="B2413" s="31" t="s">
        <v>770</v>
      </c>
      <c r="C2413" s="34" t="s">
        <v>771</v>
      </c>
      <c r="D2413" s="231"/>
      <c r="E2413" s="231"/>
      <c r="F2413" s="231"/>
      <c r="G2413" s="231"/>
      <c r="H2413" s="231"/>
      <c r="I2413" s="231"/>
      <c r="J2413" s="231"/>
      <c r="K2413" s="231"/>
      <c r="L2413" s="231"/>
      <c r="M2413" s="231"/>
      <c r="N2413" s="231"/>
      <c r="O2413" s="231"/>
      <c r="P2413" s="231"/>
      <c r="Q2413" s="231"/>
      <c r="R2413" s="231"/>
      <c r="S2413" s="231"/>
      <c r="T2413" s="231"/>
      <c r="U2413" s="231"/>
      <c r="V2413" s="231"/>
      <c r="W2413" s="231"/>
      <c r="X2413" s="231"/>
      <c r="Y2413" s="231"/>
      <c r="Z2413" s="231"/>
      <c r="AA2413" s="231"/>
      <c r="AB2413" s="22">
        <f t="shared" si="771"/>
        <v>0</v>
      </c>
      <c r="AC2413" s="23">
        <v>0</v>
      </c>
      <c r="AD2413" s="35">
        <v>5</v>
      </c>
      <c r="AE2413" s="35"/>
      <c r="AF2413" s="35"/>
      <c r="AG2413" s="35"/>
      <c r="AH2413" s="35">
        <f>135+12</f>
        <v>147</v>
      </c>
      <c r="AI2413" s="35"/>
      <c r="AJ2413" s="35"/>
      <c r="AK2413" s="35"/>
      <c r="AL2413" s="35">
        <f>704+12</f>
        <v>716</v>
      </c>
      <c r="AM2413" s="35"/>
      <c r="AN2413" s="35"/>
      <c r="AO2413" s="35"/>
      <c r="AP2413" s="35">
        <v>563</v>
      </c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22">
        <f t="shared" si="772"/>
        <v>1431</v>
      </c>
      <c r="BC2413" s="23">
        <v>2574</v>
      </c>
      <c r="BD2413" s="130">
        <f t="shared" si="773"/>
        <v>1431</v>
      </c>
      <c r="BE2413" s="130">
        <f t="shared" si="774"/>
        <v>2574</v>
      </c>
      <c r="BF2413" s="195">
        <f t="shared" si="775"/>
        <v>55.594405594405593</v>
      </c>
      <c r="BG2413" s="373">
        <f t="shared" si="777"/>
        <v>1143</v>
      </c>
    </row>
    <row r="2414" spans="1:59" s="46" customFormat="1" ht="21.75" customHeight="1">
      <c r="A2414" s="176">
        <v>33</v>
      </c>
      <c r="B2414" s="31" t="s">
        <v>1140</v>
      </c>
      <c r="C2414" s="34" t="s">
        <v>1281</v>
      </c>
      <c r="D2414" s="231">
        <v>8</v>
      </c>
      <c r="E2414" s="231"/>
      <c r="F2414" s="231"/>
      <c r="G2414" s="231"/>
      <c r="H2414" s="231">
        <v>15</v>
      </c>
      <c r="I2414" s="231"/>
      <c r="J2414" s="231"/>
      <c r="K2414" s="231"/>
      <c r="L2414" s="231">
        <v>30</v>
      </c>
      <c r="M2414" s="231"/>
      <c r="N2414" s="231"/>
      <c r="O2414" s="231"/>
      <c r="P2414" s="231">
        <f>43+52</f>
        <v>95</v>
      </c>
      <c r="Q2414" s="231"/>
      <c r="R2414" s="231"/>
      <c r="S2414" s="231"/>
      <c r="T2414" s="231"/>
      <c r="U2414" s="231"/>
      <c r="V2414" s="231"/>
      <c r="W2414" s="231"/>
      <c r="X2414" s="231"/>
      <c r="Y2414" s="231"/>
      <c r="Z2414" s="231"/>
      <c r="AA2414" s="231"/>
      <c r="AB2414" s="22">
        <f t="shared" si="771"/>
        <v>148</v>
      </c>
      <c r="AC2414" s="23">
        <v>14</v>
      </c>
      <c r="AD2414" s="35"/>
      <c r="AE2414" s="35"/>
      <c r="AF2414" s="35"/>
      <c r="AG2414" s="35"/>
      <c r="AH2414" s="35"/>
      <c r="AI2414" s="35"/>
      <c r="AJ2414" s="35"/>
      <c r="AK2414" s="35"/>
      <c r="AL2414" s="35">
        <v>6</v>
      </c>
      <c r="AM2414" s="35"/>
      <c r="AN2414" s="35"/>
      <c r="AO2414" s="35"/>
      <c r="AP2414" s="35">
        <v>2</v>
      </c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22">
        <f t="shared" si="772"/>
        <v>8</v>
      </c>
      <c r="BC2414" s="23">
        <v>24</v>
      </c>
      <c r="BD2414" s="130">
        <f t="shared" si="773"/>
        <v>156</v>
      </c>
      <c r="BE2414" s="130">
        <f t="shared" si="774"/>
        <v>38</v>
      </c>
      <c r="BF2414" s="195">
        <f t="shared" si="775"/>
        <v>410.5263157894737</v>
      </c>
      <c r="BG2414" s="373">
        <f t="shared" si="777"/>
        <v>-118</v>
      </c>
    </row>
    <row r="2415" spans="1:59" s="46" customFormat="1" ht="15.95" customHeight="1">
      <c r="A2415" s="176">
        <v>34</v>
      </c>
      <c r="B2415" s="31" t="s">
        <v>772</v>
      </c>
      <c r="C2415" s="32" t="s">
        <v>773</v>
      </c>
      <c r="D2415" s="231">
        <v>122</v>
      </c>
      <c r="E2415" s="231"/>
      <c r="F2415" s="231"/>
      <c r="G2415" s="231"/>
      <c r="H2415" s="231">
        <f>210+6</f>
        <v>216</v>
      </c>
      <c r="I2415" s="231"/>
      <c r="J2415" s="231"/>
      <c r="K2415" s="231"/>
      <c r="L2415" s="231">
        <v>822</v>
      </c>
      <c r="M2415" s="231"/>
      <c r="N2415" s="231"/>
      <c r="O2415" s="231"/>
      <c r="P2415" s="231">
        <f>1136+562</f>
        <v>1698</v>
      </c>
      <c r="Q2415" s="231"/>
      <c r="R2415" s="231"/>
      <c r="S2415" s="231"/>
      <c r="T2415" s="231"/>
      <c r="U2415" s="231"/>
      <c r="V2415" s="231"/>
      <c r="W2415" s="231"/>
      <c r="X2415" s="231"/>
      <c r="Y2415" s="231"/>
      <c r="Z2415" s="231"/>
      <c r="AA2415" s="231"/>
      <c r="AB2415" s="22">
        <f t="shared" si="771"/>
        <v>2858</v>
      </c>
      <c r="AC2415" s="23">
        <v>1180</v>
      </c>
      <c r="AD2415" s="35">
        <v>288</v>
      </c>
      <c r="AE2415" s="35"/>
      <c r="AF2415" s="35"/>
      <c r="AG2415" s="35"/>
      <c r="AH2415" s="35">
        <f>4+503+182+6</f>
        <v>695</v>
      </c>
      <c r="AI2415" s="35"/>
      <c r="AJ2415" s="35"/>
      <c r="AK2415" s="35"/>
      <c r="AL2415" s="35">
        <f>20+3008+169+4</f>
        <v>3201</v>
      </c>
      <c r="AM2415" s="35"/>
      <c r="AN2415" s="35"/>
      <c r="AO2415" s="35"/>
      <c r="AP2415" s="35">
        <f>7+2552+1</f>
        <v>2560</v>
      </c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22">
        <f t="shared" si="772"/>
        <v>6744</v>
      </c>
      <c r="BC2415" s="23">
        <v>11495</v>
      </c>
      <c r="BD2415" s="130">
        <f t="shared" si="773"/>
        <v>9602</v>
      </c>
      <c r="BE2415" s="130">
        <f t="shared" si="774"/>
        <v>12675</v>
      </c>
      <c r="BF2415" s="195">
        <f t="shared" si="775"/>
        <v>75.755424063116379</v>
      </c>
      <c r="BG2415" s="373">
        <f t="shared" si="777"/>
        <v>3073</v>
      </c>
    </row>
    <row r="2416" spans="1:59" s="46" customFormat="1" ht="15.95" customHeight="1">
      <c r="A2416" s="176">
        <v>35</v>
      </c>
      <c r="B2416" s="31" t="s">
        <v>1282</v>
      </c>
      <c r="C2416" s="34" t="s">
        <v>1283</v>
      </c>
      <c r="D2416" s="231"/>
      <c r="E2416" s="231"/>
      <c r="F2416" s="231"/>
      <c r="G2416" s="231"/>
      <c r="H2416" s="231"/>
      <c r="I2416" s="231"/>
      <c r="J2416" s="231"/>
      <c r="K2416" s="231"/>
      <c r="L2416" s="231"/>
      <c r="M2416" s="231"/>
      <c r="N2416" s="231"/>
      <c r="O2416" s="231"/>
      <c r="P2416" s="231"/>
      <c r="Q2416" s="231"/>
      <c r="R2416" s="231"/>
      <c r="S2416" s="231"/>
      <c r="T2416" s="231"/>
      <c r="U2416" s="231"/>
      <c r="V2416" s="231"/>
      <c r="W2416" s="231"/>
      <c r="X2416" s="231"/>
      <c r="Y2416" s="231"/>
      <c r="Z2416" s="231"/>
      <c r="AA2416" s="231"/>
      <c r="AB2416" s="22">
        <f t="shared" si="771"/>
        <v>0</v>
      </c>
      <c r="AC2416" s="23">
        <v>0</v>
      </c>
      <c r="AD2416" s="35"/>
      <c r="AE2416" s="35"/>
      <c r="AF2416" s="35"/>
      <c r="AG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22">
        <f t="shared" si="772"/>
        <v>0</v>
      </c>
      <c r="BC2416" s="23">
        <v>2</v>
      </c>
      <c r="BD2416" s="130">
        <f t="shared" si="773"/>
        <v>0</v>
      </c>
      <c r="BE2416" s="130">
        <f t="shared" si="774"/>
        <v>2</v>
      </c>
      <c r="BF2416" s="195">
        <f t="shared" si="775"/>
        <v>0</v>
      </c>
      <c r="BG2416" s="373">
        <f t="shared" si="777"/>
        <v>2</v>
      </c>
    </row>
    <row r="2417" spans="1:59" s="46" customFormat="1" ht="22.5" customHeight="1">
      <c r="A2417" s="176">
        <v>36</v>
      </c>
      <c r="B2417" s="31" t="s">
        <v>2733</v>
      </c>
      <c r="C2417" s="34" t="s">
        <v>2734</v>
      </c>
      <c r="D2417" s="253"/>
      <c r="E2417" s="253"/>
      <c r="F2417" s="253"/>
      <c r="G2417" s="253"/>
      <c r="H2417" s="253"/>
      <c r="I2417" s="253"/>
      <c r="J2417" s="253"/>
      <c r="K2417" s="253"/>
      <c r="L2417" s="253"/>
      <c r="M2417" s="253"/>
      <c r="N2417" s="253"/>
      <c r="O2417" s="253"/>
      <c r="P2417" s="253"/>
      <c r="Q2417" s="253"/>
      <c r="R2417" s="253"/>
      <c r="S2417" s="253"/>
      <c r="T2417" s="253"/>
      <c r="U2417" s="253"/>
      <c r="V2417" s="253"/>
      <c r="W2417" s="253"/>
      <c r="X2417" s="253"/>
      <c r="Y2417" s="253"/>
      <c r="Z2417" s="253"/>
      <c r="AA2417" s="253"/>
      <c r="AB2417" s="22">
        <f t="shared" si="771"/>
        <v>0</v>
      </c>
      <c r="AC2417" s="23">
        <v>0</v>
      </c>
      <c r="AD2417" s="35"/>
      <c r="AE2417" s="35"/>
      <c r="AF2417" s="35"/>
      <c r="AG2417" s="35"/>
      <c r="AH2417" s="35">
        <v>1</v>
      </c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22">
        <f t="shared" si="772"/>
        <v>1</v>
      </c>
      <c r="BC2417" s="23">
        <v>2</v>
      </c>
      <c r="BD2417" s="130">
        <f t="shared" si="773"/>
        <v>1</v>
      </c>
      <c r="BE2417" s="130">
        <f t="shared" si="774"/>
        <v>2</v>
      </c>
      <c r="BF2417" s="195">
        <f t="shared" si="775"/>
        <v>50</v>
      </c>
      <c r="BG2417" s="373">
        <f t="shared" si="777"/>
        <v>1</v>
      </c>
    </row>
    <row r="2418" spans="1:59" s="46" customFormat="1" ht="15.95" customHeight="1">
      <c r="A2418" s="176">
        <v>37</v>
      </c>
      <c r="B2418" s="31" t="s">
        <v>619</v>
      </c>
      <c r="C2418" s="32" t="s">
        <v>620</v>
      </c>
      <c r="D2418" s="231"/>
      <c r="E2418" s="231"/>
      <c r="F2418" s="231"/>
      <c r="G2418" s="231"/>
      <c r="H2418" s="231"/>
      <c r="I2418" s="231"/>
      <c r="J2418" s="231"/>
      <c r="K2418" s="231"/>
      <c r="L2418" s="231"/>
      <c r="M2418" s="231"/>
      <c r="N2418" s="231"/>
      <c r="O2418" s="231"/>
      <c r="P2418" s="231"/>
      <c r="Q2418" s="231"/>
      <c r="R2418" s="231"/>
      <c r="S2418" s="231"/>
      <c r="T2418" s="231"/>
      <c r="U2418" s="231"/>
      <c r="V2418" s="231"/>
      <c r="W2418" s="231"/>
      <c r="X2418" s="231"/>
      <c r="Y2418" s="231"/>
      <c r="Z2418" s="231"/>
      <c r="AA2418" s="231"/>
      <c r="AB2418" s="22">
        <f t="shared" si="771"/>
        <v>0</v>
      </c>
      <c r="AC2418" s="23">
        <v>7</v>
      </c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  <c r="AU2418" s="33"/>
      <c r="AV2418" s="33"/>
      <c r="AW2418" s="33"/>
      <c r="AX2418" s="33"/>
      <c r="AY2418" s="33"/>
      <c r="AZ2418" s="33"/>
      <c r="BA2418" s="33"/>
      <c r="BB2418" s="22">
        <f t="shared" si="772"/>
        <v>0</v>
      </c>
      <c r="BC2418" s="23">
        <v>0</v>
      </c>
      <c r="BD2418" s="130">
        <f t="shared" si="773"/>
        <v>0</v>
      </c>
      <c r="BE2418" s="130">
        <f t="shared" si="774"/>
        <v>7</v>
      </c>
      <c r="BF2418" s="195">
        <f t="shared" si="775"/>
        <v>0</v>
      </c>
      <c r="BG2418" s="373">
        <f t="shared" si="777"/>
        <v>7</v>
      </c>
    </row>
    <row r="2419" spans="1:59" s="46" customFormat="1" ht="15.95" customHeight="1">
      <c r="A2419" s="176">
        <v>38</v>
      </c>
      <c r="B2419" s="31" t="s">
        <v>892</v>
      </c>
      <c r="C2419" s="32" t="s">
        <v>893</v>
      </c>
      <c r="D2419" s="323"/>
      <c r="E2419" s="323"/>
      <c r="F2419" s="323"/>
      <c r="G2419" s="323"/>
      <c r="H2419" s="323"/>
      <c r="I2419" s="323"/>
      <c r="J2419" s="323"/>
      <c r="K2419" s="323"/>
      <c r="L2419" s="323"/>
      <c r="M2419" s="323"/>
      <c r="N2419" s="323"/>
      <c r="O2419" s="323"/>
      <c r="P2419" s="323"/>
      <c r="Q2419" s="323"/>
      <c r="R2419" s="323"/>
      <c r="S2419" s="323"/>
      <c r="T2419" s="323"/>
      <c r="U2419" s="323"/>
      <c r="V2419" s="323"/>
      <c r="W2419" s="323"/>
      <c r="X2419" s="323"/>
      <c r="Y2419" s="323"/>
      <c r="Z2419" s="323"/>
      <c r="AA2419" s="323"/>
      <c r="AB2419" s="22">
        <f t="shared" si="771"/>
        <v>0</v>
      </c>
      <c r="AC2419" s="23">
        <v>0</v>
      </c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  <c r="AU2419" s="33"/>
      <c r="AV2419" s="33"/>
      <c r="AW2419" s="33"/>
      <c r="AX2419" s="33"/>
      <c r="AY2419" s="33"/>
      <c r="AZ2419" s="33"/>
      <c r="BA2419" s="33"/>
      <c r="BB2419" s="22">
        <f t="shared" si="772"/>
        <v>0</v>
      </c>
      <c r="BC2419" s="23">
        <v>1</v>
      </c>
      <c r="BD2419" s="130">
        <f t="shared" si="773"/>
        <v>0</v>
      </c>
      <c r="BE2419" s="130">
        <f t="shared" si="774"/>
        <v>1</v>
      </c>
      <c r="BF2419" s="195">
        <f t="shared" si="775"/>
        <v>0</v>
      </c>
      <c r="BG2419" s="373">
        <f t="shared" si="777"/>
        <v>1</v>
      </c>
    </row>
    <row r="2420" spans="1:59" s="46" customFormat="1" ht="15.95" customHeight="1">
      <c r="A2420" s="176">
        <v>39</v>
      </c>
      <c r="B2420" s="31" t="s">
        <v>1284</v>
      </c>
      <c r="C2420" s="32" t="s">
        <v>1285</v>
      </c>
      <c r="D2420" s="231">
        <v>2</v>
      </c>
      <c r="E2420" s="231"/>
      <c r="F2420" s="231"/>
      <c r="G2420" s="231"/>
      <c r="H2420" s="231">
        <v>2</v>
      </c>
      <c r="I2420" s="231"/>
      <c r="J2420" s="231"/>
      <c r="K2420" s="231"/>
      <c r="L2420" s="231">
        <v>4</v>
      </c>
      <c r="M2420" s="231"/>
      <c r="N2420" s="231"/>
      <c r="O2420" s="231"/>
      <c r="P2420" s="231">
        <v>4</v>
      </c>
      <c r="Q2420" s="231"/>
      <c r="R2420" s="231"/>
      <c r="S2420" s="231"/>
      <c r="T2420" s="231"/>
      <c r="U2420" s="231"/>
      <c r="V2420" s="231"/>
      <c r="W2420" s="231"/>
      <c r="X2420" s="231"/>
      <c r="Y2420" s="231"/>
      <c r="Z2420" s="231"/>
      <c r="AA2420" s="231"/>
      <c r="AB2420" s="22">
        <f t="shared" si="771"/>
        <v>12</v>
      </c>
      <c r="AC2420" s="23">
        <v>1</v>
      </c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  <c r="AU2420" s="33"/>
      <c r="AV2420" s="33"/>
      <c r="AW2420" s="33"/>
      <c r="AX2420" s="33"/>
      <c r="AY2420" s="33"/>
      <c r="AZ2420" s="33"/>
      <c r="BA2420" s="33"/>
      <c r="BB2420" s="22">
        <f t="shared" si="772"/>
        <v>0</v>
      </c>
      <c r="BC2420" s="23">
        <v>1</v>
      </c>
      <c r="BD2420" s="130">
        <f t="shared" si="773"/>
        <v>12</v>
      </c>
      <c r="BE2420" s="130">
        <f t="shared" si="774"/>
        <v>2</v>
      </c>
      <c r="BF2420" s="195">
        <f t="shared" si="775"/>
        <v>600</v>
      </c>
      <c r="BG2420" s="373">
        <f t="shared" si="777"/>
        <v>-10</v>
      </c>
    </row>
    <row r="2421" spans="1:59" s="46" customFormat="1" ht="15.95" customHeight="1">
      <c r="A2421" s="176">
        <v>40</v>
      </c>
      <c r="B2421" s="31" t="s">
        <v>1286</v>
      </c>
      <c r="C2421" s="32" t="s">
        <v>1287</v>
      </c>
      <c r="D2421" s="231"/>
      <c r="E2421" s="231"/>
      <c r="F2421" s="231"/>
      <c r="G2421" s="231"/>
      <c r="H2421" s="231"/>
      <c r="I2421" s="231"/>
      <c r="J2421" s="231"/>
      <c r="K2421" s="231"/>
      <c r="L2421" s="231"/>
      <c r="M2421" s="231"/>
      <c r="N2421" s="231"/>
      <c r="O2421" s="231"/>
      <c r="P2421" s="231"/>
      <c r="Q2421" s="231"/>
      <c r="R2421" s="231"/>
      <c r="S2421" s="231"/>
      <c r="T2421" s="231"/>
      <c r="U2421" s="231"/>
      <c r="V2421" s="231"/>
      <c r="W2421" s="231"/>
      <c r="X2421" s="231"/>
      <c r="Y2421" s="231"/>
      <c r="Z2421" s="231"/>
      <c r="AA2421" s="231"/>
      <c r="AB2421" s="22">
        <f t="shared" si="771"/>
        <v>0</v>
      </c>
      <c r="AC2421" s="23">
        <v>0</v>
      </c>
      <c r="AD2421" s="33"/>
      <c r="AE2421" s="33"/>
      <c r="AF2421" s="33"/>
      <c r="AG2421" s="33"/>
      <c r="AH2421" s="33"/>
      <c r="AI2421" s="33"/>
      <c r="AJ2421" s="33"/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  <c r="AU2421" s="33"/>
      <c r="AV2421" s="33"/>
      <c r="AW2421" s="33"/>
      <c r="AX2421" s="33"/>
      <c r="AY2421" s="33"/>
      <c r="AZ2421" s="33"/>
      <c r="BA2421" s="33"/>
      <c r="BB2421" s="22">
        <f t="shared" si="772"/>
        <v>0</v>
      </c>
      <c r="BC2421" s="23">
        <v>1</v>
      </c>
      <c r="BD2421" s="130">
        <f t="shared" si="773"/>
        <v>0</v>
      </c>
      <c r="BE2421" s="130">
        <f t="shared" si="774"/>
        <v>1</v>
      </c>
      <c r="BF2421" s="195">
        <f t="shared" si="775"/>
        <v>0</v>
      </c>
      <c r="BG2421" s="373">
        <f t="shared" si="777"/>
        <v>1</v>
      </c>
    </row>
    <row r="2422" spans="1:59" s="46" customFormat="1" ht="15.95" customHeight="1">
      <c r="A2422" s="176">
        <v>41</v>
      </c>
      <c r="B2422" s="31" t="s">
        <v>2085</v>
      </c>
      <c r="C2422" s="34" t="s">
        <v>2086</v>
      </c>
      <c r="D2422" s="231"/>
      <c r="E2422" s="231"/>
      <c r="F2422" s="231"/>
      <c r="G2422" s="231"/>
      <c r="H2422" s="231"/>
      <c r="I2422" s="231"/>
      <c r="J2422" s="231"/>
      <c r="K2422" s="231"/>
      <c r="L2422" s="231"/>
      <c r="M2422" s="231"/>
      <c r="N2422" s="231"/>
      <c r="O2422" s="231"/>
      <c r="P2422" s="231"/>
      <c r="Q2422" s="231"/>
      <c r="R2422" s="231"/>
      <c r="S2422" s="231"/>
      <c r="T2422" s="231"/>
      <c r="U2422" s="231"/>
      <c r="V2422" s="231"/>
      <c r="W2422" s="231"/>
      <c r="X2422" s="231"/>
      <c r="Y2422" s="231"/>
      <c r="Z2422" s="231"/>
      <c r="AA2422" s="231"/>
      <c r="AB2422" s="22">
        <f t="shared" si="771"/>
        <v>0</v>
      </c>
      <c r="AC2422" s="23">
        <v>0</v>
      </c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22">
        <f t="shared" si="772"/>
        <v>0</v>
      </c>
      <c r="BC2422" s="23">
        <v>1</v>
      </c>
      <c r="BD2422" s="130">
        <f t="shared" si="773"/>
        <v>0</v>
      </c>
      <c r="BE2422" s="130">
        <f t="shared" si="774"/>
        <v>1</v>
      </c>
      <c r="BF2422" s="195">
        <f t="shared" si="775"/>
        <v>0</v>
      </c>
      <c r="BG2422" s="373">
        <f t="shared" si="777"/>
        <v>1</v>
      </c>
    </row>
    <row r="2423" spans="1:59" s="46" customFormat="1" ht="15.95" customHeight="1">
      <c r="A2423" s="176">
        <v>42</v>
      </c>
      <c r="B2423" s="31" t="s">
        <v>2087</v>
      </c>
      <c r="C2423" s="34" t="s">
        <v>2088</v>
      </c>
      <c r="D2423" s="231"/>
      <c r="E2423" s="231"/>
      <c r="F2423" s="231"/>
      <c r="G2423" s="231"/>
      <c r="H2423" s="231"/>
      <c r="I2423" s="231"/>
      <c r="J2423" s="231"/>
      <c r="K2423" s="231"/>
      <c r="L2423" s="231"/>
      <c r="M2423" s="231"/>
      <c r="N2423" s="231"/>
      <c r="O2423" s="231"/>
      <c r="P2423" s="231"/>
      <c r="Q2423" s="231"/>
      <c r="R2423" s="231"/>
      <c r="S2423" s="231"/>
      <c r="T2423" s="231"/>
      <c r="U2423" s="231"/>
      <c r="V2423" s="231"/>
      <c r="W2423" s="231"/>
      <c r="X2423" s="231"/>
      <c r="Y2423" s="231"/>
      <c r="Z2423" s="231"/>
      <c r="AA2423" s="231"/>
      <c r="AB2423" s="22">
        <f t="shared" si="771"/>
        <v>0</v>
      </c>
      <c r="AC2423" s="23">
        <v>0</v>
      </c>
      <c r="AD2423" s="35"/>
      <c r="AE2423" s="35"/>
      <c r="AF2423" s="35"/>
      <c r="AG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22">
        <f t="shared" si="772"/>
        <v>0</v>
      </c>
      <c r="BC2423" s="23">
        <v>2</v>
      </c>
      <c r="BD2423" s="130">
        <f t="shared" si="773"/>
        <v>0</v>
      </c>
      <c r="BE2423" s="130">
        <f t="shared" si="774"/>
        <v>2</v>
      </c>
      <c r="BF2423" s="195">
        <f t="shared" si="775"/>
        <v>0</v>
      </c>
      <c r="BG2423" s="373">
        <f t="shared" si="777"/>
        <v>2</v>
      </c>
    </row>
    <row r="2424" spans="1:59" s="46" customFormat="1" ht="15.95" customHeight="1">
      <c r="A2424" s="176">
        <v>43</v>
      </c>
      <c r="B2424" s="31" t="s">
        <v>1288</v>
      </c>
      <c r="C2424" s="32" t="s">
        <v>1289</v>
      </c>
      <c r="D2424" s="231"/>
      <c r="E2424" s="231"/>
      <c r="F2424" s="231"/>
      <c r="G2424" s="231"/>
      <c r="H2424" s="231"/>
      <c r="I2424" s="231"/>
      <c r="J2424" s="231"/>
      <c r="K2424" s="231"/>
      <c r="L2424" s="231"/>
      <c r="M2424" s="231"/>
      <c r="N2424" s="231"/>
      <c r="O2424" s="231"/>
      <c r="P2424" s="231"/>
      <c r="Q2424" s="231"/>
      <c r="R2424" s="231"/>
      <c r="S2424" s="231"/>
      <c r="T2424" s="231"/>
      <c r="U2424" s="231"/>
      <c r="V2424" s="231"/>
      <c r="W2424" s="231"/>
      <c r="X2424" s="231"/>
      <c r="Y2424" s="231"/>
      <c r="Z2424" s="231"/>
      <c r="AA2424" s="231"/>
      <c r="AB2424" s="22">
        <f t="shared" si="771"/>
        <v>0</v>
      </c>
      <c r="AC2424" s="23">
        <v>0</v>
      </c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>
        <v>2</v>
      </c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22">
        <f t="shared" si="772"/>
        <v>2</v>
      </c>
      <c r="BC2424" s="23">
        <v>11</v>
      </c>
      <c r="BD2424" s="130">
        <f t="shared" si="773"/>
        <v>2</v>
      </c>
      <c r="BE2424" s="130">
        <f t="shared" si="774"/>
        <v>11</v>
      </c>
      <c r="BF2424" s="195">
        <f t="shared" si="775"/>
        <v>18.181818181818183</v>
      </c>
      <c r="BG2424" s="373">
        <f t="shared" si="777"/>
        <v>9</v>
      </c>
    </row>
    <row r="2425" spans="1:59" s="46" customFormat="1" ht="24" customHeight="1">
      <c r="A2425" s="176">
        <v>44</v>
      </c>
      <c r="B2425" s="31" t="s">
        <v>1290</v>
      </c>
      <c r="C2425" s="34" t="s">
        <v>1291</v>
      </c>
      <c r="D2425" s="231"/>
      <c r="E2425" s="231"/>
      <c r="F2425" s="231"/>
      <c r="G2425" s="231"/>
      <c r="H2425" s="231"/>
      <c r="I2425" s="231"/>
      <c r="J2425" s="231"/>
      <c r="K2425" s="231"/>
      <c r="L2425" s="231"/>
      <c r="M2425" s="231"/>
      <c r="N2425" s="231"/>
      <c r="O2425" s="231"/>
      <c r="P2425" s="231"/>
      <c r="Q2425" s="231"/>
      <c r="R2425" s="231"/>
      <c r="S2425" s="231"/>
      <c r="T2425" s="231"/>
      <c r="U2425" s="231"/>
      <c r="V2425" s="231"/>
      <c r="W2425" s="231"/>
      <c r="X2425" s="231"/>
      <c r="Y2425" s="231"/>
      <c r="Z2425" s="231"/>
      <c r="AA2425" s="231"/>
      <c r="AB2425" s="22">
        <f t="shared" si="771"/>
        <v>0</v>
      </c>
      <c r="AC2425" s="23">
        <v>0</v>
      </c>
      <c r="AD2425" s="35"/>
      <c r="AE2425" s="35"/>
      <c r="AF2425" s="35"/>
      <c r="AG2425" s="35"/>
      <c r="AH2425" s="35"/>
      <c r="AI2425" s="35"/>
      <c r="AJ2425" s="35"/>
      <c r="AK2425" s="35"/>
      <c r="AL2425" s="35">
        <v>16</v>
      </c>
      <c r="AM2425" s="35"/>
      <c r="AN2425" s="35"/>
      <c r="AO2425" s="35"/>
      <c r="AP2425" s="35">
        <v>5</v>
      </c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22">
        <f t="shared" si="772"/>
        <v>21</v>
      </c>
      <c r="BC2425" s="23">
        <v>6</v>
      </c>
      <c r="BD2425" s="130">
        <f t="shared" si="773"/>
        <v>21</v>
      </c>
      <c r="BE2425" s="130">
        <f t="shared" si="774"/>
        <v>6</v>
      </c>
      <c r="BF2425" s="195">
        <f t="shared" si="775"/>
        <v>350</v>
      </c>
      <c r="BG2425" s="373">
        <f t="shared" si="777"/>
        <v>-15</v>
      </c>
    </row>
    <row r="2426" spans="1:59" s="46" customFormat="1" ht="16.5" customHeight="1">
      <c r="A2426" s="176">
        <v>45</v>
      </c>
      <c r="B2426" s="31" t="s">
        <v>3506</v>
      </c>
      <c r="C2426" s="32" t="s">
        <v>3507</v>
      </c>
      <c r="D2426" s="390"/>
      <c r="E2426" s="390"/>
      <c r="F2426" s="390"/>
      <c r="G2426" s="390"/>
      <c r="H2426" s="390"/>
      <c r="I2426" s="390"/>
      <c r="J2426" s="390"/>
      <c r="K2426" s="390"/>
      <c r="L2426" s="390"/>
      <c r="M2426" s="390"/>
      <c r="N2426" s="390"/>
      <c r="O2426" s="390"/>
      <c r="P2426" s="390"/>
      <c r="Q2426" s="390"/>
      <c r="R2426" s="390"/>
      <c r="S2426" s="390"/>
      <c r="T2426" s="390"/>
      <c r="U2426" s="390"/>
      <c r="V2426" s="390"/>
      <c r="W2426" s="390"/>
      <c r="X2426" s="390"/>
      <c r="Y2426" s="390"/>
      <c r="Z2426" s="390"/>
      <c r="AA2426" s="390"/>
      <c r="AB2426" s="22">
        <f t="shared" si="771"/>
        <v>0</v>
      </c>
      <c r="AC2426" s="23">
        <v>0</v>
      </c>
      <c r="AD2426" s="35"/>
      <c r="AE2426" s="35"/>
      <c r="AF2426" s="35"/>
      <c r="AG2426" s="35"/>
      <c r="AH2426" s="35">
        <v>1</v>
      </c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22">
        <f t="shared" si="772"/>
        <v>1</v>
      </c>
      <c r="BC2426" s="23">
        <v>8</v>
      </c>
      <c r="BD2426" s="130">
        <f t="shared" si="773"/>
        <v>1</v>
      </c>
      <c r="BE2426" s="130">
        <f t="shared" si="774"/>
        <v>8</v>
      </c>
      <c r="BF2426" s="195">
        <f t="shared" si="775"/>
        <v>12.5</v>
      </c>
      <c r="BG2426" s="373">
        <f t="shared" si="777"/>
        <v>7</v>
      </c>
    </row>
    <row r="2427" spans="1:59" s="46" customFormat="1" ht="16.5" customHeight="1">
      <c r="A2427" s="176">
        <v>46</v>
      </c>
      <c r="B2427" s="31" t="s">
        <v>2419</v>
      </c>
      <c r="C2427" s="32" t="s">
        <v>2420</v>
      </c>
      <c r="D2427" s="390"/>
      <c r="E2427" s="390"/>
      <c r="F2427" s="390"/>
      <c r="G2427" s="390"/>
      <c r="H2427" s="390"/>
      <c r="I2427" s="390"/>
      <c r="J2427" s="390"/>
      <c r="K2427" s="390"/>
      <c r="L2427" s="390"/>
      <c r="M2427" s="390"/>
      <c r="N2427" s="390"/>
      <c r="O2427" s="390"/>
      <c r="P2427" s="390"/>
      <c r="Q2427" s="390"/>
      <c r="R2427" s="390"/>
      <c r="S2427" s="390"/>
      <c r="T2427" s="390"/>
      <c r="U2427" s="390"/>
      <c r="V2427" s="390"/>
      <c r="W2427" s="390"/>
      <c r="X2427" s="390"/>
      <c r="Y2427" s="390"/>
      <c r="Z2427" s="390"/>
      <c r="AA2427" s="390"/>
      <c r="AB2427" s="22">
        <f t="shared" si="771"/>
        <v>0</v>
      </c>
      <c r="AC2427" s="23">
        <v>0</v>
      </c>
      <c r="AD2427" s="35"/>
      <c r="AE2427" s="35"/>
      <c r="AF2427" s="35"/>
      <c r="AG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22">
        <f t="shared" si="772"/>
        <v>0</v>
      </c>
      <c r="BC2427" s="23">
        <v>1</v>
      </c>
      <c r="BD2427" s="130">
        <f t="shared" si="773"/>
        <v>0</v>
      </c>
      <c r="BE2427" s="130">
        <f t="shared" si="774"/>
        <v>1</v>
      </c>
      <c r="BF2427" s="195">
        <f t="shared" si="775"/>
        <v>0</v>
      </c>
      <c r="BG2427" s="373">
        <f t="shared" si="777"/>
        <v>1</v>
      </c>
    </row>
    <row r="2428" spans="1:59" s="46" customFormat="1" ht="16.5" customHeight="1">
      <c r="A2428" s="176">
        <v>47</v>
      </c>
      <c r="B2428" s="31" t="s">
        <v>3373</v>
      </c>
      <c r="C2428" s="32" t="s">
        <v>2909</v>
      </c>
      <c r="D2428" s="390"/>
      <c r="E2428" s="390"/>
      <c r="F2428" s="390"/>
      <c r="G2428" s="390"/>
      <c r="H2428" s="390"/>
      <c r="I2428" s="390"/>
      <c r="J2428" s="390"/>
      <c r="K2428" s="390"/>
      <c r="L2428" s="390"/>
      <c r="M2428" s="390"/>
      <c r="N2428" s="390"/>
      <c r="O2428" s="390"/>
      <c r="P2428" s="390"/>
      <c r="Q2428" s="390"/>
      <c r="R2428" s="390"/>
      <c r="S2428" s="390"/>
      <c r="T2428" s="390"/>
      <c r="U2428" s="390"/>
      <c r="V2428" s="390"/>
      <c r="W2428" s="390"/>
      <c r="X2428" s="390"/>
      <c r="Y2428" s="390"/>
      <c r="Z2428" s="390"/>
      <c r="AA2428" s="390"/>
      <c r="AB2428" s="22">
        <f t="shared" si="771"/>
        <v>0</v>
      </c>
      <c r="AC2428" s="23">
        <v>0</v>
      </c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22">
        <f t="shared" si="772"/>
        <v>0</v>
      </c>
      <c r="BC2428" s="23">
        <v>1</v>
      </c>
      <c r="BD2428" s="130">
        <f t="shared" si="773"/>
        <v>0</v>
      </c>
      <c r="BE2428" s="130">
        <f t="shared" si="774"/>
        <v>1</v>
      </c>
      <c r="BF2428" s="195">
        <f t="shared" si="775"/>
        <v>0</v>
      </c>
      <c r="BG2428" s="373">
        <f t="shared" si="777"/>
        <v>1</v>
      </c>
    </row>
    <row r="2429" spans="1:59" s="46" customFormat="1" ht="16.5" customHeight="1">
      <c r="A2429" s="176">
        <v>48</v>
      </c>
      <c r="B2429" s="31" t="s">
        <v>989</v>
      </c>
      <c r="C2429" s="32" t="s">
        <v>990</v>
      </c>
      <c r="D2429" s="390"/>
      <c r="E2429" s="390"/>
      <c r="F2429" s="390"/>
      <c r="G2429" s="390"/>
      <c r="H2429" s="390"/>
      <c r="I2429" s="390"/>
      <c r="J2429" s="390"/>
      <c r="K2429" s="390"/>
      <c r="L2429" s="390"/>
      <c r="M2429" s="390"/>
      <c r="N2429" s="390"/>
      <c r="O2429" s="390"/>
      <c r="P2429" s="390"/>
      <c r="Q2429" s="390"/>
      <c r="R2429" s="390"/>
      <c r="S2429" s="390"/>
      <c r="T2429" s="390"/>
      <c r="U2429" s="390"/>
      <c r="V2429" s="390"/>
      <c r="W2429" s="390"/>
      <c r="X2429" s="390"/>
      <c r="Y2429" s="390"/>
      <c r="Z2429" s="390"/>
      <c r="AA2429" s="390"/>
      <c r="AB2429" s="22">
        <f t="shared" si="771"/>
        <v>0</v>
      </c>
      <c r="AC2429" s="23">
        <v>0</v>
      </c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>
        <v>1</v>
      </c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22">
        <f t="shared" si="772"/>
        <v>1</v>
      </c>
      <c r="BC2429" s="23">
        <v>2</v>
      </c>
      <c r="BD2429" s="130">
        <f t="shared" si="773"/>
        <v>1</v>
      </c>
      <c r="BE2429" s="130">
        <f t="shared" si="774"/>
        <v>2</v>
      </c>
      <c r="BF2429" s="195">
        <f t="shared" si="775"/>
        <v>50</v>
      </c>
      <c r="BG2429" s="373">
        <f t="shared" si="777"/>
        <v>1</v>
      </c>
    </row>
    <row r="2430" spans="1:59" s="46" customFormat="1" ht="16.5" customHeight="1">
      <c r="A2430" s="176">
        <v>49</v>
      </c>
      <c r="B2430" s="31" t="s">
        <v>2089</v>
      </c>
      <c r="C2430" s="32" t="s">
        <v>2090</v>
      </c>
      <c r="D2430" s="390"/>
      <c r="E2430" s="390"/>
      <c r="F2430" s="390"/>
      <c r="G2430" s="390"/>
      <c r="H2430" s="390"/>
      <c r="I2430" s="390"/>
      <c r="J2430" s="390"/>
      <c r="K2430" s="390"/>
      <c r="L2430" s="390"/>
      <c r="M2430" s="390"/>
      <c r="N2430" s="390"/>
      <c r="O2430" s="390"/>
      <c r="P2430" s="390"/>
      <c r="Q2430" s="390"/>
      <c r="R2430" s="390"/>
      <c r="S2430" s="390"/>
      <c r="T2430" s="390"/>
      <c r="U2430" s="390"/>
      <c r="V2430" s="390"/>
      <c r="W2430" s="390"/>
      <c r="X2430" s="390"/>
      <c r="Y2430" s="390"/>
      <c r="Z2430" s="390"/>
      <c r="AA2430" s="390"/>
      <c r="AB2430" s="22">
        <f t="shared" si="771"/>
        <v>0</v>
      </c>
      <c r="AC2430" s="23">
        <v>0</v>
      </c>
      <c r="AD2430" s="33"/>
      <c r="AE2430" s="33"/>
      <c r="AF2430" s="33"/>
      <c r="AG2430" s="33"/>
      <c r="AH2430" s="33"/>
      <c r="AI2430" s="33"/>
      <c r="AJ2430" s="33"/>
      <c r="AK2430" s="33"/>
      <c r="AL2430" s="33">
        <v>4</v>
      </c>
      <c r="AM2430" s="33"/>
      <c r="AN2430" s="33"/>
      <c r="AO2430" s="33"/>
      <c r="AP2430" s="33"/>
      <c r="AQ2430" s="33"/>
      <c r="AR2430" s="33"/>
      <c r="AS2430" s="33"/>
      <c r="AT2430" s="33"/>
      <c r="AU2430" s="33"/>
      <c r="AV2430" s="33"/>
      <c r="AW2430" s="33"/>
      <c r="AX2430" s="33"/>
      <c r="AY2430" s="33"/>
      <c r="AZ2430" s="33"/>
      <c r="BA2430" s="33"/>
      <c r="BB2430" s="22">
        <f t="shared" si="772"/>
        <v>4</v>
      </c>
      <c r="BC2430" s="23">
        <v>30</v>
      </c>
      <c r="BD2430" s="130">
        <f t="shared" si="773"/>
        <v>4</v>
      </c>
      <c r="BE2430" s="130">
        <f t="shared" si="774"/>
        <v>30</v>
      </c>
      <c r="BF2430" s="195">
        <f t="shared" si="775"/>
        <v>13.333333333333334</v>
      </c>
      <c r="BG2430" s="373">
        <f t="shared" si="777"/>
        <v>26</v>
      </c>
    </row>
    <row r="2431" spans="1:59" s="46" customFormat="1" ht="16.5" customHeight="1">
      <c r="A2431" s="176">
        <v>50</v>
      </c>
      <c r="B2431" s="31" t="s">
        <v>1292</v>
      </c>
      <c r="C2431" s="32" t="s">
        <v>1293</v>
      </c>
      <c r="D2431" s="390"/>
      <c r="E2431" s="390"/>
      <c r="F2431" s="390"/>
      <c r="G2431" s="390"/>
      <c r="H2431" s="390"/>
      <c r="I2431" s="390"/>
      <c r="J2431" s="390"/>
      <c r="K2431" s="390"/>
      <c r="L2431" s="390"/>
      <c r="M2431" s="390"/>
      <c r="N2431" s="390"/>
      <c r="O2431" s="390"/>
      <c r="P2431" s="390"/>
      <c r="Q2431" s="390"/>
      <c r="R2431" s="390"/>
      <c r="S2431" s="390"/>
      <c r="T2431" s="390"/>
      <c r="U2431" s="390"/>
      <c r="V2431" s="390"/>
      <c r="W2431" s="390"/>
      <c r="X2431" s="390"/>
      <c r="Y2431" s="390"/>
      <c r="Z2431" s="390"/>
      <c r="AA2431" s="390"/>
      <c r="AB2431" s="22">
        <f t="shared" si="771"/>
        <v>0</v>
      </c>
      <c r="AC2431" s="23">
        <v>0</v>
      </c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22">
        <f t="shared" si="772"/>
        <v>0</v>
      </c>
      <c r="BC2431" s="23">
        <v>1</v>
      </c>
      <c r="BD2431" s="130">
        <f t="shared" si="773"/>
        <v>0</v>
      </c>
      <c r="BE2431" s="130">
        <f t="shared" si="774"/>
        <v>1</v>
      </c>
      <c r="BF2431" s="195">
        <f t="shared" si="775"/>
        <v>0</v>
      </c>
      <c r="BG2431" s="373">
        <f t="shared" si="777"/>
        <v>1</v>
      </c>
    </row>
    <row r="2432" spans="1:59" s="46" customFormat="1" ht="16.5" customHeight="1">
      <c r="A2432" s="176">
        <v>51</v>
      </c>
      <c r="B2432" s="31" t="s">
        <v>3508</v>
      </c>
      <c r="C2432" s="32" t="s">
        <v>3509</v>
      </c>
      <c r="D2432" s="390"/>
      <c r="E2432" s="390"/>
      <c r="F2432" s="390"/>
      <c r="G2432" s="390"/>
      <c r="H2432" s="390"/>
      <c r="I2432" s="390"/>
      <c r="J2432" s="390"/>
      <c r="K2432" s="390"/>
      <c r="L2432" s="390"/>
      <c r="M2432" s="390"/>
      <c r="N2432" s="390"/>
      <c r="O2432" s="390"/>
      <c r="P2432" s="390"/>
      <c r="Q2432" s="390"/>
      <c r="R2432" s="390"/>
      <c r="S2432" s="390"/>
      <c r="T2432" s="390"/>
      <c r="U2432" s="390"/>
      <c r="V2432" s="390"/>
      <c r="W2432" s="390"/>
      <c r="X2432" s="390"/>
      <c r="Y2432" s="390"/>
      <c r="Z2432" s="390"/>
      <c r="AA2432" s="390"/>
      <c r="AB2432" s="22">
        <f t="shared" si="771"/>
        <v>0</v>
      </c>
      <c r="AC2432" s="23">
        <v>0</v>
      </c>
      <c r="AD2432" s="35"/>
      <c r="AE2432" s="35"/>
      <c r="AF2432" s="35"/>
      <c r="AG2432" s="35"/>
      <c r="AH2432" s="35"/>
      <c r="AI2432" s="35"/>
      <c r="AJ2432" s="35"/>
      <c r="AK2432" s="35"/>
      <c r="AL2432" s="35">
        <v>1</v>
      </c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22">
        <f t="shared" si="772"/>
        <v>1</v>
      </c>
      <c r="BC2432" s="23">
        <v>2</v>
      </c>
      <c r="BD2432" s="130">
        <f t="shared" si="773"/>
        <v>1</v>
      </c>
      <c r="BE2432" s="130">
        <f t="shared" si="774"/>
        <v>2</v>
      </c>
      <c r="BF2432" s="195">
        <f t="shared" si="775"/>
        <v>50</v>
      </c>
      <c r="BG2432" s="373">
        <f t="shared" si="777"/>
        <v>1</v>
      </c>
    </row>
    <row r="2433" spans="1:59" s="46" customFormat="1" ht="16.5" customHeight="1">
      <c r="A2433" s="176">
        <v>52</v>
      </c>
      <c r="B2433" s="31" t="s">
        <v>2955</v>
      </c>
      <c r="C2433" s="32" t="s">
        <v>3016</v>
      </c>
      <c r="D2433" s="390"/>
      <c r="E2433" s="390"/>
      <c r="F2433" s="390"/>
      <c r="G2433" s="390"/>
      <c r="H2433" s="390"/>
      <c r="I2433" s="390"/>
      <c r="J2433" s="390"/>
      <c r="K2433" s="390"/>
      <c r="L2433" s="390"/>
      <c r="M2433" s="390"/>
      <c r="N2433" s="390"/>
      <c r="O2433" s="390"/>
      <c r="P2433" s="390"/>
      <c r="Q2433" s="390"/>
      <c r="R2433" s="390"/>
      <c r="S2433" s="390"/>
      <c r="T2433" s="390"/>
      <c r="U2433" s="390"/>
      <c r="V2433" s="390"/>
      <c r="W2433" s="390"/>
      <c r="X2433" s="390"/>
      <c r="Y2433" s="390"/>
      <c r="Z2433" s="390"/>
      <c r="AA2433" s="390"/>
      <c r="AB2433" s="22">
        <f t="shared" si="771"/>
        <v>0</v>
      </c>
      <c r="AC2433" s="23">
        <v>0</v>
      </c>
      <c r="AD2433" s="33"/>
      <c r="AE2433" s="33"/>
      <c r="AF2433" s="33"/>
      <c r="AG2433" s="33"/>
      <c r="AH2433" s="33">
        <v>2</v>
      </c>
      <c r="AI2433" s="33"/>
      <c r="AJ2433" s="33"/>
      <c r="AK2433" s="33"/>
      <c r="AL2433" s="33">
        <v>4</v>
      </c>
      <c r="AM2433" s="33"/>
      <c r="AN2433" s="33"/>
      <c r="AO2433" s="33"/>
      <c r="AP2433" s="33">
        <v>2</v>
      </c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22">
        <f t="shared" si="772"/>
        <v>8</v>
      </c>
      <c r="BC2433" s="23">
        <v>5</v>
      </c>
      <c r="BD2433" s="130">
        <f t="shared" si="773"/>
        <v>8</v>
      </c>
      <c r="BE2433" s="130">
        <f t="shared" si="774"/>
        <v>5</v>
      </c>
      <c r="BF2433" s="195">
        <f t="shared" si="775"/>
        <v>160</v>
      </c>
      <c r="BG2433" s="373">
        <f t="shared" si="777"/>
        <v>-3</v>
      </c>
    </row>
    <row r="2434" spans="1:59" s="46" customFormat="1" ht="16.5" customHeight="1">
      <c r="A2434" s="176">
        <v>53</v>
      </c>
      <c r="B2434" s="31" t="s">
        <v>3510</v>
      </c>
      <c r="C2434" s="32" t="s">
        <v>3511</v>
      </c>
      <c r="D2434" s="390"/>
      <c r="E2434" s="390"/>
      <c r="F2434" s="390"/>
      <c r="G2434" s="390"/>
      <c r="H2434" s="390"/>
      <c r="I2434" s="390"/>
      <c r="J2434" s="390"/>
      <c r="K2434" s="390"/>
      <c r="L2434" s="390"/>
      <c r="M2434" s="390"/>
      <c r="N2434" s="390"/>
      <c r="O2434" s="390"/>
      <c r="P2434" s="390"/>
      <c r="Q2434" s="390"/>
      <c r="R2434" s="390"/>
      <c r="S2434" s="390"/>
      <c r="T2434" s="390"/>
      <c r="U2434" s="390"/>
      <c r="V2434" s="390"/>
      <c r="W2434" s="390"/>
      <c r="X2434" s="390"/>
      <c r="Y2434" s="390"/>
      <c r="Z2434" s="390"/>
      <c r="AA2434" s="390"/>
      <c r="AB2434" s="22">
        <f t="shared" si="771"/>
        <v>0</v>
      </c>
      <c r="AC2434" s="23">
        <v>0</v>
      </c>
      <c r="AD2434" s="35"/>
      <c r="AE2434" s="35"/>
      <c r="AF2434" s="35"/>
      <c r="AG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22">
        <f t="shared" si="772"/>
        <v>0</v>
      </c>
      <c r="BC2434" s="23">
        <v>1</v>
      </c>
      <c r="BD2434" s="130">
        <f t="shared" si="773"/>
        <v>0</v>
      </c>
      <c r="BE2434" s="130">
        <f t="shared" si="774"/>
        <v>1</v>
      </c>
      <c r="BF2434" s="195">
        <f t="shared" si="775"/>
        <v>0</v>
      </c>
      <c r="BG2434" s="373">
        <f t="shared" si="777"/>
        <v>1</v>
      </c>
    </row>
    <row r="2435" spans="1:59" s="46" customFormat="1" ht="16.5" customHeight="1">
      <c r="A2435" s="176">
        <v>54</v>
      </c>
      <c r="B2435" s="31" t="s">
        <v>1406</v>
      </c>
      <c r="C2435" s="32" t="s">
        <v>1407</v>
      </c>
      <c r="D2435" s="390"/>
      <c r="E2435" s="390"/>
      <c r="F2435" s="390"/>
      <c r="G2435" s="390"/>
      <c r="H2435" s="390"/>
      <c r="I2435" s="390"/>
      <c r="J2435" s="390"/>
      <c r="K2435" s="390"/>
      <c r="L2435" s="390"/>
      <c r="M2435" s="390"/>
      <c r="N2435" s="390"/>
      <c r="O2435" s="390"/>
      <c r="P2435" s="390"/>
      <c r="Q2435" s="390"/>
      <c r="R2435" s="390"/>
      <c r="S2435" s="390"/>
      <c r="T2435" s="390"/>
      <c r="U2435" s="390"/>
      <c r="V2435" s="390"/>
      <c r="W2435" s="390"/>
      <c r="X2435" s="390"/>
      <c r="Y2435" s="390"/>
      <c r="Z2435" s="390"/>
      <c r="AA2435" s="390"/>
      <c r="AB2435" s="22">
        <f t="shared" si="771"/>
        <v>0</v>
      </c>
      <c r="AC2435" s="23">
        <v>0</v>
      </c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22">
        <f t="shared" si="772"/>
        <v>0</v>
      </c>
      <c r="BC2435" s="23">
        <v>16</v>
      </c>
      <c r="BD2435" s="130">
        <f t="shared" si="773"/>
        <v>0</v>
      </c>
      <c r="BE2435" s="130">
        <f t="shared" si="774"/>
        <v>16</v>
      </c>
      <c r="BF2435" s="195">
        <f t="shared" si="775"/>
        <v>0</v>
      </c>
      <c r="BG2435" s="373">
        <f t="shared" si="777"/>
        <v>16</v>
      </c>
    </row>
    <row r="2436" spans="1:59" s="46" customFormat="1" ht="16.5" customHeight="1">
      <c r="A2436" s="176">
        <v>55</v>
      </c>
      <c r="B2436" s="31" t="s">
        <v>1296</v>
      </c>
      <c r="C2436" s="32" t="s">
        <v>1297</v>
      </c>
      <c r="D2436" s="390"/>
      <c r="E2436" s="390"/>
      <c r="F2436" s="390"/>
      <c r="G2436" s="390"/>
      <c r="H2436" s="390">
        <v>3</v>
      </c>
      <c r="I2436" s="390"/>
      <c r="J2436" s="390"/>
      <c r="K2436" s="390"/>
      <c r="L2436" s="390"/>
      <c r="M2436" s="390"/>
      <c r="N2436" s="390"/>
      <c r="O2436" s="390"/>
      <c r="P2436" s="390">
        <v>1</v>
      </c>
      <c r="Q2436" s="390"/>
      <c r="R2436" s="390"/>
      <c r="S2436" s="390"/>
      <c r="T2436" s="390"/>
      <c r="U2436" s="390"/>
      <c r="V2436" s="390"/>
      <c r="W2436" s="390"/>
      <c r="X2436" s="390"/>
      <c r="Y2436" s="390"/>
      <c r="Z2436" s="390"/>
      <c r="AA2436" s="390"/>
      <c r="AB2436" s="22">
        <f t="shared" si="771"/>
        <v>4</v>
      </c>
      <c r="AC2436" s="23">
        <v>0</v>
      </c>
      <c r="AD2436" s="35"/>
      <c r="AE2436" s="35"/>
      <c r="AF2436" s="35"/>
      <c r="AG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22">
        <f t="shared" si="772"/>
        <v>0</v>
      </c>
      <c r="BC2436" s="23">
        <v>1</v>
      </c>
      <c r="BD2436" s="130">
        <f t="shared" si="773"/>
        <v>4</v>
      </c>
      <c r="BE2436" s="130">
        <f t="shared" si="774"/>
        <v>1</v>
      </c>
      <c r="BF2436" s="195">
        <f t="shared" si="775"/>
        <v>400</v>
      </c>
      <c r="BG2436" s="373">
        <f t="shared" si="777"/>
        <v>-3</v>
      </c>
    </row>
    <row r="2437" spans="1:59" s="46" customFormat="1" ht="16.5" customHeight="1">
      <c r="A2437" s="176">
        <v>56</v>
      </c>
      <c r="B2437" s="31" t="s">
        <v>1300</v>
      </c>
      <c r="C2437" s="32" t="s">
        <v>1301</v>
      </c>
      <c r="D2437" s="390"/>
      <c r="E2437" s="390"/>
      <c r="F2437" s="390"/>
      <c r="G2437" s="390"/>
      <c r="H2437" s="390">
        <v>6</v>
      </c>
      <c r="I2437" s="390"/>
      <c r="J2437" s="390"/>
      <c r="K2437" s="390"/>
      <c r="L2437" s="390">
        <v>16</v>
      </c>
      <c r="M2437" s="390"/>
      <c r="N2437" s="390"/>
      <c r="O2437" s="390"/>
      <c r="P2437" s="390">
        <v>44</v>
      </c>
      <c r="Q2437" s="390"/>
      <c r="R2437" s="390"/>
      <c r="S2437" s="390"/>
      <c r="T2437" s="390"/>
      <c r="U2437" s="390"/>
      <c r="V2437" s="390"/>
      <c r="W2437" s="390"/>
      <c r="X2437" s="390"/>
      <c r="Y2437" s="390"/>
      <c r="Z2437" s="390"/>
      <c r="AA2437" s="390"/>
      <c r="AB2437" s="22">
        <f t="shared" si="771"/>
        <v>66</v>
      </c>
      <c r="AC2437" s="23">
        <v>12</v>
      </c>
      <c r="AD2437" s="99"/>
      <c r="AE2437" s="99"/>
      <c r="AF2437" s="99"/>
      <c r="AG2437" s="99"/>
      <c r="AH2437" s="99"/>
      <c r="AI2437" s="99"/>
      <c r="AJ2437" s="99"/>
      <c r="AK2437" s="99"/>
      <c r="AL2437" s="99"/>
      <c r="AM2437" s="99"/>
      <c r="AN2437" s="99"/>
      <c r="AO2437" s="99"/>
      <c r="AP2437" s="99">
        <v>1</v>
      </c>
      <c r="AQ2437" s="99"/>
      <c r="AR2437" s="99"/>
      <c r="AS2437" s="99"/>
      <c r="AT2437" s="99"/>
      <c r="AU2437" s="99"/>
      <c r="AV2437" s="99"/>
      <c r="AW2437" s="99"/>
      <c r="AX2437" s="99"/>
      <c r="AY2437" s="99"/>
      <c r="AZ2437" s="99"/>
      <c r="BA2437" s="99"/>
      <c r="BB2437" s="22">
        <f t="shared" si="772"/>
        <v>1</v>
      </c>
      <c r="BC2437" s="23">
        <v>0</v>
      </c>
      <c r="BD2437" s="130">
        <f t="shared" si="773"/>
        <v>67</v>
      </c>
      <c r="BE2437" s="130">
        <f t="shared" si="774"/>
        <v>12</v>
      </c>
      <c r="BF2437" s="195">
        <f t="shared" si="775"/>
        <v>558.33333333333326</v>
      </c>
      <c r="BG2437" s="373">
        <f t="shared" si="777"/>
        <v>-55</v>
      </c>
    </row>
    <row r="2438" spans="1:59" s="46" customFormat="1" ht="16.5" customHeight="1">
      <c r="A2438" s="176">
        <v>57</v>
      </c>
      <c r="B2438" s="31" t="s">
        <v>777</v>
      </c>
      <c r="C2438" s="32" t="s">
        <v>4158</v>
      </c>
      <c r="D2438" s="573"/>
      <c r="E2438" s="573"/>
      <c r="F2438" s="573"/>
      <c r="G2438" s="573"/>
      <c r="H2438" s="573"/>
      <c r="I2438" s="573"/>
      <c r="J2438" s="573"/>
      <c r="K2438" s="573"/>
      <c r="L2438" s="573"/>
      <c r="M2438" s="573"/>
      <c r="N2438" s="573"/>
      <c r="O2438" s="573"/>
      <c r="P2438" s="573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  <c r="AA2438" s="573"/>
      <c r="AB2438" s="22">
        <f t="shared" si="771"/>
        <v>0</v>
      </c>
      <c r="AC2438" s="23">
        <v>0</v>
      </c>
      <c r="AD2438" s="99"/>
      <c r="AE2438" s="99"/>
      <c r="AF2438" s="99"/>
      <c r="AG2438" s="99"/>
      <c r="AH2438" s="99"/>
      <c r="AI2438" s="99"/>
      <c r="AJ2438" s="99"/>
      <c r="AK2438" s="99"/>
      <c r="AL2438" s="99"/>
      <c r="AM2438" s="99"/>
      <c r="AN2438" s="99"/>
      <c r="AO2438" s="99"/>
      <c r="AP2438" s="99">
        <v>1</v>
      </c>
      <c r="AQ2438" s="99"/>
      <c r="AR2438" s="99"/>
      <c r="AS2438" s="99"/>
      <c r="AT2438" s="99"/>
      <c r="AU2438" s="99"/>
      <c r="AV2438" s="99"/>
      <c r="AW2438" s="99"/>
      <c r="AX2438" s="99"/>
      <c r="AY2438" s="99"/>
      <c r="AZ2438" s="99"/>
      <c r="BA2438" s="99"/>
      <c r="BB2438" s="22">
        <f t="shared" si="772"/>
        <v>1</v>
      </c>
      <c r="BC2438" s="23">
        <v>0</v>
      </c>
      <c r="BD2438" s="130">
        <f t="shared" si="773"/>
        <v>1</v>
      </c>
      <c r="BE2438" s="130">
        <f t="shared" si="774"/>
        <v>0</v>
      </c>
      <c r="BF2438" s="195" t="e">
        <f t="shared" si="775"/>
        <v>#DIV/0!</v>
      </c>
      <c r="BG2438" s="373"/>
    </row>
    <row r="2439" spans="1:59" s="46" customFormat="1" ht="16.5" customHeight="1">
      <c r="A2439" s="176">
        <v>58</v>
      </c>
      <c r="B2439" s="31" t="s">
        <v>1302</v>
      </c>
      <c r="C2439" s="32" t="s">
        <v>1303</v>
      </c>
      <c r="D2439" s="390"/>
      <c r="E2439" s="390"/>
      <c r="F2439" s="390"/>
      <c r="G2439" s="390"/>
      <c r="H2439" s="390"/>
      <c r="I2439" s="390"/>
      <c r="J2439" s="390"/>
      <c r="K2439" s="390"/>
      <c r="L2439" s="390"/>
      <c r="M2439" s="390"/>
      <c r="N2439" s="390"/>
      <c r="O2439" s="390"/>
      <c r="P2439" s="390"/>
      <c r="Q2439" s="390"/>
      <c r="R2439" s="390"/>
      <c r="S2439" s="390"/>
      <c r="T2439" s="390"/>
      <c r="U2439" s="390"/>
      <c r="V2439" s="390"/>
      <c r="W2439" s="390"/>
      <c r="X2439" s="390"/>
      <c r="Y2439" s="390"/>
      <c r="Z2439" s="390"/>
      <c r="AA2439" s="390"/>
      <c r="AB2439" s="22">
        <f t="shared" si="771"/>
        <v>0</v>
      </c>
      <c r="AC2439" s="23">
        <v>0</v>
      </c>
      <c r="AD2439" s="33"/>
      <c r="AE2439" s="33"/>
      <c r="AF2439" s="33"/>
      <c r="AG2439" s="33"/>
      <c r="AH2439" s="33"/>
      <c r="AI2439" s="33"/>
      <c r="AJ2439" s="33"/>
      <c r="AK2439" s="33"/>
      <c r="AL2439" s="33">
        <v>1</v>
      </c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22">
        <f t="shared" si="772"/>
        <v>1</v>
      </c>
      <c r="BC2439" s="23">
        <v>2</v>
      </c>
      <c r="BD2439" s="130">
        <f t="shared" si="773"/>
        <v>1</v>
      </c>
      <c r="BE2439" s="130">
        <f t="shared" si="774"/>
        <v>2</v>
      </c>
      <c r="BF2439" s="195">
        <f t="shared" si="775"/>
        <v>50</v>
      </c>
      <c r="BG2439" s="373">
        <f t="shared" ref="BG2439:BG2461" si="778">BE2439-BD2439</f>
        <v>1</v>
      </c>
    </row>
    <row r="2440" spans="1:59" s="46" customFormat="1" ht="16.5" customHeight="1">
      <c r="A2440" s="176">
        <v>59</v>
      </c>
      <c r="B2440" s="31" t="s">
        <v>1304</v>
      </c>
      <c r="C2440" s="32" t="s">
        <v>1305</v>
      </c>
      <c r="D2440" s="390"/>
      <c r="E2440" s="390"/>
      <c r="F2440" s="390"/>
      <c r="G2440" s="390"/>
      <c r="H2440" s="390"/>
      <c r="I2440" s="390"/>
      <c r="J2440" s="390"/>
      <c r="K2440" s="390"/>
      <c r="L2440" s="390"/>
      <c r="M2440" s="390"/>
      <c r="N2440" s="390"/>
      <c r="O2440" s="390"/>
      <c r="P2440" s="390"/>
      <c r="Q2440" s="390"/>
      <c r="R2440" s="390"/>
      <c r="S2440" s="390"/>
      <c r="T2440" s="390"/>
      <c r="U2440" s="390"/>
      <c r="V2440" s="390"/>
      <c r="W2440" s="390"/>
      <c r="X2440" s="390"/>
      <c r="Y2440" s="390"/>
      <c r="Z2440" s="390"/>
      <c r="AA2440" s="390"/>
      <c r="AB2440" s="22">
        <f t="shared" si="771"/>
        <v>0</v>
      </c>
      <c r="AC2440" s="23">
        <v>7</v>
      </c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22">
        <f t="shared" si="772"/>
        <v>0</v>
      </c>
      <c r="BC2440" s="23">
        <v>0</v>
      </c>
      <c r="BD2440" s="130">
        <f t="shared" si="773"/>
        <v>0</v>
      </c>
      <c r="BE2440" s="130">
        <f t="shared" si="774"/>
        <v>7</v>
      </c>
      <c r="BF2440" s="195">
        <f t="shared" si="775"/>
        <v>0</v>
      </c>
      <c r="BG2440" s="373">
        <f t="shared" si="778"/>
        <v>7</v>
      </c>
    </row>
    <row r="2441" spans="1:59" s="46" customFormat="1" ht="16.5" customHeight="1">
      <c r="A2441" s="176">
        <v>60</v>
      </c>
      <c r="B2441" s="31" t="s">
        <v>2911</v>
      </c>
      <c r="C2441" s="32" t="s">
        <v>2284</v>
      </c>
      <c r="D2441" s="390"/>
      <c r="E2441" s="390"/>
      <c r="F2441" s="390"/>
      <c r="G2441" s="390"/>
      <c r="H2441" s="390"/>
      <c r="I2441" s="390"/>
      <c r="J2441" s="390"/>
      <c r="K2441" s="390"/>
      <c r="L2441" s="390"/>
      <c r="M2441" s="390"/>
      <c r="N2441" s="390"/>
      <c r="O2441" s="390"/>
      <c r="P2441" s="390"/>
      <c r="Q2441" s="390"/>
      <c r="R2441" s="390"/>
      <c r="S2441" s="390"/>
      <c r="T2441" s="390"/>
      <c r="U2441" s="390"/>
      <c r="V2441" s="390"/>
      <c r="W2441" s="390"/>
      <c r="X2441" s="390"/>
      <c r="Y2441" s="390"/>
      <c r="Z2441" s="390"/>
      <c r="AA2441" s="390"/>
      <c r="AB2441" s="22">
        <f t="shared" si="771"/>
        <v>0</v>
      </c>
      <c r="AC2441" s="23">
        <v>0</v>
      </c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22">
        <f t="shared" si="772"/>
        <v>0</v>
      </c>
      <c r="BC2441" s="23">
        <v>5</v>
      </c>
      <c r="BD2441" s="130">
        <f t="shared" si="773"/>
        <v>0</v>
      </c>
      <c r="BE2441" s="130">
        <f t="shared" si="774"/>
        <v>5</v>
      </c>
      <c r="BF2441" s="195">
        <f t="shared" si="775"/>
        <v>0</v>
      </c>
      <c r="BG2441" s="373">
        <f t="shared" si="778"/>
        <v>5</v>
      </c>
    </row>
    <row r="2442" spans="1:59" s="46" customFormat="1" ht="16.5" customHeight="1">
      <c r="A2442" s="176">
        <v>61</v>
      </c>
      <c r="B2442" s="31" t="s">
        <v>2911</v>
      </c>
      <c r="C2442" s="32" t="s">
        <v>2284</v>
      </c>
      <c r="D2442" s="390"/>
      <c r="E2442" s="390"/>
      <c r="F2442" s="390"/>
      <c r="G2442" s="390"/>
      <c r="H2442" s="390"/>
      <c r="I2442" s="390"/>
      <c r="J2442" s="390"/>
      <c r="K2442" s="390"/>
      <c r="L2442" s="390"/>
      <c r="M2442" s="390"/>
      <c r="N2442" s="390"/>
      <c r="O2442" s="390"/>
      <c r="P2442" s="390"/>
      <c r="Q2442" s="390"/>
      <c r="R2442" s="390"/>
      <c r="S2442" s="390"/>
      <c r="T2442" s="390"/>
      <c r="U2442" s="390"/>
      <c r="V2442" s="390"/>
      <c r="W2442" s="390"/>
      <c r="X2442" s="390"/>
      <c r="Y2442" s="390"/>
      <c r="Z2442" s="390"/>
      <c r="AA2442" s="390"/>
      <c r="AB2442" s="22">
        <f t="shared" si="771"/>
        <v>0</v>
      </c>
      <c r="AC2442" s="23">
        <v>0</v>
      </c>
      <c r="AD2442" s="35"/>
      <c r="AE2442" s="35"/>
      <c r="AF2442" s="35"/>
      <c r="AG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22">
        <f t="shared" si="772"/>
        <v>0</v>
      </c>
      <c r="BC2442" s="23">
        <v>1</v>
      </c>
      <c r="BD2442" s="130">
        <f t="shared" si="773"/>
        <v>0</v>
      </c>
      <c r="BE2442" s="130">
        <f t="shared" si="774"/>
        <v>1</v>
      </c>
      <c r="BF2442" s="195">
        <f t="shared" si="775"/>
        <v>0</v>
      </c>
      <c r="BG2442" s="373">
        <f t="shared" si="778"/>
        <v>1</v>
      </c>
    </row>
    <row r="2443" spans="1:59" s="46" customFormat="1" ht="16.5" customHeight="1">
      <c r="A2443" s="176">
        <v>62</v>
      </c>
      <c r="B2443" s="31" t="s">
        <v>780</v>
      </c>
      <c r="C2443" s="32" t="s">
        <v>991</v>
      </c>
      <c r="D2443" s="390">
        <v>9</v>
      </c>
      <c r="E2443" s="390"/>
      <c r="F2443" s="390"/>
      <c r="G2443" s="390"/>
      <c r="H2443" s="390">
        <v>26</v>
      </c>
      <c r="I2443" s="390"/>
      <c r="J2443" s="390"/>
      <c r="K2443" s="390"/>
      <c r="L2443" s="390">
        <v>137</v>
      </c>
      <c r="M2443" s="390"/>
      <c r="N2443" s="390"/>
      <c r="O2443" s="390"/>
      <c r="P2443" s="390">
        <f>216+111</f>
        <v>327</v>
      </c>
      <c r="Q2443" s="390"/>
      <c r="R2443" s="390"/>
      <c r="S2443" s="390"/>
      <c r="T2443" s="390"/>
      <c r="U2443" s="390"/>
      <c r="V2443" s="390"/>
      <c r="W2443" s="390"/>
      <c r="X2443" s="390"/>
      <c r="Y2443" s="390"/>
      <c r="Z2443" s="390"/>
      <c r="AA2443" s="390"/>
      <c r="AB2443" s="22">
        <f t="shared" si="771"/>
        <v>499</v>
      </c>
      <c r="AC2443" s="23">
        <v>319</v>
      </c>
      <c r="AD2443" s="33"/>
      <c r="AE2443" s="33"/>
      <c r="AF2443" s="33"/>
      <c r="AG2443" s="33"/>
      <c r="AH2443" s="33">
        <v>1</v>
      </c>
      <c r="AI2443" s="33"/>
      <c r="AJ2443" s="33"/>
      <c r="AK2443" s="33"/>
      <c r="AL2443" s="33">
        <v>3</v>
      </c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22">
        <f t="shared" si="772"/>
        <v>4</v>
      </c>
      <c r="BC2443" s="23">
        <v>14</v>
      </c>
      <c r="BD2443" s="130">
        <f t="shared" si="773"/>
        <v>503</v>
      </c>
      <c r="BE2443" s="130">
        <f t="shared" si="774"/>
        <v>333</v>
      </c>
      <c r="BF2443" s="195">
        <f t="shared" si="775"/>
        <v>151.05105105105105</v>
      </c>
      <c r="BG2443" s="373">
        <f t="shared" si="778"/>
        <v>-170</v>
      </c>
    </row>
    <row r="2444" spans="1:59" s="46" customFormat="1" ht="16.5" customHeight="1">
      <c r="A2444" s="176">
        <v>63</v>
      </c>
      <c r="B2444" s="31" t="s">
        <v>2091</v>
      </c>
      <c r="C2444" s="32" t="s">
        <v>2092</v>
      </c>
      <c r="D2444" s="390"/>
      <c r="E2444" s="390"/>
      <c r="F2444" s="390"/>
      <c r="G2444" s="390"/>
      <c r="H2444" s="390"/>
      <c r="I2444" s="390"/>
      <c r="J2444" s="390"/>
      <c r="K2444" s="390"/>
      <c r="L2444" s="390"/>
      <c r="M2444" s="390"/>
      <c r="N2444" s="390"/>
      <c r="O2444" s="390"/>
      <c r="P2444" s="390"/>
      <c r="Q2444" s="390"/>
      <c r="R2444" s="390"/>
      <c r="S2444" s="390"/>
      <c r="T2444" s="390"/>
      <c r="U2444" s="390"/>
      <c r="V2444" s="390"/>
      <c r="W2444" s="390"/>
      <c r="X2444" s="390"/>
      <c r="Y2444" s="390"/>
      <c r="Z2444" s="390"/>
      <c r="AA2444" s="390"/>
      <c r="AB2444" s="22">
        <f t="shared" si="771"/>
        <v>0</v>
      </c>
      <c r="AC2444" s="23">
        <v>0</v>
      </c>
      <c r="AD2444" s="35"/>
      <c r="AE2444" s="35"/>
      <c r="AF2444" s="35"/>
      <c r="AG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  <c r="AX2444" s="35"/>
      <c r="AY2444" s="35"/>
      <c r="AZ2444" s="35"/>
      <c r="BA2444" s="35"/>
      <c r="BB2444" s="22">
        <f t="shared" si="772"/>
        <v>0</v>
      </c>
      <c r="BC2444" s="23">
        <v>1</v>
      </c>
      <c r="BD2444" s="130">
        <f t="shared" si="773"/>
        <v>0</v>
      </c>
      <c r="BE2444" s="130">
        <f t="shared" si="774"/>
        <v>1</v>
      </c>
      <c r="BF2444" s="195">
        <f t="shared" si="775"/>
        <v>0</v>
      </c>
      <c r="BG2444" s="373">
        <f t="shared" si="778"/>
        <v>1</v>
      </c>
    </row>
    <row r="2445" spans="1:59" s="46" customFormat="1" ht="16.5" customHeight="1">
      <c r="A2445" s="176">
        <v>64</v>
      </c>
      <c r="B2445" s="31" t="s">
        <v>3413</v>
      </c>
      <c r="C2445" s="32" t="s">
        <v>3415</v>
      </c>
      <c r="D2445" s="583"/>
      <c r="E2445" s="583"/>
      <c r="F2445" s="583"/>
      <c r="G2445" s="583"/>
      <c r="H2445" s="583"/>
      <c r="I2445" s="583"/>
      <c r="J2445" s="583"/>
      <c r="K2445" s="583"/>
      <c r="L2445" s="583"/>
      <c r="M2445" s="583"/>
      <c r="N2445" s="583"/>
      <c r="O2445" s="583"/>
      <c r="P2445" s="583"/>
      <c r="Q2445" s="583"/>
      <c r="R2445" s="583"/>
      <c r="S2445" s="583"/>
      <c r="T2445" s="583"/>
      <c r="U2445" s="583"/>
      <c r="V2445" s="583"/>
      <c r="W2445" s="583"/>
      <c r="X2445" s="583"/>
      <c r="Y2445" s="583"/>
      <c r="Z2445" s="583"/>
      <c r="AA2445" s="583"/>
      <c r="AB2445" s="22">
        <f t="shared" si="771"/>
        <v>0</v>
      </c>
      <c r="AC2445" s="23">
        <v>0</v>
      </c>
      <c r="AD2445" s="35"/>
      <c r="AE2445" s="35"/>
      <c r="AF2445" s="35"/>
      <c r="AG2445" s="35"/>
      <c r="AH2445" s="35"/>
      <c r="AI2445" s="35"/>
      <c r="AJ2445" s="35"/>
      <c r="AK2445" s="35"/>
      <c r="AL2445" s="35"/>
      <c r="AM2445" s="35"/>
      <c r="AN2445" s="35"/>
      <c r="AO2445" s="35"/>
      <c r="AP2445" s="35">
        <v>1</v>
      </c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22">
        <f t="shared" si="772"/>
        <v>1</v>
      </c>
      <c r="BC2445" s="23">
        <v>0</v>
      </c>
      <c r="BD2445" s="130">
        <f t="shared" ref="BD2445" si="779">AB2445+BB2445</f>
        <v>1</v>
      </c>
      <c r="BE2445" s="130">
        <f t="shared" ref="BE2445" si="780">AC2445+BC2445</f>
        <v>0</v>
      </c>
      <c r="BF2445" s="195" t="e">
        <f t="shared" ref="BF2445" si="781">BD2445/BE2445*100</f>
        <v>#DIV/0!</v>
      </c>
      <c r="BG2445" s="373"/>
    </row>
    <row r="2446" spans="1:59" s="46" customFormat="1" ht="16.5" customHeight="1">
      <c r="A2446" s="176">
        <v>65</v>
      </c>
      <c r="B2446" s="31" t="s">
        <v>2563</v>
      </c>
      <c r="C2446" s="32" t="s">
        <v>2613</v>
      </c>
      <c r="D2446" s="390"/>
      <c r="E2446" s="390"/>
      <c r="F2446" s="390"/>
      <c r="G2446" s="390"/>
      <c r="H2446" s="390"/>
      <c r="I2446" s="390"/>
      <c r="J2446" s="390"/>
      <c r="K2446" s="390"/>
      <c r="L2446" s="390"/>
      <c r="M2446" s="390"/>
      <c r="N2446" s="390"/>
      <c r="O2446" s="390"/>
      <c r="P2446" s="390"/>
      <c r="Q2446" s="390"/>
      <c r="R2446" s="390"/>
      <c r="S2446" s="390"/>
      <c r="T2446" s="390"/>
      <c r="U2446" s="390"/>
      <c r="V2446" s="390"/>
      <c r="W2446" s="390"/>
      <c r="X2446" s="390"/>
      <c r="Y2446" s="390"/>
      <c r="Z2446" s="390"/>
      <c r="AA2446" s="390"/>
      <c r="AB2446" s="22">
        <f t="shared" si="771"/>
        <v>0</v>
      </c>
      <c r="AC2446" s="23">
        <v>0</v>
      </c>
      <c r="AD2446" s="35"/>
      <c r="AE2446" s="35"/>
      <c r="AF2446" s="35"/>
      <c r="AG2446" s="35"/>
      <c r="AH2446" s="35"/>
      <c r="AI2446" s="35"/>
      <c r="AJ2446" s="35"/>
      <c r="AK2446" s="35"/>
      <c r="AL2446" s="35">
        <v>1</v>
      </c>
      <c r="AM2446" s="35"/>
      <c r="AN2446" s="35"/>
      <c r="AO2446" s="35"/>
      <c r="AP2446" s="35">
        <v>1</v>
      </c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22">
        <f t="shared" si="772"/>
        <v>2</v>
      </c>
      <c r="BC2446" s="23">
        <v>2</v>
      </c>
      <c r="BD2446" s="130">
        <f t="shared" si="773"/>
        <v>2</v>
      </c>
      <c r="BE2446" s="130">
        <f t="shared" si="774"/>
        <v>2</v>
      </c>
      <c r="BF2446" s="195">
        <f t="shared" si="775"/>
        <v>100</v>
      </c>
      <c r="BG2446" s="373">
        <f t="shared" si="778"/>
        <v>0</v>
      </c>
    </row>
    <row r="2447" spans="1:59" s="46" customFormat="1" ht="16.5" customHeight="1">
      <c r="A2447" s="176">
        <v>66</v>
      </c>
      <c r="B2447" s="31" t="s">
        <v>2137</v>
      </c>
      <c r="C2447" s="32" t="s">
        <v>2735</v>
      </c>
      <c r="D2447" s="390"/>
      <c r="E2447" s="390"/>
      <c r="F2447" s="390"/>
      <c r="G2447" s="390"/>
      <c r="H2447" s="390"/>
      <c r="I2447" s="390"/>
      <c r="J2447" s="390"/>
      <c r="K2447" s="390"/>
      <c r="L2447" s="390"/>
      <c r="M2447" s="390"/>
      <c r="N2447" s="390"/>
      <c r="O2447" s="390"/>
      <c r="P2447" s="390"/>
      <c r="Q2447" s="390"/>
      <c r="R2447" s="390"/>
      <c r="S2447" s="390"/>
      <c r="T2447" s="390"/>
      <c r="U2447" s="390"/>
      <c r="V2447" s="390"/>
      <c r="W2447" s="390"/>
      <c r="X2447" s="390"/>
      <c r="Y2447" s="390"/>
      <c r="Z2447" s="390"/>
      <c r="AA2447" s="390"/>
      <c r="AB2447" s="22">
        <f t="shared" ref="AB2447:AB2512" si="782">SUM(D2447:AA2447)</f>
        <v>0</v>
      </c>
      <c r="AC2447" s="23">
        <v>0</v>
      </c>
      <c r="AD2447" s="35"/>
      <c r="AE2447" s="35"/>
      <c r="AF2447" s="35"/>
      <c r="AG2447" s="35"/>
      <c r="AH2447" s="35">
        <v>20</v>
      </c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22">
        <f t="shared" ref="BB2447:BB2512" si="783">SUM(AD2447:BA2447)</f>
        <v>20</v>
      </c>
      <c r="BC2447" s="23">
        <v>1</v>
      </c>
      <c r="BD2447" s="130">
        <f t="shared" ref="BD2447:BD2512" si="784">AB2447+BB2447</f>
        <v>20</v>
      </c>
      <c r="BE2447" s="130">
        <f t="shared" ref="BE2447:BE2512" si="785">AC2447+BC2447</f>
        <v>1</v>
      </c>
      <c r="BF2447" s="195">
        <f t="shared" ref="BF2447:BF2512" si="786">BD2447/BE2447*100</f>
        <v>2000</v>
      </c>
      <c r="BG2447" s="373">
        <f t="shared" si="778"/>
        <v>-19</v>
      </c>
    </row>
    <row r="2448" spans="1:59" s="46" customFormat="1" ht="16.5" customHeight="1">
      <c r="A2448" s="176">
        <v>67</v>
      </c>
      <c r="B2448" s="31" t="s">
        <v>3512</v>
      </c>
      <c r="C2448" s="32" t="s">
        <v>3513</v>
      </c>
      <c r="D2448" s="390"/>
      <c r="E2448" s="390"/>
      <c r="F2448" s="390"/>
      <c r="G2448" s="390"/>
      <c r="H2448" s="390"/>
      <c r="I2448" s="390"/>
      <c r="J2448" s="390"/>
      <c r="K2448" s="390"/>
      <c r="L2448" s="390"/>
      <c r="M2448" s="390"/>
      <c r="N2448" s="390"/>
      <c r="O2448" s="390"/>
      <c r="P2448" s="390"/>
      <c r="Q2448" s="390"/>
      <c r="R2448" s="390"/>
      <c r="S2448" s="390"/>
      <c r="T2448" s="390"/>
      <c r="U2448" s="390"/>
      <c r="V2448" s="390"/>
      <c r="W2448" s="390"/>
      <c r="X2448" s="390"/>
      <c r="Y2448" s="390"/>
      <c r="Z2448" s="390"/>
      <c r="AA2448" s="390"/>
      <c r="AB2448" s="22">
        <f t="shared" si="782"/>
        <v>0</v>
      </c>
      <c r="AC2448" s="23">
        <v>0</v>
      </c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22">
        <f t="shared" si="783"/>
        <v>0</v>
      </c>
      <c r="BC2448" s="23">
        <v>1</v>
      </c>
      <c r="BD2448" s="130">
        <f t="shared" si="784"/>
        <v>0</v>
      </c>
      <c r="BE2448" s="130">
        <f t="shared" si="785"/>
        <v>1</v>
      </c>
      <c r="BF2448" s="195">
        <f t="shared" si="786"/>
        <v>0</v>
      </c>
      <c r="BG2448" s="373">
        <f t="shared" si="778"/>
        <v>1</v>
      </c>
    </row>
    <row r="2449" spans="1:59" s="46" customFormat="1" ht="15.95" customHeight="1">
      <c r="A2449" s="176">
        <v>68</v>
      </c>
      <c r="B2449" s="31" t="s">
        <v>2326</v>
      </c>
      <c r="C2449" s="32" t="s">
        <v>2327</v>
      </c>
      <c r="D2449" s="231"/>
      <c r="E2449" s="231"/>
      <c r="F2449" s="231"/>
      <c r="G2449" s="231"/>
      <c r="H2449" s="231"/>
      <c r="I2449" s="231"/>
      <c r="J2449" s="231"/>
      <c r="K2449" s="231"/>
      <c r="L2449" s="231"/>
      <c r="M2449" s="231"/>
      <c r="N2449" s="231"/>
      <c r="O2449" s="231"/>
      <c r="P2449" s="231"/>
      <c r="Q2449" s="231"/>
      <c r="R2449" s="231"/>
      <c r="S2449" s="231"/>
      <c r="T2449" s="231"/>
      <c r="U2449" s="231"/>
      <c r="V2449" s="231"/>
      <c r="W2449" s="231"/>
      <c r="X2449" s="231"/>
      <c r="Y2449" s="231"/>
      <c r="Z2449" s="231"/>
      <c r="AA2449" s="231"/>
      <c r="AB2449" s="22">
        <f t="shared" si="782"/>
        <v>0</v>
      </c>
      <c r="AC2449" s="23">
        <v>0</v>
      </c>
      <c r="AD2449" s="35"/>
      <c r="AE2449" s="35"/>
      <c r="AF2449" s="35"/>
      <c r="AG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22">
        <f t="shared" si="783"/>
        <v>0</v>
      </c>
      <c r="BC2449" s="23">
        <v>1</v>
      </c>
      <c r="BD2449" s="130">
        <f t="shared" si="784"/>
        <v>0</v>
      </c>
      <c r="BE2449" s="130">
        <f t="shared" si="785"/>
        <v>1</v>
      </c>
      <c r="BF2449" s="195">
        <f t="shared" si="786"/>
        <v>0</v>
      </c>
      <c r="BG2449" s="373">
        <f t="shared" si="778"/>
        <v>1</v>
      </c>
    </row>
    <row r="2450" spans="1:59" s="46" customFormat="1" ht="15.95" customHeight="1">
      <c r="A2450" s="176">
        <v>69</v>
      </c>
      <c r="B2450" s="31" t="s">
        <v>4200</v>
      </c>
      <c r="C2450" s="32" t="s">
        <v>4201</v>
      </c>
      <c r="D2450" s="583"/>
      <c r="E2450" s="583"/>
      <c r="F2450" s="583"/>
      <c r="G2450" s="583"/>
      <c r="H2450" s="583"/>
      <c r="I2450" s="583"/>
      <c r="J2450" s="583"/>
      <c r="K2450" s="583"/>
      <c r="L2450" s="583"/>
      <c r="M2450" s="583"/>
      <c r="N2450" s="583"/>
      <c r="O2450" s="583"/>
      <c r="P2450" s="583"/>
      <c r="Q2450" s="583"/>
      <c r="R2450" s="583"/>
      <c r="S2450" s="583"/>
      <c r="T2450" s="583"/>
      <c r="U2450" s="583"/>
      <c r="V2450" s="583"/>
      <c r="W2450" s="583"/>
      <c r="X2450" s="583"/>
      <c r="Y2450" s="583"/>
      <c r="Z2450" s="583"/>
      <c r="AA2450" s="583"/>
      <c r="AB2450" s="22">
        <f t="shared" si="782"/>
        <v>0</v>
      </c>
      <c r="AC2450" s="23">
        <v>0</v>
      </c>
      <c r="AD2450" s="35"/>
      <c r="AE2450" s="35"/>
      <c r="AF2450" s="35"/>
      <c r="AG2450" s="35"/>
      <c r="AH2450" s="35"/>
      <c r="AI2450" s="35"/>
      <c r="AJ2450" s="35"/>
      <c r="AK2450" s="35"/>
      <c r="AL2450" s="35"/>
      <c r="AM2450" s="35"/>
      <c r="AN2450" s="35"/>
      <c r="AO2450" s="35"/>
      <c r="AP2450" s="35">
        <v>1</v>
      </c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22">
        <f t="shared" si="783"/>
        <v>1</v>
      </c>
      <c r="BC2450" s="23">
        <v>0</v>
      </c>
      <c r="BD2450" s="130">
        <f t="shared" ref="BD2450" si="787">AB2450+BB2450</f>
        <v>1</v>
      </c>
      <c r="BE2450" s="130">
        <f t="shared" ref="BE2450" si="788">AC2450+BC2450</f>
        <v>0</v>
      </c>
      <c r="BF2450" s="195" t="e">
        <f t="shared" ref="BF2450" si="789">BD2450/BE2450*100</f>
        <v>#DIV/0!</v>
      </c>
      <c r="BG2450" s="373"/>
    </row>
    <row r="2451" spans="1:59" s="46" customFormat="1" ht="15.95" customHeight="1">
      <c r="A2451" s="176">
        <v>70</v>
      </c>
      <c r="B2451" s="31" t="s">
        <v>4202</v>
      </c>
      <c r="C2451" s="32" t="s">
        <v>4203</v>
      </c>
      <c r="D2451" s="583"/>
      <c r="E2451" s="583"/>
      <c r="F2451" s="583"/>
      <c r="G2451" s="583"/>
      <c r="H2451" s="583"/>
      <c r="I2451" s="583"/>
      <c r="J2451" s="583"/>
      <c r="K2451" s="583"/>
      <c r="L2451" s="583"/>
      <c r="M2451" s="583"/>
      <c r="N2451" s="583"/>
      <c r="O2451" s="583"/>
      <c r="P2451" s="583"/>
      <c r="Q2451" s="583"/>
      <c r="R2451" s="583"/>
      <c r="S2451" s="583"/>
      <c r="T2451" s="583"/>
      <c r="U2451" s="583"/>
      <c r="V2451" s="583"/>
      <c r="W2451" s="583"/>
      <c r="X2451" s="583"/>
      <c r="Y2451" s="583"/>
      <c r="Z2451" s="583"/>
      <c r="AA2451" s="583"/>
      <c r="AB2451" s="22">
        <f t="shared" si="782"/>
        <v>0</v>
      </c>
      <c r="AC2451" s="23">
        <v>0</v>
      </c>
      <c r="AD2451" s="35"/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>
        <v>1</v>
      </c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22">
        <f t="shared" si="783"/>
        <v>1</v>
      </c>
      <c r="BC2451" s="23">
        <v>0</v>
      </c>
      <c r="BD2451" s="130">
        <f t="shared" ref="BD2451" si="790">AB2451+BB2451</f>
        <v>1</v>
      </c>
      <c r="BE2451" s="130">
        <f t="shared" ref="BE2451" si="791">AC2451+BC2451</f>
        <v>0</v>
      </c>
      <c r="BF2451" s="195" t="e">
        <f t="shared" ref="BF2451" si="792">BD2451/BE2451*100</f>
        <v>#DIV/0!</v>
      </c>
      <c r="BG2451" s="373"/>
    </row>
    <row r="2452" spans="1:59" s="46" customFormat="1" ht="15.95" customHeight="1">
      <c r="A2452" s="176">
        <v>71</v>
      </c>
      <c r="B2452" s="31" t="s">
        <v>3514</v>
      </c>
      <c r="C2452" s="32" t="s">
        <v>3515</v>
      </c>
      <c r="D2452" s="288"/>
      <c r="E2452" s="288"/>
      <c r="F2452" s="288"/>
      <c r="G2452" s="288"/>
      <c r="H2452" s="288"/>
      <c r="I2452" s="288"/>
      <c r="J2452" s="288"/>
      <c r="K2452" s="288"/>
      <c r="L2452" s="288"/>
      <c r="M2452" s="288"/>
      <c r="N2452" s="288"/>
      <c r="O2452" s="288"/>
      <c r="P2452" s="288"/>
      <c r="Q2452" s="288"/>
      <c r="R2452" s="288"/>
      <c r="S2452" s="288"/>
      <c r="T2452" s="288"/>
      <c r="U2452" s="288"/>
      <c r="V2452" s="288"/>
      <c r="W2452" s="288"/>
      <c r="X2452" s="288"/>
      <c r="Y2452" s="288"/>
      <c r="Z2452" s="288"/>
      <c r="AA2452" s="288"/>
      <c r="AB2452" s="22">
        <f t="shared" si="782"/>
        <v>0</v>
      </c>
      <c r="AC2452" s="23">
        <v>0</v>
      </c>
      <c r="AD2452" s="35"/>
      <c r="AE2452" s="35"/>
      <c r="AF2452" s="35"/>
      <c r="AG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22">
        <f t="shared" si="783"/>
        <v>0</v>
      </c>
      <c r="BC2452" s="23">
        <v>1</v>
      </c>
      <c r="BD2452" s="130">
        <f t="shared" si="784"/>
        <v>0</v>
      </c>
      <c r="BE2452" s="130">
        <f t="shared" si="785"/>
        <v>1</v>
      </c>
      <c r="BF2452" s="195">
        <f t="shared" si="786"/>
        <v>0</v>
      </c>
      <c r="BG2452" s="373">
        <f t="shared" si="778"/>
        <v>1</v>
      </c>
    </row>
    <row r="2453" spans="1:59" s="46" customFormat="1" ht="15.95" customHeight="1">
      <c r="A2453" s="176">
        <v>72</v>
      </c>
      <c r="B2453" s="31" t="s">
        <v>3314</v>
      </c>
      <c r="C2453" s="32" t="s">
        <v>3315</v>
      </c>
      <c r="D2453" s="231"/>
      <c r="E2453" s="231"/>
      <c r="F2453" s="231"/>
      <c r="G2453" s="231"/>
      <c r="H2453" s="231"/>
      <c r="I2453" s="231"/>
      <c r="J2453" s="231"/>
      <c r="K2453" s="231"/>
      <c r="L2453" s="231"/>
      <c r="M2453" s="231"/>
      <c r="N2453" s="231"/>
      <c r="O2453" s="231"/>
      <c r="P2453" s="231"/>
      <c r="Q2453" s="231"/>
      <c r="R2453" s="231"/>
      <c r="S2453" s="231"/>
      <c r="T2453" s="231"/>
      <c r="U2453" s="231"/>
      <c r="V2453" s="231"/>
      <c r="W2453" s="231"/>
      <c r="X2453" s="231"/>
      <c r="Y2453" s="231"/>
      <c r="Z2453" s="231"/>
      <c r="AA2453" s="231"/>
      <c r="AB2453" s="22">
        <f t="shared" si="782"/>
        <v>0</v>
      </c>
      <c r="AC2453" s="23">
        <v>0</v>
      </c>
      <c r="AD2453" s="35"/>
      <c r="AE2453" s="35"/>
      <c r="AF2453" s="35"/>
      <c r="AG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  <c r="AX2453" s="35"/>
      <c r="AY2453" s="35"/>
      <c r="AZ2453" s="35"/>
      <c r="BA2453" s="35"/>
      <c r="BB2453" s="22">
        <f t="shared" si="783"/>
        <v>0</v>
      </c>
      <c r="BC2453" s="23">
        <v>1</v>
      </c>
      <c r="BD2453" s="130">
        <f t="shared" si="784"/>
        <v>0</v>
      </c>
      <c r="BE2453" s="130">
        <f t="shared" si="785"/>
        <v>1</v>
      </c>
      <c r="BF2453" s="195">
        <f t="shared" si="786"/>
        <v>0</v>
      </c>
      <c r="BG2453" s="373">
        <f t="shared" si="778"/>
        <v>1</v>
      </c>
    </row>
    <row r="2454" spans="1:59" s="46" customFormat="1" ht="15.95" customHeight="1">
      <c r="A2454" s="176">
        <v>73</v>
      </c>
      <c r="B2454" s="31" t="s">
        <v>665</v>
      </c>
      <c r="C2454" s="36" t="s">
        <v>666</v>
      </c>
      <c r="D2454" s="231"/>
      <c r="E2454" s="231"/>
      <c r="F2454" s="231"/>
      <c r="G2454" s="231"/>
      <c r="H2454" s="231"/>
      <c r="I2454" s="231"/>
      <c r="J2454" s="231"/>
      <c r="K2454" s="231"/>
      <c r="L2454" s="231"/>
      <c r="M2454" s="231"/>
      <c r="N2454" s="231"/>
      <c r="O2454" s="231"/>
      <c r="P2454" s="231"/>
      <c r="Q2454" s="231"/>
      <c r="R2454" s="231"/>
      <c r="S2454" s="231"/>
      <c r="T2454" s="231"/>
      <c r="U2454" s="231"/>
      <c r="V2454" s="231"/>
      <c r="W2454" s="231"/>
      <c r="X2454" s="231"/>
      <c r="Y2454" s="231"/>
      <c r="Z2454" s="231"/>
      <c r="AA2454" s="231"/>
      <c r="AB2454" s="22">
        <f t="shared" si="782"/>
        <v>0</v>
      </c>
      <c r="AC2454" s="23">
        <v>0</v>
      </c>
      <c r="AD2454" s="35"/>
      <c r="AE2454" s="35"/>
      <c r="AF2454" s="35"/>
      <c r="AG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22">
        <f t="shared" si="783"/>
        <v>0</v>
      </c>
      <c r="BC2454" s="23">
        <v>1</v>
      </c>
      <c r="BD2454" s="130">
        <f t="shared" si="784"/>
        <v>0</v>
      </c>
      <c r="BE2454" s="130">
        <f t="shared" si="785"/>
        <v>1</v>
      </c>
      <c r="BF2454" s="195">
        <f t="shared" si="786"/>
        <v>0</v>
      </c>
      <c r="BG2454" s="373">
        <f t="shared" si="778"/>
        <v>1</v>
      </c>
    </row>
    <row r="2455" spans="1:59" s="46" customFormat="1" ht="15.95" customHeight="1">
      <c r="A2455" s="176">
        <v>74</v>
      </c>
      <c r="B2455" s="31" t="s">
        <v>1368</v>
      </c>
      <c r="C2455" s="32" t="s">
        <v>3516</v>
      </c>
      <c r="D2455" s="292"/>
      <c r="E2455" s="292"/>
      <c r="F2455" s="292"/>
      <c r="G2455" s="292"/>
      <c r="H2455" s="292"/>
      <c r="I2455" s="292"/>
      <c r="J2455" s="292"/>
      <c r="K2455" s="292"/>
      <c r="L2455" s="292"/>
      <c r="M2455" s="292"/>
      <c r="N2455" s="292"/>
      <c r="O2455" s="292"/>
      <c r="P2455" s="292"/>
      <c r="Q2455" s="292"/>
      <c r="R2455" s="292"/>
      <c r="S2455" s="292"/>
      <c r="T2455" s="292"/>
      <c r="U2455" s="292"/>
      <c r="V2455" s="292"/>
      <c r="W2455" s="292"/>
      <c r="X2455" s="292"/>
      <c r="Y2455" s="292"/>
      <c r="Z2455" s="292"/>
      <c r="AA2455" s="292"/>
      <c r="AB2455" s="22">
        <f t="shared" si="782"/>
        <v>0</v>
      </c>
      <c r="AC2455" s="23">
        <v>0</v>
      </c>
      <c r="AD2455" s="35"/>
      <c r="AE2455" s="35"/>
      <c r="AF2455" s="35"/>
      <c r="AG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22">
        <f t="shared" si="783"/>
        <v>0</v>
      </c>
      <c r="BC2455" s="23">
        <v>2</v>
      </c>
      <c r="BD2455" s="130">
        <f t="shared" si="784"/>
        <v>0</v>
      </c>
      <c r="BE2455" s="130">
        <f t="shared" si="785"/>
        <v>2</v>
      </c>
      <c r="BF2455" s="195">
        <f t="shared" si="786"/>
        <v>0</v>
      </c>
      <c r="BG2455" s="373">
        <f t="shared" si="778"/>
        <v>2</v>
      </c>
    </row>
    <row r="2456" spans="1:59" s="46" customFormat="1" ht="15.95" customHeight="1">
      <c r="A2456" s="176">
        <v>75</v>
      </c>
      <c r="B2456" s="31" t="s">
        <v>3517</v>
      </c>
      <c r="C2456" s="32" t="s">
        <v>3518</v>
      </c>
      <c r="D2456" s="231"/>
      <c r="E2456" s="231"/>
      <c r="F2456" s="231"/>
      <c r="G2456" s="231"/>
      <c r="H2456" s="231"/>
      <c r="I2456" s="231"/>
      <c r="J2456" s="231"/>
      <c r="K2456" s="231"/>
      <c r="L2456" s="231"/>
      <c r="M2456" s="231"/>
      <c r="N2456" s="231"/>
      <c r="O2456" s="231"/>
      <c r="P2456" s="231"/>
      <c r="Q2456" s="231"/>
      <c r="R2456" s="231"/>
      <c r="S2456" s="231"/>
      <c r="T2456" s="231"/>
      <c r="U2456" s="231"/>
      <c r="V2456" s="231"/>
      <c r="W2456" s="231"/>
      <c r="X2456" s="231"/>
      <c r="Y2456" s="231"/>
      <c r="Z2456" s="231"/>
      <c r="AA2456" s="231"/>
      <c r="AB2456" s="22">
        <f t="shared" si="782"/>
        <v>0</v>
      </c>
      <c r="AC2456" s="23">
        <v>0</v>
      </c>
      <c r="AD2456" s="35"/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22">
        <f t="shared" si="783"/>
        <v>0</v>
      </c>
      <c r="BC2456" s="23">
        <v>1</v>
      </c>
      <c r="BD2456" s="130">
        <f t="shared" si="784"/>
        <v>0</v>
      </c>
      <c r="BE2456" s="130">
        <f t="shared" si="785"/>
        <v>1</v>
      </c>
      <c r="BF2456" s="195">
        <f t="shared" si="786"/>
        <v>0</v>
      </c>
      <c r="BG2456" s="373">
        <f t="shared" si="778"/>
        <v>1</v>
      </c>
    </row>
    <row r="2457" spans="1:59" s="46" customFormat="1" ht="15.95" customHeight="1">
      <c r="A2457" s="176">
        <v>76</v>
      </c>
      <c r="B2457" s="31" t="s">
        <v>1094</v>
      </c>
      <c r="C2457" s="34" t="s">
        <v>1095</v>
      </c>
      <c r="D2457" s="366"/>
      <c r="E2457" s="366"/>
      <c r="F2457" s="366"/>
      <c r="G2457" s="366"/>
      <c r="H2457" s="366"/>
      <c r="I2457" s="366"/>
      <c r="J2457" s="366"/>
      <c r="K2457" s="366"/>
      <c r="L2457" s="366"/>
      <c r="M2457" s="366"/>
      <c r="N2457" s="366"/>
      <c r="O2457" s="366"/>
      <c r="P2457" s="366"/>
      <c r="Q2457" s="366"/>
      <c r="R2457" s="366"/>
      <c r="S2457" s="366"/>
      <c r="T2457" s="366"/>
      <c r="U2457" s="366"/>
      <c r="V2457" s="366"/>
      <c r="W2457" s="366"/>
      <c r="X2457" s="366"/>
      <c r="Y2457" s="366"/>
      <c r="Z2457" s="366"/>
      <c r="AA2457" s="366"/>
      <c r="AB2457" s="22">
        <f t="shared" si="782"/>
        <v>0</v>
      </c>
      <c r="AC2457" s="23">
        <v>0</v>
      </c>
      <c r="AD2457" s="35"/>
      <c r="AE2457" s="35"/>
      <c r="AF2457" s="35"/>
      <c r="AG2457" s="35"/>
      <c r="AH2457" s="35"/>
      <c r="AI2457" s="35"/>
      <c r="AJ2457" s="35"/>
      <c r="AK2457" s="35"/>
      <c r="AL2457" s="35">
        <f>60+1</f>
        <v>61</v>
      </c>
      <c r="AM2457" s="35"/>
      <c r="AN2457" s="35"/>
      <c r="AO2457" s="35"/>
      <c r="AP2457" s="35">
        <v>54</v>
      </c>
      <c r="AQ2457" s="35"/>
      <c r="AR2457" s="35"/>
      <c r="AS2457" s="35"/>
      <c r="AT2457" s="35"/>
      <c r="AU2457" s="35"/>
      <c r="AV2457" s="35"/>
      <c r="AW2457" s="35"/>
      <c r="AX2457" s="35"/>
      <c r="AY2457" s="35"/>
      <c r="AZ2457" s="35"/>
      <c r="BA2457" s="35"/>
      <c r="BB2457" s="22">
        <f t="shared" si="783"/>
        <v>115</v>
      </c>
      <c r="BC2457" s="23">
        <v>311</v>
      </c>
      <c r="BD2457" s="130">
        <f t="shared" si="784"/>
        <v>115</v>
      </c>
      <c r="BE2457" s="130">
        <f t="shared" si="785"/>
        <v>311</v>
      </c>
      <c r="BF2457" s="195">
        <f t="shared" si="786"/>
        <v>36.977491961414792</v>
      </c>
      <c r="BG2457" s="373">
        <f t="shared" si="778"/>
        <v>196</v>
      </c>
    </row>
    <row r="2458" spans="1:59" s="46" customFormat="1" ht="15.95" customHeight="1">
      <c r="A2458" s="176">
        <v>77</v>
      </c>
      <c r="B2458" s="31" t="s">
        <v>1143</v>
      </c>
      <c r="C2458" s="32" t="s">
        <v>2912</v>
      </c>
      <c r="D2458" s="366"/>
      <c r="E2458" s="366"/>
      <c r="F2458" s="366"/>
      <c r="G2458" s="366"/>
      <c r="H2458" s="366"/>
      <c r="I2458" s="366"/>
      <c r="J2458" s="366"/>
      <c r="K2458" s="366"/>
      <c r="L2458" s="366"/>
      <c r="M2458" s="366"/>
      <c r="N2458" s="366"/>
      <c r="O2458" s="366"/>
      <c r="P2458" s="366"/>
      <c r="Q2458" s="366"/>
      <c r="R2458" s="366"/>
      <c r="S2458" s="366"/>
      <c r="T2458" s="366"/>
      <c r="U2458" s="366"/>
      <c r="V2458" s="366"/>
      <c r="W2458" s="366"/>
      <c r="X2458" s="366"/>
      <c r="Y2458" s="366"/>
      <c r="Z2458" s="366"/>
      <c r="AA2458" s="366"/>
      <c r="AB2458" s="22">
        <f t="shared" si="782"/>
        <v>0</v>
      </c>
      <c r="AC2458" s="23">
        <v>0</v>
      </c>
      <c r="AD2458" s="35"/>
      <c r="AE2458" s="35"/>
      <c r="AF2458" s="35"/>
      <c r="AG2458" s="35"/>
      <c r="AH2458" s="35"/>
      <c r="AI2458" s="35"/>
      <c r="AJ2458" s="35"/>
      <c r="AK2458" s="35"/>
      <c r="AL2458" s="35"/>
      <c r="AM2458" s="35"/>
      <c r="AN2458" s="35"/>
      <c r="AO2458" s="35"/>
      <c r="AP2458" s="35">
        <v>1</v>
      </c>
      <c r="AQ2458" s="35"/>
      <c r="AR2458" s="35"/>
      <c r="AS2458" s="35"/>
      <c r="AT2458" s="35"/>
      <c r="AU2458" s="35"/>
      <c r="AV2458" s="35"/>
      <c r="AW2458" s="35"/>
      <c r="AX2458" s="35"/>
      <c r="AY2458" s="35"/>
      <c r="AZ2458" s="35"/>
      <c r="BA2458" s="35"/>
      <c r="BB2458" s="22">
        <f t="shared" si="783"/>
        <v>1</v>
      </c>
      <c r="BC2458" s="23">
        <v>1</v>
      </c>
      <c r="BD2458" s="130">
        <f t="shared" si="784"/>
        <v>1</v>
      </c>
      <c r="BE2458" s="130">
        <f t="shared" si="785"/>
        <v>1</v>
      </c>
      <c r="BF2458" s="195">
        <f t="shared" si="786"/>
        <v>100</v>
      </c>
      <c r="BG2458" s="373">
        <f t="shared" si="778"/>
        <v>0</v>
      </c>
    </row>
    <row r="2459" spans="1:59" s="46" customFormat="1" ht="15.95" customHeight="1">
      <c r="A2459" s="176">
        <v>78</v>
      </c>
      <c r="B2459" s="31" t="s">
        <v>2595</v>
      </c>
      <c r="C2459" s="32" t="s">
        <v>3017</v>
      </c>
      <c r="D2459" s="231"/>
      <c r="E2459" s="231"/>
      <c r="F2459" s="231"/>
      <c r="G2459" s="231"/>
      <c r="H2459" s="231"/>
      <c r="I2459" s="231"/>
      <c r="J2459" s="231"/>
      <c r="K2459" s="231"/>
      <c r="L2459" s="231"/>
      <c r="M2459" s="231"/>
      <c r="N2459" s="231"/>
      <c r="O2459" s="231"/>
      <c r="P2459" s="231"/>
      <c r="Q2459" s="231"/>
      <c r="R2459" s="231"/>
      <c r="S2459" s="231"/>
      <c r="T2459" s="231"/>
      <c r="U2459" s="231"/>
      <c r="V2459" s="231"/>
      <c r="W2459" s="231"/>
      <c r="X2459" s="231"/>
      <c r="Y2459" s="231"/>
      <c r="Z2459" s="231"/>
      <c r="AA2459" s="231"/>
      <c r="AB2459" s="22">
        <f t="shared" si="782"/>
        <v>0</v>
      </c>
      <c r="AC2459" s="23">
        <v>0</v>
      </c>
      <c r="AD2459" s="35"/>
      <c r="AE2459" s="35"/>
      <c r="AF2459" s="35"/>
      <c r="AG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  <c r="AX2459" s="35"/>
      <c r="AY2459" s="35"/>
      <c r="AZ2459" s="35"/>
      <c r="BA2459" s="35"/>
      <c r="BB2459" s="22">
        <f t="shared" si="783"/>
        <v>0</v>
      </c>
      <c r="BC2459" s="23">
        <v>1</v>
      </c>
      <c r="BD2459" s="130">
        <f t="shared" si="784"/>
        <v>0</v>
      </c>
      <c r="BE2459" s="130">
        <f t="shared" si="785"/>
        <v>1</v>
      </c>
      <c r="BF2459" s="195">
        <f t="shared" si="786"/>
        <v>0</v>
      </c>
      <c r="BG2459" s="373">
        <f t="shared" si="778"/>
        <v>1</v>
      </c>
    </row>
    <row r="2460" spans="1:59" s="46" customFormat="1" ht="15.95" customHeight="1">
      <c r="A2460" s="176">
        <v>79</v>
      </c>
      <c r="B2460" s="31" t="s">
        <v>2564</v>
      </c>
      <c r="C2460" s="32" t="s">
        <v>3251</v>
      </c>
      <c r="D2460" s="231"/>
      <c r="E2460" s="231"/>
      <c r="F2460" s="231"/>
      <c r="G2460" s="231"/>
      <c r="H2460" s="231"/>
      <c r="I2460" s="231"/>
      <c r="J2460" s="231"/>
      <c r="K2460" s="231"/>
      <c r="L2460" s="231"/>
      <c r="M2460" s="231"/>
      <c r="N2460" s="231"/>
      <c r="O2460" s="231"/>
      <c r="P2460" s="231"/>
      <c r="Q2460" s="231"/>
      <c r="R2460" s="231"/>
      <c r="S2460" s="231"/>
      <c r="T2460" s="231"/>
      <c r="U2460" s="231"/>
      <c r="V2460" s="231"/>
      <c r="W2460" s="231"/>
      <c r="X2460" s="231"/>
      <c r="Y2460" s="231"/>
      <c r="Z2460" s="231"/>
      <c r="AA2460" s="231"/>
      <c r="AB2460" s="22">
        <f t="shared" si="782"/>
        <v>0</v>
      </c>
      <c r="AC2460" s="23">
        <v>0</v>
      </c>
      <c r="AD2460" s="35"/>
      <c r="AE2460" s="35"/>
      <c r="AF2460" s="35"/>
      <c r="AG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  <c r="AX2460" s="35"/>
      <c r="AY2460" s="35"/>
      <c r="AZ2460" s="35"/>
      <c r="BA2460" s="35"/>
      <c r="BB2460" s="22">
        <f t="shared" si="783"/>
        <v>0</v>
      </c>
      <c r="BC2460" s="23">
        <v>2</v>
      </c>
      <c r="BD2460" s="130">
        <f t="shared" si="784"/>
        <v>0</v>
      </c>
      <c r="BE2460" s="130">
        <f t="shared" si="785"/>
        <v>2</v>
      </c>
      <c r="BF2460" s="195">
        <f t="shared" si="786"/>
        <v>0</v>
      </c>
      <c r="BG2460" s="373">
        <f t="shared" si="778"/>
        <v>2</v>
      </c>
    </row>
    <row r="2461" spans="1:59" s="46" customFormat="1" ht="15.95" customHeight="1">
      <c r="A2461" s="176">
        <v>80</v>
      </c>
      <c r="B2461" s="31" t="s">
        <v>783</v>
      </c>
      <c r="C2461" s="32" t="s">
        <v>1309</v>
      </c>
      <c r="D2461" s="288"/>
      <c r="E2461" s="288"/>
      <c r="F2461" s="288"/>
      <c r="G2461" s="288"/>
      <c r="H2461" s="288"/>
      <c r="I2461" s="288"/>
      <c r="J2461" s="288"/>
      <c r="K2461" s="288"/>
      <c r="L2461" s="288"/>
      <c r="M2461" s="288"/>
      <c r="N2461" s="288"/>
      <c r="O2461" s="288"/>
      <c r="P2461" s="288">
        <v>10</v>
      </c>
      <c r="Q2461" s="288"/>
      <c r="R2461" s="288"/>
      <c r="S2461" s="288"/>
      <c r="T2461" s="288"/>
      <c r="U2461" s="288"/>
      <c r="V2461" s="288"/>
      <c r="W2461" s="288"/>
      <c r="X2461" s="288"/>
      <c r="Y2461" s="288"/>
      <c r="Z2461" s="288"/>
      <c r="AA2461" s="288"/>
      <c r="AB2461" s="22">
        <f t="shared" si="782"/>
        <v>10</v>
      </c>
      <c r="AC2461" s="23">
        <v>0</v>
      </c>
      <c r="AD2461" s="35">
        <v>89</v>
      </c>
      <c r="AE2461" s="35"/>
      <c r="AF2461" s="35"/>
      <c r="AG2461" s="35"/>
      <c r="AH2461" s="35">
        <f>16+50</f>
        <v>66</v>
      </c>
      <c r="AI2461" s="35"/>
      <c r="AJ2461" s="35"/>
      <c r="AK2461" s="35"/>
      <c r="AL2461" s="35">
        <f>72+42</f>
        <v>114</v>
      </c>
      <c r="AM2461" s="35"/>
      <c r="AN2461" s="35"/>
      <c r="AO2461" s="35"/>
      <c r="AP2461" s="35">
        <v>91</v>
      </c>
      <c r="AQ2461" s="35"/>
      <c r="AR2461" s="35"/>
      <c r="AS2461" s="35"/>
      <c r="AT2461" s="35"/>
      <c r="AU2461" s="35"/>
      <c r="AV2461" s="35"/>
      <c r="AW2461" s="35"/>
      <c r="AX2461" s="35"/>
      <c r="AY2461" s="35"/>
      <c r="AZ2461" s="35"/>
      <c r="BA2461" s="35"/>
      <c r="BB2461" s="22">
        <f t="shared" si="783"/>
        <v>360</v>
      </c>
      <c r="BC2461" s="23">
        <v>507</v>
      </c>
      <c r="BD2461" s="130">
        <f t="shared" si="784"/>
        <v>370</v>
      </c>
      <c r="BE2461" s="130">
        <f t="shared" si="785"/>
        <v>507</v>
      </c>
      <c r="BF2461" s="195">
        <f t="shared" si="786"/>
        <v>72.978303747534511</v>
      </c>
      <c r="BG2461" s="373">
        <f t="shared" si="778"/>
        <v>137</v>
      </c>
    </row>
    <row r="2462" spans="1:59" s="46" customFormat="1" ht="15.95" customHeight="1">
      <c r="A2462" s="176">
        <v>81</v>
      </c>
      <c r="B2462" s="31" t="s">
        <v>1158</v>
      </c>
      <c r="C2462" s="32" t="s">
        <v>1159</v>
      </c>
      <c r="D2462" s="550"/>
      <c r="E2462" s="550"/>
      <c r="F2462" s="550"/>
      <c r="G2462" s="550"/>
      <c r="H2462" s="550"/>
      <c r="I2462" s="550"/>
      <c r="J2462" s="550"/>
      <c r="K2462" s="550"/>
      <c r="L2462" s="550"/>
      <c r="M2462" s="550"/>
      <c r="N2462" s="550"/>
      <c r="O2462" s="550"/>
      <c r="P2462" s="550"/>
      <c r="Q2462" s="550"/>
      <c r="R2462" s="550"/>
      <c r="S2462" s="550"/>
      <c r="T2462" s="550"/>
      <c r="U2462" s="550"/>
      <c r="V2462" s="550"/>
      <c r="W2462" s="550"/>
      <c r="X2462" s="550"/>
      <c r="Y2462" s="550"/>
      <c r="Z2462" s="550"/>
      <c r="AA2462" s="550"/>
      <c r="AB2462" s="22">
        <f t="shared" si="782"/>
        <v>0</v>
      </c>
      <c r="AC2462" s="23">
        <v>0</v>
      </c>
      <c r="AD2462" s="35"/>
      <c r="AE2462" s="35"/>
      <c r="AF2462" s="35"/>
      <c r="AG2462" s="35"/>
      <c r="AH2462" s="35"/>
      <c r="AI2462" s="35"/>
      <c r="AJ2462" s="35"/>
      <c r="AK2462" s="35"/>
      <c r="AL2462" s="35">
        <v>2</v>
      </c>
      <c r="AM2462" s="35"/>
      <c r="AN2462" s="35"/>
      <c r="AO2462" s="35"/>
      <c r="AP2462" s="35">
        <v>1</v>
      </c>
      <c r="AQ2462" s="35"/>
      <c r="AR2462" s="35"/>
      <c r="AS2462" s="35"/>
      <c r="AT2462" s="35"/>
      <c r="AU2462" s="35"/>
      <c r="AV2462" s="35"/>
      <c r="AW2462" s="35"/>
      <c r="AX2462" s="35"/>
      <c r="AY2462" s="35"/>
      <c r="AZ2462" s="35"/>
      <c r="BA2462" s="35"/>
      <c r="BB2462" s="22">
        <f t="shared" si="783"/>
        <v>3</v>
      </c>
      <c r="BC2462" s="23">
        <v>0</v>
      </c>
      <c r="BD2462" s="130">
        <f t="shared" si="784"/>
        <v>3</v>
      </c>
      <c r="BE2462" s="130">
        <f t="shared" si="785"/>
        <v>0</v>
      </c>
      <c r="BF2462" s="195" t="e">
        <f t="shared" si="786"/>
        <v>#DIV/0!</v>
      </c>
      <c r="BG2462" s="373"/>
    </row>
    <row r="2463" spans="1:59" s="46" customFormat="1" ht="15.95" customHeight="1">
      <c r="A2463" s="176">
        <v>82</v>
      </c>
      <c r="B2463" s="31" t="s">
        <v>2813</v>
      </c>
      <c r="C2463" s="32" t="s">
        <v>2814</v>
      </c>
      <c r="D2463" s="231"/>
      <c r="E2463" s="231"/>
      <c r="F2463" s="231"/>
      <c r="G2463" s="231"/>
      <c r="H2463" s="231"/>
      <c r="I2463" s="231"/>
      <c r="J2463" s="231"/>
      <c r="K2463" s="231"/>
      <c r="L2463" s="231"/>
      <c r="M2463" s="231"/>
      <c r="N2463" s="231"/>
      <c r="O2463" s="231"/>
      <c r="P2463" s="231"/>
      <c r="Q2463" s="231"/>
      <c r="R2463" s="231"/>
      <c r="S2463" s="231"/>
      <c r="T2463" s="231"/>
      <c r="U2463" s="231"/>
      <c r="V2463" s="231"/>
      <c r="W2463" s="231"/>
      <c r="X2463" s="231"/>
      <c r="Y2463" s="231"/>
      <c r="Z2463" s="231"/>
      <c r="AA2463" s="231"/>
      <c r="AB2463" s="22">
        <f t="shared" si="782"/>
        <v>0</v>
      </c>
      <c r="AC2463" s="23">
        <v>0</v>
      </c>
      <c r="AD2463" s="33"/>
      <c r="AE2463" s="33"/>
      <c r="AF2463" s="33"/>
      <c r="AG2463" s="3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  <c r="AU2463" s="33"/>
      <c r="AV2463" s="33"/>
      <c r="AW2463" s="33"/>
      <c r="AX2463" s="33"/>
      <c r="AY2463" s="33"/>
      <c r="AZ2463" s="33"/>
      <c r="BA2463" s="33"/>
      <c r="BB2463" s="22">
        <f t="shared" si="783"/>
        <v>0</v>
      </c>
      <c r="BC2463" s="23">
        <v>1</v>
      </c>
      <c r="BD2463" s="130">
        <f t="shared" si="784"/>
        <v>0</v>
      </c>
      <c r="BE2463" s="130">
        <f t="shared" si="785"/>
        <v>1</v>
      </c>
      <c r="BF2463" s="195">
        <f t="shared" si="786"/>
        <v>0</v>
      </c>
      <c r="BG2463" s="373">
        <f>BE2463-BD2463</f>
        <v>1</v>
      </c>
    </row>
    <row r="2464" spans="1:59" s="46" customFormat="1" ht="15.95" customHeight="1">
      <c r="A2464" s="176">
        <v>83</v>
      </c>
      <c r="B2464" s="31" t="s">
        <v>1310</v>
      </c>
      <c r="C2464" s="32" t="s">
        <v>681</v>
      </c>
      <c r="D2464" s="574"/>
      <c r="E2464" s="574"/>
      <c r="F2464" s="574"/>
      <c r="G2464" s="574"/>
      <c r="H2464" s="574"/>
      <c r="I2464" s="574"/>
      <c r="J2464" s="574"/>
      <c r="K2464" s="574"/>
      <c r="L2464" s="574"/>
      <c r="M2464" s="574"/>
      <c r="N2464" s="574"/>
      <c r="O2464" s="574"/>
      <c r="P2464" s="574"/>
      <c r="Q2464" s="574"/>
      <c r="R2464" s="574"/>
      <c r="S2464" s="574"/>
      <c r="T2464" s="574"/>
      <c r="U2464" s="574"/>
      <c r="V2464" s="574"/>
      <c r="W2464" s="574"/>
      <c r="X2464" s="574"/>
      <c r="Y2464" s="574"/>
      <c r="Z2464" s="574"/>
      <c r="AA2464" s="574"/>
      <c r="AB2464" s="22">
        <f t="shared" si="782"/>
        <v>0</v>
      </c>
      <c r="AC2464" s="23">
        <v>0</v>
      </c>
      <c r="AD2464" s="33"/>
      <c r="AE2464" s="33"/>
      <c r="AF2464" s="33"/>
      <c r="AG2464" s="33"/>
      <c r="AH2464" s="33"/>
      <c r="AI2464" s="33"/>
      <c r="AJ2464" s="33"/>
      <c r="AK2464" s="33"/>
      <c r="AL2464" s="33"/>
      <c r="AM2464" s="33"/>
      <c r="AN2464" s="33"/>
      <c r="AO2464" s="33"/>
      <c r="AP2464" s="33">
        <v>1</v>
      </c>
      <c r="AQ2464" s="33"/>
      <c r="AR2464" s="33"/>
      <c r="AS2464" s="33"/>
      <c r="AT2464" s="33"/>
      <c r="AU2464" s="33"/>
      <c r="AV2464" s="33"/>
      <c r="AW2464" s="33"/>
      <c r="AX2464" s="33"/>
      <c r="AY2464" s="33"/>
      <c r="AZ2464" s="33"/>
      <c r="BA2464" s="33"/>
      <c r="BB2464" s="22">
        <f t="shared" si="783"/>
        <v>1</v>
      </c>
      <c r="BC2464" s="23">
        <v>0</v>
      </c>
      <c r="BD2464" s="130">
        <f t="shared" si="784"/>
        <v>1</v>
      </c>
      <c r="BE2464" s="130">
        <f t="shared" si="785"/>
        <v>0</v>
      </c>
      <c r="BF2464" s="195" t="e">
        <f t="shared" si="786"/>
        <v>#DIV/0!</v>
      </c>
      <c r="BG2464" s="373"/>
    </row>
    <row r="2465" spans="1:59" s="46" customFormat="1" ht="15.95" customHeight="1">
      <c r="A2465" s="176">
        <v>84</v>
      </c>
      <c r="B2465" s="31" t="s">
        <v>812</v>
      </c>
      <c r="C2465" s="32" t="s">
        <v>813</v>
      </c>
      <c r="D2465" s="231"/>
      <c r="E2465" s="231"/>
      <c r="F2465" s="231"/>
      <c r="G2465" s="231"/>
      <c r="H2465" s="231"/>
      <c r="I2465" s="231"/>
      <c r="J2465" s="231"/>
      <c r="K2465" s="231"/>
      <c r="L2465" s="231"/>
      <c r="M2465" s="231"/>
      <c r="N2465" s="231"/>
      <c r="O2465" s="231"/>
      <c r="P2465" s="231"/>
      <c r="Q2465" s="231"/>
      <c r="R2465" s="231"/>
      <c r="S2465" s="231"/>
      <c r="T2465" s="231"/>
      <c r="U2465" s="231"/>
      <c r="V2465" s="231"/>
      <c r="W2465" s="231"/>
      <c r="X2465" s="231"/>
      <c r="Y2465" s="231"/>
      <c r="Z2465" s="231"/>
      <c r="AA2465" s="231"/>
      <c r="AB2465" s="22">
        <f t="shared" si="782"/>
        <v>0</v>
      </c>
      <c r="AC2465" s="23">
        <v>0</v>
      </c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33"/>
      <c r="AX2465" s="33"/>
      <c r="AY2465" s="33"/>
      <c r="AZ2465" s="33"/>
      <c r="BA2465" s="33"/>
      <c r="BB2465" s="22">
        <f t="shared" si="783"/>
        <v>0</v>
      </c>
      <c r="BC2465" s="23">
        <v>1</v>
      </c>
      <c r="BD2465" s="130">
        <f t="shared" si="784"/>
        <v>0</v>
      </c>
      <c r="BE2465" s="130">
        <f t="shared" si="785"/>
        <v>1</v>
      </c>
      <c r="BF2465" s="195">
        <f t="shared" si="786"/>
        <v>0</v>
      </c>
      <c r="BG2465" s="373">
        <f>BE2465-BD2465</f>
        <v>1</v>
      </c>
    </row>
    <row r="2466" spans="1:59" s="46" customFormat="1" ht="15.95" customHeight="1">
      <c r="A2466" s="176">
        <v>85</v>
      </c>
      <c r="B2466" s="31" t="s">
        <v>1371</v>
      </c>
      <c r="C2466" s="32" t="s">
        <v>1372</v>
      </c>
      <c r="D2466" s="231"/>
      <c r="E2466" s="231"/>
      <c r="F2466" s="231"/>
      <c r="G2466" s="231"/>
      <c r="H2466" s="231"/>
      <c r="I2466" s="231"/>
      <c r="J2466" s="231"/>
      <c r="K2466" s="231"/>
      <c r="L2466" s="231"/>
      <c r="M2466" s="231"/>
      <c r="N2466" s="231"/>
      <c r="O2466" s="231"/>
      <c r="P2466" s="231"/>
      <c r="Q2466" s="231"/>
      <c r="R2466" s="231"/>
      <c r="S2466" s="231"/>
      <c r="T2466" s="231"/>
      <c r="U2466" s="231"/>
      <c r="V2466" s="231"/>
      <c r="W2466" s="231"/>
      <c r="X2466" s="231"/>
      <c r="Y2466" s="231"/>
      <c r="Z2466" s="231"/>
      <c r="AA2466" s="231"/>
      <c r="AB2466" s="22">
        <f t="shared" si="782"/>
        <v>0</v>
      </c>
      <c r="AC2466" s="23">
        <v>0</v>
      </c>
      <c r="AD2466" s="35"/>
      <c r="AE2466" s="35"/>
      <c r="AF2466" s="35"/>
      <c r="AG2466" s="35"/>
      <c r="AH2466" s="35"/>
      <c r="AI2466" s="35"/>
      <c r="AJ2466" s="35"/>
      <c r="AK2466" s="35"/>
      <c r="AL2466" s="35">
        <v>1</v>
      </c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  <c r="AX2466" s="35"/>
      <c r="AY2466" s="35"/>
      <c r="AZ2466" s="35"/>
      <c r="BA2466" s="35"/>
      <c r="BB2466" s="22">
        <f t="shared" si="783"/>
        <v>1</v>
      </c>
      <c r="BC2466" s="23">
        <v>3</v>
      </c>
      <c r="BD2466" s="130">
        <f t="shared" si="784"/>
        <v>1</v>
      </c>
      <c r="BE2466" s="130">
        <f t="shared" si="785"/>
        <v>3</v>
      </c>
      <c r="BF2466" s="195">
        <f t="shared" si="786"/>
        <v>33.333333333333329</v>
      </c>
      <c r="BG2466" s="373">
        <f>BE2466-BD2466</f>
        <v>2</v>
      </c>
    </row>
    <row r="2467" spans="1:59" s="46" customFormat="1" ht="15.95" customHeight="1">
      <c r="A2467" s="176">
        <v>86</v>
      </c>
      <c r="B2467" s="31" t="s">
        <v>1474</v>
      </c>
      <c r="C2467" s="32" t="s">
        <v>1686</v>
      </c>
      <c r="D2467" s="576"/>
      <c r="E2467" s="576"/>
      <c r="F2467" s="576"/>
      <c r="G2467" s="576"/>
      <c r="H2467" s="576"/>
      <c r="I2467" s="576"/>
      <c r="J2467" s="576"/>
      <c r="K2467" s="576"/>
      <c r="L2467" s="576"/>
      <c r="M2467" s="576"/>
      <c r="N2467" s="576"/>
      <c r="O2467" s="576"/>
      <c r="P2467" s="576">
        <v>1</v>
      </c>
      <c r="Q2467" s="576"/>
      <c r="R2467" s="576"/>
      <c r="S2467" s="576"/>
      <c r="T2467" s="576"/>
      <c r="U2467" s="576"/>
      <c r="V2467" s="576"/>
      <c r="W2467" s="576"/>
      <c r="X2467" s="576"/>
      <c r="Y2467" s="576"/>
      <c r="Z2467" s="576"/>
      <c r="AA2467" s="576"/>
      <c r="AB2467" s="22">
        <f t="shared" si="782"/>
        <v>1</v>
      </c>
      <c r="AC2467" s="23">
        <v>0</v>
      </c>
      <c r="AD2467" s="35"/>
      <c r="AE2467" s="35"/>
      <c r="AF2467" s="35"/>
      <c r="AG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  <c r="AX2467" s="35"/>
      <c r="AY2467" s="35"/>
      <c r="AZ2467" s="35"/>
      <c r="BA2467" s="35"/>
      <c r="BB2467" s="22">
        <f t="shared" si="783"/>
        <v>0</v>
      </c>
      <c r="BC2467" s="23">
        <v>0</v>
      </c>
      <c r="BD2467" s="130">
        <f t="shared" si="784"/>
        <v>1</v>
      </c>
      <c r="BE2467" s="130">
        <f t="shared" si="785"/>
        <v>0</v>
      </c>
      <c r="BF2467" s="195" t="e">
        <f t="shared" si="786"/>
        <v>#DIV/0!</v>
      </c>
      <c r="BG2467" s="373"/>
    </row>
    <row r="2468" spans="1:59" s="46" customFormat="1" ht="15.95" customHeight="1">
      <c r="A2468" s="176">
        <v>87</v>
      </c>
      <c r="B2468" s="31" t="s">
        <v>1477</v>
      </c>
      <c r="C2468" s="32" t="s">
        <v>1478</v>
      </c>
      <c r="D2468" s="576"/>
      <c r="E2468" s="576"/>
      <c r="F2468" s="576"/>
      <c r="G2468" s="576"/>
      <c r="H2468" s="576"/>
      <c r="I2468" s="576"/>
      <c r="J2468" s="576"/>
      <c r="K2468" s="576"/>
      <c r="L2468" s="576"/>
      <c r="M2468" s="576"/>
      <c r="N2468" s="576"/>
      <c r="O2468" s="576"/>
      <c r="P2468" s="576">
        <v>2</v>
      </c>
      <c r="Q2468" s="576"/>
      <c r="R2468" s="576"/>
      <c r="S2468" s="576"/>
      <c r="T2468" s="576"/>
      <c r="U2468" s="576"/>
      <c r="V2468" s="576"/>
      <c r="W2468" s="576"/>
      <c r="X2468" s="576"/>
      <c r="Y2468" s="576"/>
      <c r="Z2468" s="576"/>
      <c r="AA2468" s="576"/>
      <c r="AB2468" s="22">
        <f t="shared" si="782"/>
        <v>2</v>
      </c>
      <c r="AC2468" s="23">
        <v>0</v>
      </c>
      <c r="AD2468" s="35"/>
      <c r="AE2468" s="35"/>
      <c r="AF2468" s="35"/>
      <c r="AG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  <c r="AX2468" s="35"/>
      <c r="AY2468" s="35"/>
      <c r="AZ2468" s="35"/>
      <c r="BA2468" s="35"/>
      <c r="BB2468" s="22">
        <f t="shared" si="783"/>
        <v>0</v>
      </c>
      <c r="BC2468" s="23">
        <v>0</v>
      </c>
      <c r="BD2468" s="130">
        <f t="shared" si="784"/>
        <v>2</v>
      </c>
      <c r="BE2468" s="130">
        <f t="shared" si="785"/>
        <v>0</v>
      </c>
      <c r="BF2468" s="195" t="e">
        <f t="shared" si="786"/>
        <v>#DIV/0!</v>
      </c>
      <c r="BG2468" s="373"/>
    </row>
    <row r="2469" spans="1:59" s="46" customFormat="1" ht="15.95" customHeight="1">
      <c r="A2469" s="176">
        <v>88</v>
      </c>
      <c r="B2469" s="31" t="s">
        <v>4015</v>
      </c>
      <c r="C2469" s="32" t="s">
        <v>4186</v>
      </c>
      <c r="D2469" s="576"/>
      <c r="E2469" s="576"/>
      <c r="F2469" s="576"/>
      <c r="G2469" s="576"/>
      <c r="H2469" s="576"/>
      <c r="I2469" s="576"/>
      <c r="J2469" s="576"/>
      <c r="K2469" s="576"/>
      <c r="L2469" s="576"/>
      <c r="M2469" s="576"/>
      <c r="N2469" s="576"/>
      <c r="O2469" s="576"/>
      <c r="P2469" s="576">
        <v>2</v>
      </c>
      <c r="Q2469" s="576"/>
      <c r="R2469" s="576"/>
      <c r="S2469" s="576"/>
      <c r="T2469" s="576"/>
      <c r="U2469" s="576"/>
      <c r="V2469" s="576"/>
      <c r="W2469" s="576"/>
      <c r="X2469" s="576"/>
      <c r="Y2469" s="576"/>
      <c r="Z2469" s="576"/>
      <c r="AA2469" s="576"/>
      <c r="AB2469" s="22">
        <f t="shared" si="782"/>
        <v>2</v>
      </c>
      <c r="AC2469" s="23">
        <v>0</v>
      </c>
      <c r="AD2469" s="35"/>
      <c r="AE2469" s="35"/>
      <c r="AF2469" s="35"/>
      <c r="AG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  <c r="AX2469" s="35"/>
      <c r="AY2469" s="35"/>
      <c r="AZ2469" s="35"/>
      <c r="BA2469" s="35"/>
      <c r="BB2469" s="22">
        <f t="shared" si="783"/>
        <v>0</v>
      </c>
      <c r="BC2469" s="23">
        <v>0</v>
      </c>
      <c r="BD2469" s="130">
        <f t="shared" si="784"/>
        <v>2</v>
      </c>
      <c r="BE2469" s="130">
        <f t="shared" si="785"/>
        <v>0</v>
      </c>
      <c r="BF2469" s="195" t="e">
        <f t="shared" si="786"/>
        <v>#DIV/0!</v>
      </c>
      <c r="BG2469" s="373"/>
    </row>
    <row r="2470" spans="1:59" s="46" customFormat="1" ht="15.95" customHeight="1">
      <c r="A2470" s="176">
        <v>89</v>
      </c>
      <c r="B2470" s="31" t="s">
        <v>337</v>
      </c>
      <c r="C2470" s="32" t="s">
        <v>338</v>
      </c>
      <c r="D2470" s="231">
        <v>4</v>
      </c>
      <c r="E2470" s="231"/>
      <c r="F2470" s="231"/>
      <c r="G2470" s="231"/>
      <c r="H2470" s="231"/>
      <c r="I2470" s="231"/>
      <c r="J2470" s="231"/>
      <c r="K2470" s="231"/>
      <c r="L2470" s="231">
        <v>1</v>
      </c>
      <c r="M2470" s="231"/>
      <c r="N2470" s="231"/>
      <c r="O2470" s="231"/>
      <c r="P2470" s="231">
        <f>1+3</f>
        <v>4</v>
      </c>
      <c r="Q2470" s="231"/>
      <c r="R2470" s="231"/>
      <c r="S2470" s="231"/>
      <c r="T2470" s="231"/>
      <c r="U2470" s="231"/>
      <c r="V2470" s="231"/>
      <c r="W2470" s="231"/>
      <c r="X2470" s="231"/>
      <c r="Y2470" s="231"/>
      <c r="Z2470" s="231"/>
      <c r="AA2470" s="231"/>
      <c r="AB2470" s="22">
        <f t="shared" si="782"/>
        <v>9</v>
      </c>
      <c r="AC2470" s="23">
        <v>1</v>
      </c>
      <c r="AD2470" s="35"/>
      <c r="AE2470" s="35"/>
      <c r="AF2470" s="35"/>
      <c r="AG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  <c r="AX2470" s="35"/>
      <c r="AY2470" s="35"/>
      <c r="AZ2470" s="35"/>
      <c r="BA2470" s="35"/>
      <c r="BB2470" s="22">
        <f t="shared" si="783"/>
        <v>0</v>
      </c>
      <c r="BC2470" s="23">
        <v>0</v>
      </c>
      <c r="BD2470" s="130">
        <f t="shared" si="784"/>
        <v>9</v>
      </c>
      <c r="BE2470" s="130">
        <f t="shared" si="785"/>
        <v>1</v>
      </c>
      <c r="BF2470" s="195">
        <f t="shared" si="786"/>
        <v>900</v>
      </c>
      <c r="BG2470" s="373">
        <f>BE2470-BD2470</f>
        <v>-8</v>
      </c>
    </row>
    <row r="2471" spans="1:59" s="46" customFormat="1" ht="15.95" customHeight="1">
      <c r="A2471" s="176">
        <v>90</v>
      </c>
      <c r="B2471" s="31" t="s">
        <v>1314</v>
      </c>
      <c r="C2471" s="32" t="s">
        <v>1315</v>
      </c>
      <c r="D2471" s="253"/>
      <c r="E2471" s="253"/>
      <c r="F2471" s="253"/>
      <c r="G2471" s="253"/>
      <c r="H2471" s="253"/>
      <c r="I2471" s="253"/>
      <c r="J2471" s="253"/>
      <c r="K2471" s="253"/>
      <c r="L2471" s="253">
        <v>1</v>
      </c>
      <c r="M2471" s="253"/>
      <c r="N2471" s="253"/>
      <c r="O2471" s="253"/>
      <c r="P2471" s="253"/>
      <c r="Q2471" s="253"/>
      <c r="R2471" s="253"/>
      <c r="S2471" s="253"/>
      <c r="T2471" s="253"/>
      <c r="U2471" s="253"/>
      <c r="V2471" s="253"/>
      <c r="W2471" s="253"/>
      <c r="X2471" s="253"/>
      <c r="Y2471" s="253"/>
      <c r="Z2471" s="253"/>
      <c r="AA2471" s="253"/>
      <c r="AB2471" s="22">
        <f t="shared" si="782"/>
        <v>1</v>
      </c>
      <c r="AC2471" s="23">
        <v>1</v>
      </c>
      <c r="AD2471" s="35"/>
      <c r="AE2471" s="35"/>
      <c r="AF2471" s="35"/>
      <c r="AG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  <c r="AX2471" s="35"/>
      <c r="AY2471" s="35"/>
      <c r="AZ2471" s="35"/>
      <c r="BA2471" s="35"/>
      <c r="BB2471" s="22">
        <f t="shared" si="783"/>
        <v>0</v>
      </c>
      <c r="BC2471" s="23">
        <v>0</v>
      </c>
      <c r="BD2471" s="130">
        <f t="shared" si="784"/>
        <v>1</v>
      </c>
      <c r="BE2471" s="130">
        <f t="shared" si="785"/>
        <v>1</v>
      </c>
      <c r="BF2471" s="195">
        <f t="shared" si="786"/>
        <v>100</v>
      </c>
      <c r="BG2471" s="373">
        <f>BE2471-BD2471</f>
        <v>0</v>
      </c>
    </row>
    <row r="2472" spans="1:59" s="46" customFormat="1" ht="21" customHeight="1">
      <c r="A2472" s="176">
        <v>91</v>
      </c>
      <c r="B2472" s="31" t="s">
        <v>814</v>
      </c>
      <c r="C2472" s="34" t="s">
        <v>1317</v>
      </c>
      <c r="D2472" s="231"/>
      <c r="E2472" s="231"/>
      <c r="F2472" s="231"/>
      <c r="G2472" s="231"/>
      <c r="H2472" s="231"/>
      <c r="I2472" s="231"/>
      <c r="J2472" s="231"/>
      <c r="K2472" s="231"/>
      <c r="L2472" s="231"/>
      <c r="M2472" s="231"/>
      <c r="N2472" s="231"/>
      <c r="O2472" s="231"/>
      <c r="P2472" s="231"/>
      <c r="Q2472" s="231"/>
      <c r="R2472" s="231"/>
      <c r="S2472" s="231"/>
      <c r="T2472" s="231"/>
      <c r="U2472" s="231"/>
      <c r="V2472" s="231"/>
      <c r="W2472" s="231"/>
      <c r="X2472" s="231"/>
      <c r="Y2472" s="231"/>
      <c r="Z2472" s="231"/>
      <c r="AA2472" s="231"/>
      <c r="AB2472" s="22">
        <f t="shared" si="782"/>
        <v>0</v>
      </c>
      <c r="AC2472" s="23">
        <v>0</v>
      </c>
      <c r="AD2472" s="35">
        <v>68</v>
      </c>
      <c r="AE2472" s="35"/>
      <c r="AF2472" s="35"/>
      <c r="AG2472" s="35"/>
      <c r="AH2472" s="35">
        <f>14+50</f>
        <v>64</v>
      </c>
      <c r="AI2472" s="35"/>
      <c r="AJ2472" s="35"/>
      <c r="AK2472" s="35"/>
      <c r="AL2472" s="35">
        <f>63+26</f>
        <v>89</v>
      </c>
      <c r="AM2472" s="35"/>
      <c r="AN2472" s="35"/>
      <c r="AO2472" s="35"/>
      <c r="AP2472" s="35">
        <v>112</v>
      </c>
      <c r="AQ2472" s="35"/>
      <c r="AR2472" s="35"/>
      <c r="AS2472" s="35"/>
      <c r="AT2472" s="35"/>
      <c r="AU2472" s="35"/>
      <c r="AV2472" s="35"/>
      <c r="AW2472" s="35"/>
      <c r="AX2472" s="35"/>
      <c r="AY2472" s="35"/>
      <c r="AZ2472" s="35"/>
      <c r="BA2472" s="35"/>
      <c r="BB2472" s="22">
        <f t="shared" si="783"/>
        <v>333</v>
      </c>
      <c r="BC2472" s="23">
        <v>594</v>
      </c>
      <c r="BD2472" s="130">
        <f t="shared" si="784"/>
        <v>333</v>
      </c>
      <c r="BE2472" s="130">
        <f t="shared" si="785"/>
        <v>594</v>
      </c>
      <c r="BF2472" s="195">
        <f t="shared" si="786"/>
        <v>56.060606060606055</v>
      </c>
      <c r="BG2472" s="373">
        <f>BE2472-BD2472</f>
        <v>261</v>
      </c>
    </row>
    <row r="2473" spans="1:59" s="46" customFormat="1" ht="21" customHeight="1">
      <c r="A2473" s="176">
        <v>92</v>
      </c>
      <c r="B2473" s="31" t="s">
        <v>1494</v>
      </c>
      <c r="C2473" s="34" t="s">
        <v>4187</v>
      </c>
      <c r="D2473" s="576"/>
      <c r="E2473" s="576"/>
      <c r="F2473" s="576"/>
      <c r="G2473" s="576"/>
      <c r="H2473" s="576"/>
      <c r="I2473" s="576"/>
      <c r="J2473" s="576"/>
      <c r="K2473" s="576"/>
      <c r="L2473" s="576"/>
      <c r="M2473" s="576"/>
      <c r="N2473" s="576"/>
      <c r="O2473" s="576"/>
      <c r="P2473" s="576">
        <v>2</v>
      </c>
      <c r="Q2473" s="576"/>
      <c r="R2473" s="576"/>
      <c r="S2473" s="576"/>
      <c r="T2473" s="576"/>
      <c r="U2473" s="576"/>
      <c r="V2473" s="576"/>
      <c r="W2473" s="576"/>
      <c r="X2473" s="576"/>
      <c r="Y2473" s="576"/>
      <c r="Z2473" s="576"/>
      <c r="AA2473" s="576"/>
      <c r="AB2473" s="22">
        <f t="shared" si="782"/>
        <v>2</v>
      </c>
      <c r="AC2473" s="23">
        <v>0</v>
      </c>
      <c r="AD2473" s="35"/>
      <c r="AE2473" s="35"/>
      <c r="AF2473" s="35"/>
      <c r="AG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  <c r="AX2473" s="35"/>
      <c r="AY2473" s="35"/>
      <c r="AZ2473" s="35"/>
      <c r="BA2473" s="35"/>
      <c r="BB2473" s="22">
        <f t="shared" si="783"/>
        <v>0</v>
      </c>
      <c r="BC2473" s="23">
        <v>0</v>
      </c>
      <c r="BD2473" s="130">
        <f t="shared" si="784"/>
        <v>2</v>
      </c>
      <c r="BE2473" s="130">
        <f t="shared" si="785"/>
        <v>0</v>
      </c>
      <c r="BF2473" s="195" t="e">
        <f t="shared" si="786"/>
        <v>#DIV/0!</v>
      </c>
      <c r="BG2473" s="373"/>
    </row>
    <row r="2474" spans="1:59" s="46" customFormat="1" ht="21" customHeight="1">
      <c r="A2474" s="176">
        <v>93</v>
      </c>
      <c r="B2474" s="31" t="s">
        <v>1318</v>
      </c>
      <c r="C2474" s="34" t="s">
        <v>1319</v>
      </c>
      <c r="D2474" s="552"/>
      <c r="E2474" s="552"/>
      <c r="F2474" s="552"/>
      <c r="G2474" s="552"/>
      <c r="H2474" s="552"/>
      <c r="I2474" s="552"/>
      <c r="J2474" s="552"/>
      <c r="K2474" s="552"/>
      <c r="L2474" s="552">
        <v>1</v>
      </c>
      <c r="M2474" s="552"/>
      <c r="N2474" s="552"/>
      <c r="O2474" s="552"/>
      <c r="P2474" s="552"/>
      <c r="Q2474" s="552"/>
      <c r="R2474" s="552"/>
      <c r="S2474" s="552"/>
      <c r="T2474" s="552"/>
      <c r="U2474" s="552"/>
      <c r="V2474" s="552"/>
      <c r="W2474" s="552"/>
      <c r="X2474" s="552"/>
      <c r="Y2474" s="552"/>
      <c r="Z2474" s="552"/>
      <c r="AA2474" s="552"/>
      <c r="AB2474" s="22">
        <f t="shared" si="782"/>
        <v>1</v>
      </c>
      <c r="AC2474" s="23">
        <v>0</v>
      </c>
      <c r="AD2474" s="35"/>
      <c r="AE2474" s="35"/>
      <c r="AF2474" s="35"/>
      <c r="AG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  <c r="AX2474" s="35"/>
      <c r="AY2474" s="35"/>
      <c r="AZ2474" s="35"/>
      <c r="BA2474" s="35"/>
      <c r="BB2474" s="22">
        <f t="shared" si="783"/>
        <v>0</v>
      </c>
      <c r="BC2474" s="23">
        <v>0</v>
      </c>
      <c r="BD2474" s="130">
        <f t="shared" si="784"/>
        <v>1</v>
      </c>
      <c r="BE2474" s="130">
        <f t="shared" si="785"/>
        <v>0</v>
      </c>
      <c r="BF2474" s="195" t="e">
        <f t="shared" si="786"/>
        <v>#DIV/0!</v>
      </c>
      <c r="BG2474" s="373"/>
    </row>
    <row r="2475" spans="1:59" s="46" customFormat="1" ht="15.95" customHeight="1">
      <c r="A2475" s="176">
        <v>94</v>
      </c>
      <c r="B2475" s="31" t="s">
        <v>2433</v>
      </c>
      <c r="C2475" s="32" t="s">
        <v>2434</v>
      </c>
      <c r="D2475" s="335"/>
      <c r="E2475" s="335"/>
      <c r="F2475" s="335"/>
      <c r="G2475" s="335"/>
      <c r="H2475" s="335"/>
      <c r="I2475" s="335"/>
      <c r="J2475" s="335"/>
      <c r="K2475" s="335"/>
      <c r="L2475" s="335"/>
      <c r="M2475" s="335"/>
      <c r="N2475" s="335"/>
      <c r="O2475" s="335"/>
      <c r="P2475" s="335"/>
      <c r="Q2475" s="335"/>
      <c r="R2475" s="335"/>
      <c r="S2475" s="335"/>
      <c r="T2475" s="335"/>
      <c r="U2475" s="335"/>
      <c r="V2475" s="335"/>
      <c r="W2475" s="335"/>
      <c r="X2475" s="335"/>
      <c r="Y2475" s="335"/>
      <c r="Z2475" s="335"/>
      <c r="AA2475" s="335"/>
      <c r="AB2475" s="22">
        <f t="shared" si="782"/>
        <v>0</v>
      </c>
      <c r="AC2475" s="23">
        <v>0</v>
      </c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  <c r="AX2475" s="35"/>
      <c r="AY2475" s="35"/>
      <c r="AZ2475" s="35"/>
      <c r="BA2475" s="35"/>
      <c r="BB2475" s="22">
        <f t="shared" si="783"/>
        <v>0</v>
      </c>
      <c r="BC2475" s="23">
        <v>1</v>
      </c>
      <c r="BD2475" s="130">
        <f t="shared" si="784"/>
        <v>0</v>
      </c>
      <c r="BE2475" s="130">
        <f t="shared" si="785"/>
        <v>1</v>
      </c>
      <c r="BF2475" s="195">
        <f t="shared" si="786"/>
        <v>0</v>
      </c>
      <c r="BG2475" s="373">
        <f t="shared" ref="BG2475:BG2482" si="793">BE2475-BD2475</f>
        <v>1</v>
      </c>
    </row>
    <row r="2476" spans="1:59" s="46" customFormat="1" ht="15.95" customHeight="1">
      <c r="A2476" s="176">
        <v>95</v>
      </c>
      <c r="B2476" s="31" t="s">
        <v>905</v>
      </c>
      <c r="C2476" s="34" t="s">
        <v>3176</v>
      </c>
      <c r="D2476" s="231"/>
      <c r="E2476" s="231"/>
      <c r="F2476" s="231"/>
      <c r="G2476" s="231"/>
      <c r="H2476" s="231"/>
      <c r="I2476" s="231"/>
      <c r="J2476" s="231"/>
      <c r="K2476" s="231"/>
      <c r="L2476" s="231"/>
      <c r="M2476" s="231"/>
      <c r="N2476" s="231"/>
      <c r="O2476" s="231"/>
      <c r="P2476" s="231"/>
      <c r="Q2476" s="231"/>
      <c r="R2476" s="231"/>
      <c r="S2476" s="231"/>
      <c r="T2476" s="231"/>
      <c r="U2476" s="231"/>
      <c r="V2476" s="231"/>
      <c r="W2476" s="231"/>
      <c r="X2476" s="231"/>
      <c r="Y2476" s="231"/>
      <c r="Z2476" s="231"/>
      <c r="AA2476" s="231"/>
      <c r="AB2476" s="22">
        <f t="shared" si="782"/>
        <v>0</v>
      </c>
      <c r="AC2476" s="23">
        <v>0</v>
      </c>
      <c r="AD2476" s="35"/>
      <c r="AE2476" s="35"/>
      <c r="AF2476" s="35"/>
      <c r="AG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  <c r="AX2476" s="35"/>
      <c r="AY2476" s="35"/>
      <c r="AZ2476" s="35"/>
      <c r="BA2476" s="35"/>
      <c r="BB2476" s="22">
        <f t="shared" si="783"/>
        <v>0</v>
      </c>
      <c r="BC2476" s="23">
        <v>1</v>
      </c>
      <c r="BD2476" s="130">
        <f t="shared" si="784"/>
        <v>0</v>
      </c>
      <c r="BE2476" s="130">
        <f t="shared" si="785"/>
        <v>1</v>
      </c>
      <c r="BF2476" s="195">
        <f t="shared" si="786"/>
        <v>0</v>
      </c>
      <c r="BG2476" s="373">
        <f t="shared" si="793"/>
        <v>1</v>
      </c>
    </row>
    <row r="2477" spans="1:59" s="46" customFormat="1" ht="15.95" customHeight="1">
      <c r="A2477" s="176">
        <v>96</v>
      </c>
      <c r="B2477" s="31" t="s">
        <v>819</v>
      </c>
      <c r="C2477" s="32" t="s">
        <v>1320</v>
      </c>
      <c r="D2477" s="231"/>
      <c r="E2477" s="231"/>
      <c r="F2477" s="231"/>
      <c r="G2477" s="231"/>
      <c r="H2477" s="231"/>
      <c r="I2477" s="231"/>
      <c r="J2477" s="231"/>
      <c r="K2477" s="231"/>
      <c r="L2477" s="231"/>
      <c r="M2477" s="231"/>
      <c r="N2477" s="231"/>
      <c r="O2477" s="231"/>
      <c r="P2477" s="231">
        <v>2</v>
      </c>
      <c r="Q2477" s="231"/>
      <c r="R2477" s="231"/>
      <c r="S2477" s="231"/>
      <c r="T2477" s="231"/>
      <c r="U2477" s="231"/>
      <c r="V2477" s="231"/>
      <c r="W2477" s="231"/>
      <c r="X2477" s="231"/>
      <c r="Y2477" s="231"/>
      <c r="Z2477" s="231"/>
      <c r="AA2477" s="231"/>
      <c r="AB2477" s="22">
        <f t="shared" si="782"/>
        <v>2</v>
      </c>
      <c r="AC2477" s="23">
        <v>0</v>
      </c>
      <c r="AD2477" s="35">
        <v>3287</v>
      </c>
      <c r="AE2477" s="35"/>
      <c r="AF2477" s="35"/>
      <c r="AG2477" s="35"/>
      <c r="AH2477" s="35">
        <f>3+383+1944</f>
        <v>2330</v>
      </c>
      <c r="AI2477" s="35"/>
      <c r="AJ2477" s="35"/>
      <c r="AK2477" s="35"/>
      <c r="AL2477" s="35">
        <f>3+1629+1692</f>
        <v>3324</v>
      </c>
      <c r="AM2477" s="35"/>
      <c r="AN2477" s="35"/>
      <c r="AO2477" s="35"/>
      <c r="AP2477" s="35">
        <f>3+1932+57</f>
        <v>1992</v>
      </c>
      <c r="AQ2477" s="35"/>
      <c r="AR2477" s="35"/>
      <c r="AS2477" s="35"/>
      <c r="AT2477" s="35"/>
      <c r="AU2477" s="35"/>
      <c r="AV2477" s="35"/>
      <c r="AW2477" s="35"/>
      <c r="AX2477" s="35"/>
      <c r="AY2477" s="35"/>
      <c r="AZ2477" s="35"/>
      <c r="BA2477" s="35"/>
      <c r="BB2477" s="22">
        <f t="shared" si="783"/>
        <v>10933</v>
      </c>
      <c r="BC2477" s="23">
        <v>7886</v>
      </c>
      <c r="BD2477" s="130">
        <f t="shared" si="784"/>
        <v>10935</v>
      </c>
      <c r="BE2477" s="130">
        <f t="shared" si="785"/>
        <v>7886</v>
      </c>
      <c r="BF2477" s="195">
        <f t="shared" si="786"/>
        <v>138.6634542226731</v>
      </c>
      <c r="BG2477" s="373">
        <f t="shared" si="793"/>
        <v>-3049</v>
      </c>
    </row>
    <row r="2478" spans="1:59" s="46" customFormat="1" ht="15.95" customHeight="1">
      <c r="A2478" s="176">
        <v>97</v>
      </c>
      <c r="B2478" s="31" t="s">
        <v>3519</v>
      </c>
      <c r="C2478" s="32" t="s">
        <v>3521</v>
      </c>
      <c r="D2478" s="231"/>
      <c r="E2478" s="231"/>
      <c r="F2478" s="231"/>
      <c r="G2478" s="231"/>
      <c r="H2478" s="231"/>
      <c r="I2478" s="231"/>
      <c r="J2478" s="231"/>
      <c r="K2478" s="231"/>
      <c r="L2478" s="231"/>
      <c r="M2478" s="231"/>
      <c r="N2478" s="231"/>
      <c r="O2478" s="231"/>
      <c r="P2478" s="231"/>
      <c r="Q2478" s="231"/>
      <c r="R2478" s="231"/>
      <c r="S2478" s="231"/>
      <c r="T2478" s="231"/>
      <c r="U2478" s="231"/>
      <c r="V2478" s="231"/>
      <c r="W2478" s="231"/>
      <c r="X2478" s="231"/>
      <c r="Y2478" s="231"/>
      <c r="Z2478" s="231"/>
      <c r="AA2478" s="231"/>
      <c r="AB2478" s="22">
        <f t="shared" si="782"/>
        <v>0</v>
      </c>
      <c r="AC2478" s="23">
        <v>0</v>
      </c>
      <c r="AD2478" s="35"/>
      <c r="AE2478" s="35"/>
      <c r="AF2478" s="35"/>
      <c r="AG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  <c r="AX2478" s="35"/>
      <c r="AY2478" s="35"/>
      <c r="AZ2478" s="35"/>
      <c r="BA2478" s="35"/>
      <c r="BB2478" s="22">
        <f t="shared" si="783"/>
        <v>0</v>
      </c>
      <c r="BC2478" s="23">
        <v>1</v>
      </c>
      <c r="BD2478" s="130">
        <f t="shared" si="784"/>
        <v>0</v>
      </c>
      <c r="BE2478" s="130">
        <f t="shared" si="785"/>
        <v>1</v>
      </c>
      <c r="BF2478" s="195">
        <f t="shared" si="786"/>
        <v>0</v>
      </c>
      <c r="BG2478" s="373">
        <f t="shared" si="793"/>
        <v>1</v>
      </c>
    </row>
    <row r="2479" spans="1:59" s="46" customFormat="1" ht="21.75" customHeight="1">
      <c r="A2479" s="176">
        <v>98</v>
      </c>
      <c r="B2479" s="31" t="s">
        <v>1322</v>
      </c>
      <c r="C2479" s="34" t="s">
        <v>2936</v>
      </c>
      <c r="D2479" s="288"/>
      <c r="E2479" s="288"/>
      <c r="F2479" s="288"/>
      <c r="G2479" s="288"/>
      <c r="H2479" s="288"/>
      <c r="I2479" s="288"/>
      <c r="J2479" s="288"/>
      <c r="K2479" s="288"/>
      <c r="L2479" s="288"/>
      <c r="M2479" s="288"/>
      <c r="N2479" s="288"/>
      <c r="O2479" s="288"/>
      <c r="P2479" s="288"/>
      <c r="Q2479" s="288"/>
      <c r="R2479" s="288"/>
      <c r="S2479" s="288"/>
      <c r="T2479" s="288"/>
      <c r="U2479" s="288"/>
      <c r="V2479" s="288"/>
      <c r="W2479" s="288"/>
      <c r="X2479" s="288"/>
      <c r="Y2479" s="288"/>
      <c r="Z2479" s="288"/>
      <c r="AA2479" s="288"/>
      <c r="AB2479" s="22">
        <f t="shared" si="782"/>
        <v>0</v>
      </c>
      <c r="AC2479" s="23">
        <v>2</v>
      </c>
      <c r="AD2479" s="35"/>
      <c r="AE2479" s="35"/>
      <c r="AF2479" s="35"/>
      <c r="AG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  <c r="AX2479" s="35"/>
      <c r="AY2479" s="35"/>
      <c r="AZ2479" s="35"/>
      <c r="BA2479" s="35"/>
      <c r="BB2479" s="22">
        <f t="shared" si="783"/>
        <v>0</v>
      </c>
      <c r="BC2479" s="23">
        <v>0</v>
      </c>
      <c r="BD2479" s="130">
        <f t="shared" si="784"/>
        <v>0</v>
      </c>
      <c r="BE2479" s="130">
        <f t="shared" si="785"/>
        <v>2</v>
      </c>
      <c r="BF2479" s="195">
        <f t="shared" si="786"/>
        <v>0</v>
      </c>
      <c r="BG2479" s="373">
        <f t="shared" si="793"/>
        <v>2</v>
      </c>
    </row>
    <row r="2480" spans="1:59" s="46" customFormat="1" ht="15.95" customHeight="1">
      <c r="A2480" s="176">
        <v>99</v>
      </c>
      <c r="B2480" s="31" t="s">
        <v>1322</v>
      </c>
      <c r="C2480" s="32" t="s">
        <v>1323</v>
      </c>
      <c r="D2480" s="292"/>
      <c r="E2480" s="292"/>
      <c r="F2480" s="292"/>
      <c r="G2480" s="292"/>
      <c r="H2480" s="292"/>
      <c r="I2480" s="292"/>
      <c r="J2480" s="292"/>
      <c r="K2480" s="292"/>
      <c r="L2480" s="292"/>
      <c r="M2480" s="292"/>
      <c r="N2480" s="292"/>
      <c r="O2480" s="292"/>
      <c r="P2480" s="292"/>
      <c r="Q2480" s="292"/>
      <c r="R2480" s="292"/>
      <c r="S2480" s="292"/>
      <c r="T2480" s="292"/>
      <c r="U2480" s="292"/>
      <c r="V2480" s="292"/>
      <c r="W2480" s="292"/>
      <c r="X2480" s="292"/>
      <c r="Y2480" s="292"/>
      <c r="Z2480" s="292"/>
      <c r="AA2480" s="292"/>
      <c r="AB2480" s="22">
        <f t="shared" si="782"/>
        <v>0</v>
      </c>
      <c r="AC2480" s="23">
        <v>5</v>
      </c>
      <c r="AD2480" s="35"/>
      <c r="AE2480" s="35"/>
      <c r="AF2480" s="35"/>
      <c r="AG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  <c r="AX2480" s="35"/>
      <c r="AY2480" s="35"/>
      <c r="AZ2480" s="35"/>
      <c r="BA2480" s="35"/>
      <c r="BB2480" s="22">
        <f t="shared" si="783"/>
        <v>0</v>
      </c>
      <c r="BC2480" s="23">
        <v>0</v>
      </c>
      <c r="BD2480" s="130">
        <f t="shared" si="784"/>
        <v>0</v>
      </c>
      <c r="BE2480" s="130">
        <f t="shared" si="785"/>
        <v>5</v>
      </c>
      <c r="BF2480" s="195">
        <f t="shared" si="786"/>
        <v>0</v>
      </c>
      <c r="BG2480" s="373">
        <f t="shared" si="793"/>
        <v>5</v>
      </c>
    </row>
    <row r="2481" spans="1:59" s="46" customFormat="1" ht="15.95" customHeight="1">
      <c r="A2481" s="176">
        <v>100</v>
      </c>
      <c r="B2481" s="31" t="s">
        <v>2913</v>
      </c>
      <c r="C2481" s="34" t="s">
        <v>2914</v>
      </c>
      <c r="D2481" s="231"/>
      <c r="E2481" s="231"/>
      <c r="F2481" s="231"/>
      <c r="G2481" s="231"/>
      <c r="H2481" s="231"/>
      <c r="I2481" s="231"/>
      <c r="J2481" s="231"/>
      <c r="K2481" s="231"/>
      <c r="L2481" s="231"/>
      <c r="M2481" s="231"/>
      <c r="N2481" s="231"/>
      <c r="O2481" s="231"/>
      <c r="P2481" s="231"/>
      <c r="Q2481" s="231"/>
      <c r="R2481" s="231"/>
      <c r="S2481" s="231"/>
      <c r="T2481" s="231"/>
      <c r="U2481" s="231"/>
      <c r="V2481" s="231"/>
      <c r="W2481" s="231"/>
      <c r="X2481" s="231"/>
      <c r="Y2481" s="231"/>
      <c r="Z2481" s="231"/>
      <c r="AA2481" s="231"/>
      <c r="AB2481" s="22">
        <f t="shared" si="782"/>
        <v>0</v>
      </c>
      <c r="AC2481" s="23">
        <v>0</v>
      </c>
      <c r="AD2481" s="35"/>
      <c r="AE2481" s="35"/>
      <c r="AF2481" s="35"/>
      <c r="AG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  <c r="AX2481" s="35"/>
      <c r="AY2481" s="35"/>
      <c r="AZ2481" s="35"/>
      <c r="BA2481" s="35"/>
      <c r="BB2481" s="22">
        <f t="shared" si="783"/>
        <v>0</v>
      </c>
      <c r="BC2481" s="23">
        <v>1</v>
      </c>
      <c r="BD2481" s="130">
        <f t="shared" si="784"/>
        <v>0</v>
      </c>
      <c r="BE2481" s="130">
        <f t="shared" si="785"/>
        <v>1</v>
      </c>
      <c r="BF2481" s="195">
        <f t="shared" si="786"/>
        <v>0</v>
      </c>
      <c r="BG2481" s="373">
        <f t="shared" si="793"/>
        <v>1</v>
      </c>
    </row>
    <row r="2482" spans="1:59" s="46" customFormat="1" ht="15.95" customHeight="1">
      <c r="A2482" s="176">
        <v>101</v>
      </c>
      <c r="B2482" s="31" t="s">
        <v>3520</v>
      </c>
      <c r="C2482" s="32" t="s">
        <v>3522</v>
      </c>
      <c r="D2482" s="231"/>
      <c r="E2482" s="231"/>
      <c r="F2482" s="231"/>
      <c r="G2482" s="231"/>
      <c r="H2482" s="231"/>
      <c r="I2482" s="231"/>
      <c r="J2482" s="231"/>
      <c r="K2482" s="231"/>
      <c r="L2482" s="231"/>
      <c r="M2482" s="231"/>
      <c r="N2482" s="231"/>
      <c r="O2482" s="231"/>
      <c r="P2482" s="231"/>
      <c r="Q2482" s="231"/>
      <c r="R2482" s="231"/>
      <c r="S2482" s="231"/>
      <c r="T2482" s="231"/>
      <c r="U2482" s="231"/>
      <c r="V2482" s="231"/>
      <c r="W2482" s="231"/>
      <c r="X2482" s="231"/>
      <c r="Y2482" s="231"/>
      <c r="Z2482" s="231"/>
      <c r="AA2482" s="231"/>
      <c r="AB2482" s="22">
        <f t="shared" si="782"/>
        <v>0</v>
      </c>
      <c r="AC2482" s="23">
        <v>0</v>
      </c>
      <c r="AD2482" s="35"/>
      <c r="AE2482" s="35"/>
      <c r="AF2482" s="35"/>
      <c r="AG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22">
        <f t="shared" si="783"/>
        <v>0</v>
      </c>
      <c r="BC2482" s="23">
        <v>2</v>
      </c>
      <c r="BD2482" s="130">
        <f t="shared" si="784"/>
        <v>0</v>
      </c>
      <c r="BE2482" s="130">
        <f t="shared" si="785"/>
        <v>2</v>
      </c>
      <c r="BF2482" s="195">
        <f t="shared" si="786"/>
        <v>0</v>
      </c>
      <c r="BG2482" s="373">
        <f t="shared" si="793"/>
        <v>2</v>
      </c>
    </row>
    <row r="2483" spans="1:59" s="46" customFormat="1" ht="15.95" customHeight="1">
      <c r="A2483" s="176">
        <v>102</v>
      </c>
      <c r="B2483" s="31" t="s">
        <v>3171</v>
      </c>
      <c r="C2483" s="32" t="s">
        <v>3170</v>
      </c>
      <c r="D2483" s="550"/>
      <c r="E2483" s="550"/>
      <c r="F2483" s="550"/>
      <c r="G2483" s="550"/>
      <c r="H2483" s="550"/>
      <c r="I2483" s="550"/>
      <c r="J2483" s="550"/>
      <c r="K2483" s="550"/>
      <c r="L2483" s="550"/>
      <c r="M2483" s="550"/>
      <c r="N2483" s="550"/>
      <c r="O2483" s="550"/>
      <c r="P2483" s="550"/>
      <c r="Q2483" s="550"/>
      <c r="R2483" s="550"/>
      <c r="S2483" s="550"/>
      <c r="T2483" s="550"/>
      <c r="U2483" s="550"/>
      <c r="V2483" s="550"/>
      <c r="W2483" s="550"/>
      <c r="X2483" s="550"/>
      <c r="Y2483" s="550"/>
      <c r="Z2483" s="550"/>
      <c r="AA2483" s="550"/>
      <c r="AB2483" s="22">
        <f t="shared" si="782"/>
        <v>0</v>
      </c>
      <c r="AC2483" s="23">
        <v>0</v>
      </c>
      <c r="AD2483" s="35"/>
      <c r="AE2483" s="35"/>
      <c r="AF2483" s="35"/>
      <c r="AG2483" s="35"/>
      <c r="AH2483" s="35"/>
      <c r="AI2483" s="35"/>
      <c r="AJ2483" s="35"/>
      <c r="AK2483" s="35"/>
      <c r="AL2483" s="35">
        <v>1</v>
      </c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  <c r="AX2483" s="35"/>
      <c r="AY2483" s="35"/>
      <c r="AZ2483" s="35"/>
      <c r="BA2483" s="35"/>
      <c r="BB2483" s="22">
        <f t="shared" si="783"/>
        <v>1</v>
      </c>
      <c r="BC2483" s="23">
        <v>0</v>
      </c>
      <c r="BD2483" s="130">
        <f t="shared" si="784"/>
        <v>1</v>
      </c>
      <c r="BE2483" s="130">
        <f t="shared" si="785"/>
        <v>0</v>
      </c>
      <c r="BF2483" s="195" t="e">
        <f t="shared" si="786"/>
        <v>#DIV/0!</v>
      </c>
      <c r="BG2483" s="373"/>
    </row>
    <row r="2484" spans="1:59" s="46" customFormat="1" ht="15.95" customHeight="1">
      <c r="A2484" s="176">
        <v>103</v>
      </c>
      <c r="B2484" s="31" t="s">
        <v>2915</v>
      </c>
      <c r="C2484" s="32" t="s">
        <v>2916</v>
      </c>
      <c r="D2484" s="231"/>
      <c r="E2484" s="231"/>
      <c r="F2484" s="231"/>
      <c r="G2484" s="231"/>
      <c r="H2484" s="231"/>
      <c r="I2484" s="231"/>
      <c r="J2484" s="231"/>
      <c r="K2484" s="231"/>
      <c r="L2484" s="231"/>
      <c r="M2484" s="231"/>
      <c r="N2484" s="231"/>
      <c r="O2484" s="231"/>
      <c r="P2484" s="231"/>
      <c r="Q2484" s="231"/>
      <c r="R2484" s="231"/>
      <c r="S2484" s="231"/>
      <c r="T2484" s="231"/>
      <c r="U2484" s="231"/>
      <c r="V2484" s="231"/>
      <c r="W2484" s="231"/>
      <c r="X2484" s="231"/>
      <c r="Y2484" s="231"/>
      <c r="Z2484" s="231"/>
      <c r="AA2484" s="231"/>
      <c r="AB2484" s="22">
        <f t="shared" si="782"/>
        <v>0</v>
      </c>
      <c r="AC2484" s="23">
        <v>0</v>
      </c>
      <c r="AD2484" s="35"/>
      <c r="AE2484" s="35"/>
      <c r="AF2484" s="35"/>
      <c r="AG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22">
        <f t="shared" si="783"/>
        <v>0</v>
      </c>
      <c r="BC2484" s="23">
        <v>1</v>
      </c>
      <c r="BD2484" s="130">
        <f t="shared" si="784"/>
        <v>0</v>
      </c>
      <c r="BE2484" s="130">
        <f t="shared" si="785"/>
        <v>1</v>
      </c>
      <c r="BF2484" s="195">
        <f t="shared" si="786"/>
        <v>0</v>
      </c>
      <c r="BG2484" s="373">
        <f>BE2484-BD2484</f>
        <v>1</v>
      </c>
    </row>
    <row r="2485" spans="1:59" s="46" customFormat="1" ht="15.95" customHeight="1">
      <c r="A2485" s="176">
        <v>104</v>
      </c>
      <c r="B2485" s="31" t="s">
        <v>1324</v>
      </c>
      <c r="C2485" s="32" t="s">
        <v>2582</v>
      </c>
      <c r="D2485" s="552"/>
      <c r="E2485" s="552"/>
      <c r="F2485" s="552"/>
      <c r="G2485" s="552"/>
      <c r="H2485" s="552"/>
      <c r="I2485" s="552"/>
      <c r="J2485" s="552"/>
      <c r="K2485" s="552"/>
      <c r="L2485" s="552">
        <v>1</v>
      </c>
      <c r="M2485" s="552"/>
      <c r="N2485" s="552"/>
      <c r="O2485" s="552"/>
      <c r="P2485" s="552"/>
      <c r="Q2485" s="552"/>
      <c r="R2485" s="552"/>
      <c r="S2485" s="552"/>
      <c r="T2485" s="552"/>
      <c r="U2485" s="552"/>
      <c r="V2485" s="552"/>
      <c r="W2485" s="552"/>
      <c r="X2485" s="552"/>
      <c r="Y2485" s="552"/>
      <c r="Z2485" s="552"/>
      <c r="AA2485" s="552"/>
      <c r="AB2485" s="22">
        <f t="shared" si="782"/>
        <v>1</v>
      </c>
      <c r="AC2485" s="23">
        <v>0</v>
      </c>
      <c r="AD2485" s="35"/>
      <c r="AE2485" s="35"/>
      <c r="AF2485" s="35"/>
      <c r="AG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22">
        <f t="shared" si="783"/>
        <v>0</v>
      </c>
      <c r="BC2485" s="23">
        <v>0</v>
      </c>
      <c r="BD2485" s="130">
        <f t="shared" si="784"/>
        <v>1</v>
      </c>
      <c r="BE2485" s="130">
        <f t="shared" si="785"/>
        <v>0</v>
      </c>
      <c r="BF2485" s="195" t="e">
        <f t="shared" si="786"/>
        <v>#DIV/0!</v>
      </c>
      <c r="BG2485" s="373"/>
    </row>
    <row r="2486" spans="1:59" s="46" customFormat="1" ht="15.95" customHeight="1">
      <c r="A2486" s="176">
        <v>105</v>
      </c>
      <c r="B2486" s="31" t="s">
        <v>1047</v>
      </c>
      <c r="C2486" s="32" t="s">
        <v>1326</v>
      </c>
      <c r="D2486" s="231">
        <v>8</v>
      </c>
      <c r="E2486" s="231"/>
      <c r="F2486" s="231"/>
      <c r="G2486" s="231"/>
      <c r="H2486" s="231">
        <v>16</v>
      </c>
      <c r="I2486" s="231"/>
      <c r="J2486" s="231"/>
      <c r="K2486" s="231"/>
      <c r="L2486" s="231">
        <v>30</v>
      </c>
      <c r="M2486" s="231"/>
      <c r="N2486" s="231"/>
      <c r="O2486" s="231"/>
      <c r="P2486" s="231">
        <f>7+51</f>
        <v>58</v>
      </c>
      <c r="Q2486" s="231"/>
      <c r="R2486" s="231"/>
      <c r="S2486" s="231"/>
      <c r="T2486" s="231"/>
      <c r="U2486" s="231"/>
      <c r="V2486" s="231"/>
      <c r="W2486" s="231"/>
      <c r="X2486" s="231"/>
      <c r="Y2486" s="231"/>
      <c r="Z2486" s="231"/>
      <c r="AA2486" s="231"/>
      <c r="AB2486" s="22">
        <f t="shared" si="782"/>
        <v>112</v>
      </c>
      <c r="AC2486" s="23">
        <v>14</v>
      </c>
      <c r="AD2486" s="35"/>
      <c r="AE2486" s="35"/>
      <c r="AF2486" s="35"/>
      <c r="AG2486" s="35"/>
      <c r="AH2486" s="35"/>
      <c r="AI2486" s="35"/>
      <c r="AJ2486" s="35"/>
      <c r="AK2486" s="35"/>
      <c r="AL2486" s="35">
        <v>1</v>
      </c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  <c r="AX2486" s="35"/>
      <c r="AY2486" s="35"/>
      <c r="AZ2486" s="35"/>
      <c r="BA2486" s="35"/>
      <c r="BB2486" s="22">
        <f t="shared" si="783"/>
        <v>1</v>
      </c>
      <c r="BC2486" s="23">
        <v>0</v>
      </c>
      <c r="BD2486" s="130">
        <f t="shared" si="784"/>
        <v>113</v>
      </c>
      <c r="BE2486" s="130">
        <f t="shared" si="785"/>
        <v>14</v>
      </c>
      <c r="BF2486" s="195">
        <f t="shared" si="786"/>
        <v>807.14285714285711</v>
      </c>
      <c r="BG2486" s="373">
        <f t="shared" ref="BG2486:BG2507" si="794">BE2486-BD2486</f>
        <v>-99</v>
      </c>
    </row>
    <row r="2487" spans="1:59" s="46" customFormat="1" ht="15.95" customHeight="1">
      <c r="A2487" s="176">
        <v>106</v>
      </c>
      <c r="B2487" s="31" t="s">
        <v>1327</v>
      </c>
      <c r="C2487" s="32" t="s">
        <v>1328</v>
      </c>
      <c r="D2487" s="231">
        <v>5</v>
      </c>
      <c r="E2487" s="231"/>
      <c r="F2487" s="231"/>
      <c r="G2487" s="231"/>
      <c r="H2487" s="231">
        <v>12</v>
      </c>
      <c r="I2487" s="231"/>
      <c r="J2487" s="231"/>
      <c r="K2487" s="231"/>
      <c r="L2487" s="231">
        <v>29</v>
      </c>
      <c r="M2487" s="231"/>
      <c r="N2487" s="231"/>
      <c r="O2487" s="231"/>
      <c r="P2487" s="231">
        <f>2+53</f>
        <v>55</v>
      </c>
      <c r="Q2487" s="231"/>
      <c r="R2487" s="231"/>
      <c r="S2487" s="231"/>
      <c r="T2487" s="231"/>
      <c r="U2487" s="231"/>
      <c r="V2487" s="231"/>
      <c r="W2487" s="231"/>
      <c r="X2487" s="231"/>
      <c r="Y2487" s="231"/>
      <c r="Z2487" s="231"/>
      <c r="AA2487" s="231"/>
      <c r="AB2487" s="22">
        <f t="shared" si="782"/>
        <v>101</v>
      </c>
      <c r="AC2487" s="23">
        <v>14</v>
      </c>
      <c r="AD2487" s="35"/>
      <c r="AE2487" s="35"/>
      <c r="AF2487" s="35"/>
      <c r="AG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  <c r="AX2487" s="35"/>
      <c r="AY2487" s="35"/>
      <c r="AZ2487" s="35"/>
      <c r="BA2487" s="35"/>
      <c r="BB2487" s="22">
        <f t="shared" si="783"/>
        <v>0</v>
      </c>
      <c r="BC2487" s="23">
        <v>2</v>
      </c>
      <c r="BD2487" s="130">
        <f t="shared" si="784"/>
        <v>101</v>
      </c>
      <c r="BE2487" s="130">
        <f t="shared" si="785"/>
        <v>16</v>
      </c>
      <c r="BF2487" s="195">
        <f t="shared" si="786"/>
        <v>631.25</v>
      </c>
      <c r="BG2487" s="373">
        <f t="shared" si="794"/>
        <v>-85</v>
      </c>
    </row>
    <row r="2488" spans="1:59" s="46" customFormat="1" ht="18" customHeight="1">
      <c r="A2488" s="176">
        <v>107</v>
      </c>
      <c r="B2488" s="437" t="s">
        <v>1928</v>
      </c>
      <c r="C2488" s="447" t="s">
        <v>3063</v>
      </c>
      <c r="D2488" s="231"/>
      <c r="E2488" s="231"/>
      <c r="F2488" s="231"/>
      <c r="G2488" s="231"/>
      <c r="H2488" s="231"/>
      <c r="I2488" s="231"/>
      <c r="J2488" s="231"/>
      <c r="K2488" s="231"/>
      <c r="L2488" s="231"/>
      <c r="M2488" s="231"/>
      <c r="N2488" s="231"/>
      <c r="O2488" s="231"/>
      <c r="P2488" s="231"/>
      <c r="Q2488" s="231"/>
      <c r="R2488" s="231"/>
      <c r="S2488" s="231"/>
      <c r="T2488" s="231"/>
      <c r="U2488" s="231"/>
      <c r="V2488" s="231"/>
      <c r="W2488" s="231"/>
      <c r="X2488" s="231"/>
      <c r="Y2488" s="231"/>
      <c r="Z2488" s="231"/>
      <c r="AA2488" s="231"/>
      <c r="AB2488" s="22">
        <f t="shared" si="782"/>
        <v>0</v>
      </c>
      <c r="AC2488" s="23">
        <v>0</v>
      </c>
      <c r="AD2488" s="35"/>
      <c r="AE2488" s="35"/>
      <c r="AF2488" s="35"/>
      <c r="AG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22">
        <f t="shared" si="783"/>
        <v>0</v>
      </c>
      <c r="BC2488" s="23">
        <v>9</v>
      </c>
      <c r="BD2488" s="130">
        <f t="shared" si="784"/>
        <v>0</v>
      </c>
      <c r="BE2488" s="130">
        <f t="shared" si="785"/>
        <v>9</v>
      </c>
      <c r="BF2488" s="195">
        <f t="shared" si="786"/>
        <v>0</v>
      </c>
      <c r="BG2488" s="373">
        <f t="shared" si="794"/>
        <v>9</v>
      </c>
    </row>
    <row r="2489" spans="1:59" s="46" customFormat="1" ht="15.75" customHeight="1">
      <c r="A2489" s="176">
        <v>108</v>
      </c>
      <c r="B2489" s="31" t="s">
        <v>1375</v>
      </c>
      <c r="C2489" s="32" t="s">
        <v>1376</v>
      </c>
      <c r="D2489" s="253"/>
      <c r="E2489" s="253"/>
      <c r="F2489" s="253"/>
      <c r="G2489" s="253"/>
      <c r="H2489" s="253"/>
      <c r="I2489" s="253"/>
      <c r="J2489" s="253"/>
      <c r="K2489" s="253"/>
      <c r="L2489" s="253"/>
      <c r="M2489" s="253"/>
      <c r="N2489" s="253"/>
      <c r="O2489" s="253"/>
      <c r="P2489" s="253"/>
      <c r="Q2489" s="253"/>
      <c r="R2489" s="253"/>
      <c r="S2489" s="253"/>
      <c r="T2489" s="253"/>
      <c r="U2489" s="253"/>
      <c r="V2489" s="253"/>
      <c r="W2489" s="253"/>
      <c r="X2489" s="253"/>
      <c r="Y2489" s="253"/>
      <c r="Z2489" s="253"/>
      <c r="AA2489" s="253"/>
      <c r="AB2489" s="22">
        <f t="shared" si="782"/>
        <v>0</v>
      </c>
      <c r="AC2489" s="23">
        <v>0</v>
      </c>
      <c r="AD2489" s="35"/>
      <c r="AE2489" s="35"/>
      <c r="AF2489" s="35"/>
      <c r="AG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  <c r="AX2489" s="35"/>
      <c r="AY2489" s="35"/>
      <c r="AZ2489" s="35"/>
      <c r="BA2489" s="35"/>
      <c r="BB2489" s="22">
        <f t="shared" si="783"/>
        <v>0</v>
      </c>
      <c r="BC2489" s="23">
        <v>1</v>
      </c>
      <c r="BD2489" s="130">
        <f t="shared" si="784"/>
        <v>0</v>
      </c>
      <c r="BE2489" s="130">
        <f t="shared" si="785"/>
        <v>1</v>
      </c>
      <c r="BF2489" s="195">
        <f t="shared" si="786"/>
        <v>0</v>
      </c>
      <c r="BG2489" s="373">
        <f t="shared" si="794"/>
        <v>1</v>
      </c>
    </row>
    <row r="2490" spans="1:59" s="46" customFormat="1" ht="14.25" customHeight="1">
      <c r="A2490" s="176">
        <v>109</v>
      </c>
      <c r="B2490" s="31" t="s">
        <v>1099</v>
      </c>
      <c r="C2490" s="32" t="s">
        <v>1100</v>
      </c>
      <c r="D2490" s="366"/>
      <c r="E2490" s="366"/>
      <c r="F2490" s="366"/>
      <c r="G2490" s="366"/>
      <c r="H2490" s="366"/>
      <c r="I2490" s="366"/>
      <c r="J2490" s="366"/>
      <c r="K2490" s="366"/>
      <c r="L2490" s="366"/>
      <c r="M2490" s="366"/>
      <c r="N2490" s="366"/>
      <c r="O2490" s="366"/>
      <c r="P2490" s="366"/>
      <c r="Q2490" s="366"/>
      <c r="R2490" s="366"/>
      <c r="S2490" s="366"/>
      <c r="T2490" s="366"/>
      <c r="U2490" s="366"/>
      <c r="V2490" s="366"/>
      <c r="W2490" s="366"/>
      <c r="X2490" s="366"/>
      <c r="Y2490" s="366"/>
      <c r="Z2490" s="366"/>
      <c r="AA2490" s="366"/>
      <c r="AB2490" s="22">
        <f t="shared" si="782"/>
        <v>0</v>
      </c>
      <c r="AC2490" s="23">
        <v>0</v>
      </c>
      <c r="AD2490" s="35"/>
      <c r="AE2490" s="35"/>
      <c r="AF2490" s="35"/>
      <c r="AG2490" s="35"/>
      <c r="AH2490" s="35">
        <v>4</v>
      </c>
      <c r="AI2490" s="35"/>
      <c r="AJ2490" s="35"/>
      <c r="AK2490" s="35"/>
      <c r="AL2490" s="35">
        <v>27</v>
      </c>
      <c r="AM2490" s="35"/>
      <c r="AN2490" s="35"/>
      <c r="AO2490" s="35"/>
      <c r="AP2490" s="35">
        <v>13</v>
      </c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22">
        <f t="shared" si="783"/>
        <v>44</v>
      </c>
      <c r="BC2490" s="23">
        <v>135</v>
      </c>
      <c r="BD2490" s="130">
        <f t="shared" si="784"/>
        <v>44</v>
      </c>
      <c r="BE2490" s="130">
        <f t="shared" si="785"/>
        <v>135</v>
      </c>
      <c r="BF2490" s="195">
        <f t="shared" si="786"/>
        <v>32.592592592592595</v>
      </c>
      <c r="BG2490" s="373">
        <f t="shared" si="794"/>
        <v>91</v>
      </c>
    </row>
    <row r="2491" spans="1:59" s="46" customFormat="1" ht="15.95" customHeight="1">
      <c r="A2491" s="176">
        <v>110</v>
      </c>
      <c r="B2491" s="31" t="s">
        <v>821</v>
      </c>
      <c r="C2491" s="32" t="s">
        <v>822</v>
      </c>
      <c r="D2491" s="366"/>
      <c r="E2491" s="366"/>
      <c r="F2491" s="366"/>
      <c r="G2491" s="366"/>
      <c r="H2491" s="366"/>
      <c r="I2491" s="366"/>
      <c r="J2491" s="366"/>
      <c r="K2491" s="366"/>
      <c r="L2491" s="366"/>
      <c r="M2491" s="366"/>
      <c r="N2491" s="366"/>
      <c r="O2491" s="366"/>
      <c r="P2491" s="366"/>
      <c r="Q2491" s="366"/>
      <c r="R2491" s="366"/>
      <c r="S2491" s="366"/>
      <c r="T2491" s="366"/>
      <c r="U2491" s="366"/>
      <c r="V2491" s="366"/>
      <c r="W2491" s="366"/>
      <c r="X2491" s="366"/>
      <c r="Y2491" s="366"/>
      <c r="Z2491" s="366"/>
      <c r="AA2491" s="366"/>
      <c r="AB2491" s="22">
        <f t="shared" si="782"/>
        <v>0</v>
      </c>
      <c r="AC2491" s="23">
        <v>0</v>
      </c>
      <c r="AD2491" s="35">
        <v>17</v>
      </c>
      <c r="AE2491" s="35"/>
      <c r="AF2491" s="35"/>
      <c r="AG2491" s="35"/>
      <c r="AH2491" s="35">
        <f>48+6</f>
        <v>54</v>
      </c>
      <c r="AI2491" s="35"/>
      <c r="AJ2491" s="35"/>
      <c r="AK2491" s="35"/>
      <c r="AL2491" s="35">
        <f>265+7</f>
        <v>272</v>
      </c>
      <c r="AM2491" s="35"/>
      <c r="AN2491" s="35"/>
      <c r="AO2491" s="35"/>
      <c r="AP2491" s="35">
        <v>246</v>
      </c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22">
        <f t="shared" si="783"/>
        <v>589</v>
      </c>
      <c r="BC2491" s="23">
        <v>734</v>
      </c>
      <c r="BD2491" s="130">
        <f t="shared" si="784"/>
        <v>589</v>
      </c>
      <c r="BE2491" s="130">
        <f t="shared" si="785"/>
        <v>734</v>
      </c>
      <c r="BF2491" s="195">
        <f t="shared" si="786"/>
        <v>80.245231607629435</v>
      </c>
      <c r="BG2491" s="373">
        <f t="shared" si="794"/>
        <v>145</v>
      </c>
    </row>
    <row r="2492" spans="1:59" s="46" customFormat="1" ht="15.95" customHeight="1">
      <c r="A2492" s="176">
        <v>111</v>
      </c>
      <c r="B2492" s="31" t="s">
        <v>1010</v>
      </c>
      <c r="C2492" s="32" t="s">
        <v>1329</v>
      </c>
      <c r="D2492" s="231"/>
      <c r="E2492" s="231"/>
      <c r="F2492" s="231"/>
      <c r="G2492" s="231"/>
      <c r="H2492" s="231"/>
      <c r="I2492" s="231"/>
      <c r="J2492" s="231"/>
      <c r="K2492" s="231"/>
      <c r="L2492" s="231"/>
      <c r="M2492" s="231"/>
      <c r="N2492" s="231"/>
      <c r="O2492" s="231"/>
      <c r="P2492" s="231"/>
      <c r="Q2492" s="231"/>
      <c r="R2492" s="231"/>
      <c r="S2492" s="231"/>
      <c r="T2492" s="231"/>
      <c r="U2492" s="231"/>
      <c r="V2492" s="231"/>
      <c r="W2492" s="231"/>
      <c r="X2492" s="231"/>
      <c r="Y2492" s="231"/>
      <c r="Z2492" s="231"/>
      <c r="AA2492" s="231"/>
      <c r="AB2492" s="22">
        <f t="shared" si="782"/>
        <v>0</v>
      </c>
      <c r="AC2492" s="23">
        <v>0</v>
      </c>
      <c r="AD2492" s="35"/>
      <c r="AE2492" s="35"/>
      <c r="AF2492" s="35"/>
      <c r="AG2492" s="35"/>
      <c r="AH2492" s="35">
        <v>6</v>
      </c>
      <c r="AI2492" s="35"/>
      <c r="AJ2492" s="35"/>
      <c r="AK2492" s="35"/>
      <c r="AL2492" s="35">
        <v>28</v>
      </c>
      <c r="AM2492" s="35"/>
      <c r="AN2492" s="35"/>
      <c r="AO2492" s="35"/>
      <c r="AP2492" s="35">
        <v>22</v>
      </c>
      <c r="AQ2492" s="35"/>
      <c r="AR2492" s="35"/>
      <c r="AS2492" s="35"/>
      <c r="AT2492" s="35"/>
      <c r="AU2492" s="35"/>
      <c r="AV2492" s="35"/>
      <c r="AW2492" s="35"/>
      <c r="AX2492" s="35"/>
      <c r="AY2492" s="35"/>
      <c r="AZ2492" s="35"/>
      <c r="BA2492" s="35"/>
      <c r="BB2492" s="22">
        <f t="shared" si="783"/>
        <v>56</v>
      </c>
      <c r="BC2492" s="23">
        <v>128</v>
      </c>
      <c r="BD2492" s="130">
        <f t="shared" si="784"/>
        <v>56</v>
      </c>
      <c r="BE2492" s="130">
        <f t="shared" si="785"/>
        <v>128</v>
      </c>
      <c r="BF2492" s="195">
        <f t="shared" si="786"/>
        <v>43.75</v>
      </c>
      <c r="BG2492" s="373">
        <f t="shared" si="794"/>
        <v>72</v>
      </c>
    </row>
    <row r="2493" spans="1:59" s="46" customFormat="1" ht="15.95" customHeight="1">
      <c r="A2493" s="176">
        <v>112</v>
      </c>
      <c r="B2493" s="31" t="s">
        <v>1377</v>
      </c>
      <c r="C2493" s="32" t="s">
        <v>2093</v>
      </c>
      <c r="D2493" s="366"/>
      <c r="E2493" s="366"/>
      <c r="F2493" s="366"/>
      <c r="G2493" s="366"/>
      <c r="H2493" s="366"/>
      <c r="I2493" s="366"/>
      <c r="J2493" s="366"/>
      <c r="K2493" s="366"/>
      <c r="L2493" s="366"/>
      <c r="M2493" s="366"/>
      <c r="N2493" s="366"/>
      <c r="O2493" s="366"/>
      <c r="P2493" s="366"/>
      <c r="Q2493" s="366"/>
      <c r="R2493" s="366"/>
      <c r="S2493" s="366"/>
      <c r="T2493" s="366"/>
      <c r="U2493" s="366"/>
      <c r="V2493" s="366"/>
      <c r="W2493" s="366"/>
      <c r="X2493" s="366"/>
      <c r="Y2493" s="366"/>
      <c r="Z2493" s="366"/>
      <c r="AA2493" s="366"/>
      <c r="AB2493" s="22">
        <f t="shared" si="782"/>
        <v>0</v>
      </c>
      <c r="AC2493" s="23">
        <v>0</v>
      </c>
      <c r="AD2493" s="35"/>
      <c r="AE2493" s="35"/>
      <c r="AF2493" s="35"/>
      <c r="AG2493" s="35"/>
      <c r="AH2493" s="35">
        <v>4</v>
      </c>
      <c r="AI2493" s="35"/>
      <c r="AJ2493" s="35"/>
      <c r="AK2493" s="35"/>
      <c r="AL2493" s="35">
        <v>27</v>
      </c>
      <c r="AM2493" s="35"/>
      <c r="AN2493" s="35"/>
      <c r="AO2493" s="35"/>
      <c r="AP2493" s="35">
        <v>13</v>
      </c>
      <c r="AQ2493" s="35"/>
      <c r="AR2493" s="35"/>
      <c r="AS2493" s="35"/>
      <c r="AT2493" s="35"/>
      <c r="AU2493" s="35"/>
      <c r="AV2493" s="35"/>
      <c r="AW2493" s="35"/>
      <c r="AX2493" s="35"/>
      <c r="AY2493" s="35"/>
      <c r="AZ2493" s="35"/>
      <c r="BA2493" s="35"/>
      <c r="BB2493" s="22">
        <f t="shared" si="783"/>
        <v>44</v>
      </c>
      <c r="BC2493" s="23">
        <v>135</v>
      </c>
      <c r="BD2493" s="130">
        <f t="shared" si="784"/>
        <v>44</v>
      </c>
      <c r="BE2493" s="130">
        <f t="shared" si="785"/>
        <v>135</v>
      </c>
      <c r="BF2493" s="195">
        <f t="shared" si="786"/>
        <v>32.592592592592595</v>
      </c>
      <c r="BG2493" s="373">
        <f t="shared" si="794"/>
        <v>91</v>
      </c>
    </row>
    <row r="2494" spans="1:59" s="46" customFormat="1" ht="15.95" customHeight="1">
      <c r="A2494" s="176">
        <v>113</v>
      </c>
      <c r="B2494" s="31" t="s">
        <v>825</v>
      </c>
      <c r="C2494" s="32" t="s">
        <v>907</v>
      </c>
      <c r="D2494" s="366"/>
      <c r="E2494" s="366"/>
      <c r="F2494" s="366"/>
      <c r="G2494" s="366"/>
      <c r="H2494" s="366"/>
      <c r="I2494" s="366"/>
      <c r="J2494" s="366"/>
      <c r="K2494" s="366"/>
      <c r="L2494" s="366"/>
      <c r="M2494" s="366"/>
      <c r="N2494" s="366"/>
      <c r="O2494" s="366"/>
      <c r="P2494" s="366">
        <v>2</v>
      </c>
      <c r="Q2494" s="366"/>
      <c r="R2494" s="366"/>
      <c r="S2494" s="366"/>
      <c r="T2494" s="366"/>
      <c r="U2494" s="366"/>
      <c r="V2494" s="366"/>
      <c r="W2494" s="366"/>
      <c r="X2494" s="366"/>
      <c r="Y2494" s="366"/>
      <c r="Z2494" s="366"/>
      <c r="AA2494" s="366"/>
      <c r="AB2494" s="22">
        <f t="shared" si="782"/>
        <v>2</v>
      </c>
      <c r="AC2494" s="23">
        <v>0</v>
      </c>
      <c r="AD2494" s="35">
        <v>518</v>
      </c>
      <c r="AE2494" s="35"/>
      <c r="AF2494" s="35"/>
      <c r="AG2494" s="35"/>
      <c r="AH2494" s="35">
        <f>1+129+258</f>
        <v>388</v>
      </c>
      <c r="AI2494" s="35"/>
      <c r="AJ2494" s="35"/>
      <c r="AK2494" s="35"/>
      <c r="AL2494" s="35">
        <f>2+739+260+4</f>
        <v>1005</v>
      </c>
      <c r="AM2494" s="35"/>
      <c r="AN2494" s="35"/>
      <c r="AO2494" s="35"/>
      <c r="AP2494" s="35">
        <f>716+11</f>
        <v>727</v>
      </c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22">
        <f t="shared" si="783"/>
        <v>2638</v>
      </c>
      <c r="BC2494" s="23">
        <v>3121</v>
      </c>
      <c r="BD2494" s="130">
        <f t="shared" si="784"/>
        <v>2640</v>
      </c>
      <c r="BE2494" s="130">
        <f t="shared" si="785"/>
        <v>3121</v>
      </c>
      <c r="BF2494" s="195">
        <f t="shared" si="786"/>
        <v>84.588272989426457</v>
      </c>
      <c r="BG2494" s="373">
        <f t="shared" si="794"/>
        <v>481</v>
      </c>
    </row>
    <row r="2495" spans="1:59" s="46" customFormat="1" ht="15.95" customHeight="1">
      <c r="A2495" s="176">
        <v>114</v>
      </c>
      <c r="B2495" s="31" t="s">
        <v>1451</v>
      </c>
      <c r="C2495" s="32" t="s">
        <v>1452</v>
      </c>
      <c r="D2495" s="366"/>
      <c r="E2495" s="366"/>
      <c r="F2495" s="366"/>
      <c r="G2495" s="366"/>
      <c r="H2495" s="366"/>
      <c r="I2495" s="366"/>
      <c r="J2495" s="366"/>
      <c r="K2495" s="366"/>
      <c r="L2495" s="366"/>
      <c r="M2495" s="366"/>
      <c r="N2495" s="366"/>
      <c r="O2495" s="366"/>
      <c r="P2495" s="366"/>
      <c r="Q2495" s="366"/>
      <c r="R2495" s="366"/>
      <c r="S2495" s="366"/>
      <c r="T2495" s="366"/>
      <c r="U2495" s="366"/>
      <c r="V2495" s="366"/>
      <c r="W2495" s="366"/>
      <c r="X2495" s="366"/>
      <c r="Y2495" s="366"/>
      <c r="Z2495" s="366"/>
      <c r="AA2495" s="366"/>
      <c r="AB2495" s="22">
        <f t="shared" si="782"/>
        <v>0</v>
      </c>
      <c r="AC2495" s="23">
        <v>0</v>
      </c>
      <c r="AD2495" s="35"/>
      <c r="AE2495" s="35"/>
      <c r="AF2495" s="35"/>
      <c r="AG2495" s="35"/>
      <c r="AH2495" s="35"/>
      <c r="AI2495" s="35"/>
      <c r="AJ2495" s="35"/>
      <c r="AK2495" s="35"/>
      <c r="AL2495" s="35">
        <v>1</v>
      </c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  <c r="AX2495" s="35"/>
      <c r="AY2495" s="35"/>
      <c r="AZ2495" s="35"/>
      <c r="BA2495" s="35"/>
      <c r="BB2495" s="22">
        <f t="shared" si="783"/>
        <v>1</v>
      </c>
      <c r="BC2495" s="23">
        <v>1</v>
      </c>
      <c r="BD2495" s="130">
        <f t="shared" si="784"/>
        <v>1</v>
      </c>
      <c r="BE2495" s="130">
        <f t="shared" si="785"/>
        <v>1</v>
      </c>
      <c r="BF2495" s="195">
        <f t="shared" si="786"/>
        <v>100</v>
      </c>
      <c r="BG2495" s="373">
        <f t="shared" si="794"/>
        <v>0</v>
      </c>
    </row>
    <row r="2496" spans="1:59" s="46" customFormat="1" ht="15.95" customHeight="1">
      <c r="A2496" s="176">
        <v>115</v>
      </c>
      <c r="B2496" s="31" t="s">
        <v>1012</v>
      </c>
      <c r="C2496" s="32" t="s">
        <v>1330</v>
      </c>
      <c r="D2496" s="366"/>
      <c r="E2496" s="366"/>
      <c r="F2496" s="366"/>
      <c r="G2496" s="366"/>
      <c r="H2496" s="366"/>
      <c r="I2496" s="366"/>
      <c r="J2496" s="366"/>
      <c r="K2496" s="366"/>
      <c r="L2496" s="366"/>
      <c r="M2496" s="366"/>
      <c r="N2496" s="366"/>
      <c r="O2496" s="366"/>
      <c r="P2496" s="366"/>
      <c r="Q2496" s="366"/>
      <c r="R2496" s="366"/>
      <c r="S2496" s="366"/>
      <c r="T2496" s="366"/>
      <c r="U2496" s="366"/>
      <c r="V2496" s="366"/>
      <c r="W2496" s="366"/>
      <c r="X2496" s="366"/>
      <c r="Y2496" s="366"/>
      <c r="Z2496" s="366"/>
      <c r="AA2496" s="366"/>
      <c r="AB2496" s="22">
        <f t="shared" si="782"/>
        <v>0</v>
      </c>
      <c r="AC2496" s="23">
        <v>0</v>
      </c>
      <c r="AD2496" s="35"/>
      <c r="AE2496" s="35"/>
      <c r="AF2496" s="35"/>
      <c r="AG2496" s="35"/>
      <c r="AH2496" s="35"/>
      <c r="AI2496" s="35"/>
      <c r="AJ2496" s="35"/>
      <c r="AK2496" s="35"/>
      <c r="AL2496" s="35">
        <v>4</v>
      </c>
      <c r="AM2496" s="35"/>
      <c r="AN2496" s="35"/>
      <c r="AO2496" s="35"/>
      <c r="AP2496" s="35">
        <v>1</v>
      </c>
      <c r="AQ2496" s="35"/>
      <c r="AR2496" s="35"/>
      <c r="AS2496" s="35"/>
      <c r="AT2496" s="35"/>
      <c r="AU2496" s="35"/>
      <c r="AV2496" s="35"/>
      <c r="AW2496" s="35"/>
      <c r="AX2496" s="35"/>
      <c r="AY2496" s="35"/>
      <c r="AZ2496" s="35"/>
      <c r="BA2496" s="35"/>
      <c r="BB2496" s="22">
        <f t="shared" si="783"/>
        <v>5</v>
      </c>
      <c r="BC2496" s="23">
        <v>3</v>
      </c>
      <c r="BD2496" s="130">
        <f t="shared" si="784"/>
        <v>5</v>
      </c>
      <c r="BE2496" s="130">
        <f t="shared" si="785"/>
        <v>3</v>
      </c>
      <c r="BF2496" s="195">
        <f t="shared" si="786"/>
        <v>166.66666666666669</v>
      </c>
      <c r="BG2496" s="373">
        <f t="shared" si="794"/>
        <v>-2</v>
      </c>
    </row>
    <row r="2497" spans="1:59" s="46" customFormat="1" ht="15.95" customHeight="1">
      <c r="A2497" s="176">
        <v>116</v>
      </c>
      <c r="B2497" s="31" t="s">
        <v>827</v>
      </c>
      <c r="C2497" s="32" t="s">
        <v>828</v>
      </c>
      <c r="D2497" s="231"/>
      <c r="E2497" s="231"/>
      <c r="F2497" s="231"/>
      <c r="G2497" s="231"/>
      <c r="H2497" s="231"/>
      <c r="I2497" s="231"/>
      <c r="J2497" s="231"/>
      <c r="K2497" s="231"/>
      <c r="L2497" s="231"/>
      <c r="M2497" s="231"/>
      <c r="N2497" s="231"/>
      <c r="O2497" s="231"/>
      <c r="P2497" s="231"/>
      <c r="Q2497" s="231"/>
      <c r="R2497" s="231"/>
      <c r="S2497" s="231"/>
      <c r="T2497" s="231"/>
      <c r="U2497" s="231"/>
      <c r="V2497" s="231"/>
      <c r="W2497" s="231"/>
      <c r="X2497" s="231"/>
      <c r="Y2497" s="231"/>
      <c r="Z2497" s="231"/>
      <c r="AA2497" s="231"/>
      <c r="AB2497" s="22">
        <f t="shared" si="782"/>
        <v>0</v>
      </c>
      <c r="AC2497" s="23">
        <v>0</v>
      </c>
      <c r="AD2497" s="35"/>
      <c r="AE2497" s="35"/>
      <c r="AF2497" s="35"/>
      <c r="AG2497" s="35"/>
      <c r="AH2497" s="35">
        <v>17</v>
      </c>
      <c r="AI2497" s="35"/>
      <c r="AJ2497" s="35"/>
      <c r="AK2497" s="35"/>
      <c r="AL2497" s="35">
        <f>32+1</f>
        <v>33</v>
      </c>
      <c r="AM2497" s="35"/>
      <c r="AN2497" s="35"/>
      <c r="AO2497" s="35"/>
      <c r="AP2497" s="35">
        <v>56</v>
      </c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22">
        <f t="shared" si="783"/>
        <v>106</v>
      </c>
      <c r="BC2497" s="23">
        <v>132</v>
      </c>
      <c r="BD2497" s="130">
        <f t="shared" si="784"/>
        <v>106</v>
      </c>
      <c r="BE2497" s="130">
        <f t="shared" si="785"/>
        <v>132</v>
      </c>
      <c r="BF2497" s="195">
        <f t="shared" si="786"/>
        <v>80.303030303030297</v>
      </c>
      <c r="BG2497" s="373">
        <f t="shared" si="794"/>
        <v>26</v>
      </c>
    </row>
    <row r="2498" spans="1:59" s="46" customFormat="1" ht="15.95" customHeight="1">
      <c r="A2498" s="176">
        <v>117</v>
      </c>
      <c r="B2498" s="31" t="s">
        <v>829</v>
      </c>
      <c r="C2498" s="32" t="s">
        <v>830</v>
      </c>
      <c r="D2498" s="288"/>
      <c r="E2498" s="288"/>
      <c r="F2498" s="288"/>
      <c r="G2498" s="288"/>
      <c r="H2498" s="288"/>
      <c r="I2498" s="288"/>
      <c r="J2498" s="288"/>
      <c r="K2498" s="288"/>
      <c r="L2498" s="288"/>
      <c r="M2498" s="288"/>
      <c r="N2498" s="288"/>
      <c r="O2498" s="288"/>
      <c r="P2498" s="288"/>
      <c r="Q2498" s="288"/>
      <c r="R2498" s="288"/>
      <c r="S2498" s="288"/>
      <c r="T2498" s="288"/>
      <c r="U2498" s="288"/>
      <c r="V2498" s="288"/>
      <c r="W2498" s="288"/>
      <c r="X2498" s="288"/>
      <c r="Y2498" s="288"/>
      <c r="Z2498" s="288"/>
      <c r="AA2498" s="288"/>
      <c r="AB2498" s="22">
        <f t="shared" si="782"/>
        <v>0</v>
      </c>
      <c r="AC2498" s="23">
        <v>0</v>
      </c>
      <c r="AD2498" s="35"/>
      <c r="AE2498" s="35"/>
      <c r="AF2498" s="35"/>
      <c r="AG2498" s="35"/>
      <c r="AH2498" s="35">
        <v>17</v>
      </c>
      <c r="AI2498" s="35"/>
      <c r="AJ2498" s="35"/>
      <c r="AK2498" s="35"/>
      <c r="AL2498" s="35">
        <f>28+1</f>
        <v>29</v>
      </c>
      <c r="AM2498" s="35"/>
      <c r="AN2498" s="35"/>
      <c r="AO2498" s="35"/>
      <c r="AP2498" s="35">
        <v>43</v>
      </c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22">
        <f t="shared" si="783"/>
        <v>89</v>
      </c>
      <c r="BC2498" s="23">
        <v>99</v>
      </c>
      <c r="BD2498" s="130">
        <f t="shared" si="784"/>
        <v>89</v>
      </c>
      <c r="BE2498" s="130">
        <f t="shared" si="785"/>
        <v>99</v>
      </c>
      <c r="BF2498" s="195">
        <f t="shared" si="786"/>
        <v>89.898989898989896</v>
      </c>
      <c r="BG2498" s="373">
        <f t="shared" si="794"/>
        <v>10</v>
      </c>
    </row>
    <row r="2499" spans="1:59" s="46" customFormat="1" ht="15.95" customHeight="1">
      <c r="A2499" s="176">
        <v>118</v>
      </c>
      <c r="B2499" s="31" t="s">
        <v>835</v>
      </c>
      <c r="C2499" s="32" t="s">
        <v>947</v>
      </c>
      <c r="D2499" s="231"/>
      <c r="E2499" s="231"/>
      <c r="F2499" s="231"/>
      <c r="G2499" s="231"/>
      <c r="H2499" s="231"/>
      <c r="I2499" s="231"/>
      <c r="J2499" s="231"/>
      <c r="K2499" s="231"/>
      <c r="L2499" s="231"/>
      <c r="M2499" s="231"/>
      <c r="N2499" s="231"/>
      <c r="O2499" s="231"/>
      <c r="P2499" s="231"/>
      <c r="Q2499" s="231"/>
      <c r="R2499" s="231"/>
      <c r="S2499" s="231"/>
      <c r="T2499" s="231"/>
      <c r="U2499" s="231"/>
      <c r="V2499" s="231"/>
      <c r="W2499" s="231"/>
      <c r="X2499" s="231"/>
      <c r="Y2499" s="231"/>
      <c r="Z2499" s="231"/>
      <c r="AA2499" s="231"/>
      <c r="AB2499" s="22">
        <f t="shared" si="782"/>
        <v>0</v>
      </c>
      <c r="AC2499" s="23">
        <v>0</v>
      </c>
      <c r="AD2499" s="35">
        <v>23</v>
      </c>
      <c r="AE2499" s="35"/>
      <c r="AF2499" s="35"/>
      <c r="AG2499" s="35"/>
      <c r="AH2499" s="35">
        <f>94+6</f>
        <v>100</v>
      </c>
      <c r="AI2499" s="35"/>
      <c r="AJ2499" s="35"/>
      <c r="AK2499" s="35"/>
      <c r="AL2499" s="35">
        <f>595+16+4</f>
        <v>615</v>
      </c>
      <c r="AM2499" s="35"/>
      <c r="AN2499" s="35"/>
      <c r="AO2499" s="35"/>
      <c r="AP2499" s="35">
        <v>617</v>
      </c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22">
        <f t="shared" si="783"/>
        <v>1355</v>
      </c>
      <c r="BC2499" s="23">
        <v>3735</v>
      </c>
      <c r="BD2499" s="130">
        <f t="shared" si="784"/>
        <v>1355</v>
      </c>
      <c r="BE2499" s="130">
        <f t="shared" si="785"/>
        <v>3735</v>
      </c>
      <c r="BF2499" s="195">
        <f t="shared" si="786"/>
        <v>36.278447121820619</v>
      </c>
      <c r="BG2499" s="373">
        <f t="shared" si="794"/>
        <v>2380</v>
      </c>
    </row>
    <row r="2500" spans="1:59" s="46" customFormat="1" ht="15.95" customHeight="1">
      <c r="A2500" s="176">
        <v>119</v>
      </c>
      <c r="B2500" s="31" t="s">
        <v>1379</v>
      </c>
      <c r="C2500" s="32" t="s">
        <v>1996</v>
      </c>
      <c r="D2500" s="231"/>
      <c r="E2500" s="231"/>
      <c r="F2500" s="231"/>
      <c r="G2500" s="231"/>
      <c r="H2500" s="231"/>
      <c r="I2500" s="231"/>
      <c r="J2500" s="231"/>
      <c r="K2500" s="231"/>
      <c r="L2500" s="231"/>
      <c r="M2500" s="231"/>
      <c r="N2500" s="231"/>
      <c r="O2500" s="231"/>
      <c r="P2500" s="231"/>
      <c r="Q2500" s="231"/>
      <c r="R2500" s="231"/>
      <c r="S2500" s="231"/>
      <c r="T2500" s="231"/>
      <c r="U2500" s="231"/>
      <c r="V2500" s="231"/>
      <c r="W2500" s="231"/>
      <c r="X2500" s="231"/>
      <c r="Y2500" s="231"/>
      <c r="Z2500" s="231"/>
      <c r="AA2500" s="231"/>
      <c r="AB2500" s="22">
        <f t="shared" si="782"/>
        <v>0</v>
      </c>
      <c r="AC2500" s="23">
        <v>0</v>
      </c>
      <c r="AD2500" s="35"/>
      <c r="AE2500" s="35"/>
      <c r="AF2500" s="35"/>
      <c r="AG2500" s="35"/>
      <c r="AH2500" s="35"/>
      <c r="AI2500" s="35"/>
      <c r="AJ2500" s="35"/>
      <c r="AK2500" s="35"/>
      <c r="AL2500" s="35">
        <v>3</v>
      </c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22">
        <f t="shared" si="783"/>
        <v>3</v>
      </c>
      <c r="BC2500" s="23">
        <v>1</v>
      </c>
      <c r="BD2500" s="130">
        <f t="shared" si="784"/>
        <v>3</v>
      </c>
      <c r="BE2500" s="130">
        <f t="shared" si="785"/>
        <v>1</v>
      </c>
      <c r="BF2500" s="195">
        <f t="shared" si="786"/>
        <v>300</v>
      </c>
      <c r="BG2500" s="373">
        <f t="shared" si="794"/>
        <v>-2</v>
      </c>
    </row>
    <row r="2501" spans="1:59" s="46" customFormat="1" ht="15.95" customHeight="1">
      <c r="A2501" s="176">
        <v>120</v>
      </c>
      <c r="B2501" s="31" t="s">
        <v>1013</v>
      </c>
      <c r="C2501" s="32" t="s">
        <v>2260</v>
      </c>
      <c r="D2501" s="231"/>
      <c r="E2501" s="231"/>
      <c r="F2501" s="231"/>
      <c r="G2501" s="231"/>
      <c r="H2501" s="231"/>
      <c r="I2501" s="231"/>
      <c r="J2501" s="231"/>
      <c r="K2501" s="231"/>
      <c r="L2501" s="231"/>
      <c r="M2501" s="231"/>
      <c r="N2501" s="231"/>
      <c r="O2501" s="231"/>
      <c r="P2501" s="231"/>
      <c r="Q2501" s="231"/>
      <c r="R2501" s="231"/>
      <c r="S2501" s="231"/>
      <c r="T2501" s="231"/>
      <c r="U2501" s="231"/>
      <c r="V2501" s="231"/>
      <c r="W2501" s="231"/>
      <c r="X2501" s="231"/>
      <c r="Y2501" s="231"/>
      <c r="Z2501" s="231"/>
      <c r="AA2501" s="231"/>
      <c r="AB2501" s="22">
        <f t="shared" si="782"/>
        <v>0</v>
      </c>
      <c r="AC2501" s="23">
        <v>0</v>
      </c>
      <c r="AD2501" s="35">
        <v>9</v>
      </c>
      <c r="AE2501" s="35"/>
      <c r="AF2501" s="35"/>
      <c r="AG2501" s="35"/>
      <c r="AH2501" s="35">
        <v>8</v>
      </c>
      <c r="AI2501" s="35"/>
      <c r="AJ2501" s="35"/>
      <c r="AK2501" s="35"/>
      <c r="AL2501" s="35">
        <v>66</v>
      </c>
      <c r="AM2501" s="35"/>
      <c r="AN2501" s="35"/>
      <c r="AO2501" s="35"/>
      <c r="AP2501" s="35">
        <v>109</v>
      </c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22">
        <f t="shared" si="783"/>
        <v>192</v>
      </c>
      <c r="BC2501" s="23">
        <v>687</v>
      </c>
      <c r="BD2501" s="130">
        <f t="shared" si="784"/>
        <v>192</v>
      </c>
      <c r="BE2501" s="130">
        <f t="shared" si="785"/>
        <v>687</v>
      </c>
      <c r="BF2501" s="195">
        <f t="shared" si="786"/>
        <v>27.947598253275107</v>
      </c>
      <c r="BG2501" s="373">
        <f t="shared" si="794"/>
        <v>495</v>
      </c>
    </row>
    <row r="2502" spans="1:59" s="46" customFormat="1" ht="15.95" customHeight="1">
      <c r="A2502" s="176">
        <v>121</v>
      </c>
      <c r="B2502" s="31" t="s">
        <v>837</v>
      </c>
      <c r="C2502" s="32" t="s">
        <v>908</v>
      </c>
      <c r="D2502" s="231"/>
      <c r="E2502" s="231"/>
      <c r="F2502" s="231"/>
      <c r="G2502" s="231"/>
      <c r="H2502" s="231"/>
      <c r="I2502" s="231"/>
      <c r="J2502" s="231"/>
      <c r="K2502" s="231"/>
      <c r="L2502" s="231"/>
      <c r="M2502" s="231"/>
      <c r="N2502" s="231"/>
      <c r="O2502" s="231"/>
      <c r="P2502" s="231"/>
      <c r="Q2502" s="231"/>
      <c r="R2502" s="231"/>
      <c r="S2502" s="231"/>
      <c r="T2502" s="231"/>
      <c r="U2502" s="231"/>
      <c r="V2502" s="231"/>
      <c r="W2502" s="231"/>
      <c r="X2502" s="231"/>
      <c r="Y2502" s="231"/>
      <c r="Z2502" s="231"/>
      <c r="AA2502" s="231"/>
      <c r="AB2502" s="22">
        <f t="shared" si="782"/>
        <v>0</v>
      </c>
      <c r="AC2502" s="23">
        <v>0</v>
      </c>
      <c r="AD2502" s="35">
        <v>55</v>
      </c>
      <c r="AE2502" s="35"/>
      <c r="AF2502" s="35"/>
      <c r="AG2502" s="35"/>
      <c r="AH2502" s="35">
        <f>18+18</f>
        <v>36</v>
      </c>
      <c r="AI2502" s="35"/>
      <c r="AJ2502" s="35"/>
      <c r="AK2502" s="35"/>
      <c r="AL2502" s="35">
        <f>196+27</f>
        <v>223</v>
      </c>
      <c r="AM2502" s="35"/>
      <c r="AN2502" s="35"/>
      <c r="AO2502" s="35"/>
      <c r="AP2502" s="35">
        <f>320+3</f>
        <v>323</v>
      </c>
      <c r="AQ2502" s="35"/>
      <c r="AR2502" s="35"/>
      <c r="AS2502" s="35"/>
      <c r="AT2502" s="35"/>
      <c r="AU2502" s="35"/>
      <c r="AV2502" s="35"/>
      <c r="AW2502" s="35"/>
      <c r="AX2502" s="35"/>
      <c r="AY2502" s="35"/>
      <c r="AZ2502" s="35"/>
      <c r="BA2502" s="35"/>
      <c r="BB2502" s="22">
        <f t="shared" si="783"/>
        <v>637</v>
      </c>
      <c r="BC2502" s="23">
        <v>1015</v>
      </c>
      <c r="BD2502" s="130">
        <f t="shared" si="784"/>
        <v>637</v>
      </c>
      <c r="BE2502" s="130">
        <f t="shared" si="785"/>
        <v>1015</v>
      </c>
      <c r="BF2502" s="195">
        <f t="shared" si="786"/>
        <v>62.758620689655174</v>
      </c>
      <c r="BG2502" s="373">
        <f t="shared" si="794"/>
        <v>378</v>
      </c>
    </row>
    <row r="2503" spans="1:59" s="46" customFormat="1" ht="15.95" customHeight="1">
      <c r="A2503" s="176">
        <v>122</v>
      </c>
      <c r="B2503" s="31" t="s">
        <v>839</v>
      </c>
      <c r="C2503" s="32" t="s">
        <v>840</v>
      </c>
      <c r="D2503" s="231"/>
      <c r="E2503" s="231"/>
      <c r="F2503" s="231"/>
      <c r="G2503" s="231"/>
      <c r="H2503" s="231"/>
      <c r="I2503" s="231"/>
      <c r="J2503" s="231"/>
      <c r="K2503" s="231"/>
      <c r="L2503" s="231"/>
      <c r="M2503" s="231"/>
      <c r="N2503" s="231"/>
      <c r="O2503" s="231"/>
      <c r="P2503" s="231"/>
      <c r="Q2503" s="231"/>
      <c r="R2503" s="231"/>
      <c r="S2503" s="231"/>
      <c r="T2503" s="231"/>
      <c r="U2503" s="231"/>
      <c r="V2503" s="231"/>
      <c r="W2503" s="231"/>
      <c r="X2503" s="231"/>
      <c r="Y2503" s="231"/>
      <c r="Z2503" s="231"/>
      <c r="AA2503" s="231"/>
      <c r="AB2503" s="22">
        <f t="shared" si="782"/>
        <v>0</v>
      </c>
      <c r="AC2503" s="23">
        <v>0</v>
      </c>
      <c r="AD2503" s="35"/>
      <c r="AE2503" s="35"/>
      <c r="AF2503" s="35"/>
      <c r="AG2503" s="35"/>
      <c r="AH2503" s="35">
        <v>2</v>
      </c>
      <c r="AI2503" s="35"/>
      <c r="AJ2503" s="35"/>
      <c r="AK2503" s="35"/>
      <c r="AL2503" s="35">
        <v>12</v>
      </c>
      <c r="AM2503" s="35"/>
      <c r="AN2503" s="35"/>
      <c r="AO2503" s="35"/>
      <c r="AP2503" s="35">
        <v>10</v>
      </c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22">
        <f t="shared" si="783"/>
        <v>24</v>
      </c>
      <c r="BC2503" s="23">
        <v>59</v>
      </c>
      <c r="BD2503" s="130">
        <f t="shared" si="784"/>
        <v>24</v>
      </c>
      <c r="BE2503" s="130">
        <f t="shared" si="785"/>
        <v>59</v>
      </c>
      <c r="BF2503" s="195">
        <f t="shared" si="786"/>
        <v>40.677966101694921</v>
      </c>
      <c r="BG2503" s="373">
        <f t="shared" si="794"/>
        <v>35</v>
      </c>
    </row>
    <row r="2504" spans="1:59" s="46" customFormat="1" ht="15.95" customHeight="1">
      <c r="A2504" s="176">
        <v>123</v>
      </c>
      <c r="B2504" s="31" t="s">
        <v>909</v>
      </c>
      <c r="C2504" s="32" t="s">
        <v>910</v>
      </c>
      <c r="D2504" s="231"/>
      <c r="E2504" s="231"/>
      <c r="F2504" s="231"/>
      <c r="G2504" s="231"/>
      <c r="H2504" s="231"/>
      <c r="I2504" s="231"/>
      <c r="J2504" s="231"/>
      <c r="K2504" s="231"/>
      <c r="L2504" s="231"/>
      <c r="M2504" s="231"/>
      <c r="N2504" s="231"/>
      <c r="O2504" s="231"/>
      <c r="P2504" s="231">
        <v>29</v>
      </c>
      <c r="Q2504" s="231"/>
      <c r="R2504" s="231"/>
      <c r="S2504" s="231"/>
      <c r="T2504" s="231"/>
      <c r="U2504" s="231"/>
      <c r="V2504" s="231"/>
      <c r="W2504" s="231"/>
      <c r="X2504" s="231"/>
      <c r="Y2504" s="231"/>
      <c r="Z2504" s="231"/>
      <c r="AA2504" s="231"/>
      <c r="AB2504" s="22">
        <f t="shared" si="782"/>
        <v>29</v>
      </c>
      <c r="AC2504" s="23">
        <v>0</v>
      </c>
      <c r="AD2504" s="35">
        <v>63</v>
      </c>
      <c r="AE2504" s="35"/>
      <c r="AF2504" s="35"/>
      <c r="AG2504" s="35"/>
      <c r="AH2504" s="35">
        <f>17+37</f>
        <v>54</v>
      </c>
      <c r="AI2504" s="35"/>
      <c r="AJ2504" s="35"/>
      <c r="AK2504" s="35"/>
      <c r="AL2504" s="35">
        <f>65+43+1</f>
        <v>109</v>
      </c>
      <c r="AM2504" s="35"/>
      <c r="AN2504" s="35"/>
      <c r="AO2504" s="35"/>
      <c r="AP2504" s="35">
        <f>18+1</f>
        <v>19</v>
      </c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22">
        <f t="shared" si="783"/>
        <v>245</v>
      </c>
      <c r="BC2504" s="23">
        <v>585</v>
      </c>
      <c r="BD2504" s="130">
        <f t="shared" si="784"/>
        <v>274</v>
      </c>
      <c r="BE2504" s="130">
        <f t="shared" si="785"/>
        <v>585</v>
      </c>
      <c r="BF2504" s="195">
        <f t="shared" si="786"/>
        <v>46.837606837606835</v>
      </c>
      <c r="BG2504" s="373">
        <f t="shared" si="794"/>
        <v>311</v>
      </c>
    </row>
    <row r="2505" spans="1:59" s="46" customFormat="1" ht="15.95" customHeight="1">
      <c r="A2505" s="176">
        <v>124</v>
      </c>
      <c r="B2505" s="31" t="s">
        <v>1110</v>
      </c>
      <c r="C2505" s="32" t="s">
        <v>1111</v>
      </c>
      <c r="D2505" s="231"/>
      <c r="E2505" s="231"/>
      <c r="F2505" s="231"/>
      <c r="G2505" s="231"/>
      <c r="H2505" s="231"/>
      <c r="I2505" s="231"/>
      <c r="J2505" s="231"/>
      <c r="K2505" s="231"/>
      <c r="L2505" s="231"/>
      <c r="M2505" s="231"/>
      <c r="N2505" s="231"/>
      <c r="O2505" s="231"/>
      <c r="P2505" s="231"/>
      <c r="Q2505" s="231"/>
      <c r="R2505" s="231"/>
      <c r="S2505" s="231"/>
      <c r="T2505" s="231"/>
      <c r="U2505" s="231"/>
      <c r="V2505" s="231"/>
      <c r="W2505" s="231"/>
      <c r="X2505" s="231"/>
      <c r="Y2505" s="231"/>
      <c r="Z2505" s="231"/>
      <c r="AA2505" s="231"/>
      <c r="AB2505" s="22">
        <f t="shared" si="782"/>
        <v>0</v>
      </c>
      <c r="AC2505" s="23">
        <v>0</v>
      </c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22">
        <f t="shared" si="783"/>
        <v>0</v>
      </c>
      <c r="BC2505" s="23">
        <v>3</v>
      </c>
      <c r="BD2505" s="130">
        <f t="shared" si="784"/>
        <v>0</v>
      </c>
      <c r="BE2505" s="130">
        <f t="shared" si="785"/>
        <v>3</v>
      </c>
      <c r="BF2505" s="195">
        <f t="shared" si="786"/>
        <v>0</v>
      </c>
      <c r="BG2505" s="373">
        <f t="shared" si="794"/>
        <v>3</v>
      </c>
    </row>
    <row r="2506" spans="1:59" s="46" customFormat="1" ht="15.95" customHeight="1">
      <c r="A2506" s="176">
        <v>125</v>
      </c>
      <c r="B2506" s="31" t="s">
        <v>841</v>
      </c>
      <c r="C2506" s="32" t="s">
        <v>842</v>
      </c>
      <c r="D2506" s="231"/>
      <c r="E2506" s="231"/>
      <c r="F2506" s="231"/>
      <c r="G2506" s="231"/>
      <c r="H2506" s="231"/>
      <c r="I2506" s="231"/>
      <c r="J2506" s="231"/>
      <c r="K2506" s="231"/>
      <c r="L2506" s="231"/>
      <c r="M2506" s="231"/>
      <c r="N2506" s="231"/>
      <c r="O2506" s="231"/>
      <c r="P2506" s="231"/>
      <c r="Q2506" s="231"/>
      <c r="R2506" s="231"/>
      <c r="S2506" s="231"/>
      <c r="T2506" s="231"/>
      <c r="U2506" s="231"/>
      <c r="V2506" s="231"/>
      <c r="W2506" s="231"/>
      <c r="X2506" s="231"/>
      <c r="Y2506" s="231"/>
      <c r="Z2506" s="231"/>
      <c r="AA2506" s="231"/>
      <c r="AB2506" s="22">
        <f t="shared" si="782"/>
        <v>0</v>
      </c>
      <c r="AC2506" s="23">
        <v>0</v>
      </c>
      <c r="AD2506" s="35"/>
      <c r="AE2506" s="35"/>
      <c r="AF2506" s="35"/>
      <c r="AG2506" s="35"/>
      <c r="AH2506" s="35">
        <v>8</v>
      </c>
      <c r="AI2506" s="35"/>
      <c r="AJ2506" s="35"/>
      <c r="AK2506" s="35"/>
      <c r="AL2506" s="35">
        <v>60</v>
      </c>
      <c r="AM2506" s="35"/>
      <c r="AN2506" s="35"/>
      <c r="AO2506" s="35"/>
      <c r="AP2506" s="35">
        <v>44</v>
      </c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22">
        <f t="shared" si="783"/>
        <v>112</v>
      </c>
      <c r="BC2506" s="23">
        <v>250</v>
      </c>
      <c r="BD2506" s="130">
        <f t="shared" si="784"/>
        <v>112</v>
      </c>
      <c r="BE2506" s="130">
        <f t="shared" si="785"/>
        <v>250</v>
      </c>
      <c r="BF2506" s="195">
        <f t="shared" si="786"/>
        <v>44.800000000000004</v>
      </c>
      <c r="BG2506" s="373">
        <f t="shared" si="794"/>
        <v>138</v>
      </c>
    </row>
    <row r="2507" spans="1:59" s="46" customFormat="1" ht="15.95" customHeight="1">
      <c r="A2507" s="176">
        <v>126</v>
      </c>
      <c r="B2507" s="31" t="s">
        <v>1112</v>
      </c>
      <c r="C2507" s="32" t="s">
        <v>1331</v>
      </c>
      <c r="D2507" s="271"/>
      <c r="E2507" s="271"/>
      <c r="F2507" s="271"/>
      <c r="G2507" s="271"/>
      <c r="H2507" s="271"/>
      <c r="I2507" s="271"/>
      <c r="J2507" s="271"/>
      <c r="K2507" s="271"/>
      <c r="L2507" s="271"/>
      <c r="M2507" s="271"/>
      <c r="N2507" s="271"/>
      <c r="O2507" s="271"/>
      <c r="P2507" s="271"/>
      <c r="Q2507" s="271"/>
      <c r="R2507" s="271"/>
      <c r="S2507" s="271"/>
      <c r="T2507" s="271"/>
      <c r="U2507" s="271"/>
      <c r="V2507" s="271"/>
      <c r="W2507" s="271"/>
      <c r="X2507" s="271"/>
      <c r="Y2507" s="271"/>
      <c r="Z2507" s="271"/>
      <c r="AA2507" s="271"/>
      <c r="AB2507" s="22">
        <f t="shared" si="782"/>
        <v>0</v>
      </c>
      <c r="AC2507" s="23">
        <v>0</v>
      </c>
      <c r="AD2507" s="35"/>
      <c r="AE2507" s="35"/>
      <c r="AF2507" s="35"/>
      <c r="AG2507" s="35"/>
      <c r="AH2507" s="35">
        <v>25</v>
      </c>
      <c r="AI2507" s="35"/>
      <c r="AJ2507" s="35"/>
      <c r="AK2507" s="35"/>
      <c r="AL2507" s="35">
        <f>123+1</f>
        <v>124</v>
      </c>
      <c r="AM2507" s="35"/>
      <c r="AN2507" s="35"/>
      <c r="AO2507" s="35"/>
      <c r="AP2507" s="35">
        <v>120</v>
      </c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22">
        <f t="shared" si="783"/>
        <v>269</v>
      </c>
      <c r="BC2507" s="23">
        <v>538</v>
      </c>
      <c r="BD2507" s="130">
        <f t="shared" si="784"/>
        <v>269</v>
      </c>
      <c r="BE2507" s="130">
        <f t="shared" si="785"/>
        <v>538</v>
      </c>
      <c r="BF2507" s="195">
        <f t="shared" si="786"/>
        <v>50</v>
      </c>
      <c r="BG2507" s="373">
        <f t="shared" si="794"/>
        <v>269</v>
      </c>
    </row>
    <row r="2508" spans="1:59" s="46" customFormat="1" ht="15.95" customHeight="1">
      <c r="A2508" s="176">
        <v>127</v>
      </c>
      <c r="B2508" s="31" t="s">
        <v>4159</v>
      </c>
      <c r="C2508" s="32" t="s">
        <v>4160</v>
      </c>
      <c r="D2508" s="574"/>
      <c r="E2508" s="574"/>
      <c r="F2508" s="574"/>
      <c r="G2508" s="574"/>
      <c r="H2508" s="574"/>
      <c r="I2508" s="574"/>
      <c r="J2508" s="574"/>
      <c r="K2508" s="574"/>
      <c r="L2508" s="574"/>
      <c r="M2508" s="574"/>
      <c r="N2508" s="574"/>
      <c r="O2508" s="574"/>
      <c r="P2508" s="574"/>
      <c r="Q2508" s="574"/>
      <c r="R2508" s="574"/>
      <c r="S2508" s="574"/>
      <c r="T2508" s="574"/>
      <c r="U2508" s="574"/>
      <c r="V2508" s="574"/>
      <c r="W2508" s="574"/>
      <c r="X2508" s="574"/>
      <c r="Y2508" s="574"/>
      <c r="Z2508" s="574"/>
      <c r="AA2508" s="574"/>
      <c r="AB2508" s="22">
        <f t="shared" si="782"/>
        <v>0</v>
      </c>
      <c r="AC2508" s="23">
        <v>0</v>
      </c>
      <c r="AD2508" s="35"/>
      <c r="AE2508" s="35"/>
      <c r="AF2508" s="35"/>
      <c r="AG2508" s="35"/>
      <c r="AH2508" s="35"/>
      <c r="AI2508" s="35"/>
      <c r="AJ2508" s="35"/>
      <c r="AK2508" s="35"/>
      <c r="AL2508" s="35"/>
      <c r="AM2508" s="35"/>
      <c r="AN2508" s="35"/>
      <c r="AO2508" s="35"/>
      <c r="AP2508" s="35">
        <v>1</v>
      </c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22">
        <f t="shared" si="783"/>
        <v>1</v>
      </c>
      <c r="BC2508" s="23">
        <v>0</v>
      </c>
      <c r="BD2508" s="130">
        <f t="shared" si="784"/>
        <v>1</v>
      </c>
      <c r="BE2508" s="130">
        <f t="shared" si="785"/>
        <v>0</v>
      </c>
      <c r="BF2508" s="195" t="e">
        <f t="shared" si="786"/>
        <v>#DIV/0!</v>
      </c>
      <c r="BG2508" s="373"/>
    </row>
    <row r="2509" spans="1:59" s="46" customFormat="1" ht="15.95" customHeight="1">
      <c r="A2509" s="176">
        <v>128</v>
      </c>
      <c r="B2509" s="31" t="s">
        <v>1332</v>
      </c>
      <c r="C2509" s="32" t="s">
        <v>1333</v>
      </c>
      <c r="D2509" s="576"/>
      <c r="E2509" s="576"/>
      <c r="F2509" s="576"/>
      <c r="G2509" s="576"/>
      <c r="H2509" s="576"/>
      <c r="I2509" s="576"/>
      <c r="J2509" s="576"/>
      <c r="K2509" s="576"/>
      <c r="L2509" s="576"/>
      <c r="M2509" s="576"/>
      <c r="N2509" s="576"/>
      <c r="O2509" s="576"/>
      <c r="P2509" s="576">
        <v>123</v>
      </c>
      <c r="Q2509" s="576"/>
      <c r="R2509" s="576"/>
      <c r="S2509" s="576"/>
      <c r="T2509" s="576"/>
      <c r="U2509" s="576"/>
      <c r="V2509" s="576"/>
      <c r="W2509" s="576"/>
      <c r="X2509" s="576"/>
      <c r="Y2509" s="576"/>
      <c r="Z2509" s="576"/>
      <c r="AA2509" s="576"/>
      <c r="AB2509" s="22">
        <f t="shared" si="782"/>
        <v>123</v>
      </c>
      <c r="AC2509" s="23">
        <v>0</v>
      </c>
      <c r="AD2509" s="35"/>
      <c r="AE2509" s="35"/>
      <c r="AF2509" s="35"/>
      <c r="AG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22">
        <f t="shared" si="783"/>
        <v>0</v>
      </c>
      <c r="BC2509" s="23">
        <v>0</v>
      </c>
      <c r="BD2509" s="130">
        <f t="shared" si="784"/>
        <v>123</v>
      </c>
      <c r="BE2509" s="130">
        <f t="shared" si="785"/>
        <v>0</v>
      </c>
      <c r="BF2509" s="195" t="e">
        <f t="shared" si="786"/>
        <v>#DIV/0!</v>
      </c>
      <c r="BG2509" s="373"/>
    </row>
    <row r="2510" spans="1:59" s="46" customFormat="1" ht="15.95" customHeight="1">
      <c r="A2510" s="176">
        <v>129</v>
      </c>
      <c r="B2510" s="31" t="s">
        <v>2065</v>
      </c>
      <c r="C2510" s="32" t="s">
        <v>2083</v>
      </c>
      <c r="D2510" s="231"/>
      <c r="E2510" s="231"/>
      <c r="F2510" s="231"/>
      <c r="G2510" s="231"/>
      <c r="H2510" s="231"/>
      <c r="I2510" s="231"/>
      <c r="J2510" s="231"/>
      <c r="K2510" s="231"/>
      <c r="L2510" s="231"/>
      <c r="M2510" s="231"/>
      <c r="N2510" s="231"/>
      <c r="O2510" s="231"/>
      <c r="P2510" s="231"/>
      <c r="Q2510" s="231"/>
      <c r="R2510" s="231"/>
      <c r="S2510" s="231"/>
      <c r="T2510" s="231"/>
      <c r="U2510" s="231"/>
      <c r="V2510" s="231"/>
      <c r="W2510" s="231"/>
      <c r="X2510" s="231"/>
      <c r="Y2510" s="231"/>
      <c r="Z2510" s="231"/>
      <c r="AA2510" s="231"/>
      <c r="AB2510" s="22">
        <f t="shared" si="782"/>
        <v>0</v>
      </c>
      <c r="AC2510" s="23">
        <v>0</v>
      </c>
      <c r="AD2510" s="35">
        <v>20</v>
      </c>
      <c r="AE2510" s="35"/>
      <c r="AF2510" s="35"/>
      <c r="AG2510" s="35"/>
      <c r="AH2510" s="35">
        <v>250</v>
      </c>
      <c r="AI2510" s="35"/>
      <c r="AJ2510" s="35"/>
      <c r="AK2510" s="35"/>
      <c r="AL2510" s="35">
        <v>1010</v>
      </c>
      <c r="AM2510" s="35"/>
      <c r="AN2510" s="35"/>
      <c r="AO2510" s="35"/>
      <c r="AP2510" s="35">
        <v>700</v>
      </c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22">
        <f t="shared" si="783"/>
        <v>1980</v>
      </c>
      <c r="BC2510" s="23">
        <v>5986</v>
      </c>
      <c r="BD2510" s="130">
        <f t="shared" si="784"/>
        <v>1980</v>
      </c>
      <c r="BE2510" s="130">
        <f t="shared" si="785"/>
        <v>5986</v>
      </c>
      <c r="BF2510" s="195">
        <f t="shared" si="786"/>
        <v>33.077180086869362</v>
      </c>
      <c r="BG2510" s="373">
        <f>BE2510-BD2510</f>
        <v>4006</v>
      </c>
    </row>
    <row r="2511" spans="1:59" s="46" customFormat="1" ht="15.95" customHeight="1">
      <c r="A2511" s="176">
        <v>130</v>
      </c>
      <c r="B2511" s="48" t="s">
        <v>1431</v>
      </c>
      <c r="C2511" s="32" t="s">
        <v>1432</v>
      </c>
      <c r="D2511" s="231"/>
      <c r="E2511" s="231"/>
      <c r="F2511" s="231"/>
      <c r="G2511" s="231"/>
      <c r="H2511" s="231"/>
      <c r="I2511" s="231"/>
      <c r="J2511" s="231"/>
      <c r="K2511" s="231"/>
      <c r="L2511" s="231"/>
      <c r="M2511" s="231"/>
      <c r="N2511" s="231"/>
      <c r="O2511" s="231"/>
      <c r="P2511" s="231"/>
      <c r="Q2511" s="231"/>
      <c r="R2511" s="231"/>
      <c r="S2511" s="231"/>
      <c r="T2511" s="231"/>
      <c r="U2511" s="231"/>
      <c r="V2511" s="231"/>
      <c r="W2511" s="231"/>
      <c r="X2511" s="231"/>
      <c r="Y2511" s="231"/>
      <c r="Z2511" s="231"/>
      <c r="AA2511" s="231"/>
      <c r="AB2511" s="22">
        <f t="shared" si="782"/>
        <v>0</v>
      </c>
      <c r="AC2511" s="23">
        <v>0</v>
      </c>
      <c r="AD2511" s="35"/>
      <c r="AE2511" s="35"/>
      <c r="AF2511" s="35"/>
      <c r="AG2511" s="35"/>
      <c r="AH2511" s="35"/>
      <c r="AI2511" s="35"/>
      <c r="AJ2511" s="35"/>
      <c r="AK2511" s="35"/>
      <c r="AL2511" s="35">
        <v>3</v>
      </c>
      <c r="AM2511" s="35"/>
      <c r="AN2511" s="35"/>
      <c r="AO2511" s="35"/>
      <c r="AP2511" s="35">
        <v>2</v>
      </c>
      <c r="AQ2511" s="35"/>
      <c r="AR2511" s="35"/>
      <c r="AS2511" s="35"/>
      <c r="AT2511" s="35"/>
      <c r="AU2511" s="35"/>
      <c r="AV2511" s="35"/>
      <c r="AW2511" s="35"/>
      <c r="AX2511" s="35"/>
      <c r="AY2511" s="35"/>
      <c r="AZ2511" s="35"/>
      <c r="BA2511" s="35"/>
      <c r="BB2511" s="22">
        <f t="shared" si="783"/>
        <v>5</v>
      </c>
      <c r="BC2511" s="23">
        <v>20</v>
      </c>
      <c r="BD2511" s="130">
        <f t="shared" si="784"/>
        <v>5</v>
      </c>
      <c r="BE2511" s="130">
        <f t="shared" si="785"/>
        <v>20</v>
      </c>
      <c r="BF2511" s="195">
        <f t="shared" si="786"/>
        <v>25</v>
      </c>
      <c r="BG2511" s="373">
        <f>BE2511-BD2511</f>
        <v>15</v>
      </c>
    </row>
    <row r="2512" spans="1:59" s="46" customFormat="1" ht="15.95" customHeight="1">
      <c r="A2512" s="176">
        <v>131</v>
      </c>
      <c r="B2512" s="48" t="s">
        <v>1187</v>
      </c>
      <c r="C2512" s="32" t="s">
        <v>1334</v>
      </c>
      <c r="D2512" s="231"/>
      <c r="E2512" s="231"/>
      <c r="F2512" s="231"/>
      <c r="G2512" s="231"/>
      <c r="H2512" s="231"/>
      <c r="I2512" s="231"/>
      <c r="J2512" s="231"/>
      <c r="K2512" s="231"/>
      <c r="L2512" s="231"/>
      <c r="M2512" s="231"/>
      <c r="N2512" s="231"/>
      <c r="O2512" s="231"/>
      <c r="P2512" s="231">
        <v>1</v>
      </c>
      <c r="Q2512" s="231"/>
      <c r="R2512" s="231"/>
      <c r="S2512" s="231"/>
      <c r="T2512" s="231"/>
      <c r="U2512" s="231"/>
      <c r="V2512" s="231"/>
      <c r="W2512" s="231"/>
      <c r="X2512" s="231"/>
      <c r="Y2512" s="231"/>
      <c r="Z2512" s="231"/>
      <c r="AA2512" s="231"/>
      <c r="AB2512" s="22">
        <f t="shared" si="782"/>
        <v>1</v>
      </c>
      <c r="AC2512" s="23">
        <v>0</v>
      </c>
      <c r="AD2512" s="35"/>
      <c r="AE2512" s="35"/>
      <c r="AF2512" s="35"/>
      <c r="AG2512" s="35"/>
      <c r="AH2512" s="35"/>
      <c r="AI2512" s="35"/>
      <c r="AJ2512" s="35"/>
      <c r="AK2512" s="35"/>
      <c r="AL2512" s="35">
        <v>2</v>
      </c>
      <c r="AM2512" s="35"/>
      <c r="AN2512" s="35"/>
      <c r="AO2512" s="35"/>
      <c r="AP2512" s="35">
        <v>5</v>
      </c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22">
        <f t="shared" si="783"/>
        <v>7</v>
      </c>
      <c r="BC2512" s="23">
        <v>65</v>
      </c>
      <c r="BD2512" s="130">
        <f t="shared" si="784"/>
        <v>8</v>
      </c>
      <c r="BE2512" s="130">
        <f t="shared" si="785"/>
        <v>65</v>
      </c>
      <c r="BF2512" s="195">
        <f t="shared" si="786"/>
        <v>12.307692307692308</v>
      </c>
      <c r="BG2512" s="373">
        <f>BE2512-BD2512</f>
        <v>57</v>
      </c>
    </row>
    <row r="2513" spans="1:59" s="46" customFormat="1" ht="15.95" customHeight="1">
      <c r="A2513" s="176">
        <v>132</v>
      </c>
      <c r="B2513" s="48" t="s">
        <v>845</v>
      </c>
      <c r="C2513" s="32" t="s">
        <v>948</v>
      </c>
      <c r="D2513" s="231"/>
      <c r="E2513" s="231"/>
      <c r="F2513" s="231"/>
      <c r="G2513" s="231"/>
      <c r="H2513" s="231"/>
      <c r="I2513" s="231"/>
      <c r="J2513" s="231"/>
      <c r="K2513" s="231"/>
      <c r="L2513" s="231"/>
      <c r="M2513" s="231"/>
      <c r="N2513" s="231"/>
      <c r="O2513" s="231"/>
      <c r="P2513" s="231">
        <v>2</v>
      </c>
      <c r="Q2513" s="231"/>
      <c r="R2513" s="231"/>
      <c r="S2513" s="231"/>
      <c r="T2513" s="231"/>
      <c r="U2513" s="231"/>
      <c r="V2513" s="231"/>
      <c r="W2513" s="231"/>
      <c r="X2513" s="231"/>
      <c r="Y2513" s="231"/>
      <c r="Z2513" s="231"/>
      <c r="AA2513" s="231"/>
      <c r="AB2513" s="22">
        <f t="shared" ref="AB2513:AB2576" si="795">SUM(D2513:AA2513)</f>
        <v>2</v>
      </c>
      <c r="AC2513" s="23">
        <v>0</v>
      </c>
      <c r="AD2513" s="35"/>
      <c r="AE2513" s="35"/>
      <c r="AF2513" s="35"/>
      <c r="AG2513" s="35"/>
      <c r="AH2513" s="35">
        <f>1+69</f>
        <v>70</v>
      </c>
      <c r="AI2513" s="35"/>
      <c r="AJ2513" s="35"/>
      <c r="AK2513" s="35"/>
      <c r="AL2513" s="35">
        <f>1+433</f>
        <v>434</v>
      </c>
      <c r="AM2513" s="35"/>
      <c r="AN2513" s="35"/>
      <c r="AO2513" s="35"/>
      <c r="AP2513" s="35">
        <v>194</v>
      </c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22">
        <f t="shared" ref="BB2513:BB2576" si="796">SUM(AD2513:BA2513)</f>
        <v>698</v>
      </c>
      <c r="BC2513" s="23">
        <v>1463</v>
      </c>
      <c r="BD2513" s="130">
        <f t="shared" ref="BD2513:BD2576" si="797">AB2513+BB2513</f>
        <v>700</v>
      </c>
      <c r="BE2513" s="130">
        <f t="shared" ref="BE2513:BE2576" si="798">AC2513+BC2513</f>
        <v>1463</v>
      </c>
      <c r="BF2513" s="195">
        <f t="shared" ref="BF2513:BF2576" si="799">BD2513/BE2513*100</f>
        <v>47.846889952153113</v>
      </c>
      <c r="BG2513" s="373">
        <f>BE2513-BD2513</f>
        <v>763</v>
      </c>
    </row>
    <row r="2514" spans="1:59" s="46" customFormat="1" ht="15.95" customHeight="1">
      <c r="A2514" s="176">
        <v>133</v>
      </c>
      <c r="B2514" s="48" t="s">
        <v>1075</v>
      </c>
      <c r="C2514" s="32" t="s">
        <v>1076</v>
      </c>
      <c r="D2514" s="339"/>
      <c r="E2514" s="339"/>
      <c r="F2514" s="339"/>
      <c r="G2514" s="339"/>
      <c r="H2514" s="339"/>
      <c r="I2514" s="339"/>
      <c r="J2514" s="339"/>
      <c r="K2514" s="339"/>
      <c r="L2514" s="339"/>
      <c r="M2514" s="339"/>
      <c r="N2514" s="339"/>
      <c r="O2514" s="339"/>
      <c r="P2514" s="339"/>
      <c r="Q2514" s="339"/>
      <c r="R2514" s="339"/>
      <c r="S2514" s="339"/>
      <c r="T2514" s="339"/>
      <c r="U2514" s="339"/>
      <c r="V2514" s="339"/>
      <c r="W2514" s="339"/>
      <c r="X2514" s="339"/>
      <c r="Y2514" s="339"/>
      <c r="Z2514" s="339"/>
      <c r="AA2514" s="339"/>
      <c r="AB2514" s="22">
        <f t="shared" si="795"/>
        <v>0</v>
      </c>
      <c r="AC2514" s="23">
        <v>0</v>
      </c>
      <c r="AD2514" s="35">
        <v>5</v>
      </c>
      <c r="AE2514" s="35"/>
      <c r="AF2514" s="35"/>
      <c r="AG2514" s="35"/>
      <c r="AH2514" s="35">
        <f>31+4</f>
        <v>35</v>
      </c>
      <c r="AI2514" s="35"/>
      <c r="AJ2514" s="35"/>
      <c r="AK2514" s="35"/>
      <c r="AL2514" s="35">
        <f>1+134+4</f>
        <v>139</v>
      </c>
      <c r="AM2514" s="35"/>
      <c r="AN2514" s="35"/>
      <c r="AO2514" s="35"/>
      <c r="AP2514" s="35">
        <v>249</v>
      </c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22">
        <f t="shared" si="796"/>
        <v>428</v>
      </c>
      <c r="BC2514" s="23">
        <v>710</v>
      </c>
      <c r="BD2514" s="130">
        <f t="shared" si="797"/>
        <v>428</v>
      </c>
      <c r="BE2514" s="130">
        <f t="shared" si="798"/>
        <v>710</v>
      </c>
      <c r="BF2514" s="195">
        <f t="shared" si="799"/>
        <v>60.281690140845065</v>
      </c>
      <c r="BG2514" s="373">
        <f>BE2514-BD2514</f>
        <v>282</v>
      </c>
    </row>
    <row r="2515" spans="1:59" s="46" customFormat="1" ht="15.95" customHeight="1">
      <c r="A2515" s="176">
        <v>134</v>
      </c>
      <c r="B2515" s="48" t="s">
        <v>1382</v>
      </c>
      <c r="C2515" s="32" t="s">
        <v>4161</v>
      </c>
      <c r="D2515" s="574"/>
      <c r="E2515" s="574"/>
      <c r="F2515" s="574"/>
      <c r="G2515" s="574"/>
      <c r="H2515" s="574"/>
      <c r="I2515" s="574"/>
      <c r="J2515" s="574"/>
      <c r="K2515" s="574"/>
      <c r="L2515" s="574"/>
      <c r="M2515" s="574"/>
      <c r="N2515" s="574"/>
      <c r="O2515" s="574"/>
      <c r="P2515" s="574"/>
      <c r="Q2515" s="574"/>
      <c r="R2515" s="574"/>
      <c r="S2515" s="574"/>
      <c r="T2515" s="574"/>
      <c r="U2515" s="574"/>
      <c r="V2515" s="574"/>
      <c r="W2515" s="574"/>
      <c r="X2515" s="574"/>
      <c r="Y2515" s="574"/>
      <c r="Z2515" s="574"/>
      <c r="AA2515" s="574"/>
      <c r="AB2515" s="22">
        <f t="shared" si="795"/>
        <v>0</v>
      </c>
      <c r="AC2515" s="23">
        <v>0</v>
      </c>
      <c r="AD2515" s="35"/>
      <c r="AE2515" s="35"/>
      <c r="AF2515" s="35"/>
      <c r="AG2515" s="35"/>
      <c r="AH2515" s="35"/>
      <c r="AI2515" s="35"/>
      <c r="AJ2515" s="35"/>
      <c r="AK2515" s="35"/>
      <c r="AL2515" s="35"/>
      <c r="AM2515" s="35"/>
      <c r="AN2515" s="35"/>
      <c r="AO2515" s="35"/>
      <c r="AP2515" s="35">
        <v>1</v>
      </c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22">
        <f t="shared" si="796"/>
        <v>1</v>
      </c>
      <c r="BC2515" s="23">
        <v>0</v>
      </c>
      <c r="BD2515" s="130">
        <f t="shared" si="797"/>
        <v>1</v>
      </c>
      <c r="BE2515" s="130">
        <f t="shared" si="798"/>
        <v>0</v>
      </c>
      <c r="BF2515" s="195" t="e">
        <f t="shared" si="799"/>
        <v>#DIV/0!</v>
      </c>
      <c r="BG2515" s="373"/>
    </row>
    <row r="2516" spans="1:59" s="46" customFormat="1" ht="15.95" customHeight="1">
      <c r="A2516" s="176">
        <v>135</v>
      </c>
      <c r="B2516" s="48" t="s">
        <v>1383</v>
      </c>
      <c r="C2516" s="32" t="s">
        <v>4162</v>
      </c>
      <c r="D2516" s="574"/>
      <c r="E2516" s="574"/>
      <c r="F2516" s="574"/>
      <c r="G2516" s="574"/>
      <c r="H2516" s="574"/>
      <c r="I2516" s="574"/>
      <c r="J2516" s="574"/>
      <c r="K2516" s="574"/>
      <c r="L2516" s="574"/>
      <c r="M2516" s="574"/>
      <c r="N2516" s="574"/>
      <c r="O2516" s="574"/>
      <c r="P2516" s="574"/>
      <c r="Q2516" s="574"/>
      <c r="R2516" s="574"/>
      <c r="S2516" s="574"/>
      <c r="T2516" s="574"/>
      <c r="U2516" s="574"/>
      <c r="V2516" s="574"/>
      <c r="W2516" s="574"/>
      <c r="X2516" s="574"/>
      <c r="Y2516" s="574"/>
      <c r="Z2516" s="574"/>
      <c r="AA2516" s="574"/>
      <c r="AB2516" s="22">
        <f t="shared" si="795"/>
        <v>0</v>
      </c>
      <c r="AC2516" s="23">
        <v>0</v>
      </c>
      <c r="AD2516" s="35"/>
      <c r="AE2516" s="35"/>
      <c r="AF2516" s="35"/>
      <c r="AG2516" s="35"/>
      <c r="AH2516" s="35"/>
      <c r="AI2516" s="35"/>
      <c r="AJ2516" s="35"/>
      <c r="AK2516" s="35"/>
      <c r="AL2516" s="35"/>
      <c r="AM2516" s="35"/>
      <c r="AN2516" s="35"/>
      <c r="AO2516" s="35"/>
      <c r="AP2516" s="35">
        <v>1</v>
      </c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22">
        <f t="shared" si="796"/>
        <v>1</v>
      </c>
      <c r="BC2516" s="23">
        <v>0</v>
      </c>
      <c r="BD2516" s="130">
        <f t="shared" si="797"/>
        <v>1</v>
      </c>
      <c r="BE2516" s="130">
        <f t="shared" si="798"/>
        <v>0</v>
      </c>
      <c r="BF2516" s="195" t="e">
        <f t="shared" si="799"/>
        <v>#DIV/0!</v>
      </c>
      <c r="BG2516" s="373"/>
    </row>
    <row r="2517" spans="1:59" s="46" customFormat="1" ht="15.95" customHeight="1">
      <c r="A2517" s="176">
        <v>136</v>
      </c>
      <c r="B2517" s="48" t="s">
        <v>2070</v>
      </c>
      <c r="C2517" s="32" t="s">
        <v>3985</v>
      </c>
      <c r="D2517" s="550"/>
      <c r="E2517" s="550"/>
      <c r="F2517" s="550"/>
      <c r="G2517" s="550"/>
      <c r="H2517" s="550"/>
      <c r="I2517" s="550"/>
      <c r="J2517" s="550"/>
      <c r="K2517" s="550"/>
      <c r="L2517" s="550"/>
      <c r="M2517" s="550"/>
      <c r="N2517" s="550"/>
      <c r="O2517" s="550"/>
      <c r="P2517" s="550"/>
      <c r="Q2517" s="550"/>
      <c r="R2517" s="550"/>
      <c r="S2517" s="550"/>
      <c r="T2517" s="550"/>
      <c r="U2517" s="550"/>
      <c r="V2517" s="550"/>
      <c r="W2517" s="550"/>
      <c r="X2517" s="550"/>
      <c r="Y2517" s="550"/>
      <c r="Z2517" s="550"/>
      <c r="AA2517" s="550"/>
      <c r="AB2517" s="22">
        <f t="shared" si="795"/>
        <v>0</v>
      </c>
      <c r="AC2517" s="23">
        <v>0</v>
      </c>
      <c r="AD2517" s="35"/>
      <c r="AE2517" s="35"/>
      <c r="AF2517" s="35"/>
      <c r="AG2517" s="35"/>
      <c r="AH2517" s="35"/>
      <c r="AI2517" s="35"/>
      <c r="AJ2517" s="35"/>
      <c r="AK2517" s="35"/>
      <c r="AL2517" s="35">
        <v>1</v>
      </c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  <c r="AX2517" s="35"/>
      <c r="AY2517" s="35"/>
      <c r="AZ2517" s="35"/>
      <c r="BA2517" s="35"/>
      <c r="BB2517" s="22">
        <f t="shared" si="796"/>
        <v>1</v>
      </c>
      <c r="BC2517" s="23">
        <v>0</v>
      </c>
      <c r="BD2517" s="130">
        <f t="shared" si="797"/>
        <v>1</v>
      </c>
      <c r="BE2517" s="130">
        <f t="shared" si="798"/>
        <v>0</v>
      </c>
      <c r="BF2517" s="195" t="e">
        <f t="shared" si="799"/>
        <v>#DIV/0!</v>
      </c>
      <c r="BG2517" s="373"/>
    </row>
    <row r="2518" spans="1:59" s="46" customFormat="1" ht="15.95" customHeight="1">
      <c r="A2518" s="176">
        <v>137</v>
      </c>
      <c r="B2518" s="48" t="s">
        <v>3491</v>
      </c>
      <c r="C2518" s="32" t="s">
        <v>3535</v>
      </c>
      <c r="D2518" s="550"/>
      <c r="E2518" s="550"/>
      <c r="F2518" s="550"/>
      <c r="G2518" s="550"/>
      <c r="H2518" s="550"/>
      <c r="I2518" s="550"/>
      <c r="J2518" s="550"/>
      <c r="K2518" s="550"/>
      <c r="L2518" s="550"/>
      <c r="M2518" s="550"/>
      <c r="N2518" s="550"/>
      <c r="O2518" s="550"/>
      <c r="P2518" s="550"/>
      <c r="Q2518" s="550"/>
      <c r="R2518" s="550"/>
      <c r="S2518" s="550"/>
      <c r="T2518" s="550"/>
      <c r="U2518" s="550"/>
      <c r="V2518" s="550"/>
      <c r="W2518" s="550"/>
      <c r="X2518" s="550"/>
      <c r="Y2518" s="550"/>
      <c r="Z2518" s="550"/>
      <c r="AA2518" s="550"/>
      <c r="AB2518" s="22">
        <f t="shared" si="795"/>
        <v>0</v>
      </c>
      <c r="AC2518" s="23">
        <v>0</v>
      </c>
      <c r="AD2518" s="35"/>
      <c r="AE2518" s="35"/>
      <c r="AF2518" s="35"/>
      <c r="AG2518" s="35"/>
      <c r="AH2518" s="35"/>
      <c r="AI2518" s="35"/>
      <c r="AJ2518" s="35"/>
      <c r="AK2518" s="35"/>
      <c r="AL2518" s="35">
        <v>1</v>
      </c>
      <c r="AM2518" s="35"/>
      <c r="AN2518" s="35"/>
      <c r="AO2518" s="35"/>
      <c r="AP2518" s="35">
        <v>11</v>
      </c>
      <c r="AQ2518" s="35"/>
      <c r="AR2518" s="35"/>
      <c r="AS2518" s="35"/>
      <c r="AT2518" s="35"/>
      <c r="AU2518" s="35"/>
      <c r="AV2518" s="35"/>
      <c r="AW2518" s="35"/>
      <c r="AX2518" s="35"/>
      <c r="AY2518" s="35"/>
      <c r="AZ2518" s="35"/>
      <c r="BA2518" s="35"/>
      <c r="BB2518" s="22">
        <f t="shared" si="796"/>
        <v>12</v>
      </c>
      <c r="BC2518" s="23">
        <v>0</v>
      </c>
      <c r="BD2518" s="130">
        <f t="shared" si="797"/>
        <v>12</v>
      </c>
      <c r="BE2518" s="130">
        <f t="shared" si="798"/>
        <v>0</v>
      </c>
      <c r="BF2518" s="195" t="e">
        <f t="shared" si="799"/>
        <v>#DIV/0!</v>
      </c>
      <c r="BG2518" s="373"/>
    </row>
    <row r="2519" spans="1:59" s="46" customFormat="1" ht="15.95" customHeight="1">
      <c r="A2519" s="176">
        <v>138</v>
      </c>
      <c r="B2519" s="31" t="s">
        <v>1244</v>
      </c>
      <c r="C2519" s="32" t="s">
        <v>3218</v>
      </c>
      <c r="D2519" s="550"/>
      <c r="E2519" s="550"/>
      <c r="F2519" s="550"/>
      <c r="G2519" s="550"/>
      <c r="H2519" s="550"/>
      <c r="I2519" s="550"/>
      <c r="J2519" s="550"/>
      <c r="K2519" s="550"/>
      <c r="L2519" s="550"/>
      <c r="M2519" s="550"/>
      <c r="N2519" s="550"/>
      <c r="O2519" s="550"/>
      <c r="P2519" s="550"/>
      <c r="Q2519" s="550"/>
      <c r="R2519" s="550"/>
      <c r="S2519" s="550"/>
      <c r="T2519" s="550"/>
      <c r="U2519" s="550"/>
      <c r="V2519" s="550"/>
      <c r="W2519" s="550"/>
      <c r="X2519" s="550"/>
      <c r="Y2519" s="550"/>
      <c r="Z2519" s="550"/>
      <c r="AA2519" s="550"/>
      <c r="AB2519" s="22">
        <f t="shared" si="795"/>
        <v>0</v>
      </c>
      <c r="AC2519" s="23">
        <v>0</v>
      </c>
      <c r="AD2519" s="35"/>
      <c r="AE2519" s="35"/>
      <c r="AF2519" s="35"/>
      <c r="AG2519" s="35"/>
      <c r="AH2519" s="35"/>
      <c r="AI2519" s="35"/>
      <c r="AJ2519" s="35"/>
      <c r="AK2519" s="35"/>
      <c r="AL2519" s="35">
        <v>1</v>
      </c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  <c r="AX2519" s="35"/>
      <c r="AY2519" s="35"/>
      <c r="AZ2519" s="35"/>
      <c r="BA2519" s="35"/>
      <c r="BB2519" s="22">
        <f t="shared" si="796"/>
        <v>1</v>
      </c>
      <c r="BC2519" s="23">
        <v>0</v>
      </c>
      <c r="BD2519" s="130">
        <f t="shared" si="797"/>
        <v>1</v>
      </c>
      <c r="BE2519" s="130">
        <f t="shared" si="798"/>
        <v>0</v>
      </c>
      <c r="BF2519" s="195" t="e">
        <f t="shared" si="799"/>
        <v>#DIV/0!</v>
      </c>
      <c r="BG2519" s="373"/>
    </row>
    <row r="2520" spans="1:59" s="46" customFormat="1" ht="15.95" customHeight="1">
      <c r="A2520" s="176">
        <v>139</v>
      </c>
      <c r="B2520" s="31" t="s">
        <v>1384</v>
      </c>
      <c r="C2520" s="32" t="s">
        <v>2001</v>
      </c>
      <c r="D2520" s="231"/>
      <c r="E2520" s="231"/>
      <c r="F2520" s="231"/>
      <c r="G2520" s="231"/>
      <c r="H2520" s="231"/>
      <c r="I2520" s="231"/>
      <c r="J2520" s="231"/>
      <c r="K2520" s="231"/>
      <c r="L2520" s="231"/>
      <c r="M2520" s="231"/>
      <c r="N2520" s="231"/>
      <c r="O2520" s="231"/>
      <c r="P2520" s="231"/>
      <c r="Q2520" s="231"/>
      <c r="R2520" s="231"/>
      <c r="S2520" s="231"/>
      <c r="T2520" s="231"/>
      <c r="U2520" s="231"/>
      <c r="V2520" s="231"/>
      <c r="W2520" s="231"/>
      <c r="X2520" s="231"/>
      <c r="Y2520" s="231"/>
      <c r="Z2520" s="231"/>
      <c r="AA2520" s="231"/>
      <c r="AB2520" s="22">
        <f t="shared" si="795"/>
        <v>0</v>
      </c>
      <c r="AC2520" s="23">
        <v>0</v>
      </c>
      <c r="AD2520" s="35"/>
      <c r="AE2520" s="35"/>
      <c r="AF2520" s="35"/>
      <c r="AG2520" s="35"/>
      <c r="AH2520" s="35">
        <v>3</v>
      </c>
      <c r="AI2520" s="35"/>
      <c r="AJ2520" s="35"/>
      <c r="AK2520" s="35"/>
      <c r="AL2520" s="35">
        <v>4</v>
      </c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  <c r="AX2520" s="35"/>
      <c r="AY2520" s="35"/>
      <c r="AZ2520" s="35"/>
      <c r="BA2520" s="35"/>
      <c r="BB2520" s="22">
        <f t="shared" si="796"/>
        <v>7</v>
      </c>
      <c r="BC2520" s="23">
        <v>16</v>
      </c>
      <c r="BD2520" s="130">
        <f t="shared" si="797"/>
        <v>7</v>
      </c>
      <c r="BE2520" s="130">
        <f t="shared" si="798"/>
        <v>16</v>
      </c>
      <c r="BF2520" s="195">
        <f t="shared" si="799"/>
        <v>43.75</v>
      </c>
      <c r="BG2520" s="373">
        <f t="shared" ref="BG2520:BG2528" si="800">BE2520-BD2520</f>
        <v>9</v>
      </c>
    </row>
    <row r="2521" spans="1:59" s="46" customFormat="1" ht="15.95" customHeight="1">
      <c r="A2521" s="176">
        <v>140</v>
      </c>
      <c r="B2521" s="31" t="s">
        <v>1246</v>
      </c>
      <c r="C2521" s="32" t="s">
        <v>1335</v>
      </c>
      <c r="D2521" s="231"/>
      <c r="E2521" s="231"/>
      <c r="F2521" s="231"/>
      <c r="G2521" s="231"/>
      <c r="H2521" s="231"/>
      <c r="I2521" s="231"/>
      <c r="J2521" s="231"/>
      <c r="K2521" s="231"/>
      <c r="L2521" s="231"/>
      <c r="M2521" s="231"/>
      <c r="N2521" s="231"/>
      <c r="O2521" s="231"/>
      <c r="P2521" s="231"/>
      <c r="Q2521" s="231"/>
      <c r="R2521" s="231"/>
      <c r="S2521" s="231"/>
      <c r="T2521" s="231"/>
      <c r="U2521" s="231"/>
      <c r="V2521" s="231"/>
      <c r="W2521" s="231"/>
      <c r="X2521" s="231"/>
      <c r="Y2521" s="231"/>
      <c r="Z2521" s="231"/>
      <c r="AA2521" s="231"/>
      <c r="AB2521" s="22">
        <f t="shared" si="795"/>
        <v>0</v>
      </c>
      <c r="AC2521" s="23">
        <v>0</v>
      </c>
      <c r="AD2521" s="35"/>
      <c r="AE2521" s="35"/>
      <c r="AF2521" s="35"/>
      <c r="AG2521" s="35"/>
      <c r="AH2521" s="35"/>
      <c r="AI2521" s="35"/>
      <c r="AJ2521" s="35"/>
      <c r="AK2521" s="35"/>
      <c r="AL2521" s="35">
        <v>1</v>
      </c>
      <c r="AM2521" s="35"/>
      <c r="AN2521" s="35"/>
      <c r="AO2521" s="35"/>
      <c r="AP2521" s="35">
        <v>2</v>
      </c>
      <c r="AQ2521" s="35"/>
      <c r="AR2521" s="35"/>
      <c r="AS2521" s="35"/>
      <c r="AT2521" s="35"/>
      <c r="AU2521" s="35"/>
      <c r="AV2521" s="35"/>
      <c r="AW2521" s="35"/>
      <c r="AX2521" s="35"/>
      <c r="AY2521" s="35"/>
      <c r="AZ2521" s="35"/>
      <c r="BA2521" s="35"/>
      <c r="BB2521" s="22">
        <f t="shared" si="796"/>
        <v>3</v>
      </c>
      <c r="BC2521" s="23">
        <v>5</v>
      </c>
      <c r="BD2521" s="130">
        <f t="shared" si="797"/>
        <v>3</v>
      </c>
      <c r="BE2521" s="130">
        <f t="shared" si="798"/>
        <v>5</v>
      </c>
      <c r="BF2521" s="195">
        <f t="shared" si="799"/>
        <v>60</v>
      </c>
      <c r="BG2521" s="373">
        <f t="shared" si="800"/>
        <v>2</v>
      </c>
    </row>
    <row r="2522" spans="1:59" s="46" customFormat="1" ht="15.95" customHeight="1">
      <c r="A2522" s="176">
        <v>141</v>
      </c>
      <c r="B2522" s="31" t="s">
        <v>1248</v>
      </c>
      <c r="C2522" s="32" t="s">
        <v>1336</v>
      </c>
      <c r="D2522" s="231"/>
      <c r="E2522" s="231"/>
      <c r="F2522" s="231"/>
      <c r="G2522" s="231"/>
      <c r="H2522" s="231"/>
      <c r="I2522" s="231"/>
      <c r="J2522" s="231"/>
      <c r="K2522" s="231"/>
      <c r="L2522" s="231"/>
      <c r="M2522" s="231"/>
      <c r="N2522" s="231"/>
      <c r="O2522" s="231"/>
      <c r="P2522" s="231"/>
      <c r="Q2522" s="231"/>
      <c r="R2522" s="231"/>
      <c r="S2522" s="231"/>
      <c r="T2522" s="231"/>
      <c r="U2522" s="231"/>
      <c r="V2522" s="231"/>
      <c r="W2522" s="231"/>
      <c r="X2522" s="231"/>
      <c r="Y2522" s="231"/>
      <c r="Z2522" s="231"/>
      <c r="AA2522" s="231"/>
      <c r="AB2522" s="22">
        <f t="shared" si="795"/>
        <v>0</v>
      </c>
      <c r="AC2522" s="23">
        <v>0</v>
      </c>
      <c r="AD2522" s="35"/>
      <c r="AE2522" s="35"/>
      <c r="AF2522" s="35"/>
      <c r="AG2522" s="35"/>
      <c r="AH2522" s="35">
        <v>2</v>
      </c>
      <c r="AI2522" s="35"/>
      <c r="AJ2522" s="35"/>
      <c r="AK2522" s="35"/>
      <c r="AL2522" s="35">
        <v>17</v>
      </c>
      <c r="AM2522" s="35"/>
      <c r="AN2522" s="35"/>
      <c r="AO2522" s="35"/>
      <c r="AP2522" s="35">
        <v>1</v>
      </c>
      <c r="AQ2522" s="35"/>
      <c r="AR2522" s="35"/>
      <c r="AS2522" s="35"/>
      <c r="AT2522" s="35"/>
      <c r="AU2522" s="35"/>
      <c r="AV2522" s="35"/>
      <c r="AW2522" s="35"/>
      <c r="AX2522" s="35"/>
      <c r="AY2522" s="35"/>
      <c r="AZ2522" s="35"/>
      <c r="BA2522" s="35"/>
      <c r="BB2522" s="22">
        <f t="shared" si="796"/>
        <v>20</v>
      </c>
      <c r="BC2522" s="23">
        <v>36</v>
      </c>
      <c r="BD2522" s="130">
        <f t="shared" si="797"/>
        <v>20</v>
      </c>
      <c r="BE2522" s="130">
        <f t="shared" si="798"/>
        <v>36</v>
      </c>
      <c r="BF2522" s="195">
        <f t="shared" si="799"/>
        <v>55.555555555555557</v>
      </c>
      <c r="BG2522" s="373">
        <f t="shared" si="800"/>
        <v>16</v>
      </c>
    </row>
    <row r="2523" spans="1:59" s="46" customFormat="1" ht="15.95" customHeight="1">
      <c r="A2523" s="176">
        <v>142</v>
      </c>
      <c r="B2523" s="31" t="s">
        <v>1385</v>
      </c>
      <c r="C2523" s="32" t="s">
        <v>2002</v>
      </c>
      <c r="D2523" s="231"/>
      <c r="E2523" s="231"/>
      <c r="F2523" s="231"/>
      <c r="G2523" s="231"/>
      <c r="H2523" s="231"/>
      <c r="I2523" s="231"/>
      <c r="J2523" s="231"/>
      <c r="K2523" s="231"/>
      <c r="L2523" s="231"/>
      <c r="M2523" s="231"/>
      <c r="N2523" s="231"/>
      <c r="O2523" s="231"/>
      <c r="P2523" s="231"/>
      <c r="Q2523" s="231"/>
      <c r="R2523" s="231"/>
      <c r="S2523" s="231"/>
      <c r="T2523" s="231"/>
      <c r="U2523" s="231"/>
      <c r="V2523" s="231"/>
      <c r="W2523" s="231"/>
      <c r="X2523" s="231"/>
      <c r="Y2523" s="231"/>
      <c r="Z2523" s="231"/>
      <c r="AA2523" s="231"/>
      <c r="AB2523" s="22">
        <f t="shared" si="795"/>
        <v>0</v>
      </c>
      <c r="AC2523" s="23">
        <v>0</v>
      </c>
      <c r="AD2523" s="35"/>
      <c r="AE2523" s="35"/>
      <c r="AF2523" s="35"/>
      <c r="AG2523" s="35"/>
      <c r="AH2523" s="35"/>
      <c r="AI2523" s="35"/>
      <c r="AJ2523" s="35"/>
      <c r="AK2523" s="35"/>
      <c r="AL2523" s="35">
        <v>2</v>
      </c>
      <c r="AM2523" s="35"/>
      <c r="AN2523" s="35"/>
      <c r="AO2523" s="35"/>
      <c r="AP2523" s="35">
        <v>1</v>
      </c>
      <c r="AQ2523" s="35"/>
      <c r="AR2523" s="35"/>
      <c r="AS2523" s="35"/>
      <c r="AT2523" s="35"/>
      <c r="AU2523" s="35"/>
      <c r="AV2523" s="35"/>
      <c r="AW2523" s="35"/>
      <c r="AX2523" s="35"/>
      <c r="AY2523" s="35"/>
      <c r="AZ2523" s="35"/>
      <c r="BA2523" s="35"/>
      <c r="BB2523" s="22">
        <f t="shared" si="796"/>
        <v>3</v>
      </c>
      <c r="BC2523" s="23">
        <v>17</v>
      </c>
      <c r="BD2523" s="130">
        <f t="shared" si="797"/>
        <v>3</v>
      </c>
      <c r="BE2523" s="130">
        <f t="shared" si="798"/>
        <v>17</v>
      </c>
      <c r="BF2523" s="195">
        <f t="shared" si="799"/>
        <v>17.647058823529413</v>
      </c>
      <c r="BG2523" s="373">
        <f t="shared" si="800"/>
        <v>14</v>
      </c>
    </row>
    <row r="2524" spans="1:59" s="46" customFormat="1" ht="15.95" customHeight="1">
      <c r="A2524" s="176">
        <v>143</v>
      </c>
      <c r="B2524" s="31" t="s">
        <v>1337</v>
      </c>
      <c r="C2524" s="32" t="s">
        <v>1338</v>
      </c>
      <c r="D2524" s="231"/>
      <c r="E2524" s="231"/>
      <c r="F2524" s="231"/>
      <c r="G2524" s="231"/>
      <c r="H2524" s="231"/>
      <c r="I2524" s="231"/>
      <c r="J2524" s="231"/>
      <c r="K2524" s="231"/>
      <c r="L2524" s="231"/>
      <c r="M2524" s="231"/>
      <c r="N2524" s="231"/>
      <c r="O2524" s="231"/>
      <c r="P2524" s="231"/>
      <c r="Q2524" s="231"/>
      <c r="R2524" s="231"/>
      <c r="S2524" s="231"/>
      <c r="T2524" s="231"/>
      <c r="U2524" s="231"/>
      <c r="V2524" s="231"/>
      <c r="W2524" s="231"/>
      <c r="X2524" s="231"/>
      <c r="Y2524" s="231"/>
      <c r="Z2524" s="231"/>
      <c r="AA2524" s="231"/>
      <c r="AB2524" s="22">
        <f t="shared" si="795"/>
        <v>0</v>
      </c>
      <c r="AC2524" s="23">
        <v>0</v>
      </c>
      <c r="AD2524" s="35"/>
      <c r="AE2524" s="35"/>
      <c r="AF2524" s="35"/>
      <c r="AG2524" s="35"/>
      <c r="AH2524" s="35">
        <v>2</v>
      </c>
      <c r="AI2524" s="35"/>
      <c r="AJ2524" s="35"/>
      <c r="AK2524" s="35"/>
      <c r="AL2524" s="35">
        <v>2</v>
      </c>
      <c r="AM2524" s="35"/>
      <c r="AN2524" s="35"/>
      <c r="AO2524" s="35"/>
      <c r="AP2524" s="35">
        <v>1</v>
      </c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22">
        <f t="shared" si="796"/>
        <v>5</v>
      </c>
      <c r="BC2524" s="23">
        <v>28</v>
      </c>
      <c r="BD2524" s="130">
        <f t="shared" si="797"/>
        <v>5</v>
      </c>
      <c r="BE2524" s="130">
        <f t="shared" si="798"/>
        <v>28</v>
      </c>
      <c r="BF2524" s="195">
        <f t="shared" si="799"/>
        <v>17.857142857142858</v>
      </c>
      <c r="BG2524" s="373">
        <f t="shared" si="800"/>
        <v>23</v>
      </c>
    </row>
    <row r="2525" spans="1:59" s="46" customFormat="1" ht="15" customHeight="1">
      <c r="A2525" s="176">
        <v>144</v>
      </c>
      <c r="B2525" s="31" t="s">
        <v>1387</v>
      </c>
      <c r="C2525" s="32" t="s">
        <v>2003</v>
      </c>
      <c r="D2525" s="231"/>
      <c r="E2525" s="231"/>
      <c r="F2525" s="231"/>
      <c r="G2525" s="231"/>
      <c r="H2525" s="231"/>
      <c r="I2525" s="231"/>
      <c r="J2525" s="231"/>
      <c r="K2525" s="231"/>
      <c r="L2525" s="231"/>
      <c r="M2525" s="231"/>
      <c r="N2525" s="231"/>
      <c r="O2525" s="231"/>
      <c r="P2525" s="231"/>
      <c r="Q2525" s="231"/>
      <c r="R2525" s="231"/>
      <c r="S2525" s="231"/>
      <c r="T2525" s="231"/>
      <c r="U2525" s="231"/>
      <c r="V2525" s="231"/>
      <c r="W2525" s="231"/>
      <c r="X2525" s="231"/>
      <c r="Y2525" s="231"/>
      <c r="Z2525" s="231"/>
      <c r="AA2525" s="231"/>
      <c r="AB2525" s="22">
        <f t="shared" si="795"/>
        <v>0</v>
      </c>
      <c r="AC2525" s="23">
        <v>0</v>
      </c>
      <c r="AD2525" s="35"/>
      <c r="AE2525" s="35"/>
      <c r="AF2525" s="35"/>
      <c r="AG2525" s="35"/>
      <c r="AH2525" s="35">
        <v>1</v>
      </c>
      <c r="AI2525" s="35"/>
      <c r="AJ2525" s="35"/>
      <c r="AK2525" s="35"/>
      <c r="AL2525" s="35"/>
      <c r="AM2525" s="35"/>
      <c r="AN2525" s="35"/>
      <c r="AO2525" s="35"/>
      <c r="AP2525" s="35">
        <v>3</v>
      </c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22">
        <f t="shared" si="796"/>
        <v>4</v>
      </c>
      <c r="BC2525" s="23">
        <v>17</v>
      </c>
      <c r="BD2525" s="130">
        <f t="shared" si="797"/>
        <v>4</v>
      </c>
      <c r="BE2525" s="130">
        <f t="shared" si="798"/>
        <v>17</v>
      </c>
      <c r="BF2525" s="195">
        <f t="shared" si="799"/>
        <v>23.52941176470588</v>
      </c>
      <c r="BG2525" s="373">
        <f t="shared" si="800"/>
        <v>13</v>
      </c>
    </row>
    <row r="2526" spans="1:59" s="46" customFormat="1" ht="15" customHeight="1">
      <c r="A2526" s="176">
        <v>145</v>
      </c>
      <c r="B2526" s="31" t="s">
        <v>1388</v>
      </c>
      <c r="C2526" s="32" t="s">
        <v>2174</v>
      </c>
      <c r="D2526" s="231"/>
      <c r="E2526" s="231"/>
      <c r="F2526" s="231"/>
      <c r="G2526" s="231"/>
      <c r="H2526" s="231"/>
      <c r="I2526" s="231"/>
      <c r="J2526" s="231"/>
      <c r="K2526" s="231"/>
      <c r="L2526" s="231"/>
      <c r="M2526" s="231"/>
      <c r="N2526" s="231"/>
      <c r="O2526" s="231"/>
      <c r="P2526" s="231"/>
      <c r="Q2526" s="231"/>
      <c r="R2526" s="231"/>
      <c r="S2526" s="231"/>
      <c r="T2526" s="231"/>
      <c r="U2526" s="231"/>
      <c r="V2526" s="231"/>
      <c r="W2526" s="231"/>
      <c r="X2526" s="231"/>
      <c r="Y2526" s="231"/>
      <c r="Z2526" s="231"/>
      <c r="AA2526" s="231"/>
      <c r="AB2526" s="22">
        <f t="shared" si="795"/>
        <v>0</v>
      </c>
      <c r="AC2526" s="23">
        <v>0</v>
      </c>
      <c r="AD2526" s="35"/>
      <c r="AE2526" s="35"/>
      <c r="AF2526" s="35"/>
      <c r="AG2526" s="35"/>
      <c r="AH2526" s="35">
        <v>1</v>
      </c>
      <c r="AI2526" s="35"/>
      <c r="AJ2526" s="35"/>
      <c r="AK2526" s="35"/>
      <c r="AL2526" s="35">
        <v>1</v>
      </c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22">
        <f t="shared" si="796"/>
        <v>2</v>
      </c>
      <c r="BC2526" s="23">
        <v>6</v>
      </c>
      <c r="BD2526" s="130">
        <f t="shared" si="797"/>
        <v>2</v>
      </c>
      <c r="BE2526" s="130">
        <f t="shared" si="798"/>
        <v>6</v>
      </c>
      <c r="BF2526" s="195">
        <f t="shared" si="799"/>
        <v>33.333333333333329</v>
      </c>
      <c r="BG2526" s="373">
        <f t="shared" si="800"/>
        <v>4</v>
      </c>
    </row>
    <row r="2527" spans="1:59" s="46" customFormat="1" ht="15.95" customHeight="1">
      <c r="A2527" s="176">
        <v>146</v>
      </c>
      <c r="B2527" s="31" t="s">
        <v>2155</v>
      </c>
      <c r="C2527" s="32" t="s">
        <v>2156</v>
      </c>
      <c r="D2527" s="231"/>
      <c r="E2527" s="231"/>
      <c r="F2527" s="231"/>
      <c r="G2527" s="231"/>
      <c r="H2527" s="231"/>
      <c r="I2527" s="231"/>
      <c r="J2527" s="231"/>
      <c r="K2527" s="231"/>
      <c r="L2527" s="231"/>
      <c r="M2527" s="231"/>
      <c r="N2527" s="231"/>
      <c r="O2527" s="231"/>
      <c r="P2527" s="231"/>
      <c r="Q2527" s="231"/>
      <c r="R2527" s="231"/>
      <c r="S2527" s="231"/>
      <c r="T2527" s="231"/>
      <c r="U2527" s="231"/>
      <c r="V2527" s="231"/>
      <c r="W2527" s="231"/>
      <c r="X2527" s="231"/>
      <c r="Y2527" s="231"/>
      <c r="Z2527" s="231"/>
      <c r="AA2527" s="231"/>
      <c r="AB2527" s="22">
        <f t="shared" si="795"/>
        <v>0</v>
      </c>
      <c r="AC2527" s="23">
        <v>0</v>
      </c>
      <c r="AD2527" s="35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  <c r="AX2527" s="35"/>
      <c r="AY2527" s="35"/>
      <c r="AZ2527" s="35"/>
      <c r="BA2527" s="35"/>
      <c r="BB2527" s="22">
        <f t="shared" si="796"/>
        <v>0</v>
      </c>
      <c r="BC2527" s="23">
        <v>1</v>
      </c>
      <c r="BD2527" s="130">
        <f t="shared" si="797"/>
        <v>0</v>
      </c>
      <c r="BE2527" s="130">
        <f t="shared" si="798"/>
        <v>1</v>
      </c>
      <c r="BF2527" s="195">
        <f t="shared" si="799"/>
        <v>0</v>
      </c>
      <c r="BG2527" s="373">
        <f t="shared" si="800"/>
        <v>1</v>
      </c>
    </row>
    <row r="2528" spans="1:59" s="46" customFormat="1" ht="15.95" customHeight="1">
      <c r="A2528" s="176">
        <v>147</v>
      </c>
      <c r="B2528" s="31" t="s">
        <v>2818</v>
      </c>
      <c r="C2528" s="32" t="s">
        <v>2154</v>
      </c>
      <c r="D2528" s="231"/>
      <c r="E2528" s="231"/>
      <c r="F2528" s="231"/>
      <c r="G2528" s="231"/>
      <c r="H2528" s="231"/>
      <c r="I2528" s="231"/>
      <c r="J2528" s="231"/>
      <c r="K2528" s="231"/>
      <c r="L2528" s="231"/>
      <c r="M2528" s="231"/>
      <c r="N2528" s="231"/>
      <c r="O2528" s="231"/>
      <c r="P2528" s="231"/>
      <c r="Q2528" s="231"/>
      <c r="R2528" s="231"/>
      <c r="S2528" s="231"/>
      <c r="T2528" s="231"/>
      <c r="U2528" s="231"/>
      <c r="V2528" s="231"/>
      <c r="W2528" s="231"/>
      <c r="X2528" s="231"/>
      <c r="Y2528" s="231"/>
      <c r="Z2528" s="231"/>
      <c r="AA2528" s="231"/>
      <c r="AB2528" s="22">
        <f t="shared" si="795"/>
        <v>0</v>
      </c>
      <c r="AC2528" s="23">
        <v>0</v>
      </c>
      <c r="AD2528" s="35"/>
      <c r="AE2528" s="35"/>
      <c r="AF2528" s="35"/>
      <c r="AG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  <c r="AX2528" s="35"/>
      <c r="AY2528" s="35"/>
      <c r="AZ2528" s="35"/>
      <c r="BA2528" s="35"/>
      <c r="BB2528" s="22">
        <f t="shared" si="796"/>
        <v>0</v>
      </c>
      <c r="BC2528" s="23">
        <v>2</v>
      </c>
      <c r="BD2528" s="130">
        <f t="shared" si="797"/>
        <v>0</v>
      </c>
      <c r="BE2528" s="130">
        <f t="shared" si="798"/>
        <v>2</v>
      </c>
      <c r="BF2528" s="195">
        <f t="shared" si="799"/>
        <v>0</v>
      </c>
      <c r="BG2528" s="373">
        <f t="shared" si="800"/>
        <v>2</v>
      </c>
    </row>
    <row r="2529" spans="1:59" s="46" customFormat="1" ht="15.95" customHeight="1">
      <c r="A2529" s="176">
        <v>148</v>
      </c>
      <c r="B2529" s="31" t="s">
        <v>1390</v>
      </c>
      <c r="C2529" s="32" t="s">
        <v>1336</v>
      </c>
      <c r="D2529" s="550"/>
      <c r="E2529" s="550"/>
      <c r="F2529" s="550"/>
      <c r="G2529" s="550"/>
      <c r="H2529" s="550"/>
      <c r="I2529" s="550"/>
      <c r="J2529" s="550"/>
      <c r="K2529" s="550"/>
      <c r="L2529" s="550"/>
      <c r="M2529" s="550"/>
      <c r="N2529" s="550"/>
      <c r="O2529" s="550"/>
      <c r="P2529" s="550"/>
      <c r="Q2529" s="550"/>
      <c r="R2529" s="550"/>
      <c r="S2529" s="550"/>
      <c r="T2529" s="550"/>
      <c r="U2529" s="550"/>
      <c r="V2529" s="550"/>
      <c r="W2529" s="550"/>
      <c r="X2529" s="550"/>
      <c r="Y2529" s="550"/>
      <c r="Z2529" s="550"/>
      <c r="AA2529" s="550"/>
      <c r="AB2529" s="22">
        <f t="shared" si="795"/>
        <v>0</v>
      </c>
      <c r="AC2529" s="23">
        <v>0</v>
      </c>
      <c r="AD2529" s="35"/>
      <c r="AE2529" s="35"/>
      <c r="AF2529" s="35"/>
      <c r="AG2529" s="35"/>
      <c r="AH2529" s="35"/>
      <c r="AI2529" s="35"/>
      <c r="AJ2529" s="35"/>
      <c r="AK2529" s="35"/>
      <c r="AL2529" s="35">
        <v>1</v>
      </c>
      <c r="AM2529" s="35"/>
      <c r="AN2529" s="35"/>
      <c r="AO2529" s="35"/>
      <c r="AP2529" s="35">
        <v>1</v>
      </c>
      <c r="AQ2529" s="35"/>
      <c r="AR2529" s="35"/>
      <c r="AS2529" s="35"/>
      <c r="AT2529" s="35"/>
      <c r="AU2529" s="35"/>
      <c r="AV2529" s="35"/>
      <c r="AW2529" s="35"/>
      <c r="AX2529" s="35"/>
      <c r="AY2529" s="35"/>
      <c r="AZ2529" s="35"/>
      <c r="BA2529" s="35"/>
      <c r="BB2529" s="22">
        <f t="shared" si="796"/>
        <v>2</v>
      </c>
      <c r="BC2529" s="23">
        <v>0</v>
      </c>
      <c r="BD2529" s="130">
        <f t="shared" si="797"/>
        <v>2</v>
      </c>
      <c r="BE2529" s="130">
        <f t="shared" si="798"/>
        <v>0</v>
      </c>
      <c r="BF2529" s="195" t="e">
        <f t="shared" si="799"/>
        <v>#DIV/0!</v>
      </c>
      <c r="BG2529" s="373"/>
    </row>
    <row r="2530" spans="1:59" s="46" customFormat="1" ht="15.95" customHeight="1">
      <c r="A2530" s="176">
        <v>149</v>
      </c>
      <c r="B2530" s="31" t="s">
        <v>1391</v>
      </c>
      <c r="C2530" s="32" t="s">
        <v>2094</v>
      </c>
      <c r="D2530" s="231"/>
      <c r="E2530" s="231"/>
      <c r="F2530" s="231"/>
      <c r="G2530" s="231"/>
      <c r="H2530" s="231"/>
      <c r="I2530" s="231"/>
      <c r="J2530" s="231"/>
      <c r="K2530" s="231"/>
      <c r="L2530" s="231"/>
      <c r="M2530" s="231"/>
      <c r="N2530" s="231"/>
      <c r="O2530" s="231"/>
      <c r="P2530" s="231"/>
      <c r="Q2530" s="231"/>
      <c r="R2530" s="231"/>
      <c r="S2530" s="231"/>
      <c r="T2530" s="231"/>
      <c r="U2530" s="231"/>
      <c r="V2530" s="231"/>
      <c r="W2530" s="231"/>
      <c r="X2530" s="231"/>
      <c r="Y2530" s="231"/>
      <c r="Z2530" s="231"/>
      <c r="AA2530" s="231"/>
      <c r="AB2530" s="22">
        <f t="shared" si="795"/>
        <v>0</v>
      </c>
      <c r="AC2530" s="23">
        <v>0</v>
      </c>
      <c r="AD2530" s="35"/>
      <c r="AE2530" s="35"/>
      <c r="AF2530" s="35"/>
      <c r="AG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22">
        <f t="shared" si="796"/>
        <v>0</v>
      </c>
      <c r="BC2530" s="23">
        <v>3</v>
      </c>
      <c r="BD2530" s="130">
        <f t="shared" si="797"/>
        <v>0</v>
      </c>
      <c r="BE2530" s="130">
        <f t="shared" si="798"/>
        <v>3</v>
      </c>
      <c r="BF2530" s="195">
        <f t="shared" si="799"/>
        <v>0</v>
      </c>
      <c r="BG2530" s="373">
        <f t="shared" ref="BG2530:BG2535" si="801">BE2530-BD2530</f>
        <v>3</v>
      </c>
    </row>
    <row r="2531" spans="1:59" s="46" customFormat="1" ht="15.95" customHeight="1">
      <c r="A2531" s="176">
        <v>150</v>
      </c>
      <c r="B2531" s="31" t="s">
        <v>1339</v>
      </c>
      <c r="C2531" s="32" t="s">
        <v>1340</v>
      </c>
      <c r="D2531" s="231"/>
      <c r="E2531" s="231"/>
      <c r="F2531" s="231"/>
      <c r="G2531" s="231"/>
      <c r="H2531" s="231"/>
      <c r="I2531" s="231"/>
      <c r="J2531" s="231"/>
      <c r="K2531" s="231"/>
      <c r="L2531" s="231"/>
      <c r="M2531" s="231"/>
      <c r="N2531" s="231"/>
      <c r="O2531" s="231"/>
      <c r="P2531" s="231"/>
      <c r="Q2531" s="231"/>
      <c r="R2531" s="231"/>
      <c r="S2531" s="231"/>
      <c r="T2531" s="231"/>
      <c r="U2531" s="231"/>
      <c r="V2531" s="231"/>
      <c r="W2531" s="231"/>
      <c r="X2531" s="231"/>
      <c r="Y2531" s="231"/>
      <c r="Z2531" s="231"/>
      <c r="AA2531" s="231"/>
      <c r="AB2531" s="22">
        <f t="shared" si="795"/>
        <v>0</v>
      </c>
      <c r="AC2531" s="23">
        <v>0</v>
      </c>
      <c r="AD2531" s="35"/>
      <c r="AE2531" s="35"/>
      <c r="AF2531" s="35"/>
      <c r="AG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  <c r="AX2531" s="35"/>
      <c r="AY2531" s="35"/>
      <c r="AZ2531" s="35"/>
      <c r="BA2531" s="35"/>
      <c r="BB2531" s="22">
        <f t="shared" si="796"/>
        <v>0</v>
      </c>
      <c r="BC2531" s="23">
        <v>91</v>
      </c>
      <c r="BD2531" s="130">
        <f t="shared" si="797"/>
        <v>0</v>
      </c>
      <c r="BE2531" s="130">
        <f t="shared" si="798"/>
        <v>91</v>
      </c>
      <c r="BF2531" s="195">
        <f t="shared" si="799"/>
        <v>0</v>
      </c>
      <c r="BG2531" s="373">
        <f t="shared" si="801"/>
        <v>91</v>
      </c>
    </row>
    <row r="2532" spans="1:59" s="46" customFormat="1" ht="15.95" customHeight="1">
      <c r="A2532" s="176">
        <v>151</v>
      </c>
      <c r="B2532" s="31" t="s">
        <v>2316</v>
      </c>
      <c r="C2532" s="32" t="s">
        <v>2318</v>
      </c>
      <c r="D2532" s="231"/>
      <c r="E2532" s="231"/>
      <c r="F2532" s="231"/>
      <c r="G2532" s="231"/>
      <c r="H2532" s="231"/>
      <c r="I2532" s="231"/>
      <c r="J2532" s="231"/>
      <c r="K2532" s="231"/>
      <c r="L2532" s="231"/>
      <c r="M2532" s="231"/>
      <c r="N2532" s="231"/>
      <c r="O2532" s="231"/>
      <c r="P2532" s="231"/>
      <c r="Q2532" s="231"/>
      <c r="R2532" s="231"/>
      <c r="S2532" s="231"/>
      <c r="T2532" s="231"/>
      <c r="U2532" s="231"/>
      <c r="V2532" s="231"/>
      <c r="W2532" s="231"/>
      <c r="X2532" s="231"/>
      <c r="Y2532" s="231"/>
      <c r="Z2532" s="231"/>
      <c r="AA2532" s="231"/>
      <c r="AB2532" s="22">
        <f t="shared" si="795"/>
        <v>0</v>
      </c>
      <c r="AC2532" s="23">
        <v>0</v>
      </c>
      <c r="AD2532" s="35"/>
      <c r="AE2532" s="35"/>
      <c r="AF2532" s="35"/>
      <c r="AG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22">
        <f t="shared" si="796"/>
        <v>0</v>
      </c>
      <c r="BC2532" s="23">
        <v>6</v>
      </c>
      <c r="BD2532" s="130">
        <f t="shared" si="797"/>
        <v>0</v>
      </c>
      <c r="BE2532" s="130">
        <f t="shared" si="798"/>
        <v>6</v>
      </c>
      <c r="BF2532" s="195">
        <f t="shared" si="799"/>
        <v>0</v>
      </c>
      <c r="BG2532" s="373">
        <f t="shared" si="801"/>
        <v>6</v>
      </c>
    </row>
    <row r="2533" spans="1:59" s="46" customFormat="1" ht="15.95" customHeight="1">
      <c r="A2533" s="176">
        <v>152</v>
      </c>
      <c r="B2533" s="31" t="s">
        <v>1393</v>
      </c>
      <c r="C2533" s="32" t="s">
        <v>2819</v>
      </c>
      <c r="D2533" s="231"/>
      <c r="E2533" s="231"/>
      <c r="F2533" s="231"/>
      <c r="G2533" s="231"/>
      <c r="H2533" s="231"/>
      <c r="I2533" s="231"/>
      <c r="J2533" s="231"/>
      <c r="K2533" s="231"/>
      <c r="L2533" s="231"/>
      <c r="M2533" s="231"/>
      <c r="N2533" s="231"/>
      <c r="O2533" s="231"/>
      <c r="P2533" s="231"/>
      <c r="Q2533" s="231"/>
      <c r="R2533" s="231"/>
      <c r="S2533" s="231"/>
      <c r="T2533" s="231"/>
      <c r="U2533" s="231"/>
      <c r="V2533" s="231"/>
      <c r="W2533" s="231"/>
      <c r="X2533" s="231"/>
      <c r="Y2533" s="231"/>
      <c r="Z2533" s="231"/>
      <c r="AA2533" s="231"/>
      <c r="AB2533" s="22">
        <f t="shared" si="795"/>
        <v>0</v>
      </c>
      <c r="AC2533" s="23">
        <v>0</v>
      </c>
      <c r="AD2533" s="35"/>
      <c r="AE2533" s="35"/>
      <c r="AF2533" s="35"/>
      <c r="AG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22">
        <f t="shared" si="796"/>
        <v>0</v>
      </c>
      <c r="BC2533" s="23">
        <v>4</v>
      </c>
      <c r="BD2533" s="130">
        <f t="shared" si="797"/>
        <v>0</v>
      </c>
      <c r="BE2533" s="130">
        <f t="shared" si="798"/>
        <v>4</v>
      </c>
      <c r="BF2533" s="195">
        <f t="shared" si="799"/>
        <v>0</v>
      </c>
      <c r="BG2533" s="373">
        <f t="shared" si="801"/>
        <v>4</v>
      </c>
    </row>
    <row r="2534" spans="1:59" s="46" customFormat="1" ht="15.95" customHeight="1">
      <c r="A2534" s="176">
        <v>153</v>
      </c>
      <c r="B2534" s="31" t="s">
        <v>1077</v>
      </c>
      <c r="C2534" s="32" t="s">
        <v>2175</v>
      </c>
      <c r="D2534" s="231"/>
      <c r="E2534" s="231"/>
      <c r="F2534" s="231"/>
      <c r="G2534" s="231"/>
      <c r="H2534" s="231"/>
      <c r="I2534" s="231"/>
      <c r="J2534" s="231"/>
      <c r="K2534" s="231"/>
      <c r="L2534" s="231"/>
      <c r="M2534" s="231"/>
      <c r="N2534" s="231"/>
      <c r="O2534" s="231"/>
      <c r="P2534" s="231"/>
      <c r="Q2534" s="231"/>
      <c r="R2534" s="231"/>
      <c r="S2534" s="231"/>
      <c r="T2534" s="231"/>
      <c r="U2534" s="231"/>
      <c r="V2534" s="231"/>
      <c r="W2534" s="231"/>
      <c r="X2534" s="231"/>
      <c r="Y2534" s="231"/>
      <c r="Z2534" s="231"/>
      <c r="AA2534" s="231"/>
      <c r="AB2534" s="22">
        <f t="shared" si="795"/>
        <v>0</v>
      </c>
      <c r="AC2534" s="23">
        <v>0</v>
      </c>
      <c r="AD2534" s="35"/>
      <c r="AE2534" s="35"/>
      <c r="AF2534" s="35"/>
      <c r="AG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  <c r="AX2534" s="35"/>
      <c r="AY2534" s="35"/>
      <c r="AZ2534" s="35"/>
      <c r="BA2534" s="35"/>
      <c r="BB2534" s="22">
        <f t="shared" si="796"/>
        <v>0</v>
      </c>
      <c r="BC2534" s="23">
        <v>2</v>
      </c>
      <c r="BD2534" s="130">
        <f t="shared" si="797"/>
        <v>0</v>
      </c>
      <c r="BE2534" s="130">
        <f t="shared" si="798"/>
        <v>2</v>
      </c>
      <c r="BF2534" s="195">
        <f t="shared" si="799"/>
        <v>0</v>
      </c>
      <c r="BG2534" s="373">
        <f t="shared" si="801"/>
        <v>2</v>
      </c>
    </row>
    <row r="2535" spans="1:59" s="46" customFormat="1" ht="15.95" customHeight="1">
      <c r="A2535" s="176">
        <v>154</v>
      </c>
      <c r="B2535" s="31" t="s">
        <v>1341</v>
      </c>
      <c r="C2535" s="32" t="s">
        <v>1342</v>
      </c>
      <c r="D2535" s="231"/>
      <c r="E2535" s="231"/>
      <c r="F2535" s="231"/>
      <c r="G2535" s="231"/>
      <c r="H2535" s="231"/>
      <c r="I2535" s="231"/>
      <c r="J2535" s="231"/>
      <c r="K2535" s="231"/>
      <c r="L2535" s="231"/>
      <c r="M2535" s="231"/>
      <c r="N2535" s="231"/>
      <c r="O2535" s="231"/>
      <c r="P2535" s="231"/>
      <c r="Q2535" s="231"/>
      <c r="R2535" s="231"/>
      <c r="S2535" s="231"/>
      <c r="T2535" s="231"/>
      <c r="U2535" s="231"/>
      <c r="V2535" s="231"/>
      <c r="W2535" s="231"/>
      <c r="X2535" s="231"/>
      <c r="Y2535" s="231"/>
      <c r="Z2535" s="231"/>
      <c r="AA2535" s="231"/>
      <c r="AB2535" s="22">
        <f t="shared" si="795"/>
        <v>0</v>
      </c>
      <c r="AC2535" s="23">
        <v>0</v>
      </c>
      <c r="AD2535" s="35"/>
      <c r="AE2535" s="35"/>
      <c r="AF2535" s="35"/>
      <c r="AG2535" s="35"/>
      <c r="AH2535" s="35"/>
      <c r="AI2535" s="35"/>
      <c r="AJ2535" s="35"/>
      <c r="AK2535" s="35"/>
      <c r="AL2535" s="35"/>
      <c r="AM2535" s="35"/>
      <c r="AN2535" s="35"/>
      <c r="AO2535" s="35"/>
      <c r="AP2535" s="35">
        <v>1</v>
      </c>
      <c r="AQ2535" s="35"/>
      <c r="AR2535" s="35"/>
      <c r="AS2535" s="35"/>
      <c r="AT2535" s="35"/>
      <c r="AU2535" s="35"/>
      <c r="AV2535" s="35"/>
      <c r="AW2535" s="35"/>
      <c r="AX2535" s="35"/>
      <c r="AY2535" s="35"/>
      <c r="AZ2535" s="35"/>
      <c r="BA2535" s="35"/>
      <c r="BB2535" s="22">
        <f t="shared" si="796"/>
        <v>1</v>
      </c>
      <c r="BC2535" s="23">
        <v>5</v>
      </c>
      <c r="BD2535" s="130">
        <f t="shared" si="797"/>
        <v>1</v>
      </c>
      <c r="BE2535" s="130">
        <f t="shared" si="798"/>
        <v>5</v>
      </c>
      <c r="BF2535" s="195">
        <f t="shared" si="799"/>
        <v>20</v>
      </c>
      <c r="BG2535" s="373">
        <f t="shared" si="801"/>
        <v>4</v>
      </c>
    </row>
    <row r="2536" spans="1:59" s="46" customFormat="1" ht="15.95" customHeight="1">
      <c r="A2536" s="176">
        <v>155</v>
      </c>
      <c r="B2536" s="31" t="s">
        <v>4163</v>
      </c>
      <c r="C2536" s="32" t="s">
        <v>4164</v>
      </c>
      <c r="D2536" s="574"/>
      <c r="E2536" s="574"/>
      <c r="F2536" s="574"/>
      <c r="G2536" s="574"/>
      <c r="H2536" s="574"/>
      <c r="I2536" s="574"/>
      <c r="J2536" s="574"/>
      <c r="K2536" s="574"/>
      <c r="L2536" s="574"/>
      <c r="M2536" s="574"/>
      <c r="N2536" s="574"/>
      <c r="O2536" s="574"/>
      <c r="P2536" s="574"/>
      <c r="Q2536" s="574"/>
      <c r="R2536" s="574"/>
      <c r="S2536" s="574"/>
      <c r="T2536" s="574"/>
      <c r="U2536" s="574"/>
      <c r="V2536" s="574"/>
      <c r="W2536" s="574"/>
      <c r="X2536" s="574"/>
      <c r="Y2536" s="574"/>
      <c r="Z2536" s="574"/>
      <c r="AA2536" s="574"/>
      <c r="AB2536" s="22">
        <f t="shared" si="795"/>
        <v>0</v>
      </c>
      <c r="AC2536" s="23">
        <v>0</v>
      </c>
      <c r="AD2536" s="35"/>
      <c r="AE2536" s="35"/>
      <c r="AF2536" s="35"/>
      <c r="AG2536" s="35"/>
      <c r="AH2536" s="35"/>
      <c r="AI2536" s="35"/>
      <c r="AJ2536" s="35"/>
      <c r="AK2536" s="35"/>
      <c r="AL2536" s="35"/>
      <c r="AM2536" s="35"/>
      <c r="AN2536" s="35"/>
      <c r="AO2536" s="35"/>
      <c r="AP2536" s="35">
        <v>1</v>
      </c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22">
        <f t="shared" si="796"/>
        <v>1</v>
      </c>
      <c r="BC2536" s="23">
        <v>0</v>
      </c>
      <c r="BD2536" s="130">
        <f t="shared" si="797"/>
        <v>1</v>
      </c>
      <c r="BE2536" s="130">
        <f t="shared" si="798"/>
        <v>0</v>
      </c>
      <c r="BF2536" s="195" t="e">
        <f t="shared" si="799"/>
        <v>#DIV/0!</v>
      </c>
      <c r="BG2536" s="373"/>
    </row>
    <row r="2537" spans="1:59" s="46" customFormat="1" ht="15.95" customHeight="1">
      <c r="A2537" s="176">
        <v>156</v>
      </c>
      <c r="B2537" s="31" t="s">
        <v>3523</v>
      </c>
      <c r="C2537" s="32" t="s">
        <v>3524</v>
      </c>
      <c r="D2537" s="231"/>
      <c r="E2537" s="231"/>
      <c r="F2537" s="231"/>
      <c r="G2537" s="231"/>
      <c r="H2537" s="231"/>
      <c r="I2537" s="231"/>
      <c r="J2537" s="231"/>
      <c r="K2537" s="231"/>
      <c r="L2537" s="231"/>
      <c r="M2537" s="231"/>
      <c r="N2537" s="231"/>
      <c r="O2537" s="231"/>
      <c r="P2537" s="231"/>
      <c r="Q2537" s="231"/>
      <c r="R2537" s="231"/>
      <c r="S2537" s="231"/>
      <c r="T2537" s="231"/>
      <c r="U2537" s="231"/>
      <c r="V2537" s="231"/>
      <c r="W2537" s="231"/>
      <c r="X2537" s="231"/>
      <c r="Y2537" s="231"/>
      <c r="Z2537" s="231"/>
      <c r="AA2537" s="231"/>
      <c r="AB2537" s="22">
        <f t="shared" si="795"/>
        <v>0</v>
      </c>
      <c r="AC2537" s="23">
        <v>0</v>
      </c>
      <c r="AD2537" s="35"/>
      <c r="AE2537" s="35"/>
      <c r="AF2537" s="35"/>
      <c r="AG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  <c r="AX2537" s="35"/>
      <c r="AY2537" s="35"/>
      <c r="AZ2537" s="35"/>
      <c r="BA2537" s="35"/>
      <c r="BB2537" s="22">
        <f t="shared" si="796"/>
        <v>0</v>
      </c>
      <c r="BC2537" s="23">
        <v>3</v>
      </c>
      <c r="BD2537" s="130">
        <f t="shared" si="797"/>
        <v>0</v>
      </c>
      <c r="BE2537" s="130">
        <f t="shared" si="798"/>
        <v>3</v>
      </c>
      <c r="BF2537" s="195">
        <f t="shared" si="799"/>
        <v>0</v>
      </c>
      <c r="BG2537" s="373">
        <f t="shared" ref="BG2537:BG2581" si="802">BE2537-BD2537</f>
        <v>3</v>
      </c>
    </row>
    <row r="2538" spans="1:59" s="46" customFormat="1" ht="15.95" customHeight="1">
      <c r="A2538" s="176">
        <v>157</v>
      </c>
      <c r="B2538" s="31" t="s">
        <v>1343</v>
      </c>
      <c r="C2538" s="32" t="s">
        <v>1344</v>
      </c>
      <c r="D2538" s="231"/>
      <c r="E2538" s="231"/>
      <c r="F2538" s="231"/>
      <c r="G2538" s="231"/>
      <c r="H2538" s="231"/>
      <c r="I2538" s="231"/>
      <c r="J2538" s="231"/>
      <c r="K2538" s="231"/>
      <c r="L2538" s="231"/>
      <c r="M2538" s="231"/>
      <c r="N2538" s="231"/>
      <c r="O2538" s="231"/>
      <c r="P2538" s="231"/>
      <c r="Q2538" s="231"/>
      <c r="R2538" s="231"/>
      <c r="S2538" s="231"/>
      <c r="T2538" s="231"/>
      <c r="U2538" s="231"/>
      <c r="V2538" s="231"/>
      <c r="W2538" s="231"/>
      <c r="X2538" s="231"/>
      <c r="Y2538" s="231"/>
      <c r="Z2538" s="231"/>
      <c r="AA2538" s="231"/>
      <c r="AB2538" s="22">
        <f t="shared" si="795"/>
        <v>0</v>
      </c>
      <c r="AC2538" s="23">
        <v>0</v>
      </c>
      <c r="AD2538" s="35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>
        <v>1</v>
      </c>
      <c r="AQ2538" s="35"/>
      <c r="AR2538" s="35"/>
      <c r="AS2538" s="35"/>
      <c r="AT2538" s="35"/>
      <c r="AU2538" s="35"/>
      <c r="AV2538" s="35"/>
      <c r="AW2538" s="35"/>
      <c r="AX2538" s="35"/>
      <c r="AY2538" s="35"/>
      <c r="AZ2538" s="35"/>
      <c r="BA2538" s="35"/>
      <c r="BB2538" s="22">
        <f t="shared" si="796"/>
        <v>1</v>
      </c>
      <c r="BC2538" s="23">
        <v>3</v>
      </c>
      <c r="BD2538" s="130">
        <f t="shared" si="797"/>
        <v>1</v>
      </c>
      <c r="BE2538" s="130">
        <f t="shared" si="798"/>
        <v>3</v>
      </c>
      <c r="BF2538" s="195">
        <f t="shared" si="799"/>
        <v>33.333333333333329</v>
      </c>
      <c r="BG2538" s="373">
        <f t="shared" si="802"/>
        <v>2</v>
      </c>
    </row>
    <row r="2539" spans="1:59" s="46" customFormat="1" ht="15.95" customHeight="1">
      <c r="A2539" s="176">
        <v>158</v>
      </c>
      <c r="B2539" s="31" t="s">
        <v>915</v>
      </c>
      <c r="C2539" s="32" t="s">
        <v>916</v>
      </c>
      <c r="D2539" s="231"/>
      <c r="E2539" s="231"/>
      <c r="F2539" s="231"/>
      <c r="G2539" s="231"/>
      <c r="H2539" s="231"/>
      <c r="I2539" s="231"/>
      <c r="J2539" s="231"/>
      <c r="K2539" s="231"/>
      <c r="L2539" s="231"/>
      <c r="M2539" s="231"/>
      <c r="N2539" s="231"/>
      <c r="O2539" s="231"/>
      <c r="P2539" s="231">
        <f>30+1</f>
        <v>31</v>
      </c>
      <c r="Q2539" s="231"/>
      <c r="R2539" s="231"/>
      <c r="S2539" s="231"/>
      <c r="T2539" s="231"/>
      <c r="U2539" s="231"/>
      <c r="V2539" s="231"/>
      <c r="W2539" s="231"/>
      <c r="X2539" s="231"/>
      <c r="Y2539" s="231"/>
      <c r="Z2539" s="231"/>
      <c r="AA2539" s="231"/>
      <c r="AB2539" s="22">
        <f t="shared" si="795"/>
        <v>31</v>
      </c>
      <c r="AC2539" s="23">
        <v>0</v>
      </c>
      <c r="AD2539" s="35">
        <v>1</v>
      </c>
      <c r="AE2539" s="35"/>
      <c r="AF2539" s="35"/>
      <c r="AG2539" s="35"/>
      <c r="AH2539" s="35">
        <f>50+8</f>
        <v>58</v>
      </c>
      <c r="AI2539" s="35"/>
      <c r="AJ2539" s="35"/>
      <c r="AK2539" s="35"/>
      <c r="AL2539" s="35">
        <f>144+21</f>
        <v>165</v>
      </c>
      <c r="AM2539" s="35"/>
      <c r="AN2539" s="35"/>
      <c r="AO2539" s="35"/>
      <c r="AP2539" s="35">
        <f>32+31</f>
        <v>63</v>
      </c>
      <c r="AQ2539" s="35"/>
      <c r="AR2539" s="35"/>
      <c r="AS2539" s="35"/>
      <c r="AT2539" s="35"/>
      <c r="AU2539" s="35"/>
      <c r="AV2539" s="35"/>
      <c r="AW2539" s="35"/>
      <c r="AX2539" s="35"/>
      <c r="AY2539" s="35"/>
      <c r="AZ2539" s="35"/>
      <c r="BA2539" s="35"/>
      <c r="BB2539" s="22">
        <f t="shared" si="796"/>
        <v>287</v>
      </c>
      <c r="BC2539" s="23">
        <v>748</v>
      </c>
      <c r="BD2539" s="130">
        <f t="shared" si="797"/>
        <v>318</v>
      </c>
      <c r="BE2539" s="130">
        <f t="shared" si="798"/>
        <v>748</v>
      </c>
      <c r="BF2539" s="195">
        <f t="shared" si="799"/>
        <v>42.513368983957214</v>
      </c>
      <c r="BG2539" s="373">
        <f t="shared" si="802"/>
        <v>430</v>
      </c>
    </row>
    <row r="2540" spans="1:59" s="46" customFormat="1" ht="15.95" customHeight="1">
      <c r="A2540" s="176">
        <v>159</v>
      </c>
      <c r="B2540" s="31" t="s">
        <v>1191</v>
      </c>
      <c r="C2540" s="32" t="s">
        <v>1345</v>
      </c>
      <c r="D2540" s="231">
        <v>3</v>
      </c>
      <c r="E2540" s="231"/>
      <c r="F2540" s="231"/>
      <c r="G2540" s="231"/>
      <c r="H2540" s="231"/>
      <c r="I2540" s="231"/>
      <c r="J2540" s="231"/>
      <c r="K2540" s="231"/>
      <c r="L2540" s="231">
        <v>1</v>
      </c>
      <c r="M2540" s="231"/>
      <c r="N2540" s="231"/>
      <c r="O2540" s="231"/>
      <c r="P2540" s="231">
        <f>5+5</f>
        <v>10</v>
      </c>
      <c r="Q2540" s="231"/>
      <c r="R2540" s="231"/>
      <c r="S2540" s="231"/>
      <c r="T2540" s="231"/>
      <c r="U2540" s="231"/>
      <c r="V2540" s="231"/>
      <c r="W2540" s="231"/>
      <c r="X2540" s="231"/>
      <c r="Y2540" s="231"/>
      <c r="Z2540" s="231"/>
      <c r="AA2540" s="231"/>
      <c r="AB2540" s="22">
        <f t="shared" si="795"/>
        <v>14</v>
      </c>
      <c r="AC2540" s="23">
        <v>0</v>
      </c>
      <c r="AD2540" s="35"/>
      <c r="AE2540" s="35"/>
      <c r="AF2540" s="35"/>
      <c r="AG2540" s="35"/>
      <c r="AH2540" s="35"/>
      <c r="AI2540" s="35"/>
      <c r="AJ2540" s="35"/>
      <c r="AK2540" s="35"/>
      <c r="AL2540" s="35">
        <v>1</v>
      </c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  <c r="AX2540" s="35"/>
      <c r="AY2540" s="35"/>
      <c r="AZ2540" s="35"/>
      <c r="BA2540" s="35"/>
      <c r="BB2540" s="22">
        <f t="shared" si="796"/>
        <v>1</v>
      </c>
      <c r="BC2540" s="23">
        <v>3</v>
      </c>
      <c r="BD2540" s="130">
        <f t="shared" si="797"/>
        <v>15</v>
      </c>
      <c r="BE2540" s="130">
        <f t="shared" si="798"/>
        <v>3</v>
      </c>
      <c r="BF2540" s="195">
        <f t="shared" si="799"/>
        <v>500</v>
      </c>
      <c r="BG2540" s="373">
        <f t="shared" si="802"/>
        <v>-12</v>
      </c>
    </row>
    <row r="2541" spans="1:59" s="46" customFormat="1" ht="15.95" customHeight="1">
      <c r="A2541" s="176">
        <v>160</v>
      </c>
      <c r="B2541" s="31" t="s">
        <v>1193</v>
      </c>
      <c r="C2541" s="32" t="s">
        <v>2006</v>
      </c>
      <c r="D2541" s="231"/>
      <c r="E2541" s="231"/>
      <c r="F2541" s="231"/>
      <c r="G2541" s="231"/>
      <c r="H2541" s="231"/>
      <c r="I2541" s="231"/>
      <c r="J2541" s="231"/>
      <c r="K2541" s="231"/>
      <c r="L2541" s="231"/>
      <c r="M2541" s="231"/>
      <c r="N2541" s="231"/>
      <c r="O2541" s="231"/>
      <c r="P2541" s="231"/>
      <c r="Q2541" s="231"/>
      <c r="R2541" s="231"/>
      <c r="S2541" s="231"/>
      <c r="T2541" s="231"/>
      <c r="U2541" s="231"/>
      <c r="V2541" s="231"/>
      <c r="W2541" s="231"/>
      <c r="X2541" s="231"/>
      <c r="Y2541" s="231"/>
      <c r="Z2541" s="231"/>
      <c r="AA2541" s="231"/>
      <c r="AB2541" s="22">
        <f t="shared" si="795"/>
        <v>0</v>
      </c>
      <c r="AC2541" s="23">
        <v>0</v>
      </c>
      <c r="AD2541" s="35"/>
      <c r="AE2541" s="35"/>
      <c r="AF2541" s="35"/>
      <c r="AG2541" s="35"/>
      <c r="AH2541" s="35">
        <v>1</v>
      </c>
      <c r="AI2541" s="35"/>
      <c r="AJ2541" s="35"/>
      <c r="AK2541" s="35"/>
      <c r="AL2541" s="35">
        <v>1</v>
      </c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22">
        <f t="shared" si="796"/>
        <v>2</v>
      </c>
      <c r="BC2541" s="23">
        <v>3</v>
      </c>
      <c r="BD2541" s="130">
        <f t="shared" si="797"/>
        <v>2</v>
      </c>
      <c r="BE2541" s="130">
        <f t="shared" si="798"/>
        <v>3</v>
      </c>
      <c r="BF2541" s="195">
        <f t="shared" si="799"/>
        <v>66.666666666666657</v>
      </c>
      <c r="BG2541" s="373">
        <f t="shared" si="802"/>
        <v>1</v>
      </c>
    </row>
    <row r="2542" spans="1:59" s="46" customFormat="1" ht="15.95" customHeight="1">
      <c r="A2542" s="176">
        <v>161</v>
      </c>
      <c r="B2542" s="31" t="s">
        <v>1078</v>
      </c>
      <c r="C2542" s="32" t="s">
        <v>1504</v>
      </c>
      <c r="D2542" s="271"/>
      <c r="E2542" s="271"/>
      <c r="F2542" s="271"/>
      <c r="G2542" s="271"/>
      <c r="H2542" s="271"/>
      <c r="I2542" s="271"/>
      <c r="J2542" s="271"/>
      <c r="K2542" s="271"/>
      <c r="L2542" s="271"/>
      <c r="M2542" s="271"/>
      <c r="N2542" s="271"/>
      <c r="O2542" s="271"/>
      <c r="P2542" s="271">
        <v>2</v>
      </c>
      <c r="Q2542" s="271"/>
      <c r="R2542" s="271"/>
      <c r="S2542" s="271"/>
      <c r="T2542" s="271"/>
      <c r="U2542" s="271"/>
      <c r="V2542" s="271"/>
      <c r="W2542" s="271"/>
      <c r="X2542" s="271"/>
      <c r="Y2542" s="271"/>
      <c r="Z2542" s="271"/>
      <c r="AA2542" s="271"/>
      <c r="AB2542" s="22">
        <f t="shared" si="795"/>
        <v>2</v>
      </c>
      <c r="AC2542" s="23">
        <v>0</v>
      </c>
      <c r="AD2542" s="35"/>
      <c r="AE2542" s="35"/>
      <c r="AF2542" s="35"/>
      <c r="AG2542" s="35"/>
      <c r="AH2542" s="35"/>
      <c r="AI2542" s="35"/>
      <c r="AJ2542" s="35"/>
      <c r="AK2542" s="35"/>
      <c r="AL2542" s="35">
        <v>1</v>
      </c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  <c r="AX2542" s="35"/>
      <c r="AY2542" s="35"/>
      <c r="AZ2542" s="35"/>
      <c r="BA2542" s="35"/>
      <c r="BB2542" s="22">
        <f t="shared" si="796"/>
        <v>1</v>
      </c>
      <c r="BC2542" s="23">
        <v>2</v>
      </c>
      <c r="BD2542" s="130">
        <f t="shared" si="797"/>
        <v>3</v>
      </c>
      <c r="BE2542" s="130">
        <f t="shared" si="798"/>
        <v>2</v>
      </c>
      <c r="BF2542" s="195">
        <f t="shared" si="799"/>
        <v>150</v>
      </c>
      <c r="BG2542" s="373">
        <f t="shared" si="802"/>
        <v>-1</v>
      </c>
    </row>
    <row r="2543" spans="1:59" s="46" customFormat="1" ht="15.95" customHeight="1">
      <c r="A2543" s="176">
        <v>162</v>
      </c>
      <c r="B2543" s="31" t="s">
        <v>1080</v>
      </c>
      <c r="C2543" s="32" t="s">
        <v>2007</v>
      </c>
      <c r="D2543" s="231"/>
      <c r="E2543" s="231"/>
      <c r="F2543" s="231"/>
      <c r="G2543" s="231"/>
      <c r="H2543" s="231"/>
      <c r="I2543" s="231"/>
      <c r="J2543" s="231"/>
      <c r="K2543" s="231"/>
      <c r="L2543" s="231"/>
      <c r="M2543" s="231"/>
      <c r="N2543" s="231"/>
      <c r="O2543" s="231"/>
      <c r="P2543" s="231"/>
      <c r="Q2543" s="231"/>
      <c r="R2543" s="231"/>
      <c r="S2543" s="231"/>
      <c r="T2543" s="231"/>
      <c r="U2543" s="231"/>
      <c r="V2543" s="231"/>
      <c r="W2543" s="231"/>
      <c r="X2543" s="231"/>
      <c r="Y2543" s="231"/>
      <c r="Z2543" s="231"/>
      <c r="AA2543" s="231"/>
      <c r="AB2543" s="22">
        <f t="shared" si="795"/>
        <v>0</v>
      </c>
      <c r="AC2543" s="23">
        <v>0</v>
      </c>
      <c r="AD2543" s="35"/>
      <c r="AE2543" s="35"/>
      <c r="AF2543" s="35"/>
      <c r="AG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  <c r="AX2543" s="35"/>
      <c r="AY2543" s="35"/>
      <c r="AZ2543" s="35"/>
      <c r="BA2543" s="35"/>
      <c r="BB2543" s="22">
        <f t="shared" si="796"/>
        <v>0</v>
      </c>
      <c r="BC2543" s="23">
        <v>2</v>
      </c>
      <c r="BD2543" s="130">
        <f t="shared" si="797"/>
        <v>0</v>
      </c>
      <c r="BE2543" s="130">
        <f t="shared" si="798"/>
        <v>2</v>
      </c>
      <c r="BF2543" s="195">
        <f t="shared" si="799"/>
        <v>0</v>
      </c>
      <c r="BG2543" s="373">
        <f t="shared" si="802"/>
        <v>2</v>
      </c>
    </row>
    <row r="2544" spans="1:59" s="46" customFormat="1" ht="15.95" customHeight="1">
      <c r="A2544" s="176">
        <v>163</v>
      </c>
      <c r="B2544" s="31" t="s">
        <v>1082</v>
      </c>
      <c r="C2544" s="32" t="s">
        <v>1346</v>
      </c>
      <c r="D2544" s="231"/>
      <c r="E2544" s="231"/>
      <c r="F2544" s="231"/>
      <c r="G2544" s="231"/>
      <c r="H2544" s="231"/>
      <c r="I2544" s="231"/>
      <c r="J2544" s="231"/>
      <c r="K2544" s="231"/>
      <c r="L2544" s="231"/>
      <c r="M2544" s="231"/>
      <c r="N2544" s="231"/>
      <c r="O2544" s="231"/>
      <c r="P2544" s="231"/>
      <c r="Q2544" s="231"/>
      <c r="R2544" s="231"/>
      <c r="S2544" s="231"/>
      <c r="T2544" s="231"/>
      <c r="U2544" s="231"/>
      <c r="V2544" s="231"/>
      <c r="W2544" s="231"/>
      <c r="X2544" s="231"/>
      <c r="Y2544" s="231"/>
      <c r="Z2544" s="231"/>
      <c r="AA2544" s="231"/>
      <c r="AB2544" s="22">
        <f t="shared" si="795"/>
        <v>0</v>
      </c>
      <c r="AC2544" s="23">
        <v>0</v>
      </c>
      <c r="AD2544" s="35"/>
      <c r="AE2544" s="35"/>
      <c r="AF2544" s="35"/>
      <c r="AG2544" s="35"/>
      <c r="AH2544" s="35">
        <v>1</v>
      </c>
      <c r="AI2544" s="35"/>
      <c r="AJ2544" s="35"/>
      <c r="AK2544" s="35"/>
      <c r="AL2544" s="35">
        <v>27</v>
      </c>
      <c r="AM2544" s="35"/>
      <c r="AN2544" s="35"/>
      <c r="AO2544" s="35"/>
      <c r="AP2544" s="35">
        <v>53</v>
      </c>
      <c r="AQ2544" s="35"/>
      <c r="AR2544" s="35"/>
      <c r="AS2544" s="35"/>
      <c r="AT2544" s="35"/>
      <c r="AU2544" s="35"/>
      <c r="AV2544" s="35"/>
      <c r="AW2544" s="35"/>
      <c r="AX2544" s="35"/>
      <c r="AY2544" s="35"/>
      <c r="AZ2544" s="35"/>
      <c r="BA2544" s="35"/>
      <c r="BB2544" s="22">
        <f t="shared" si="796"/>
        <v>81</v>
      </c>
      <c r="BC2544" s="23">
        <v>24</v>
      </c>
      <c r="BD2544" s="130">
        <f t="shared" si="797"/>
        <v>81</v>
      </c>
      <c r="BE2544" s="130">
        <f t="shared" si="798"/>
        <v>24</v>
      </c>
      <c r="BF2544" s="195">
        <f t="shared" si="799"/>
        <v>337.5</v>
      </c>
      <c r="BG2544" s="373">
        <f t="shared" si="802"/>
        <v>-57</v>
      </c>
    </row>
    <row r="2545" spans="1:59" s="46" customFormat="1" ht="15.95" customHeight="1">
      <c r="A2545" s="176">
        <v>164</v>
      </c>
      <c r="B2545" s="31" t="s">
        <v>1084</v>
      </c>
      <c r="C2545" s="32" t="s">
        <v>953</v>
      </c>
      <c r="D2545" s="231"/>
      <c r="E2545" s="231"/>
      <c r="F2545" s="231"/>
      <c r="G2545" s="231"/>
      <c r="H2545" s="231"/>
      <c r="I2545" s="231"/>
      <c r="J2545" s="231"/>
      <c r="K2545" s="231"/>
      <c r="L2545" s="231"/>
      <c r="M2545" s="231"/>
      <c r="N2545" s="231"/>
      <c r="O2545" s="231"/>
      <c r="P2545" s="231"/>
      <c r="Q2545" s="231"/>
      <c r="R2545" s="231"/>
      <c r="S2545" s="231"/>
      <c r="T2545" s="231"/>
      <c r="U2545" s="231"/>
      <c r="V2545" s="231"/>
      <c r="W2545" s="231"/>
      <c r="X2545" s="231"/>
      <c r="Y2545" s="231"/>
      <c r="Z2545" s="231"/>
      <c r="AA2545" s="231"/>
      <c r="AB2545" s="22">
        <f t="shared" si="795"/>
        <v>0</v>
      </c>
      <c r="AC2545" s="23">
        <v>0</v>
      </c>
      <c r="AD2545" s="35"/>
      <c r="AE2545" s="35"/>
      <c r="AF2545" s="35"/>
      <c r="AG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  <c r="AX2545" s="35"/>
      <c r="AY2545" s="35"/>
      <c r="AZ2545" s="35"/>
      <c r="BA2545" s="35"/>
      <c r="BB2545" s="22">
        <f t="shared" si="796"/>
        <v>0</v>
      </c>
      <c r="BC2545" s="23">
        <v>1</v>
      </c>
      <c r="BD2545" s="130">
        <f t="shared" si="797"/>
        <v>0</v>
      </c>
      <c r="BE2545" s="130">
        <f t="shared" si="798"/>
        <v>1</v>
      </c>
      <c r="BF2545" s="195">
        <f t="shared" si="799"/>
        <v>0</v>
      </c>
      <c r="BG2545" s="373">
        <f t="shared" si="802"/>
        <v>1</v>
      </c>
    </row>
    <row r="2546" spans="1:59" s="46" customFormat="1" ht="15.95" customHeight="1">
      <c r="A2546" s="176">
        <v>165</v>
      </c>
      <c r="B2546" s="31" t="s">
        <v>1195</v>
      </c>
      <c r="C2546" s="32" t="s">
        <v>955</v>
      </c>
      <c r="D2546" s="271"/>
      <c r="E2546" s="271"/>
      <c r="F2546" s="271"/>
      <c r="G2546" s="271"/>
      <c r="H2546" s="271"/>
      <c r="I2546" s="271"/>
      <c r="J2546" s="271"/>
      <c r="K2546" s="271"/>
      <c r="L2546" s="271"/>
      <c r="M2546" s="271"/>
      <c r="N2546" s="271"/>
      <c r="O2546" s="271"/>
      <c r="P2546" s="271"/>
      <c r="Q2546" s="271"/>
      <c r="R2546" s="271"/>
      <c r="S2546" s="271"/>
      <c r="T2546" s="271"/>
      <c r="U2546" s="271"/>
      <c r="V2546" s="271"/>
      <c r="W2546" s="271"/>
      <c r="X2546" s="271"/>
      <c r="Y2546" s="271"/>
      <c r="Z2546" s="271"/>
      <c r="AA2546" s="271"/>
      <c r="AB2546" s="22">
        <f t="shared" si="795"/>
        <v>0</v>
      </c>
      <c r="AC2546" s="23">
        <v>0</v>
      </c>
      <c r="AD2546" s="35"/>
      <c r="AE2546" s="35"/>
      <c r="AF2546" s="35"/>
      <c r="AG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22">
        <f t="shared" si="796"/>
        <v>0</v>
      </c>
      <c r="BC2546" s="23">
        <v>2</v>
      </c>
      <c r="BD2546" s="130">
        <f t="shared" si="797"/>
        <v>0</v>
      </c>
      <c r="BE2546" s="130">
        <f t="shared" si="798"/>
        <v>2</v>
      </c>
      <c r="BF2546" s="195">
        <f t="shared" si="799"/>
        <v>0</v>
      </c>
      <c r="BG2546" s="373">
        <f t="shared" si="802"/>
        <v>2</v>
      </c>
    </row>
    <row r="2547" spans="1:59" s="46" customFormat="1" ht="15.95" customHeight="1">
      <c r="A2547" s="176">
        <v>166</v>
      </c>
      <c r="B2547" s="31" t="s">
        <v>2298</v>
      </c>
      <c r="C2547" s="32" t="s">
        <v>2299</v>
      </c>
      <c r="D2547" s="231"/>
      <c r="E2547" s="231"/>
      <c r="F2547" s="231"/>
      <c r="G2547" s="231"/>
      <c r="H2547" s="231"/>
      <c r="I2547" s="231"/>
      <c r="J2547" s="231"/>
      <c r="K2547" s="231"/>
      <c r="L2547" s="231"/>
      <c r="M2547" s="231"/>
      <c r="N2547" s="231"/>
      <c r="O2547" s="231"/>
      <c r="P2547" s="231"/>
      <c r="Q2547" s="231"/>
      <c r="R2547" s="231"/>
      <c r="S2547" s="231"/>
      <c r="T2547" s="231"/>
      <c r="U2547" s="231"/>
      <c r="V2547" s="231"/>
      <c r="W2547" s="231"/>
      <c r="X2547" s="231"/>
      <c r="Y2547" s="231"/>
      <c r="Z2547" s="231"/>
      <c r="AA2547" s="231"/>
      <c r="AB2547" s="22">
        <f t="shared" si="795"/>
        <v>0</v>
      </c>
      <c r="AC2547" s="23">
        <v>0</v>
      </c>
      <c r="AD2547" s="35"/>
      <c r="AE2547" s="35"/>
      <c r="AF2547" s="35"/>
      <c r="AG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  <c r="AX2547" s="35"/>
      <c r="AY2547" s="35"/>
      <c r="AZ2547" s="35"/>
      <c r="BA2547" s="35"/>
      <c r="BB2547" s="22">
        <f t="shared" si="796"/>
        <v>0</v>
      </c>
      <c r="BC2547" s="23">
        <v>24</v>
      </c>
      <c r="BD2547" s="130">
        <f t="shared" si="797"/>
        <v>0</v>
      </c>
      <c r="BE2547" s="130">
        <f t="shared" si="798"/>
        <v>24</v>
      </c>
      <c r="BF2547" s="195">
        <f t="shared" si="799"/>
        <v>0</v>
      </c>
      <c r="BG2547" s="373">
        <f t="shared" si="802"/>
        <v>24</v>
      </c>
    </row>
    <row r="2548" spans="1:59" s="46" customFormat="1" ht="15.95" customHeight="1">
      <c r="A2548" s="176">
        <v>167</v>
      </c>
      <c r="B2548" s="31" t="s">
        <v>949</v>
      </c>
      <c r="C2548" s="32" t="s">
        <v>1196</v>
      </c>
      <c r="D2548" s="231"/>
      <c r="E2548" s="231"/>
      <c r="F2548" s="231"/>
      <c r="G2548" s="231"/>
      <c r="H2548" s="231"/>
      <c r="I2548" s="231"/>
      <c r="J2548" s="231"/>
      <c r="K2548" s="231"/>
      <c r="L2548" s="231"/>
      <c r="M2548" s="231"/>
      <c r="N2548" s="231"/>
      <c r="O2548" s="231"/>
      <c r="P2548" s="231"/>
      <c r="Q2548" s="231"/>
      <c r="R2548" s="231"/>
      <c r="S2548" s="231"/>
      <c r="T2548" s="231"/>
      <c r="U2548" s="231"/>
      <c r="V2548" s="231"/>
      <c r="W2548" s="231"/>
      <c r="X2548" s="231"/>
      <c r="Y2548" s="231"/>
      <c r="Z2548" s="231"/>
      <c r="AA2548" s="231"/>
      <c r="AB2548" s="22">
        <f t="shared" si="795"/>
        <v>0</v>
      </c>
      <c r="AC2548" s="23">
        <v>0</v>
      </c>
      <c r="AD2548" s="35">
        <v>1</v>
      </c>
      <c r="AE2548" s="35"/>
      <c r="AF2548" s="35"/>
      <c r="AG2548" s="35"/>
      <c r="AH2548" s="35">
        <v>4</v>
      </c>
      <c r="AI2548" s="35"/>
      <c r="AJ2548" s="35"/>
      <c r="AK2548" s="35"/>
      <c r="AL2548" s="35">
        <f>14+1</f>
        <v>15</v>
      </c>
      <c r="AM2548" s="35"/>
      <c r="AN2548" s="35"/>
      <c r="AO2548" s="35"/>
      <c r="AP2548" s="35">
        <v>50</v>
      </c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22">
        <f t="shared" si="796"/>
        <v>70</v>
      </c>
      <c r="BC2548" s="23">
        <v>101</v>
      </c>
      <c r="BD2548" s="130">
        <f t="shared" si="797"/>
        <v>70</v>
      </c>
      <c r="BE2548" s="130">
        <f t="shared" si="798"/>
        <v>101</v>
      </c>
      <c r="BF2548" s="195">
        <f t="shared" si="799"/>
        <v>69.306930693069305</v>
      </c>
      <c r="BG2548" s="373">
        <f t="shared" si="802"/>
        <v>31</v>
      </c>
    </row>
    <row r="2549" spans="1:59" s="46" customFormat="1" ht="15.95" customHeight="1">
      <c r="A2549" s="176">
        <v>168</v>
      </c>
      <c r="B2549" s="31" t="s">
        <v>1197</v>
      </c>
      <c r="C2549" s="32" t="s">
        <v>1198</v>
      </c>
      <c r="D2549" s="231"/>
      <c r="E2549" s="231"/>
      <c r="F2549" s="231"/>
      <c r="G2549" s="231"/>
      <c r="H2549" s="231"/>
      <c r="I2549" s="231"/>
      <c r="J2549" s="231"/>
      <c r="K2549" s="231"/>
      <c r="L2549" s="231"/>
      <c r="M2549" s="231"/>
      <c r="N2549" s="231"/>
      <c r="O2549" s="231"/>
      <c r="P2549" s="231"/>
      <c r="Q2549" s="231"/>
      <c r="R2549" s="231"/>
      <c r="S2549" s="231"/>
      <c r="T2549" s="231"/>
      <c r="U2549" s="231"/>
      <c r="V2549" s="231"/>
      <c r="W2549" s="231"/>
      <c r="X2549" s="231"/>
      <c r="Y2549" s="231"/>
      <c r="Z2549" s="231"/>
      <c r="AA2549" s="231"/>
      <c r="AB2549" s="22">
        <f t="shared" si="795"/>
        <v>0</v>
      </c>
      <c r="AC2549" s="23">
        <v>0</v>
      </c>
      <c r="AD2549" s="35"/>
      <c r="AE2549" s="35"/>
      <c r="AF2549" s="35"/>
      <c r="AG2549" s="35"/>
      <c r="AH2549" s="35">
        <v>12</v>
      </c>
      <c r="AI2549" s="35"/>
      <c r="AJ2549" s="35"/>
      <c r="AK2549" s="35"/>
      <c r="AL2549" s="35">
        <v>67</v>
      </c>
      <c r="AM2549" s="35"/>
      <c r="AN2549" s="35"/>
      <c r="AO2549" s="35"/>
      <c r="AP2549" s="35">
        <v>27</v>
      </c>
      <c r="AQ2549" s="35"/>
      <c r="AR2549" s="35"/>
      <c r="AS2549" s="35"/>
      <c r="AT2549" s="35"/>
      <c r="AU2549" s="35"/>
      <c r="AV2549" s="35"/>
      <c r="AW2549" s="35"/>
      <c r="AX2549" s="35"/>
      <c r="AY2549" s="35"/>
      <c r="AZ2549" s="35"/>
      <c r="BA2549" s="35"/>
      <c r="BB2549" s="22">
        <f t="shared" si="796"/>
        <v>106</v>
      </c>
      <c r="BC2549" s="23">
        <v>155</v>
      </c>
      <c r="BD2549" s="130">
        <f t="shared" si="797"/>
        <v>106</v>
      </c>
      <c r="BE2549" s="130">
        <f t="shared" si="798"/>
        <v>155</v>
      </c>
      <c r="BF2549" s="195">
        <f t="shared" si="799"/>
        <v>68.387096774193552</v>
      </c>
      <c r="BG2549" s="373">
        <f t="shared" si="802"/>
        <v>49</v>
      </c>
    </row>
    <row r="2550" spans="1:59" s="46" customFormat="1" ht="15.95" customHeight="1">
      <c r="A2550" s="176">
        <v>169</v>
      </c>
      <c r="B2550" s="31" t="s">
        <v>1251</v>
      </c>
      <c r="C2550" s="32" t="s">
        <v>1252</v>
      </c>
      <c r="D2550" s="231"/>
      <c r="E2550" s="231"/>
      <c r="F2550" s="231"/>
      <c r="G2550" s="231"/>
      <c r="H2550" s="231"/>
      <c r="I2550" s="231"/>
      <c r="J2550" s="231"/>
      <c r="K2550" s="231"/>
      <c r="L2550" s="231"/>
      <c r="M2550" s="231"/>
      <c r="N2550" s="231"/>
      <c r="O2550" s="231"/>
      <c r="P2550" s="231"/>
      <c r="Q2550" s="231"/>
      <c r="R2550" s="231"/>
      <c r="S2550" s="231"/>
      <c r="T2550" s="231"/>
      <c r="U2550" s="231"/>
      <c r="V2550" s="231"/>
      <c r="W2550" s="231"/>
      <c r="X2550" s="231"/>
      <c r="Y2550" s="231"/>
      <c r="Z2550" s="231"/>
      <c r="AA2550" s="231"/>
      <c r="AB2550" s="22">
        <f t="shared" si="795"/>
        <v>0</v>
      </c>
      <c r="AC2550" s="23">
        <v>0</v>
      </c>
      <c r="AD2550" s="35">
        <v>1</v>
      </c>
      <c r="AE2550" s="35"/>
      <c r="AF2550" s="35"/>
      <c r="AG2550" s="35"/>
      <c r="AH2550" s="35">
        <v>9</v>
      </c>
      <c r="AI2550" s="35"/>
      <c r="AJ2550" s="35"/>
      <c r="AK2550" s="35"/>
      <c r="AL2550" s="35">
        <v>52</v>
      </c>
      <c r="AM2550" s="35"/>
      <c r="AN2550" s="35"/>
      <c r="AO2550" s="35"/>
      <c r="AP2550" s="35">
        <v>80</v>
      </c>
      <c r="AQ2550" s="35"/>
      <c r="AR2550" s="35"/>
      <c r="AS2550" s="35"/>
      <c r="AT2550" s="35"/>
      <c r="AU2550" s="35"/>
      <c r="AV2550" s="35"/>
      <c r="AW2550" s="35"/>
      <c r="AX2550" s="35"/>
      <c r="AY2550" s="35"/>
      <c r="AZ2550" s="35"/>
      <c r="BA2550" s="35"/>
      <c r="BB2550" s="22">
        <f t="shared" si="796"/>
        <v>142</v>
      </c>
      <c r="BC2550" s="23">
        <v>162</v>
      </c>
      <c r="BD2550" s="130">
        <f t="shared" si="797"/>
        <v>142</v>
      </c>
      <c r="BE2550" s="130">
        <f t="shared" si="798"/>
        <v>162</v>
      </c>
      <c r="BF2550" s="195">
        <f t="shared" si="799"/>
        <v>87.654320987654316</v>
      </c>
      <c r="BG2550" s="373">
        <f t="shared" si="802"/>
        <v>20</v>
      </c>
    </row>
    <row r="2551" spans="1:59" s="46" customFormat="1" ht="15.95" customHeight="1">
      <c r="A2551" s="176">
        <v>170</v>
      </c>
      <c r="B2551" s="31" t="s">
        <v>1016</v>
      </c>
      <c r="C2551" s="32" t="s">
        <v>1017</v>
      </c>
      <c r="D2551" s="231"/>
      <c r="E2551" s="231"/>
      <c r="F2551" s="231"/>
      <c r="G2551" s="231"/>
      <c r="H2551" s="231"/>
      <c r="I2551" s="231"/>
      <c r="J2551" s="231"/>
      <c r="K2551" s="231"/>
      <c r="L2551" s="231"/>
      <c r="M2551" s="231"/>
      <c r="N2551" s="231"/>
      <c r="O2551" s="231"/>
      <c r="P2551" s="231"/>
      <c r="Q2551" s="231"/>
      <c r="R2551" s="231"/>
      <c r="S2551" s="231"/>
      <c r="T2551" s="231"/>
      <c r="U2551" s="231"/>
      <c r="V2551" s="231"/>
      <c r="W2551" s="231"/>
      <c r="X2551" s="231"/>
      <c r="Y2551" s="231"/>
      <c r="Z2551" s="231"/>
      <c r="AA2551" s="231"/>
      <c r="AB2551" s="22">
        <f t="shared" si="795"/>
        <v>0</v>
      </c>
      <c r="AC2551" s="23">
        <v>0</v>
      </c>
      <c r="AD2551" s="35"/>
      <c r="AE2551" s="35"/>
      <c r="AF2551" s="35"/>
      <c r="AG2551" s="35"/>
      <c r="AH2551" s="35">
        <v>22</v>
      </c>
      <c r="AI2551" s="35"/>
      <c r="AJ2551" s="35"/>
      <c r="AK2551" s="35"/>
      <c r="AL2551" s="35">
        <v>206</v>
      </c>
      <c r="AM2551" s="35"/>
      <c r="AN2551" s="35"/>
      <c r="AO2551" s="35"/>
      <c r="AP2551" s="35">
        <v>77</v>
      </c>
      <c r="AQ2551" s="35"/>
      <c r="AR2551" s="35"/>
      <c r="AS2551" s="35"/>
      <c r="AT2551" s="35"/>
      <c r="AU2551" s="35"/>
      <c r="AV2551" s="35"/>
      <c r="AW2551" s="35"/>
      <c r="AX2551" s="35"/>
      <c r="AY2551" s="35"/>
      <c r="AZ2551" s="35"/>
      <c r="BA2551" s="35"/>
      <c r="BB2551" s="22">
        <f t="shared" si="796"/>
        <v>305</v>
      </c>
      <c r="BC2551" s="23">
        <v>630</v>
      </c>
      <c r="BD2551" s="130">
        <f t="shared" si="797"/>
        <v>305</v>
      </c>
      <c r="BE2551" s="130">
        <f t="shared" si="798"/>
        <v>630</v>
      </c>
      <c r="BF2551" s="195">
        <f t="shared" si="799"/>
        <v>48.412698412698411</v>
      </c>
      <c r="BG2551" s="373">
        <f t="shared" si="802"/>
        <v>325</v>
      </c>
    </row>
    <row r="2552" spans="1:59" s="46" customFormat="1" ht="15.95" customHeight="1">
      <c r="A2552" s="176">
        <v>171</v>
      </c>
      <c r="B2552" s="31" t="s">
        <v>1347</v>
      </c>
      <c r="C2552" s="32" t="s">
        <v>1348</v>
      </c>
      <c r="D2552" s="231"/>
      <c r="E2552" s="231"/>
      <c r="F2552" s="231"/>
      <c r="G2552" s="231"/>
      <c r="H2552" s="231"/>
      <c r="I2552" s="231"/>
      <c r="J2552" s="231"/>
      <c r="K2552" s="231"/>
      <c r="L2552" s="231"/>
      <c r="M2552" s="231"/>
      <c r="N2552" s="231"/>
      <c r="O2552" s="231"/>
      <c r="P2552" s="231"/>
      <c r="Q2552" s="231"/>
      <c r="R2552" s="231"/>
      <c r="S2552" s="231"/>
      <c r="T2552" s="231"/>
      <c r="U2552" s="231"/>
      <c r="V2552" s="231"/>
      <c r="W2552" s="231"/>
      <c r="X2552" s="231"/>
      <c r="Y2552" s="231"/>
      <c r="Z2552" s="231"/>
      <c r="AA2552" s="231"/>
      <c r="AB2552" s="22">
        <f t="shared" si="795"/>
        <v>0</v>
      </c>
      <c r="AC2552" s="23">
        <v>0</v>
      </c>
      <c r="AD2552" s="35">
        <v>1</v>
      </c>
      <c r="AE2552" s="35"/>
      <c r="AF2552" s="35"/>
      <c r="AG2552" s="35"/>
      <c r="AH2552" s="35">
        <f>11+4</f>
        <v>15</v>
      </c>
      <c r="AI2552" s="35"/>
      <c r="AJ2552" s="35"/>
      <c r="AK2552" s="35"/>
      <c r="AL2552" s="35">
        <f>32+2</f>
        <v>34</v>
      </c>
      <c r="AM2552" s="35"/>
      <c r="AN2552" s="35"/>
      <c r="AO2552" s="35"/>
      <c r="AP2552" s="35">
        <v>41</v>
      </c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22">
        <f t="shared" si="796"/>
        <v>91</v>
      </c>
      <c r="BC2552" s="23">
        <v>185</v>
      </c>
      <c r="BD2552" s="130">
        <f t="shared" si="797"/>
        <v>91</v>
      </c>
      <c r="BE2552" s="130">
        <f t="shared" si="798"/>
        <v>185</v>
      </c>
      <c r="BF2552" s="195">
        <f t="shared" si="799"/>
        <v>49.189189189189193</v>
      </c>
      <c r="BG2552" s="373">
        <f t="shared" si="802"/>
        <v>94</v>
      </c>
    </row>
    <row r="2553" spans="1:59" s="46" customFormat="1" ht="15.95" customHeight="1">
      <c r="A2553" s="176">
        <v>172</v>
      </c>
      <c r="B2553" s="31" t="s">
        <v>950</v>
      </c>
      <c r="C2553" s="32" t="s">
        <v>951</v>
      </c>
      <c r="D2553" s="231"/>
      <c r="E2553" s="231"/>
      <c r="F2553" s="231"/>
      <c r="G2553" s="231"/>
      <c r="H2553" s="231"/>
      <c r="I2553" s="231"/>
      <c r="J2553" s="231"/>
      <c r="K2553" s="231"/>
      <c r="L2553" s="231"/>
      <c r="M2553" s="231"/>
      <c r="N2553" s="231"/>
      <c r="O2553" s="231"/>
      <c r="P2553" s="231"/>
      <c r="Q2553" s="231"/>
      <c r="R2553" s="231"/>
      <c r="S2553" s="231"/>
      <c r="T2553" s="231"/>
      <c r="U2553" s="231"/>
      <c r="V2553" s="231"/>
      <c r="W2553" s="231"/>
      <c r="X2553" s="231"/>
      <c r="Y2553" s="231"/>
      <c r="Z2553" s="231"/>
      <c r="AA2553" s="231"/>
      <c r="AB2553" s="22">
        <f t="shared" si="795"/>
        <v>0</v>
      </c>
      <c r="AC2553" s="23">
        <v>0</v>
      </c>
      <c r="AD2553" s="35"/>
      <c r="AE2553" s="35"/>
      <c r="AF2553" s="35"/>
      <c r="AG2553" s="35"/>
      <c r="AH2553" s="35">
        <v>24</v>
      </c>
      <c r="AI2553" s="35"/>
      <c r="AJ2553" s="35"/>
      <c r="AK2553" s="35"/>
      <c r="AL2553" s="35">
        <v>98</v>
      </c>
      <c r="AM2553" s="35"/>
      <c r="AN2553" s="35"/>
      <c r="AO2553" s="35"/>
      <c r="AP2553" s="35">
        <v>59</v>
      </c>
      <c r="AQ2553" s="35"/>
      <c r="AR2553" s="35"/>
      <c r="AS2553" s="35"/>
      <c r="AT2553" s="35"/>
      <c r="AU2553" s="35"/>
      <c r="AV2553" s="35"/>
      <c r="AW2553" s="35"/>
      <c r="AX2553" s="35"/>
      <c r="AY2553" s="35"/>
      <c r="AZ2553" s="35"/>
      <c r="BA2553" s="35"/>
      <c r="BB2553" s="22">
        <f t="shared" si="796"/>
        <v>181</v>
      </c>
      <c r="BC2553" s="23">
        <v>482</v>
      </c>
      <c r="BD2553" s="130">
        <f t="shared" si="797"/>
        <v>181</v>
      </c>
      <c r="BE2553" s="130">
        <f t="shared" si="798"/>
        <v>482</v>
      </c>
      <c r="BF2553" s="195">
        <f t="shared" si="799"/>
        <v>37.551867219917014</v>
      </c>
      <c r="BG2553" s="373">
        <f t="shared" si="802"/>
        <v>301</v>
      </c>
    </row>
    <row r="2554" spans="1:59" s="46" customFormat="1" ht="15.95" customHeight="1">
      <c r="A2554" s="176">
        <v>173</v>
      </c>
      <c r="B2554" s="31" t="s">
        <v>952</v>
      </c>
      <c r="C2554" s="32" t="s">
        <v>953</v>
      </c>
      <c r="D2554" s="231"/>
      <c r="E2554" s="231"/>
      <c r="F2554" s="231"/>
      <c r="G2554" s="231"/>
      <c r="H2554" s="231"/>
      <c r="I2554" s="231"/>
      <c r="J2554" s="231"/>
      <c r="K2554" s="231"/>
      <c r="L2554" s="231"/>
      <c r="M2554" s="231"/>
      <c r="N2554" s="231"/>
      <c r="O2554" s="231"/>
      <c r="P2554" s="231"/>
      <c r="Q2554" s="231"/>
      <c r="R2554" s="231"/>
      <c r="S2554" s="231"/>
      <c r="T2554" s="231"/>
      <c r="U2554" s="231"/>
      <c r="V2554" s="231"/>
      <c r="W2554" s="231"/>
      <c r="X2554" s="231"/>
      <c r="Y2554" s="231"/>
      <c r="Z2554" s="231"/>
      <c r="AA2554" s="231"/>
      <c r="AB2554" s="22">
        <f t="shared" si="795"/>
        <v>0</v>
      </c>
      <c r="AC2554" s="23">
        <v>0</v>
      </c>
      <c r="AD2554" s="35"/>
      <c r="AE2554" s="35"/>
      <c r="AF2554" s="35"/>
      <c r="AG2554" s="35"/>
      <c r="AH2554" s="35">
        <v>2</v>
      </c>
      <c r="AI2554" s="35"/>
      <c r="AJ2554" s="35"/>
      <c r="AK2554" s="35"/>
      <c r="AL2554" s="35">
        <v>11</v>
      </c>
      <c r="AM2554" s="35"/>
      <c r="AN2554" s="35"/>
      <c r="AO2554" s="35"/>
      <c r="AP2554" s="35">
        <v>41</v>
      </c>
      <c r="AQ2554" s="35"/>
      <c r="AR2554" s="35"/>
      <c r="AS2554" s="35"/>
      <c r="AT2554" s="35"/>
      <c r="AU2554" s="35"/>
      <c r="AV2554" s="35"/>
      <c r="AW2554" s="35"/>
      <c r="AX2554" s="35"/>
      <c r="AY2554" s="35"/>
      <c r="AZ2554" s="35"/>
      <c r="BA2554" s="35"/>
      <c r="BB2554" s="22">
        <f t="shared" si="796"/>
        <v>54</v>
      </c>
      <c r="BC2554" s="23">
        <v>150</v>
      </c>
      <c r="BD2554" s="130">
        <f t="shared" si="797"/>
        <v>54</v>
      </c>
      <c r="BE2554" s="130">
        <f t="shared" si="798"/>
        <v>150</v>
      </c>
      <c r="BF2554" s="195">
        <f t="shared" si="799"/>
        <v>36</v>
      </c>
      <c r="BG2554" s="373">
        <f t="shared" si="802"/>
        <v>96</v>
      </c>
    </row>
    <row r="2555" spans="1:59" s="46" customFormat="1" ht="15.95" customHeight="1">
      <c r="A2555" s="176">
        <v>174</v>
      </c>
      <c r="B2555" s="31" t="s">
        <v>954</v>
      </c>
      <c r="C2555" s="32" t="s">
        <v>955</v>
      </c>
      <c r="D2555" s="231"/>
      <c r="E2555" s="231"/>
      <c r="F2555" s="231"/>
      <c r="G2555" s="231"/>
      <c r="H2555" s="231"/>
      <c r="I2555" s="231"/>
      <c r="J2555" s="231"/>
      <c r="K2555" s="231"/>
      <c r="L2555" s="231"/>
      <c r="M2555" s="231"/>
      <c r="N2555" s="231"/>
      <c r="O2555" s="231"/>
      <c r="P2555" s="231"/>
      <c r="Q2555" s="231"/>
      <c r="R2555" s="231"/>
      <c r="S2555" s="231"/>
      <c r="T2555" s="231"/>
      <c r="U2555" s="231"/>
      <c r="V2555" s="231"/>
      <c r="W2555" s="231"/>
      <c r="X2555" s="231"/>
      <c r="Y2555" s="231"/>
      <c r="Z2555" s="231"/>
      <c r="AA2555" s="231"/>
      <c r="AB2555" s="22">
        <f t="shared" si="795"/>
        <v>0</v>
      </c>
      <c r="AC2555" s="23">
        <v>0</v>
      </c>
      <c r="AD2555" s="35"/>
      <c r="AE2555" s="35"/>
      <c r="AF2555" s="35"/>
      <c r="AG2555" s="35"/>
      <c r="AH2555" s="35">
        <v>1</v>
      </c>
      <c r="AI2555" s="35"/>
      <c r="AJ2555" s="35"/>
      <c r="AK2555" s="35"/>
      <c r="AL2555" s="35">
        <v>13</v>
      </c>
      <c r="AM2555" s="35"/>
      <c r="AN2555" s="35"/>
      <c r="AO2555" s="35"/>
      <c r="AP2555" s="35">
        <v>8</v>
      </c>
      <c r="AQ2555" s="35"/>
      <c r="AR2555" s="35"/>
      <c r="AS2555" s="35"/>
      <c r="AT2555" s="35"/>
      <c r="AU2555" s="35"/>
      <c r="AV2555" s="35"/>
      <c r="AW2555" s="35"/>
      <c r="AX2555" s="35"/>
      <c r="AY2555" s="35"/>
      <c r="AZ2555" s="35"/>
      <c r="BA2555" s="35"/>
      <c r="BB2555" s="22">
        <f t="shared" si="796"/>
        <v>22</v>
      </c>
      <c r="BC2555" s="23">
        <v>43</v>
      </c>
      <c r="BD2555" s="130">
        <f t="shared" si="797"/>
        <v>22</v>
      </c>
      <c r="BE2555" s="130">
        <f t="shared" si="798"/>
        <v>43</v>
      </c>
      <c r="BF2555" s="195">
        <f t="shared" si="799"/>
        <v>51.162790697674424</v>
      </c>
      <c r="BG2555" s="373">
        <f t="shared" si="802"/>
        <v>21</v>
      </c>
    </row>
    <row r="2556" spans="1:59" s="46" customFormat="1" ht="15.95" customHeight="1">
      <c r="A2556" s="176">
        <v>175</v>
      </c>
      <c r="B2556" s="31" t="s">
        <v>1349</v>
      </c>
      <c r="C2556" s="32" t="s">
        <v>1350</v>
      </c>
      <c r="D2556" s="231"/>
      <c r="E2556" s="231"/>
      <c r="F2556" s="231"/>
      <c r="G2556" s="231"/>
      <c r="H2556" s="231"/>
      <c r="I2556" s="231"/>
      <c r="J2556" s="231"/>
      <c r="K2556" s="231"/>
      <c r="L2556" s="231"/>
      <c r="M2556" s="231"/>
      <c r="N2556" s="231"/>
      <c r="O2556" s="231"/>
      <c r="P2556" s="231"/>
      <c r="Q2556" s="231"/>
      <c r="R2556" s="231"/>
      <c r="S2556" s="231"/>
      <c r="T2556" s="231"/>
      <c r="U2556" s="231"/>
      <c r="V2556" s="231"/>
      <c r="W2556" s="231"/>
      <c r="X2556" s="231"/>
      <c r="Y2556" s="231"/>
      <c r="Z2556" s="231"/>
      <c r="AA2556" s="231"/>
      <c r="AB2556" s="22">
        <f t="shared" si="795"/>
        <v>0</v>
      </c>
      <c r="AC2556" s="23">
        <v>0</v>
      </c>
      <c r="AD2556" s="35"/>
      <c r="AE2556" s="35"/>
      <c r="AF2556" s="35"/>
      <c r="AG2556" s="35"/>
      <c r="AH2556" s="35">
        <v>4</v>
      </c>
      <c r="AI2556" s="35"/>
      <c r="AJ2556" s="35"/>
      <c r="AK2556" s="35"/>
      <c r="AL2556" s="35">
        <v>8</v>
      </c>
      <c r="AM2556" s="35"/>
      <c r="AN2556" s="35"/>
      <c r="AO2556" s="35"/>
      <c r="AP2556" s="35">
        <v>8</v>
      </c>
      <c r="AQ2556" s="35"/>
      <c r="AR2556" s="35"/>
      <c r="AS2556" s="35"/>
      <c r="AT2556" s="35"/>
      <c r="AU2556" s="35"/>
      <c r="AV2556" s="35"/>
      <c r="AW2556" s="35"/>
      <c r="AX2556" s="35"/>
      <c r="AY2556" s="35"/>
      <c r="AZ2556" s="35"/>
      <c r="BA2556" s="35"/>
      <c r="BB2556" s="22">
        <f t="shared" si="796"/>
        <v>20</v>
      </c>
      <c r="BC2556" s="23">
        <v>22</v>
      </c>
      <c r="BD2556" s="130">
        <f t="shared" si="797"/>
        <v>20</v>
      </c>
      <c r="BE2556" s="130">
        <f t="shared" si="798"/>
        <v>22</v>
      </c>
      <c r="BF2556" s="195">
        <f t="shared" si="799"/>
        <v>90.909090909090907</v>
      </c>
      <c r="BG2556" s="373">
        <f t="shared" si="802"/>
        <v>2</v>
      </c>
    </row>
    <row r="2557" spans="1:59" s="46" customFormat="1" ht="15.95" customHeight="1">
      <c r="A2557" s="176">
        <v>176</v>
      </c>
      <c r="B2557" s="31" t="s">
        <v>1398</v>
      </c>
      <c r="C2557" s="32" t="s">
        <v>2008</v>
      </c>
      <c r="D2557" s="231"/>
      <c r="E2557" s="231"/>
      <c r="F2557" s="231"/>
      <c r="G2557" s="231"/>
      <c r="H2557" s="231"/>
      <c r="I2557" s="231"/>
      <c r="J2557" s="231"/>
      <c r="K2557" s="231"/>
      <c r="L2557" s="231"/>
      <c r="M2557" s="231"/>
      <c r="N2557" s="231"/>
      <c r="O2557" s="231"/>
      <c r="P2557" s="231"/>
      <c r="Q2557" s="231"/>
      <c r="R2557" s="231"/>
      <c r="S2557" s="231"/>
      <c r="T2557" s="231"/>
      <c r="U2557" s="231"/>
      <c r="V2557" s="231"/>
      <c r="W2557" s="231"/>
      <c r="X2557" s="231"/>
      <c r="Y2557" s="231"/>
      <c r="Z2557" s="231"/>
      <c r="AA2557" s="231"/>
      <c r="AB2557" s="22">
        <f t="shared" si="795"/>
        <v>0</v>
      </c>
      <c r="AC2557" s="23">
        <v>0</v>
      </c>
      <c r="AD2557" s="35"/>
      <c r="AE2557" s="35"/>
      <c r="AF2557" s="35"/>
      <c r="AG2557" s="35"/>
      <c r="AH2557" s="35"/>
      <c r="AI2557" s="35"/>
      <c r="AJ2557" s="35"/>
      <c r="AK2557" s="35"/>
      <c r="AL2557" s="35">
        <v>2</v>
      </c>
      <c r="AM2557" s="35"/>
      <c r="AN2557" s="35"/>
      <c r="AO2557" s="35"/>
      <c r="AP2557" s="35">
        <v>1</v>
      </c>
      <c r="AQ2557" s="35"/>
      <c r="AR2557" s="35"/>
      <c r="AS2557" s="35"/>
      <c r="AT2557" s="35"/>
      <c r="AU2557" s="35"/>
      <c r="AV2557" s="35"/>
      <c r="AW2557" s="35"/>
      <c r="AX2557" s="35"/>
      <c r="AY2557" s="35"/>
      <c r="AZ2557" s="35"/>
      <c r="BA2557" s="35"/>
      <c r="BB2557" s="22">
        <f t="shared" si="796"/>
        <v>3</v>
      </c>
      <c r="BC2557" s="23">
        <v>2</v>
      </c>
      <c r="BD2557" s="130">
        <f t="shared" si="797"/>
        <v>3</v>
      </c>
      <c r="BE2557" s="130">
        <f t="shared" si="798"/>
        <v>2</v>
      </c>
      <c r="BF2557" s="195">
        <f t="shared" si="799"/>
        <v>150</v>
      </c>
      <c r="BG2557" s="373">
        <f t="shared" si="802"/>
        <v>-1</v>
      </c>
    </row>
    <row r="2558" spans="1:59" s="46" customFormat="1" ht="15.95" customHeight="1">
      <c r="A2558" s="176">
        <v>177</v>
      </c>
      <c r="B2558" s="31" t="s">
        <v>847</v>
      </c>
      <c r="C2558" s="32" t="s">
        <v>1351</v>
      </c>
      <c r="D2558" s="231"/>
      <c r="E2558" s="231"/>
      <c r="F2558" s="231"/>
      <c r="G2558" s="231"/>
      <c r="H2558" s="231"/>
      <c r="I2558" s="231"/>
      <c r="J2558" s="231"/>
      <c r="K2558" s="231"/>
      <c r="L2558" s="231"/>
      <c r="M2558" s="231"/>
      <c r="N2558" s="231"/>
      <c r="O2558" s="231"/>
      <c r="P2558" s="231"/>
      <c r="Q2558" s="231"/>
      <c r="R2558" s="231"/>
      <c r="S2558" s="231"/>
      <c r="T2558" s="231"/>
      <c r="U2558" s="231"/>
      <c r="V2558" s="231"/>
      <c r="W2558" s="231"/>
      <c r="X2558" s="231"/>
      <c r="Y2558" s="231"/>
      <c r="Z2558" s="231"/>
      <c r="AA2558" s="231"/>
      <c r="AB2558" s="22">
        <f t="shared" si="795"/>
        <v>0</v>
      </c>
      <c r="AC2558" s="23">
        <v>0</v>
      </c>
      <c r="AD2558" s="35">
        <v>2</v>
      </c>
      <c r="AE2558" s="35"/>
      <c r="AF2558" s="35"/>
      <c r="AG2558" s="35"/>
      <c r="AH2558" s="35"/>
      <c r="AI2558" s="35"/>
      <c r="AJ2558" s="35"/>
      <c r="AK2558" s="35"/>
      <c r="AL2558" s="35">
        <f>2+1</f>
        <v>3</v>
      </c>
      <c r="AM2558" s="35"/>
      <c r="AN2558" s="35"/>
      <c r="AO2558" s="35"/>
      <c r="AP2558" s="35">
        <v>1</v>
      </c>
      <c r="AQ2558" s="35"/>
      <c r="AR2558" s="35"/>
      <c r="AS2558" s="35"/>
      <c r="AT2558" s="35"/>
      <c r="AU2558" s="35"/>
      <c r="AV2558" s="35"/>
      <c r="AW2558" s="35"/>
      <c r="AX2558" s="35"/>
      <c r="AY2558" s="35"/>
      <c r="AZ2558" s="35"/>
      <c r="BA2558" s="35"/>
      <c r="BB2558" s="22">
        <f t="shared" si="796"/>
        <v>6</v>
      </c>
      <c r="BC2558" s="23">
        <v>2</v>
      </c>
      <c r="BD2558" s="130">
        <f t="shared" si="797"/>
        <v>6</v>
      </c>
      <c r="BE2558" s="130">
        <f t="shared" si="798"/>
        <v>2</v>
      </c>
      <c r="BF2558" s="195">
        <f t="shared" si="799"/>
        <v>300</v>
      </c>
      <c r="BG2558" s="373">
        <f t="shared" si="802"/>
        <v>-4</v>
      </c>
    </row>
    <row r="2559" spans="1:59" s="46" customFormat="1" ht="15.95" customHeight="1">
      <c r="A2559" s="176">
        <v>178</v>
      </c>
      <c r="B2559" s="31" t="s">
        <v>957</v>
      </c>
      <c r="C2559" s="32" t="s">
        <v>1352</v>
      </c>
      <c r="D2559" s="231"/>
      <c r="E2559" s="231"/>
      <c r="F2559" s="231"/>
      <c r="G2559" s="231"/>
      <c r="H2559" s="231"/>
      <c r="I2559" s="231"/>
      <c r="J2559" s="231"/>
      <c r="K2559" s="231"/>
      <c r="L2559" s="231"/>
      <c r="M2559" s="231"/>
      <c r="N2559" s="231"/>
      <c r="O2559" s="231"/>
      <c r="P2559" s="231"/>
      <c r="Q2559" s="231"/>
      <c r="R2559" s="231"/>
      <c r="S2559" s="231"/>
      <c r="T2559" s="231"/>
      <c r="U2559" s="231"/>
      <c r="V2559" s="231"/>
      <c r="W2559" s="231"/>
      <c r="X2559" s="231"/>
      <c r="Y2559" s="231"/>
      <c r="Z2559" s="231"/>
      <c r="AA2559" s="231"/>
      <c r="AB2559" s="22">
        <f t="shared" si="795"/>
        <v>0</v>
      </c>
      <c r="AC2559" s="23">
        <v>0</v>
      </c>
      <c r="AD2559" s="35"/>
      <c r="AE2559" s="35"/>
      <c r="AF2559" s="35"/>
      <c r="AG2559" s="35"/>
      <c r="AH2559" s="35">
        <f>1+1</f>
        <v>2</v>
      </c>
      <c r="AI2559" s="35"/>
      <c r="AJ2559" s="35"/>
      <c r="AK2559" s="35"/>
      <c r="AL2559" s="35">
        <f>1+3</f>
        <v>4</v>
      </c>
      <c r="AM2559" s="35"/>
      <c r="AN2559" s="35"/>
      <c r="AO2559" s="35"/>
      <c r="AP2559" s="35">
        <v>2</v>
      </c>
      <c r="AQ2559" s="35"/>
      <c r="AR2559" s="35"/>
      <c r="AS2559" s="35"/>
      <c r="AT2559" s="35"/>
      <c r="AU2559" s="35"/>
      <c r="AV2559" s="35"/>
      <c r="AW2559" s="35"/>
      <c r="AX2559" s="35"/>
      <c r="AY2559" s="35"/>
      <c r="AZ2559" s="35"/>
      <c r="BA2559" s="35"/>
      <c r="BB2559" s="22">
        <f t="shared" si="796"/>
        <v>8</v>
      </c>
      <c r="BC2559" s="23">
        <v>12</v>
      </c>
      <c r="BD2559" s="130">
        <f t="shared" si="797"/>
        <v>8</v>
      </c>
      <c r="BE2559" s="130">
        <f t="shared" si="798"/>
        <v>12</v>
      </c>
      <c r="BF2559" s="195">
        <f t="shared" si="799"/>
        <v>66.666666666666657</v>
      </c>
      <c r="BG2559" s="373">
        <f t="shared" si="802"/>
        <v>4</v>
      </c>
    </row>
    <row r="2560" spans="1:59" s="46" customFormat="1" ht="15.95" customHeight="1">
      <c r="A2560" s="176">
        <v>179</v>
      </c>
      <c r="B2560" s="31" t="s">
        <v>959</v>
      </c>
      <c r="C2560" s="32" t="s">
        <v>1353</v>
      </c>
      <c r="D2560" s="231"/>
      <c r="E2560" s="231"/>
      <c r="F2560" s="231"/>
      <c r="G2560" s="231"/>
      <c r="H2560" s="231"/>
      <c r="I2560" s="231"/>
      <c r="J2560" s="231"/>
      <c r="K2560" s="231"/>
      <c r="L2560" s="231"/>
      <c r="M2560" s="231"/>
      <c r="N2560" s="231"/>
      <c r="O2560" s="231"/>
      <c r="P2560" s="231"/>
      <c r="Q2560" s="231"/>
      <c r="R2560" s="231"/>
      <c r="S2560" s="231"/>
      <c r="T2560" s="231"/>
      <c r="U2560" s="231"/>
      <c r="V2560" s="231"/>
      <c r="W2560" s="231"/>
      <c r="X2560" s="231"/>
      <c r="Y2560" s="231"/>
      <c r="Z2560" s="231"/>
      <c r="AA2560" s="231"/>
      <c r="AB2560" s="22">
        <f t="shared" si="795"/>
        <v>0</v>
      </c>
      <c r="AC2560" s="23">
        <v>0</v>
      </c>
      <c r="AD2560" s="35"/>
      <c r="AE2560" s="35"/>
      <c r="AF2560" s="35"/>
      <c r="AG2560" s="35"/>
      <c r="AH2560" s="35"/>
      <c r="AI2560" s="35"/>
      <c r="AJ2560" s="35"/>
      <c r="AK2560" s="35"/>
      <c r="AL2560" s="35">
        <v>1</v>
      </c>
      <c r="AM2560" s="35"/>
      <c r="AN2560" s="35"/>
      <c r="AO2560" s="35"/>
      <c r="AP2560" s="35">
        <v>2</v>
      </c>
      <c r="AQ2560" s="35"/>
      <c r="AR2560" s="35"/>
      <c r="AS2560" s="35"/>
      <c r="AT2560" s="35"/>
      <c r="AU2560" s="35"/>
      <c r="AV2560" s="35"/>
      <c r="AW2560" s="35"/>
      <c r="AX2560" s="35"/>
      <c r="AY2560" s="35"/>
      <c r="AZ2560" s="35"/>
      <c r="BA2560" s="35"/>
      <c r="BB2560" s="22">
        <f t="shared" si="796"/>
        <v>3</v>
      </c>
      <c r="BC2560" s="23">
        <v>8</v>
      </c>
      <c r="BD2560" s="130">
        <f t="shared" si="797"/>
        <v>3</v>
      </c>
      <c r="BE2560" s="130">
        <f t="shared" si="798"/>
        <v>8</v>
      </c>
      <c r="BF2560" s="195">
        <f t="shared" si="799"/>
        <v>37.5</v>
      </c>
      <c r="BG2560" s="373">
        <f t="shared" si="802"/>
        <v>5</v>
      </c>
    </row>
    <row r="2561" spans="1:59" s="46" customFormat="1" ht="15.95" customHeight="1">
      <c r="A2561" s="176">
        <v>180</v>
      </c>
      <c r="B2561" s="31" t="s">
        <v>961</v>
      </c>
      <c r="C2561" s="32" t="s">
        <v>1354</v>
      </c>
      <c r="D2561" s="231"/>
      <c r="E2561" s="231"/>
      <c r="F2561" s="231"/>
      <c r="G2561" s="231"/>
      <c r="H2561" s="231"/>
      <c r="I2561" s="231"/>
      <c r="J2561" s="231"/>
      <c r="K2561" s="231"/>
      <c r="L2561" s="231"/>
      <c r="M2561" s="231"/>
      <c r="N2561" s="231"/>
      <c r="O2561" s="231"/>
      <c r="P2561" s="231"/>
      <c r="Q2561" s="231"/>
      <c r="R2561" s="231"/>
      <c r="S2561" s="231"/>
      <c r="T2561" s="231"/>
      <c r="U2561" s="231"/>
      <c r="V2561" s="231"/>
      <c r="W2561" s="231"/>
      <c r="X2561" s="231"/>
      <c r="Y2561" s="231"/>
      <c r="Z2561" s="231"/>
      <c r="AA2561" s="231"/>
      <c r="AB2561" s="22">
        <f t="shared" si="795"/>
        <v>0</v>
      </c>
      <c r="AC2561" s="23">
        <v>0</v>
      </c>
      <c r="AD2561" s="35"/>
      <c r="AE2561" s="35"/>
      <c r="AF2561" s="35"/>
      <c r="AG2561" s="35"/>
      <c r="AH2561" s="35">
        <v>1</v>
      </c>
      <c r="AI2561" s="35"/>
      <c r="AJ2561" s="35"/>
      <c r="AK2561" s="35"/>
      <c r="AL2561" s="35">
        <v>14</v>
      </c>
      <c r="AM2561" s="35"/>
      <c r="AN2561" s="35"/>
      <c r="AO2561" s="35"/>
      <c r="AP2561" s="35">
        <v>3</v>
      </c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22">
        <f t="shared" si="796"/>
        <v>18</v>
      </c>
      <c r="BC2561" s="23">
        <v>27</v>
      </c>
      <c r="BD2561" s="130">
        <f t="shared" si="797"/>
        <v>18</v>
      </c>
      <c r="BE2561" s="130">
        <f t="shared" si="798"/>
        <v>27</v>
      </c>
      <c r="BF2561" s="195">
        <f t="shared" si="799"/>
        <v>66.666666666666657</v>
      </c>
      <c r="BG2561" s="373">
        <f t="shared" si="802"/>
        <v>9</v>
      </c>
    </row>
    <row r="2562" spans="1:59" s="46" customFormat="1" ht="15.95" customHeight="1">
      <c r="A2562" s="176">
        <v>181</v>
      </c>
      <c r="B2562" s="31" t="s">
        <v>1355</v>
      </c>
      <c r="C2562" s="32" t="s">
        <v>1356</v>
      </c>
      <c r="D2562" s="231"/>
      <c r="E2562" s="231"/>
      <c r="F2562" s="231"/>
      <c r="G2562" s="231"/>
      <c r="H2562" s="231"/>
      <c r="I2562" s="231"/>
      <c r="J2562" s="231"/>
      <c r="K2562" s="231"/>
      <c r="L2562" s="231"/>
      <c r="M2562" s="231"/>
      <c r="N2562" s="231"/>
      <c r="O2562" s="231"/>
      <c r="P2562" s="231"/>
      <c r="Q2562" s="231"/>
      <c r="R2562" s="231"/>
      <c r="S2562" s="231"/>
      <c r="T2562" s="231"/>
      <c r="U2562" s="231"/>
      <c r="V2562" s="231"/>
      <c r="W2562" s="231"/>
      <c r="X2562" s="231"/>
      <c r="Y2562" s="231"/>
      <c r="Z2562" s="231"/>
      <c r="AA2562" s="231"/>
      <c r="AB2562" s="22">
        <f t="shared" si="795"/>
        <v>0</v>
      </c>
      <c r="AC2562" s="23">
        <v>0</v>
      </c>
      <c r="AD2562" s="35"/>
      <c r="AE2562" s="35"/>
      <c r="AF2562" s="35"/>
      <c r="AG2562" s="35"/>
      <c r="AH2562" s="35"/>
      <c r="AI2562" s="35"/>
      <c r="AJ2562" s="35"/>
      <c r="AK2562" s="35"/>
      <c r="AL2562" s="35">
        <f>1+5</f>
        <v>6</v>
      </c>
      <c r="AM2562" s="35"/>
      <c r="AN2562" s="35"/>
      <c r="AO2562" s="35"/>
      <c r="AP2562" s="35">
        <v>2</v>
      </c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22">
        <f t="shared" si="796"/>
        <v>8</v>
      </c>
      <c r="BC2562" s="23">
        <v>13</v>
      </c>
      <c r="BD2562" s="130">
        <f t="shared" si="797"/>
        <v>8</v>
      </c>
      <c r="BE2562" s="130">
        <f t="shared" si="798"/>
        <v>13</v>
      </c>
      <c r="BF2562" s="195">
        <f t="shared" si="799"/>
        <v>61.53846153846154</v>
      </c>
      <c r="BG2562" s="373">
        <f t="shared" si="802"/>
        <v>5</v>
      </c>
    </row>
    <row r="2563" spans="1:59" s="46" customFormat="1" ht="15.95" customHeight="1">
      <c r="A2563" s="176">
        <v>182</v>
      </c>
      <c r="B2563" s="31" t="s">
        <v>963</v>
      </c>
      <c r="C2563" s="32" t="s">
        <v>1357</v>
      </c>
      <c r="D2563" s="231"/>
      <c r="E2563" s="231"/>
      <c r="F2563" s="231"/>
      <c r="G2563" s="231"/>
      <c r="H2563" s="231"/>
      <c r="I2563" s="231"/>
      <c r="J2563" s="231"/>
      <c r="K2563" s="231"/>
      <c r="L2563" s="231"/>
      <c r="M2563" s="231"/>
      <c r="N2563" s="231"/>
      <c r="O2563" s="231"/>
      <c r="P2563" s="231"/>
      <c r="Q2563" s="231"/>
      <c r="R2563" s="231"/>
      <c r="S2563" s="231"/>
      <c r="T2563" s="231"/>
      <c r="U2563" s="231"/>
      <c r="V2563" s="231"/>
      <c r="W2563" s="231"/>
      <c r="X2563" s="231"/>
      <c r="Y2563" s="231"/>
      <c r="Z2563" s="231"/>
      <c r="AA2563" s="231"/>
      <c r="AB2563" s="22">
        <f t="shared" si="795"/>
        <v>0</v>
      </c>
      <c r="AC2563" s="23">
        <v>0</v>
      </c>
      <c r="AD2563" s="35"/>
      <c r="AE2563" s="35"/>
      <c r="AF2563" s="35"/>
      <c r="AG2563" s="35"/>
      <c r="AH2563" s="35"/>
      <c r="AI2563" s="35"/>
      <c r="AJ2563" s="35"/>
      <c r="AK2563" s="35"/>
      <c r="AL2563" s="35">
        <v>6</v>
      </c>
      <c r="AM2563" s="35"/>
      <c r="AN2563" s="35"/>
      <c r="AO2563" s="35"/>
      <c r="AP2563" s="35">
        <v>7</v>
      </c>
      <c r="AQ2563" s="35"/>
      <c r="AR2563" s="35"/>
      <c r="AS2563" s="35"/>
      <c r="AT2563" s="35"/>
      <c r="AU2563" s="35"/>
      <c r="AV2563" s="35"/>
      <c r="AW2563" s="35"/>
      <c r="AX2563" s="35"/>
      <c r="AY2563" s="35"/>
      <c r="AZ2563" s="35"/>
      <c r="BA2563" s="35"/>
      <c r="BB2563" s="22">
        <f t="shared" si="796"/>
        <v>13</v>
      </c>
      <c r="BC2563" s="23">
        <v>17</v>
      </c>
      <c r="BD2563" s="130">
        <f t="shared" si="797"/>
        <v>13</v>
      </c>
      <c r="BE2563" s="130">
        <f t="shared" si="798"/>
        <v>17</v>
      </c>
      <c r="BF2563" s="195">
        <f t="shared" si="799"/>
        <v>76.470588235294116</v>
      </c>
      <c r="BG2563" s="373">
        <f t="shared" si="802"/>
        <v>4</v>
      </c>
    </row>
    <row r="2564" spans="1:59" s="46" customFormat="1" ht="15.95" customHeight="1">
      <c r="A2564" s="176">
        <v>183</v>
      </c>
      <c r="B2564" s="31" t="s">
        <v>965</v>
      </c>
      <c r="C2564" s="32" t="s">
        <v>2009</v>
      </c>
      <c r="D2564" s="231"/>
      <c r="E2564" s="231"/>
      <c r="F2564" s="231"/>
      <c r="G2564" s="231"/>
      <c r="H2564" s="231"/>
      <c r="I2564" s="231"/>
      <c r="J2564" s="231"/>
      <c r="K2564" s="231"/>
      <c r="L2564" s="231"/>
      <c r="M2564" s="231"/>
      <c r="N2564" s="231"/>
      <c r="O2564" s="231"/>
      <c r="P2564" s="231"/>
      <c r="Q2564" s="231"/>
      <c r="R2564" s="231"/>
      <c r="S2564" s="231"/>
      <c r="T2564" s="231"/>
      <c r="U2564" s="231"/>
      <c r="V2564" s="231"/>
      <c r="W2564" s="231"/>
      <c r="X2564" s="231"/>
      <c r="Y2564" s="231"/>
      <c r="Z2564" s="231"/>
      <c r="AA2564" s="231"/>
      <c r="AB2564" s="22">
        <f t="shared" si="795"/>
        <v>0</v>
      </c>
      <c r="AC2564" s="23">
        <v>0</v>
      </c>
      <c r="AD2564" s="35"/>
      <c r="AE2564" s="35"/>
      <c r="AF2564" s="35"/>
      <c r="AG2564" s="35"/>
      <c r="AH2564" s="35"/>
      <c r="AI2564" s="35"/>
      <c r="AJ2564" s="35"/>
      <c r="AK2564" s="35"/>
      <c r="AL2564" s="35">
        <v>1</v>
      </c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22">
        <f t="shared" si="796"/>
        <v>1</v>
      </c>
      <c r="BC2564" s="23">
        <v>9</v>
      </c>
      <c r="BD2564" s="130">
        <f t="shared" si="797"/>
        <v>1</v>
      </c>
      <c r="BE2564" s="130">
        <f t="shared" si="798"/>
        <v>9</v>
      </c>
      <c r="BF2564" s="195">
        <f t="shared" si="799"/>
        <v>11.111111111111111</v>
      </c>
      <c r="BG2564" s="373">
        <f t="shared" si="802"/>
        <v>8</v>
      </c>
    </row>
    <row r="2565" spans="1:59" s="46" customFormat="1" ht="15.95" customHeight="1">
      <c r="A2565" s="176">
        <v>184</v>
      </c>
      <c r="B2565" s="31" t="s">
        <v>967</v>
      </c>
      <c r="C2565" s="32" t="s">
        <v>2135</v>
      </c>
      <c r="D2565" s="231"/>
      <c r="E2565" s="231"/>
      <c r="F2565" s="231"/>
      <c r="G2565" s="231"/>
      <c r="H2565" s="231"/>
      <c r="I2565" s="231"/>
      <c r="J2565" s="231"/>
      <c r="K2565" s="231"/>
      <c r="L2565" s="231"/>
      <c r="M2565" s="231"/>
      <c r="N2565" s="231"/>
      <c r="O2565" s="231"/>
      <c r="P2565" s="231"/>
      <c r="Q2565" s="231"/>
      <c r="R2565" s="231"/>
      <c r="S2565" s="231"/>
      <c r="T2565" s="231"/>
      <c r="U2565" s="231"/>
      <c r="V2565" s="231"/>
      <c r="W2565" s="231"/>
      <c r="X2565" s="231"/>
      <c r="Y2565" s="231"/>
      <c r="Z2565" s="231"/>
      <c r="AA2565" s="231"/>
      <c r="AB2565" s="22">
        <f t="shared" si="795"/>
        <v>0</v>
      </c>
      <c r="AC2565" s="23">
        <v>0</v>
      </c>
      <c r="AD2565" s="35"/>
      <c r="AE2565" s="35"/>
      <c r="AF2565" s="35"/>
      <c r="AG2565" s="35"/>
      <c r="AH2565" s="35"/>
      <c r="AI2565" s="35"/>
      <c r="AJ2565" s="35"/>
      <c r="AK2565" s="35"/>
      <c r="AL2565" s="35"/>
      <c r="AM2565" s="35"/>
      <c r="AN2565" s="35"/>
      <c r="AO2565" s="35"/>
      <c r="AP2565" s="35">
        <v>1</v>
      </c>
      <c r="AQ2565" s="35"/>
      <c r="AR2565" s="35"/>
      <c r="AS2565" s="35"/>
      <c r="AT2565" s="35"/>
      <c r="AU2565" s="35"/>
      <c r="AV2565" s="35"/>
      <c r="AW2565" s="35"/>
      <c r="AX2565" s="35"/>
      <c r="AY2565" s="35"/>
      <c r="AZ2565" s="35"/>
      <c r="BA2565" s="35"/>
      <c r="BB2565" s="22">
        <f t="shared" si="796"/>
        <v>1</v>
      </c>
      <c r="BC2565" s="23">
        <v>6</v>
      </c>
      <c r="BD2565" s="130">
        <f t="shared" si="797"/>
        <v>1</v>
      </c>
      <c r="BE2565" s="130">
        <f t="shared" si="798"/>
        <v>6</v>
      </c>
      <c r="BF2565" s="195">
        <f t="shared" si="799"/>
        <v>16.666666666666664</v>
      </c>
      <c r="BG2565" s="373">
        <f t="shared" si="802"/>
        <v>5</v>
      </c>
    </row>
    <row r="2566" spans="1:59" s="46" customFormat="1" ht="15.95" customHeight="1">
      <c r="A2566" s="176">
        <v>185</v>
      </c>
      <c r="B2566" s="31" t="s">
        <v>3183</v>
      </c>
      <c r="C2566" s="32" t="s">
        <v>3184</v>
      </c>
      <c r="D2566" s="231"/>
      <c r="E2566" s="231"/>
      <c r="F2566" s="231"/>
      <c r="G2566" s="231"/>
      <c r="H2566" s="231"/>
      <c r="I2566" s="231"/>
      <c r="J2566" s="231"/>
      <c r="K2566" s="231"/>
      <c r="L2566" s="231"/>
      <c r="M2566" s="231"/>
      <c r="N2566" s="231"/>
      <c r="O2566" s="231"/>
      <c r="P2566" s="231"/>
      <c r="Q2566" s="231"/>
      <c r="R2566" s="231"/>
      <c r="S2566" s="231"/>
      <c r="T2566" s="231"/>
      <c r="U2566" s="231"/>
      <c r="V2566" s="231"/>
      <c r="W2566" s="231"/>
      <c r="X2566" s="231"/>
      <c r="Y2566" s="231"/>
      <c r="Z2566" s="231"/>
      <c r="AA2566" s="231"/>
      <c r="AB2566" s="22">
        <f t="shared" si="795"/>
        <v>0</v>
      </c>
      <c r="AC2566" s="23">
        <v>0</v>
      </c>
      <c r="AD2566" s="35"/>
      <c r="AE2566" s="35"/>
      <c r="AF2566" s="35"/>
      <c r="AG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  <c r="AX2566" s="35"/>
      <c r="AY2566" s="35"/>
      <c r="AZ2566" s="35"/>
      <c r="BA2566" s="35"/>
      <c r="BB2566" s="22">
        <f t="shared" si="796"/>
        <v>0</v>
      </c>
      <c r="BC2566" s="23">
        <v>1</v>
      </c>
      <c r="BD2566" s="130">
        <f t="shared" si="797"/>
        <v>0</v>
      </c>
      <c r="BE2566" s="130">
        <f t="shared" si="798"/>
        <v>1</v>
      </c>
      <c r="BF2566" s="195">
        <f t="shared" si="799"/>
        <v>0</v>
      </c>
      <c r="BG2566" s="373">
        <f t="shared" si="802"/>
        <v>1</v>
      </c>
    </row>
    <row r="2567" spans="1:59" s="46" customFormat="1" ht="15.95" customHeight="1">
      <c r="A2567" s="176">
        <v>186</v>
      </c>
      <c r="B2567" s="31" t="s">
        <v>2184</v>
      </c>
      <c r="C2567" s="32" t="s">
        <v>2185</v>
      </c>
      <c r="D2567" s="231"/>
      <c r="E2567" s="231"/>
      <c r="F2567" s="231"/>
      <c r="G2567" s="231"/>
      <c r="H2567" s="231"/>
      <c r="I2567" s="231"/>
      <c r="J2567" s="231"/>
      <c r="K2567" s="231"/>
      <c r="L2567" s="231"/>
      <c r="M2567" s="231"/>
      <c r="N2567" s="231"/>
      <c r="O2567" s="231"/>
      <c r="P2567" s="231"/>
      <c r="Q2567" s="231"/>
      <c r="R2567" s="231"/>
      <c r="S2567" s="231"/>
      <c r="T2567" s="231"/>
      <c r="U2567" s="231"/>
      <c r="V2567" s="231"/>
      <c r="W2567" s="231"/>
      <c r="X2567" s="231"/>
      <c r="Y2567" s="231"/>
      <c r="Z2567" s="231"/>
      <c r="AA2567" s="231"/>
      <c r="AB2567" s="22">
        <f t="shared" si="795"/>
        <v>0</v>
      </c>
      <c r="AC2567" s="23">
        <v>0</v>
      </c>
      <c r="AD2567" s="35"/>
      <c r="AE2567" s="35"/>
      <c r="AF2567" s="35"/>
      <c r="AG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  <c r="AX2567" s="35"/>
      <c r="AY2567" s="35"/>
      <c r="AZ2567" s="35"/>
      <c r="BA2567" s="35"/>
      <c r="BB2567" s="22">
        <f t="shared" si="796"/>
        <v>0</v>
      </c>
      <c r="BC2567" s="23">
        <v>3</v>
      </c>
      <c r="BD2567" s="130">
        <f t="shared" si="797"/>
        <v>0</v>
      </c>
      <c r="BE2567" s="130">
        <f t="shared" si="798"/>
        <v>3</v>
      </c>
      <c r="BF2567" s="195">
        <f t="shared" si="799"/>
        <v>0</v>
      </c>
      <c r="BG2567" s="373">
        <f t="shared" si="802"/>
        <v>3</v>
      </c>
    </row>
    <row r="2568" spans="1:59" s="46" customFormat="1" ht="15.95" customHeight="1">
      <c r="A2568" s="176">
        <v>187</v>
      </c>
      <c r="B2568" s="31" t="s">
        <v>1049</v>
      </c>
      <c r="C2568" s="32" t="s">
        <v>1050</v>
      </c>
      <c r="D2568" s="231"/>
      <c r="E2568" s="231"/>
      <c r="F2568" s="231"/>
      <c r="G2568" s="231"/>
      <c r="H2568" s="231"/>
      <c r="I2568" s="231"/>
      <c r="J2568" s="231"/>
      <c r="K2568" s="231"/>
      <c r="L2568" s="231"/>
      <c r="M2568" s="231"/>
      <c r="N2568" s="231"/>
      <c r="O2568" s="231"/>
      <c r="P2568" s="231"/>
      <c r="Q2568" s="231"/>
      <c r="R2568" s="231"/>
      <c r="S2568" s="231"/>
      <c r="T2568" s="231"/>
      <c r="U2568" s="231"/>
      <c r="V2568" s="231"/>
      <c r="W2568" s="231"/>
      <c r="X2568" s="231"/>
      <c r="Y2568" s="231"/>
      <c r="Z2568" s="231"/>
      <c r="AA2568" s="231"/>
      <c r="AB2568" s="22">
        <f t="shared" si="795"/>
        <v>0</v>
      </c>
      <c r="AC2568" s="23">
        <v>0</v>
      </c>
      <c r="AD2568" s="35">
        <v>22</v>
      </c>
      <c r="AE2568" s="35"/>
      <c r="AF2568" s="35"/>
      <c r="AG2568" s="35"/>
      <c r="AH2568" s="35">
        <f>120+8</f>
        <v>128</v>
      </c>
      <c r="AI2568" s="35"/>
      <c r="AJ2568" s="35"/>
      <c r="AK2568" s="35"/>
      <c r="AL2568" s="35">
        <f>660+15+4</f>
        <v>679</v>
      </c>
      <c r="AM2568" s="35"/>
      <c r="AN2568" s="35"/>
      <c r="AO2568" s="35"/>
      <c r="AP2568" s="35">
        <v>661</v>
      </c>
      <c r="AQ2568" s="35"/>
      <c r="AR2568" s="35"/>
      <c r="AS2568" s="35"/>
      <c r="AT2568" s="35"/>
      <c r="AU2568" s="35"/>
      <c r="AV2568" s="35"/>
      <c r="AW2568" s="35"/>
      <c r="AX2568" s="35"/>
      <c r="AY2568" s="35"/>
      <c r="AZ2568" s="35"/>
      <c r="BA2568" s="35"/>
      <c r="BB2568" s="22">
        <f t="shared" si="796"/>
        <v>1490</v>
      </c>
      <c r="BC2568" s="23">
        <v>58</v>
      </c>
      <c r="BD2568" s="130">
        <f t="shared" si="797"/>
        <v>1490</v>
      </c>
      <c r="BE2568" s="130">
        <f t="shared" si="798"/>
        <v>58</v>
      </c>
      <c r="BF2568" s="195">
        <f t="shared" si="799"/>
        <v>2568.9655172413795</v>
      </c>
      <c r="BG2568" s="373">
        <f t="shared" si="802"/>
        <v>-1432</v>
      </c>
    </row>
    <row r="2569" spans="1:59" s="46" customFormat="1" ht="15.95" customHeight="1">
      <c r="A2569" s="176">
        <v>188</v>
      </c>
      <c r="B2569" s="31" t="s">
        <v>2336</v>
      </c>
      <c r="C2569" s="32" t="s">
        <v>2824</v>
      </c>
      <c r="D2569" s="231"/>
      <c r="E2569" s="231"/>
      <c r="F2569" s="231"/>
      <c r="G2569" s="231"/>
      <c r="H2569" s="231"/>
      <c r="I2569" s="231"/>
      <c r="J2569" s="231"/>
      <c r="K2569" s="231"/>
      <c r="L2569" s="231"/>
      <c r="M2569" s="231"/>
      <c r="N2569" s="231"/>
      <c r="O2569" s="231"/>
      <c r="P2569" s="231"/>
      <c r="Q2569" s="231"/>
      <c r="R2569" s="231"/>
      <c r="S2569" s="231"/>
      <c r="T2569" s="231"/>
      <c r="U2569" s="231"/>
      <c r="V2569" s="231"/>
      <c r="W2569" s="231"/>
      <c r="X2569" s="231"/>
      <c r="Y2569" s="231"/>
      <c r="Z2569" s="231"/>
      <c r="AA2569" s="231"/>
      <c r="AB2569" s="22">
        <f t="shared" si="795"/>
        <v>0</v>
      </c>
      <c r="AC2569" s="23">
        <v>0</v>
      </c>
      <c r="AD2569" s="35"/>
      <c r="AE2569" s="35"/>
      <c r="AF2569" s="35"/>
      <c r="AG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22">
        <f t="shared" si="796"/>
        <v>0</v>
      </c>
      <c r="BC2569" s="23">
        <v>1</v>
      </c>
      <c r="BD2569" s="130">
        <f t="shared" si="797"/>
        <v>0</v>
      </c>
      <c r="BE2569" s="130">
        <f t="shared" si="798"/>
        <v>1</v>
      </c>
      <c r="BF2569" s="195">
        <f t="shared" si="799"/>
        <v>0</v>
      </c>
      <c r="BG2569" s="373">
        <f t="shared" si="802"/>
        <v>1</v>
      </c>
    </row>
    <row r="2570" spans="1:59" s="46" customFormat="1" ht="15.95" customHeight="1">
      <c r="A2570" s="176">
        <v>189</v>
      </c>
      <c r="B2570" s="31" t="s">
        <v>3525</v>
      </c>
      <c r="C2570" s="32" t="s">
        <v>3526</v>
      </c>
      <c r="D2570" s="231"/>
      <c r="E2570" s="231"/>
      <c r="F2570" s="231"/>
      <c r="G2570" s="231"/>
      <c r="H2570" s="231"/>
      <c r="I2570" s="231"/>
      <c r="J2570" s="231"/>
      <c r="K2570" s="231"/>
      <c r="L2570" s="231"/>
      <c r="M2570" s="231"/>
      <c r="N2570" s="231"/>
      <c r="O2570" s="231"/>
      <c r="P2570" s="231"/>
      <c r="Q2570" s="231"/>
      <c r="R2570" s="231"/>
      <c r="S2570" s="231"/>
      <c r="T2570" s="231"/>
      <c r="U2570" s="231"/>
      <c r="V2570" s="231"/>
      <c r="W2570" s="231"/>
      <c r="X2570" s="231"/>
      <c r="Y2570" s="231"/>
      <c r="Z2570" s="231"/>
      <c r="AA2570" s="231"/>
      <c r="AB2570" s="22">
        <f t="shared" si="795"/>
        <v>0</v>
      </c>
      <c r="AC2570" s="23">
        <v>0</v>
      </c>
      <c r="AD2570" s="35"/>
      <c r="AE2570" s="35"/>
      <c r="AF2570" s="35"/>
      <c r="AG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  <c r="AX2570" s="35"/>
      <c r="AY2570" s="35"/>
      <c r="AZ2570" s="35"/>
      <c r="BA2570" s="35"/>
      <c r="BB2570" s="22">
        <f t="shared" si="796"/>
        <v>0</v>
      </c>
      <c r="BC2570" s="23">
        <v>1</v>
      </c>
      <c r="BD2570" s="130">
        <f t="shared" si="797"/>
        <v>0</v>
      </c>
      <c r="BE2570" s="130">
        <f t="shared" si="798"/>
        <v>1</v>
      </c>
      <c r="BF2570" s="195">
        <f t="shared" si="799"/>
        <v>0</v>
      </c>
      <c r="BG2570" s="373">
        <f t="shared" si="802"/>
        <v>1</v>
      </c>
    </row>
    <row r="2571" spans="1:59" s="46" customFormat="1" ht="15.95" customHeight="1">
      <c r="A2571" s="176">
        <v>190</v>
      </c>
      <c r="B2571" s="31" t="s">
        <v>3527</v>
      </c>
      <c r="C2571" s="32" t="s">
        <v>3528</v>
      </c>
      <c r="D2571" s="231"/>
      <c r="E2571" s="231"/>
      <c r="F2571" s="231"/>
      <c r="G2571" s="231"/>
      <c r="H2571" s="231"/>
      <c r="I2571" s="231"/>
      <c r="J2571" s="231"/>
      <c r="K2571" s="231"/>
      <c r="L2571" s="231"/>
      <c r="M2571" s="231"/>
      <c r="N2571" s="231"/>
      <c r="O2571" s="231"/>
      <c r="P2571" s="231"/>
      <c r="Q2571" s="231"/>
      <c r="R2571" s="231"/>
      <c r="S2571" s="231"/>
      <c r="T2571" s="231"/>
      <c r="U2571" s="231"/>
      <c r="V2571" s="231"/>
      <c r="W2571" s="231"/>
      <c r="X2571" s="231"/>
      <c r="Y2571" s="231"/>
      <c r="Z2571" s="231"/>
      <c r="AA2571" s="231"/>
      <c r="AB2571" s="22">
        <f t="shared" si="795"/>
        <v>0</v>
      </c>
      <c r="AC2571" s="23">
        <v>0</v>
      </c>
      <c r="AD2571" s="35"/>
      <c r="AE2571" s="35"/>
      <c r="AF2571" s="35"/>
      <c r="AG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  <c r="AX2571" s="35"/>
      <c r="AY2571" s="35"/>
      <c r="AZ2571" s="35"/>
      <c r="BA2571" s="35"/>
      <c r="BB2571" s="22">
        <f t="shared" si="796"/>
        <v>0</v>
      </c>
      <c r="BC2571" s="23">
        <v>2</v>
      </c>
      <c r="BD2571" s="130">
        <f t="shared" si="797"/>
        <v>0</v>
      </c>
      <c r="BE2571" s="130">
        <f t="shared" si="798"/>
        <v>2</v>
      </c>
      <c r="BF2571" s="195">
        <f t="shared" si="799"/>
        <v>0</v>
      </c>
      <c r="BG2571" s="373">
        <f t="shared" si="802"/>
        <v>2</v>
      </c>
    </row>
    <row r="2572" spans="1:59" s="46" customFormat="1" ht="15.95" customHeight="1">
      <c r="A2572" s="176">
        <v>191</v>
      </c>
      <c r="B2572" s="31" t="s">
        <v>849</v>
      </c>
      <c r="C2572" s="32" t="s">
        <v>1358</v>
      </c>
      <c r="D2572" s="231"/>
      <c r="E2572" s="231"/>
      <c r="F2572" s="231"/>
      <c r="G2572" s="231"/>
      <c r="H2572" s="231"/>
      <c r="I2572" s="231"/>
      <c r="J2572" s="231"/>
      <c r="K2572" s="231"/>
      <c r="L2572" s="231"/>
      <c r="M2572" s="231"/>
      <c r="N2572" s="231"/>
      <c r="O2572" s="231"/>
      <c r="P2572" s="231"/>
      <c r="Q2572" s="231"/>
      <c r="R2572" s="231"/>
      <c r="S2572" s="231"/>
      <c r="T2572" s="231"/>
      <c r="U2572" s="231"/>
      <c r="V2572" s="231"/>
      <c r="W2572" s="231"/>
      <c r="X2572" s="231"/>
      <c r="Y2572" s="231"/>
      <c r="Z2572" s="231"/>
      <c r="AA2572" s="231"/>
      <c r="AB2572" s="22">
        <f t="shared" si="795"/>
        <v>0</v>
      </c>
      <c r="AC2572" s="23">
        <v>0</v>
      </c>
      <c r="AD2572" s="35"/>
      <c r="AE2572" s="35"/>
      <c r="AF2572" s="35"/>
      <c r="AG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  <c r="AX2572" s="35"/>
      <c r="AY2572" s="35"/>
      <c r="AZ2572" s="35"/>
      <c r="BA2572" s="35"/>
      <c r="BB2572" s="22">
        <f t="shared" si="796"/>
        <v>0</v>
      </c>
      <c r="BC2572" s="23">
        <v>17</v>
      </c>
      <c r="BD2572" s="130">
        <f t="shared" si="797"/>
        <v>0</v>
      </c>
      <c r="BE2572" s="130">
        <f t="shared" si="798"/>
        <v>17</v>
      </c>
      <c r="BF2572" s="195">
        <f t="shared" si="799"/>
        <v>0</v>
      </c>
      <c r="BG2572" s="373">
        <f t="shared" si="802"/>
        <v>17</v>
      </c>
    </row>
    <row r="2573" spans="1:59" s="46" customFormat="1" ht="15.95" customHeight="1">
      <c r="A2573" s="176">
        <v>192</v>
      </c>
      <c r="B2573" s="31" t="s">
        <v>851</v>
      </c>
      <c r="C2573" s="32" t="s">
        <v>1359</v>
      </c>
      <c r="D2573" s="231"/>
      <c r="E2573" s="231"/>
      <c r="F2573" s="231"/>
      <c r="G2573" s="231"/>
      <c r="H2573" s="231"/>
      <c r="I2573" s="231"/>
      <c r="J2573" s="231"/>
      <c r="K2573" s="231"/>
      <c r="L2573" s="231"/>
      <c r="M2573" s="231"/>
      <c r="N2573" s="231"/>
      <c r="O2573" s="231"/>
      <c r="P2573" s="231"/>
      <c r="Q2573" s="231"/>
      <c r="R2573" s="231"/>
      <c r="S2573" s="231"/>
      <c r="T2573" s="231"/>
      <c r="U2573" s="231"/>
      <c r="V2573" s="231"/>
      <c r="W2573" s="231"/>
      <c r="X2573" s="231"/>
      <c r="Y2573" s="231"/>
      <c r="Z2573" s="231"/>
      <c r="AA2573" s="231"/>
      <c r="AB2573" s="22">
        <f t="shared" si="795"/>
        <v>0</v>
      </c>
      <c r="AC2573" s="23">
        <v>0</v>
      </c>
      <c r="AD2573" s="35">
        <v>16</v>
      </c>
      <c r="AE2573" s="35"/>
      <c r="AF2573" s="35"/>
      <c r="AG2573" s="35"/>
      <c r="AH2573" s="35">
        <f>1+20</f>
        <v>21</v>
      </c>
      <c r="AI2573" s="35"/>
      <c r="AJ2573" s="35"/>
      <c r="AK2573" s="35"/>
      <c r="AL2573" s="35">
        <f>6+8</f>
        <v>14</v>
      </c>
      <c r="AM2573" s="35"/>
      <c r="AN2573" s="35"/>
      <c r="AO2573" s="35"/>
      <c r="AP2573" s="35">
        <v>12</v>
      </c>
      <c r="AQ2573" s="35"/>
      <c r="AR2573" s="35"/>
      <c r="AS2573" s="35"/>
      <c r="AT2573" s="35"/>
      <c r="AU2573" s="35"/>
      <c r="AV2573" s="35"/>
      <c r="AW2573" s="35"/>
      <c r="AX2573" s="35"/>
      <c r="AY2573" s="35"/>
      <c r="AZ2573" s="35"/>
      <c r="BA2573" s="35"/>
      <c r="BB2573" s="22">
        <f t="shared" si="796"/>
        <v>63</v>
      </c>
      <c r="BC2573" s="23">
        <v>964</v>
      </c>
      <c r="BD2573" s="130">
        <f t="shared" si="797"/>
        <v>63</v>
      </c>
      <c r="BE2573" s="130">
        <f t="shared" si="798"/>
        <v>964</v>
      </c>
      <c r="BF2573" s="195">
        <f t="shared" si="799"/>
        <v>6.5352697095435692</v>
      </c>
      <c r="BG2573" s="373">
        <f t="shared" si="802"/>
        <v>901</v>
      </c>
    </row>
    <row r="2574" spans="1:59" s="46" customFormat="1" ht="15.95" customHeight="1">
      <c r="A2574" s="176">
        <v>193</v>
      </c>
      <c r="B2574" s="31" t="s">
        <v>1511</v>
      </c>
      <c r="C2574" s="32" t="s">
        <v>850</v>
      </c>
      <c r="D2574" s="231"/>
      <c r="E2574" s="231"/>
      <c r="F2574" s="231"/>
      <c r="G2574" s="231"/>
      <c r="H2574" s="231"/>
      <c r="I2574" s="231"/>
      <c r="J2574" s="231"/>
      <c r="K2574" s="231"/>
      <c r="L2574" s="231"/>
      <c r="M2574" s="231"/>
      <c r="N2574" s="231"/>
      <c r="O2574" s="231"/>
      <c r="P2574" s="231"/>
      <c r="Q2574" s="231"/>
      <c r="R2574" s="231"/>
      <c r="S2574" s="231"/>
      <c r="T2574" s="231"/>
      <c r="U2574" s="231"/>
      <c r="V2574" s="231"/>
      <c r="W2574" s="231"/>
      <c r="X2574" s="231"/>
      <c r="Y2574" s="231"/>
      <c r="Z2574" s="231"/>
      <c r="AA2574" s="231"/>
      <c r="AB2574" s="22">
        <f t="shared" si="795"/>
        <v>0</v>
      </c>
      <c r="AC2574" s="23">
        <v>0</v>
      </c>
      <c r="AD2574" s="35"/>
      <c r="AE2574" s="35"/>
      <c r="AF2574" s="35"/>
      <c r="AG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  <c r="AX2574" s="35"/>
      <c r="AY2574" s="35"/>
      <c r="AZ2574" s="35"/>
      <c r="BA2574" s="35"/>
      <c r="BB2574" s="22">
        <f t="shared" si="796"/>
        <v>0</v>
      </c>
      <c r="BC2574" s="23">
        <v>5</v>
      </c>
      <c r="BD2574" s="130">
        <f t="shared" si="797"/>
        <v>0</v>
      </c>
      <c r="BE2574" s="130">
        <f t="shared" si="798"/>
        <v>5</v>
      </c>
      <c r="BF2574" s="195">
        <f t="shared" si="799"/>
        <v>0</v>
      </c>
      <c r="BG2574" s="373">
        <f t="shared" si="802"/>
        <v>5</v>
      </c>
    </row>
    <row r="2575" spans="1:59" s="46" customFormat="1" ht="15.95" customHeight="1">
      <c r="A2575" s="176">
        <v>194</v>
      </c>
      <c r="B2575" s="31" t="s">
        <v>918</v>
      </c>
      <c r="C2575" s="32" t="s">
        <v>919</v>
      </c>
      <c r="D2575" s="323"/>
      <c r="E2575" s="323"/>
      <c r="F2575" s="323"/>
      <c r="G2575" s="323"/>
      <c r="H2575" s="323"/>
      <c r="I2575" s="323"/>
      <c r="J2575" s="323"/>
      <c r="K2575" s="323"/>
      <c r="L2575" s="323"/>
      <c r="M2575" s="323"/>
      <c r="N2575" s="323"/>
      <c r="O2575" s="323"/>
      <c r="P2575" s="323"/>
      <c r="Q2575" s="323"/>
      <c r="R2575" s="323"/>
      <c r="S2575" s="323"/>
      <c r="T2575" s="323"/>
      <c r="U2575" s="323"/>
      <c r="V2575" s="323"/>
      <c r="W2575" s="323"/>
      <c r="X2575" s="323"/>
      <c r="Y2575" s="323"/>
      <c r="Z2575" s="323"/>
      <c r="AA2575" s="323"/>
      <c r="AB2575" s="22">
        <f t="shared" si="795"/>
        <v>0</v>
      </c>
      <c r="AC2575" s="23">
        <v>0</v>
      </c>
      <c r="AD2575" s="35"/>
      <c r="AE2575" s="35"/>
      <c r="AF2575" s="35"/>
      <c r="AG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  <c r="AX2575" s="35"/>
      <c r="AY2575" s="35"/>
      <c r="AZ2575" s="35"/>
      <c r="BA2575" s="35"/>
      <c r="BB2575" s="22">
        <f t="shared" si="796"/>
        <v>0</v>
      </c>
      <c r="BC2575" s="23">
        <v>1</v>
      </c>
      <c r="BD2575" s="130">
        <f t="shared" si="797"/>
        <v>0</v>
      </c>
      <c r="BE2575" s="130">
        <f t="shared" si="798"/>
        <v>1</v>
      </c>
      <c r="BF2575" s="195">
        <f t="shared" si="799"/>
        <v>0</v>
      </c>
      <c r="BG2575" s="373">
        <f t="shared" si="802"/>
        <v>1</v>
      </c>
    </row>
    <row r="2576" spans="1:59" s="46" customFormat="1" ht="15.95" customHeight="1">
      <c r="A2576" s="176">
        <v>195</v>
      </c>
      <c r="B2576" s="31" t="s">
        <v>2825</v>
      </c>
      <c r="C2576" s="32" t="s">
        <v>2917</v>
      </c>
      <c r="D2576" s="272"/>
      <c r="E2576" s="272"/>
      <c r="F2576" s="272"/>
      <c r="G2576" s="272"/>
      <c r="H2576" s="272"/>
      <c r="I2576" s="272"/>
      <c r="J2576" s="272"/>
      <c r="K2576" s="272"/>
      <c r="L2576" s="272"/>
      <c r="M2576" s="272"/>
      <c r="N2576" s="272"/>
      <c r="O2576" s="272"/>
      <c r="P2576" s="272"/>
      <c r="Q2576" s="272"/>
      <c r="R2576" s="272"/>
      <c r="S2576" s="272"/>
      <c r="T2576" s="272"/>
      <c r="U2576" s="272"/>
      <c r="V2576" s="272"/>
      <c r="W2576" s="272"/>
      <c r="X2576" s="272"/>
      <c r="Y2576" s="272"/>
      <c r="Z2576" s="272"/>
      <c r="AA2576" s="272"/>
      <c r="AB2576" s="22">
        <f t="shared" si="795"/>
        <v>0</v>
      </c>
      <c r="AC2576" s="23">
        <v>0</v>
      </c>
      <c r="AD2576" s="35"/>
      <c r="AE2576" s="35"/>
      <c r="AF2576" s="35"/>
      <c r="AG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  <c r="AX2576" s="35"/>
      <c r="AY2576" s="35"/>
      <c r="AZ2576" s="35"/>
      <c r="BA2576" s="35"/>
      <c r="BB2576" s="22">
        <f t="shared" si="796"/>
        <v>0</v>
      </c>
      <c r="BC2576" s="23">
        <v>1</v>
      </c>
      <c r="BD2576" s="130">
        <f t="shared" si="797"/>
        <v>0</v>
      </c>
      <c r="BE2576" s="130">
        <f t="shared" si="798"/>
        <v>1</v>
      </c>
      <c r="BF2576" s="195">
        <f t="shared" si="799"/>
        <v>0</v>
      </c>
      <c r="BG2576" s="373">
        <f t="shared" si="802"/>
        <v>1</v>
      </c>
    </row>
    <row r="2577" spans="1:59" s="46" customFormat="1" ht="15.95" customHeight="1">
      <c r="A2577" s="176">
        <v>196</v>
      </c>
      <c r="B2577" s="31" t="s">
        <v>853</v>
      </c>
      <c r="C2577" s="32" t="s">
        <v>2736</v>
      </c>
      <c r="D2577" s="231"/>
      <c r="E2577" s="231"/>
      <c r="F2577" s="231"/>
      <c r="G2577" s="231"/>
      <c r="H2577" s="231"/>
      <c r="I2577" s="231"/>
      <c r="J2577" s="231"/>
      <c r="K2577" s="231"/>
      <c r="L2577" s="231"/>
      <c r="M2577" s="231"/>
      <c r="N2577" s="231"/>
      <c r="O2577" s="231"/>
      <c r="P2577" s="231"/>
      <c r="Q2577" s="231"/>
      <c r="R2577" s="231"/>
      <c r="S2577" s="231"/>
      <c r="T2577" s="231"/>
      <c r="U2577" s="231"/>
      <c r="V2577" s="231"/>
      <c r="W2577" s="231"/>
      <c r="X2577" s="231"/>
      <c r="Y2577" s="231"/>
      <c r="Z2577" s="231"/>
      <c r="AA2577" s="231"/>
      <c r="AB2577" s="22">
        <f t="shared" ref="AB2577:AB2613" si="803">SUM(D2577:AA2577)</f>
        <v>0</v>
      </c>
      <c r="AC2577" s="23">
        <v>0</v>
      </c>
      <c r="AD2577" s="35"/>
      <c r="AE2577" s="35"/>
      <c r="AF2577" s="35"/>
      <c r="AG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  <c r="AX2577" s="35"/>
      <c r="AY2577" s="35"/>
      <c r="AZ2577" s="35"/>
      <c r="BA2577" s="35"/>
      <c r="BB2577" s="22">
        <f t="shared" ref="BB2577:BB2613" si="804">SUM(AD2577:BA2577)</f>
        <v>0</v>
      </c>
      <c r="BC2577" s="23">
        <v>3</v>
      </c>
      <c r="BD2577" s="130">
        <f t="shared" ref="BD2577:BD2613" si="805">AB2577+BB2577</f>
        <v>0</v>
      </c>
      <c r="BE2577" s="130">
        <f t="shared" ref="BE2577:BE2613" si="806">AC2577+BC2577</f>
        <v>3</v>
      </c>
      <c r="BF2577" s="195">
        <f t="shared" ref="BF2577:BF2613" si="807">BD2577/BE2577*100</f>
        <v>0</v>
      </c>
      <c r="BG2577" s="373">
        <f t="shared" si="802"/>
        <v>3</v>
      </c>
    </row>
    <row r="2578" spans="1:59" s="46" customFormat="1" ht="15.95" customHeight="1">
      <c r="A2578" s="176">
        <v>197</v>
      </c>
      <c r="B2578" s="31" t="s">
        <v>1088</v>
      </c>
      <c r="C2578" s="32" t="s">
        <v>1089</v>
      </c>
      <c r="D2578" s="231"/>
      <c r="E2578" s="231"/>
      <c r="F2578" s="231"/>
      <c r="G2578" s="231"/>
      <c r="H2578" s="231"/>
      <c r="I2578" s="231"/>
      <c r="J2578" s="231"/>
      <c r="K2578" s="231"/>
      <c r="L2578" s="231"/>
      <c r="M2578" s="231"/>
      <c r="N2578" s="231"/>
      <c r="O2578" s="231"/>
      <c r="P2578" s="231"/>
      <c r="Q2578" s="231"/>
      <c r="R2578" s="231"/>
      <c r="S2578" s="231"/>
      <c r="T2578" s="231"/>
      <c r="U2578" s="231"/>
      <c r="V2578" s="231"/>
      <c r="W2578" s="231"/>
      <c r="X2578" s="231"/>
      <c r="Y2578" s="231"/>
      <c r="Z2578" s="231"/>
      <c r="AA2578" s="231"/>
      <c r="AB2578" s="22">
        <f t="shared" si="803"/>
        <v>0</v>
      </c>
      <c r="AC2578" s="23">
        <v>0</v>
      </c>
      <c r="AD2578" s="35">
        <v>25</v>
      </c>
      <c r="AE2578" s="35"/>
      <c r="AF2578" s="35"/>
      <c r="AG2578" s="35"/>
      <c r="AH2578" s="35">
        <f>337+52</f>
        <v>389</v>
      </c>
      <c r="AI2578" s="35"/>
      <c r="AJ2578" s="35"/>
      <c r="AK2578" s="35"/>
      <c r="AL2578" s="35">
        <f>1972+52</f>
        <v>2024</v>
      </c>
      <c r="AM2578" s="35"/>
      <c r="AN2578" s="35"/>
      <c r="AO2578" s="35"/>
      <c r="AP2578" s="35">
        <v>1608</v>
      </c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22">
        <f t="shared" si="804"/>
        <v>4046</v>
      </c>
      <c r="BC2578" s="23">
        <v>8866</v>
      </c>
      <c r="BD2578" s="130">
        <f t="shared" si="805"/>
        <v>4046</v>
      </c>
      <c r="BE2578" s="130">
        <f t="shared" si="806"/>
        <v>8866</v>
      </c>
      <c r="BF2578" s="195">
        <f t="shared" si="807"/>
        <v>45.635010151139184</v>
      </c>
      <c r="BG2578" s="373">
        <f t="shared" si="802"/>
        <v>4820</v>
      </c>
    </row>
    <row r="2579" spans="1:59" s="46" customFormat="1" ht="15.95" customHeight="1">
      <c r="A2579" s="176">
        <v>198</v>
      </c>
      <c r="B2579" s="31" t="s">
        <v>1773</v>
      </c>
      <c r="C2579" s="32" t="s">
        <v>2475</v>
      </c>
      <c r="D2579" s="231"/>
      <c r="E2579" s="231"/>
      <c r="F2579" s="231"/>
      <c r="G2579" s="231"/>
      <c r="H2579" s="231"/>
      <c r="I2579" s="231"/>
      <c r="J2579" s="231"/>
      <c r="K2579" s="231"/>
      <c r="L2579" s="231"/>
      <c r="M2579" s="231"/>
      <c r="N2579" s="231"/>
      <c r="O2579" s="231"/>
      <c r="P2579" s="231"/>
      <c r="Q2579" s="231"/>
      <c r="R2579" s="231"/>
      <c r="S2579" s="231"/>
      <c r="T2579" s="231"/>
      <c r="U2579" s="231"/>
      <c r="V2579" s="231"/>
      <c r="W2579" s="231"/>
      <c r="X2579" s="231"/>
      <c r="Y2579" s="231"/>
      <c r="Z2579" s="231"/>
      <c r="AA2579" s="231"/>
      <c r="AB2579" s="22">
        <f t="shared" si="803"/>
        <v>0</v>
      </c>
      <c r="AC2579" s="23">
        <v>0</v>
      </c>
      <c r="AD2579" s="35"/>
      <c r="AE2579" s="35"/>
      <c r="AF2579" s="35"/>
      <c r="AG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  <c r="AX2579" s="35"/>
      <c r="AY2579" s="35"/>
      <c r="AZ2579" s="35"/>
      <c r="BA2579" s="35"/>
      <c r="BB2579" s="22">
        <f t="shared" si="804"/>
        <v>0</v>
      </c>
      <c r="BC2579" s="23">
        <v>137</v>
      </c>
      <c r="BD2579" s="130">
        <f t="shared" si="805"/>
        <v>0</v>
      </c>
      <c r="BE2579" s="130">
        <f t="shared" si="806"/>
        <v>137</v>
      </c>
      <c r="BF2579" s="195">
        <f t="shared" si="807"/>
        <v>0</v>
      </c>
      <c r="BG2579" s="373">
        <f t="shared" si="802"/>
        <v>137</v>
      </c>
    </row>
    <row r="2580" spans="1:59" s="46" customFormat="1" ht="15.95" customHeight="1">
      <c r="A2580" s="176">
        <v>199</v>
      </c>
      <c r="B2580" s="31" t="s">
        <v>1018</v>
      </c>
      <c r="C2580" s="32" t="s">
        <v>1019</v>
      </c>
      <c r="D2580" s="231"/>
      <c r="E2580" s="231"/>
      <c r="F2580" s="231"/>
      <c r="G2580" s="231"/>
      <c r="H2580" s="231"/>
      <c r="I2580" s="231"/>
      <c r="J2580" s="231"/>
      <c r="K2580" s="231"/>
      <c r="L2580" s="231"/>
      <c r="M2580" s="231"/>
      <c r="N2580" s="231"/>
      <c r="O2580" s="231"/>
      <c r="P2580" s="231"/>
      <c r="Q2580" s="231"/>
      <c r="R2580" s="231"/>
      <c r="S2580" s="231"/>
      <c r="T2580" s="231"/>
      <c r="U2580" s="231"/>
      <c r="V2580" s="231"/>
      <c r="W2580" s="231"/>
      <c r="X2580" s="231"/>
      <c r="Y2580" s="231"/>
      <c r="Z2580" s="231"/>
      <c r="AA2580" s="231"/>
      <c r="AB2580" s="22">
        <f t="shared" si="803"/>
        <v>0</v>
      </c>
      <c r="AC2580" s="23">
        <v>0</v>
      </c>
      <c r="AD2580" s="35"/>
      <c r="AE2580" s="35"/>
      <c r="AF2580" s="35"/>
      <c r="AG2580" s="35"/>
      <c r="AH2580" s="35">
        <v>10</v>
      </c>
      <c r="AI2580" s="35"/>
      <c r="AJ2580" s="35"/>
      <c r="AK2580" s="35"/>
      <c r="AL2580" s="35">
        <v>52</v>
      </c>
      <c r="AM2580" s="35"/>
      <c r="AN2580" s="35"/>
      <c r="AO2580" s="35"/>
      <c r="AP2580" s="35">
        <v>82</v>
      </c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22">
        <f t="shared" si="804"/>
        <v>144</v>
      </c>
      <c r="BC2580" s="23">
        <v>237</v>
      </c>
      <c r="BD2580" s="130">
        <f t="shared" si="805"/>
        <v>144</v>
      </c>
      <c r="BE2580" s="130">
        <f t="shared" si="806"/>
        <v>237</v>
      </c>
      <c r="BF2580" s="195">
        <f t="shared" si="807"/>
        <v>60.75949367088608</v>
      </c>
      <c r="BG2580" s="373">
        <f t="shared" si="802"/>
        <v>93</v>
      </c>
    </row>
    <row r="2581" spans="1:59" s="46" customFormat="1" ht="15.95" customHeight="1">
      <c r="A2581" s="176">
        <v>200</v>
      </c>
      <c r="B2581" s="37" t="s">
        <v>970</v>
      </c>
      <c r="C2581" s="38" t="s">
        <v>3714</v>
      </c>
      <c r="D2581" s="231"/>
      <c r="E2581" s="231"/>
      <c r="F2581" s="231"/>
      <c r="G2581" s="231"/>
      <c r="H2581" s="231"/>
      <c r="I2581" s="231"/>
      <c r="J2581" s="231"/>
      <c r="K2581" s="231"/>
      <c r="L2581" s="231"/>
      <c r="M2581" s="231"/>
      <c r="N2581" s="231"/>
      <c r="O2581" s="231"/>
      <c r="P2581" s="231"/>
      <c r="Q2581" s="231"/>
      <c r="R2581" s="231"/>
      <c r="S2581" s="231"/>
      <c r="T2581" s="231"/>
      <c r="U2581" s="231"/>
      <c r="V2581" s="231"/>
      <c r="W2581" s="231"/>
      <c r="X2581" s="231"/>
      <c r="Y2581" s="231"/>
      <c r="Z2581" s="231"/>
      <c r="AA2581" s="231"/>
      <c r="AB2581" s="22">
        <f t="shared" si="803"/>
        <v>0</v>
      </c>
      <c r="AC2581" s="23">
        <v>0</v>
      </c>
      <c r="AD2581" s="35"/>
      <c r="AE2581" s="35"/>
      <c r="AF2581" s="35"/>
      <c r="AG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22">
        <f t="shared" si="804"/>
        <v>0</v>
      </c>
      <c r="BC2581" s="23">
        <v>136</v>
      </c>
      <c r="BD2581" s="130">
        <f t="shared" si="805"/>
        <v>0</v>
      </c>
      <c r="BE2581" s="130">
        <f t="shared" si="806"/>
        <v>136</v>
      </c>
      <c r="BF2581" s="195">
        <f t="shared" si="807"/>
        <v>0</v>
      </c>
      <c r="BG2581" s="373">
        <f t="shared" si="802"/>
        <v>136</v>
      </c>
    </row>
    <row r="2582" spans="1:59" s="46" customFormat="1" ht="15.95" customHeight="1">
      <c r="A2582" s="176">
        <v>201</v>
      </c>
      <c r="B2582" s="31" t="s">
        <v>1120</v>
      </c>
      <c r="C2582" s="32" t="s">
        <v>4188</v>
      </c>
      <c r="D2582" s="578"/>
      <c r="E2582" s="578"/>
      <c r="F2582" s="578"/>
      <c r="G2582" s="578"/>
      <c r="H2582" s="578"/>
      <c r="I2582" s="578"/>
      <c r="J2582" s="578"/>
      <c r="K2582" s="578"/>
      <c r="L2582" s="578"/>
      <c r="M2582" s="578"/>
      <c r="N2582" s="578"/>
      <c r="O2582" s="578"/>
      <c r="P2582" s="578">
        <v>20</v>
      </c>
      <c r="Q2582" s="578"/>
      <c r="R2582" s="578"/>
      <c r="S2582" s="578"/>
      <c r="T2582" s="578"/>
      <c r="U2582" s="578"/>
      <c r="V2582" s="578"/>
      <c r="W2582" s="578"/>
      <c r="X2582" s="578"/>
      <c r="Y2582" s="578"/>
      <c r="Z2582" s="578"/>
      <c r="AA2582" s="578"/>
      <c r="AB2582" s="22">
        <f t="shared" si="803"/>
        <v>20</v>
      </c>
      <c r="AC2582" s="569">
        <v>0</v>
      </c>
      <c r="AD2582" s="579"/>
      <c r="AE2582" s="579"/>
      <c r="AF2582" s="579"/>
      <c r="AG2582" s="579"/>
      <c r="AH2582" s="579"/>
      <c r="AI2582" s="579"/>
      <c r="AJ2582" s="579"/>
      <c r="AK2582" s="579"/>
      <c r="AL2582" s="579"/>
      <c r="AM2582" s="579"/>
      <c r="AN2582" s="579"/>
      <c r="AO2582" s="579"/>
      <c r="AP2582" s="579"/>
      <c r="AQ2582" s="579"/>
      <c r="AR2582" s="579"/>
      <c r="AS2582" s="579"/>
      <c r="AT2582" s="579"/>
      <c r="AU2582" s="579"/>
      <c r="AV2582" s="579"/>
      <c r="AW2582" s="579"/>
      <c r="AX2582" s="579"/>
      <c r="AY2582" s="579"/>
      <c r="AZ2582" s="579"/>
      <c r="BA2582" s="579"/>
      <c r="BB2582" s="22">
        <f t="shared" si="804"/>
        <v>0</v>
      </c>
      <c r="BC2582" s="569">
        <v>0</v>
      </c>
      <c r="BD2582" s="130">
        <f t="shared" si="805"/>
        <v>20</v>
      </c>
      <c r="BE2582" s="130">
        <f t="shared" si="806"/>
        <v>0</v>
      </c>
      <c r="BF2582" s="195" t="e">
        <f t="shared" si="807"/>
        <v>#DIV/0!</v>
      </c>
      <c r="BG2582" s="373"/>
    </row>
    <row r="2583" spans="1:59" s="46" customFormat="1" ht="15.95" customHeight="1">
      <c r="A2583" s="176">
        <v>202</v>
      </c>
      <c r="B2583" s="31" t="s">
        <v>1053</v>
      </c>
      <c r="C2583" s="34" t="s">
        <v>1054</v>
      </c>
      <c r="D2583" s="323"/>
      <c r="E2583" s="323"/>
      <c r="F2583" s="323"/>
      <c r="G2583" s="323"/>
      <c r="H2583" s="323"/>
      <c r="I2583" s="323"/>
      <c r="J2583" s="323"/>
      <c r="K2583" s="323"/>
      <c r="L2583" s="323"/>
      <c r="M2583" s="323"/>
      <c r="N2583" s="323"/>
      <c r="O2583" s="323"/>
      <c r="P2583" s="323"/>
      <c r="Q2583" s="323"/>
      <c r="R2583" s="323"/>
      <c r="S2583" s="323"/>
      <c r="T2583" s="323"/>
      <c r="U2583" s="323"/>
      <c r="V2583" s="323"/>
      <c r="W2583" s="323"/>
      <c r="X2583" s="323"/>
      <c r="Y2583" s="323"/>
      <c r="Z2583" s="323"/>
      <c r="AA2583" s="323"/>
      <c r="AB2583" s="22">
        <f t="shared" si="803"/>
        <v>0</v>
      </c>
      <c r="AC2583" s="23">
        <v>0</v>
      </c>
      <c r="AD2583" s="35"/>
      <c r="AE2583" s="35"/>
      <c r="AF2583" s="35"/>
      <c r="AG2583" s="35"/>
      <c r="AH2583" s="35">
        <v>13</v>
      </c>
      <c r="AI2583" s="35"/>
      <c r="AJ2583" s="35"/>
      <c r="AK2583" s="35"/>
      <c r="AL2583" s="35">
        <v>193</v>
      </c>
      <c r="AM2583" s="35"/>
      <c r="AN2583" s="35"/>
      <c r="AO2583" s="35"/>
      <c r="AP2583" s="35">
        <v>92</v>
      </c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22">
        <f t="shared" si="804"/>
        <v>298</v>
      </c>
      <c r="BC2583" s="23">
        <v>827</v>
      </c>
      <c r="BD2583" s="130">
        <f t="shared" si="805"/>
        <v>298</v>
      </c>
      <c r="BE2583" s="130">
        <f t="shared" si="806"/>
        <v>827</v>
      </c>
      <c r="BF2583" s="195">
        <f t="shared" si="807"/>
        <v>36.033857315598553</v>
      </c>
      <c r="BG2583" s="373">
        <f t="shared" ref="BG2583:BG2602" si="808">BE2583-BD2583</f>
        <v>529</v>
      </c>
    </row>
    <row r="2584" spans="1:59" s="46" customFormat="1" ht="15.95" customHeight="1">
      <c r="A2584" s="176">
        <v>203</v>
      </c>
      <c r="B2584" s="31" t="s">
        <v>854</v>
      </c>
      <c r="C2584" s="34" t="s">
        <v>1207</v>
      </c>
      <c r="D2584" s="288"/>
      <c r="E2584" s="288"/>
      <c r="F2584" s="288"/>
      <c r="G2584" s="288"/>
      <c r="H2584" s="288"/>
      <c r="I2584" s="288"/>
      <c r="J2584" s="288"/>
      <c r="K2584" s="288"/>
      <c r="L2584" s="288"/>
      <c r="M2584" s="288"/>
      <c r="N2584" s="288"/>
      <c r="O2584" s="288"/>
      <c r="P2584" s="288">
        <f>81+1</f>
        <v>82</v>
      </c>
      <c r="Q2584" s="288"/>
      <c r="R2584" s="288"/>
      <c r="S2584" s="288"/>
      <c r="T2584" s="288"/>
      <c r="U2584" s="288"/>
      <c r="V2584" s="288"/>
      <c r="W2584" s="288"/>
      <c r="X2584" s="288"/>
      <c r="Y2584" s="288"/>
      <c r="Z2584" s="288"/>
      <c r="AA2584" s="288"/>
      <c r="AB2584" s="22">
        <f t="shared" si="803"/>
        <v>82</v>
      </c>
      <c r="AC2584" s="23">
        <v>0</v>
      </c>
      <c r="AD2584" s="35"/>
      <c r="AE2584" s="35"/>
      <c r="AF2584" s="35"/>
      <c r="AG2584" s="35"/>
      <c r="AH2584" s="35">
        <v>17</v>
      </c>
      <c r="AI2584" s="35"/>
      <c r="AJ2584" s="35"/>
      <c r="AK2584" s="35"/>
      <c r="AL2584" s="35">
        <v>92</v>
      </c>
      <c r="AM2584" s="35"/>
      <c r="AN2584" s="35"/>
      <c r="AO2584" s="35"/>
      <c r="AP2584" s="35">
        <v>181</v>
      </c>
      <c r="AQ2584" s="35"/>
      <c r="AR2584" s="35"/>
      <c r="AS2584" s="35"/>
      <c r="AT2584" s="35"/>
      <c r="AU2584" s="35"/>
      <c r="AV2584" s="35"/>
      <c r="AW2584" s="35"/>
      <c r="AX2584" s="35"/>
      <c r="AY2584" s="35"/>
      <c r="AZ2584" s="35"/>
      <c r="BA2584" s="35"/>
      <c r="BB2584" s="22">
        <f t="shared" si="804"/>
        <v>290</v>
      </c>
      <c r="BC2584" s="23">
        <v>1540</v>
      </c>
      <c r="BD2584" s="130">
        <f t="shared" si="805"/>
        <v>372</v>
      </c>
      <c r="BE2584" s="130">
        <f t="shared" si="806"/>
        <v>1540</v>
      </c>
      <c r="BF2584" s="195">
        <f t="shared" si="807"/>
        <v>24.155844155844157</v>
      </c>
      <c r="BG2584" s="373">
        <f t="shared" si="808"/>
        <v>1168</v>
      </c>
    </row>
    <row r="2585" spans="1:59" s="46" customFormat="1" ht="15.95" customHeight="1">
      <c r="A2585" s="176">
        <v>204</v>
      </c>
      <c r="B2585" s="31" t="s">
        <v>856</v>
      </c>
      <c r="C2585" s="34" t="s">
        <v>1123</v>
      </c>
      <c r="D2585" s="253"/>
      <c r="E2585" s="253"/>
      <c r="F2585" s="253"/>
      <c r="G2585" s="253"/>
      <c r="H2585" s="253"/>
      <c r="I2585" s="253"/>
      <c r="J2585" s="253"/>
      <c r="K2585" s="253"/>
      <c r="L2585" s="253"/>
      <c r="M2585" s="253"/>
      <c r="N2585" s="253"/>
      <c r="O2585" s="253"/>
      <c r="P2585" s="253"/>
      <c r="Q2585" s="253"/>
      <c r="R2585" s="253"/>
      <c r="S2585" s="253"/>
      <c r="T2585" s="253"/>
      <c r="U2585" s="253"/>
      <c r="V2585" s="253"/>
      <c r="W2585" s="253"/>
      <c r="X2585" s="253"/>
      <c r="Y2585" s="253"/>
      <c r="Z2585" s="253"/>
      <c r="AA2585" s="253"/>
      <c r="AB2585" s="22">
        <f t="shared" si="803"/>
        <v>0</v>
      </c>
      <c r="AC2585" s="23">
        <v>0</v>
      </c>
      <c r="AD2585" s="35"/>
      <c r="AE2585" s="35"/>
      <c r="AF2585" s="35"/>
      <c r="AG2585" s="35"/>
      <c r="AH2585" s="35"/>
      <c r="AI2585" s="35"/>
      <c r="AJ2585" s="35"/>
      <c r="AK2585" s="35"/>
      <c r="AL2585" s="35">
        <v>12</v>
      </c>
      <c r="AM2585" s="35"/>
      <c r="AN2585" s="35"/>
      <c r="AO2585" s="35"/>
      <c r="AP2585" s="35">
        <v>1</v>
      </c>
      <c r="AQ2585" s="35"/>
      <c r="AR2585" s="35"/>
      <c r="AS2585" s="35"/>
      <c r="AT2585" s="35"/>
      <c r="AU2585" s="35"/>
      <c r="AV2585" s="35"/>
      <c r="AW2585" s="35"/>
      <c r="AX2585" s="35"/>
      <c r="AY2585" s="35"/>
      <c r="AZ2585" s="35"/>
      <c r="BA2585" s="35"/>
      <c r="BB2585" s="22">
        <f t="shared" si="804"/>
        <v>13</v>
      </c>
      <c r="BC2585" s="23">
        <v>13</v>
      </c>
      <c r="BD2585" s="130">
        <f t="shared" si="805"/>
        <v>13</v>
      </c>
      <c r="BE2585" s="130">
        <f t="shared" si="806"/>
        <v>13</v>
      </c>
      <c r="BF2585" s="195">
        <f t="shared" si="807"/>
        <v>100</v>
      </c>
      <c r="BG2585" s="373">
        <f t="shared" si="808"/>
        <v>0</v>
      </c>
    </row>
    <row r="2586" spans="1:59" s="46" customFormat="1" ht="15.95" customHeight="1">
      <c r="A2586" s="176">
        <v>205</v>
      </c>
      <c r="B2586" s="31" t="s">
        <v>1022</v>
      </c>
      <c r="C2586" s="32" t="s">
        <v>1023</v>
      </c>
      <c r="D2586" s="231"/>
      <c r="E2586" s="231"/>
      <c r="F2586" s="231"/>
      <c r="G2586" s="231"/>
      <c r="H2586" s="231"/>
      <c r="I2586" s="231"/>
      <c r="J2586" s="231"/>
      <c r="K2586" s="231"/>
      <c r="L2586" s="231"/>
      <c r="M2586" s="231"/>
      <c r="N2586" s="231"/>
      <c r="O2586" s="231"/>
      <c r="P2586" s="231"/>
      <c r="Q2586" s="231"/>
      <c r="R2586" s="231"/>
      <c r="S2586" s="231"/>
      <c r="T2586" s="231"/>
      <c r="U2586" s="231"/>
      <c r="V2586" s="231"/>
      <c r="W2586" s="231"/>
      <c r="X2586" s="231"/>
      <c r="Y2586" s="231"/>
      <c r="Z2586" s="231"/>
      <c r="AA2586" s="231"/>
      <c r="AB2586" s="22">
        <f t="shared" si="803"/>
        <v>0</v>
      </c>
      <c r="AC2586" s="23">
        <v>0</v>
      </c>
      <c r="AD2586" s="35"/>
      <c r="AE2586" s="35"/>
      <c r="AF2586" s="35"/>
      <c r="AG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  <c r="AX2586" s="35"/>
      <c r="AY2586" s="35"/>
      <c r="AZ2586" s="35"/>
      <c r="BA2586" s="35"/>
      <c r="BB2586" s="22">
        <f t="shared" si="804"/>
        <v>0</v>
      </c>
      <c r="BC2586" s="23">
        <v>4</v>
      </c>
      <c r="BD2586" s="130">
        <f t="shared" si="805"/>
        <v>0</v>
      </c>
      <c r="BE2586" s="130">
        <f t="shared" si="806"/>
        <v>4</v>
      </c>
      <c r="BF2586" s="195">
        <f t="shared" si="807"/>
        <v>0</v>
      </c>
      <c r="BG2586" s="373">
        <f t="shared" si="808"/>
        <v>4</v>
      </c>
    </row>
    <row r="2587" spans="1:59" s="46" customFormat="1" ht="15.95" customHeight="1">
      <c r="A2587" s="176">
        <v>206</v>
      </c>
      <c r="B2587" s="31" t="s">
        <v>1024</v>
      </c>
      <c r="C2587" s="34" t="s">
        <v>2011</v>
      </c>
      <c r="D2587" s="231"/>
      <c r="E2587" s="231"/>
      <c r="F2587" s="231"/>
      <c r="G2587" s="231"/>
      <c r="H2587" s="231"/>
      <c r="I2587" s="231"/>
      <c r="J2587" s="231"/>
      <c r="K2587" s="231"/>
      <c r="L2587" s="231"/>
      <c r="M2587" s="231"/>
      <c r="N2587" s="231"/>
      <c r="O2587" s="231"/>
      <c r="P2587" s="231"/>
      <c r="Q2587" s="231"/>
      <c r="R2587" s="231"/>
      <c r="S2587" s="231"/>
      <c r="T2587" s="231"/>
      <c r="U2587" s="231"/>
      <c r="V2587" s="231"/>
      <c r="W2587" s="231"/>
      <c r="X2587" s="231"/>
      <c r="Y2587" s="231"/>
      <c r="Z2587" s="231"/>
      <c r="AA2587" s="231"/>
      <c r="AB2587" s="22">
        <f t="shared" si="803"/>
        <v>0</v>
      </c>
      <c r="AC2587" s="23">
        <v>0</v>
      </c>
      <c r="AD2587" s="35">
        <v>3</v>
      </c>
      <c r="AE2587" s="35"/>
      <c r="AF2587" s="35"/>
      <c r="AG2587" s="35"/>
      <c r="AH2587" s="35">
        <f>1+78+4</f>
        <v>83</v>
      </c>
      <c r="AI2587" s="35"/>
      <c r="AJ2587" s="35"/>
      <c r="AK2587" s="35"/>
      <c r="AL2587" s="35">
        <f>476+3</f>
        <v>479</v>
      </c>
      <c r="AM2587" s="35"/>
      <c r="AN2587" s="35"/>
      <c r="AO2587" s="35"/>
      <c r="AP2587" s="35">
        <v>355</v>
      </c>
      <c r="AQ2587" s="35"/>
      <c r="AR2587" s="35"/>
      <c r="AS2587" s="35"/>
      <c r="AT2587" s="35"/>
      <c r="AU2587" s="35"/>
      <c r="AV2587" s="35"/>
      <c r="AW2587" s="35"/>
      <c r="AX2587" s="35"/>
      <c r="AY2587" s="35"/>
      <c r="AZ2587" s="35"/>
      <c r="BA2587" s="35"/>
      <c r="BB2587" s="22">
        <f t="shared" si="804"/>
        <v>920</v>
      </c>
      <c r="BC2587" s="23">
        <v>1754</v>
      </c>
      <c r="BD2587" s="130">
        <f t="shared" si="805"/>
        <v>920</v>
      </c>
      <c r="BE2587" s="130">
        <f t="shared" si="806"/>
        <v>1754</v>
      </c>
      <c r="BF2587" s="195">
        <f t="shared" si="807"/>
        <v>52.451539338654506</v>
      </c>
      <c r="BG2587" s="373">
        <f t="shared" si="808"/>
        <v>834</v>
      </c>
    </row>
    <row r="2588" spans="1:59" s="46" customFormat="1" ht="15.95" customHeight="1">
      <c r="A2588" s="176">
        <v>207</v>
      </c>
      <c r="B2588" s="31" t="s">
        <v>1059</v>
      </c>
      <c r="C2588" s="34" t="s">
        <v>1060</v>
      </c>
      <c r="D2588" s="334"/>
      <c r="E2588" s="334"/>
      <c r="F2588" s="334"/>
      <c r="G2588" s="334"/>
      <c r="H2588" s="334"/>
      <c r="I2588" s="334"/>
      <c r="J2588" s="334"/>
      <c r="K2588" s="334"/>
      <c r="L2588" s="334"/>
      <c r="M2588" s="334"/>
      <c r="N2588" s="334"/>
      <c r="O2588" s="334"/>
      <c r="P2588" s="334"/>
      <c r="Q2588" s="334"/>
      <c r="R2588" s="334"/>
      <c r="S2588" s="334"/>
      <c r="T2588" s="334"/>
      <c r="U2588" s="334"/>
      <c r="V2588" s="334"/>
      <c r="W2588" s="334"/>
      <c r="X2588" s="334"/>
      <c r="Y2588" s="334"/>
      <c r="Z2588" s="334"/>
      <c r="AA2588" s="334"/>
      <c r="AB2588" s="22">
        <f t="shared" si="803"/>
        <v>0</v>
      </c>
      <c r="AC2588" s="23">
        <v>0</v>
      </c>
      <c r="AD2588" s="35">
        <v>48</v>
      </c>
      <c r="AE2588" s="35"/>
      <c r="AF2588" s="35"/>
      <c r="AG2588" s="35"/>
      <c r="AH2588" s="35">
        <f>44+9</f>
        <v>53</v>
      </c>
      <c r="AI2588" s="35"/>
      <c r="AJ2588" s="35"/>
      <c r="AK2588" s="35"/>
      <c r="AL2588" s="35">
        <f>164+35+4</f>
        <v>203</v>
      </c>
      <c r="AM2588" s="35"/>
      <c r="AN2588" s="35"/>
      <c r="AO2588" s="35"/>
      <c r="AP2588" s="35">
        <v>122</v>
      </c>
      <c r="AQ2588" s="35"/>
      <c r="AR2588" s="35"/>
      <c r="AS2588" s="35"/>
      <c r="AT2588" s="35"/>
      <c r="AU2588" s="35"/>
      <c r="AV2588" s="35"/>
      <c r="AW2588" s="35"/>
      <c r="AX2588" s="35"/>
      <c r="AY2588" s="35"/>
      <c r="AZ2588" s="35"/>
      <c r="BA2588" s="35"/>
      <c r="BB2588" s="22">
        <f t="shared" si="804"/>
        <v>426</v>
      </c>
      <c r="BC2588" s="23">
        <v>881</v>
      </c>
      <c r="BD2588" s="130">
        <f t="shared" si="805"/>
        <v>426</v>
      </c>
      <c r="BE2588" s="130">
        <f t="shared" si="806"/>
        <v>881</v>
      </c>
      <c r="BF2588" s="195">
        <f t="shared" si="807"/>
        <v>48.354143019296252</v>
      </c>
      <c r="BG2588" s="373">
        <f t="shared" si="808"/>
        <v>455</v>
      </c>
    </row>
    <row r="2589" spans="1:59" s="46" customFormat="1" ht="15.95" customHeight="1">
      <c r="A2589" s="176">
        <v>208</v>
      </c>
      <c r="B2589" s="31" t="s">
        <v>1209</v>
      </c>
      <c r="C2589" s="34" t="s">
        <v>1645</v>
      </c>
      <c r="D2589" s="231"/>
      <c r="E2589" s="231"/>
      <c r="F2589" s="231"/>
      <c r="G2589" s="231"/>
      <c r="H2589" s="231"/>
      <c r="I2589" s="231"/>
      <c r="J2589" s="231"/>
      <c r="K2589" s="231"/>
      <c r="L2589" s="231"/>
      <c r="M2589" s="231"/>
      <c r="N2589" s="231"/>
      <c r="O2589" s="231"/>
      <c r="P2589" s="231">
        <v>24</v>
      </c>
      <c r="Q2589" s="231"/>
      <c r="R2589" s="231"/>
      <c r="S2589" s="231"/>
      <c r="T2589" s="231"/>
      <c r="U2589" s="231"/>
      <c r="V2589" s="231"/>
      <c r="W2589" s="231"/>
      <c r="X2589" s="231"/>
      <c r="Y2589" s="231"/>
      <c r="Z2589" s="231"/>
      <c r="AA2589" s="231"/>
      <c r="AB2589" s="22">
        <f t="shared" si="803"/>
        <v>24</v>
      </c>
      <c r="AC2589" s="23">
        <v>0</v>
      </c>
      <c r="AD2589" s="35">
        <v>3988</v>
      </c>
      <c r="AE2589" s="35"/>
      <c r="AF2589" s="35"/>
      <c r="AG2589" s="35"/>
      <c r="AH2589" s="35">
        <v>2353</v>
      </c>
      <c r="AI2589" s="35"/>
      <c r="AJ2589" s="35"/>
      <c r="AK2589" s="35"/>
      <c r="AL2589" s="35">
        <f>35+1838</f>
        <v>1873</v>
      </c>
      <c r="AM2589" s="35"/>
      <c r="AN2589" s="35"/>
      <c r="AO2589" s="35"/>
      <c r="AP2589" s="35">
        <f>11+61</f>
        <v>72</v>
      </c>
      <c r="AQ2589" s="35"/>
      <c r="AR2589" s="35"/>
      <c r="AS2589" s="35"/>
      <c r="AT2589" s="35"/>
      <c r="AU2589" s="35"/>
      <c r="AV2589" s="35"/>
      <c r="AW2589" s="35"/>
      <c r="AX2589" s="35"/>
      <c r="AY2589" s="35"/>
      <c r="AZ2589" s="35"/>
      <c r="BA2589" s="35"/>
      <c r="BB2589" s="22">
        <f t="shared" si="804"/>
        <v>8286</v>
      </c>
      <c r="BC2589" s="23">
        <v>95</v>
      </c>
      <c r="BD2589" s="130">
        <f t="shared" si="805"/>
        <v>8310</v>
      </c>
      <c r="BE2589" s="130">
        <f t="shared" si="806"/>
        <v>95</v>
      </c>
      <c r="BF2589" s="195">
        <f t="shared" si="807"/>
        <v>8747.3684210526317</v>
      </c>
      <c r="BG2589" s="373">
        <f t="shared" si="808"/>
        <v>-8215</v>
      </c>
    </row>
    <row r="2590" spans="1:59" s="46" customFormat="1" ht="15.95" customHeight="1">
      <c r="A2590" s="176">
        <v>209</v>
      </c>
      <c r="B2590" s="31" t="s">
        <v>858</v>
      </c>
      <c r="C2590" s="32" t="s">
        <v>859</v>
      </c>
      <c r="D2590" s="231"/>
      <c r="E2590" s="231"/>
      <c r="F2590" s="231"/>
      <c r="G2590" s="231"/>
      <c r="H2590" s="231"/>
      <c r="I2590" s="231"/>
      <c r="J2590" s="231"/>
      <c r="K2590" s="231"/>
      <c r="L2590" s="231"/>
      <c r="M2590" s="231"/>
      <c r="N2590" s="231"/>
      <c r="O2590" s="231"/>
      <c r="P2590" s="231">
        <v>5</v>
      </c>
      <c r="Q2590" s="231"/>
      <c r="R2590" s="231"/>
      <c r="S2590" s="231"/>
      <c r="T2590" s="231"/>
      <c r="U2590" s="231"/>
      <c r="V2590" s="231"/>
      <c r="W2590" s="231"/>
      <c r="X2590" s="231"/>
      <c r="Y2590" s="231"/>
      <c r="Z2590" s="231"/>
      <c r="AA2590" s="231"/>
      <c r="AB2590" s="22">
        <f t="shared" si="803"/>
        <v>5</v>
      </c>
      <c r="AC2590" s="23">
        <v>0</v>
      </c>
      <c r="AD2590" s="35">
        <v>261</v>
      </c>
      <c r="AE2590" s="35"/>
      <c r="AF2590" s="35"/>
      <c r="AG2590" s="35"/>
      <c r="AH2590" s="35">
        <f>14+1640+80</f>
        <v>1734</v>
      </c>
      <c r="AI2590" s="35"/>
      <c r="AJ2590" s="35"/>
      <c r="AK2590" s="35"/>
      <c r="AL2590" s="35">
        <f>32+13304+179+22</f>
        <v>13537</v>
      </c>
      <c r="AM2590" s="35"/>
      <c r="AN2590" s="35"/>
      <c r="AO2590" s="35"/>
      <c r="AP2590" s="35">
        <f>11+17281</f>
        <v>17292</v>
      </c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22">
        <f t="shared" si="804"/>
        <v>32824</v>
      </c>
      <c r="BC2590" s="23">
        <v>38675</v>
      </c>
      <c r="BD2590" s="130">
        <f t="shared" si="805"/>
        <v>32829</v>
      </c>
      <c r="BE2590" s="130">
        <f t="shared" si="806"/>
        <v>38675</v>
      </c>
      <c r="BF2590" s="195">
        <f t="shared" si="807"/>
        <v>84.884292178409822</v>
      </c>
      <c r="BG2590" s="373">
        <f t="shared" si="808"/>
        <v>5846</v>
      </c>
    </row>
    <row r="2591" spans="1:59" s="46" customFormat="1" ht="15.95" customHeight="1">
      <c r="A2591" s="176">
        <v>210</v>
      </c>
      <c r="B2591" s="31" t="s">
        <v>860</v>
      </c>
      <c r="C2591" s="34" t="s">
        <v>1360</v>
      </c>
      <c r="D2591" s="231"/>
      <c r="E2591" s="231"/>
      <c r="F2591" s="231"/>
      <c r="G2591" s="231"/>
      <c r="H2591" s="231"/>
      <c r="I2591" s="231"/>
      <c r="J2591" s="231"/>
      <c r="K2591" s="231"/>
      <c r="L2591" s="231"/>
      <c r="M2591" s="231"/>
      <c r="N2591" s="231"/>
      <c r="O2591" s="231"/>
      <c r="P2591" s="231">
        <v>51</v>
      </c>
      <c r="Q2591" s="231"/>
      <c r="R2591" s="231"/>
      <c r="S2591" s="231"/>
      <c r="T2591" s="231"/>
      <c r="U2591" s="231"/>
      <c r="V2591" s="231"/>
      <c r="W2591" s="231"/>
      <c r="X2591" s="231"/>
      <c r="Y2591" s="231"/>
      <c r="Z2591" s="231"/>
      <c r="AA2591" s="231"/>
      <c r="AB2591" s="22">
        <f t="shared" si="803"/>
        <v>51</v>
      </c>
      <c r="AC2591" s="23">
        <v>0</v>
      </c>
      <c r="AD2591" s="35">
        <v>4337</v>
      </c>
      <c r="AE2591" s="35"/>
      <c r="AF2591" s="35"/>
      <c r="AG2591" s="35"/>
      <c r="AH2591" s="35">
        <f>4+3685+2443</f>
        <v>6132</v>
      </c>
      <c r="AI2591" s="35"/>
      <c r="AJ2591" s="35"/>
      <c r="AK2591" s="35"/>
      <c r="AL2591" s="35">
        <f>13+23771+2103+48</f>
        <v>25935</v>
      </c>
      <c r="AM2591" s="35"/>
      <c r="AN2591" s="35"/>
      <c r="AO2591" s="35"/>
      <c r="AP2591" s="35">
        <f>12+24361+61</f>
        <v>24434</v>
      </c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22">
        <f t="shared" si="804"/>
        <v>60838</v>
      </c>
      <c r="BC2591" s="23">
        <v>77560</v>
      </c>
      <c r="BD2591" s="130">
        <f t="shared" si="805"/>
        <v>60889</v>
      </c>
      <c r="BE2591" s="130">
        <f t="shared" si="806"/>
        <v>77560</v>
      </c>
      <c r="BF2591" s="195">
        <f t="shared" si="807"/>
        <v>78.505673027333671</v>
      </c>
      <c r="BG2591" s="373">
        <f t="shared" si="808"/>
        <v>16671</v>
      </c>
    </row>
    <row r="2592" spans="1:59" s="46" customFormat="1" ht="15.95" customHeight="1">
      <c r="A2592" s="176">
        <v>211</v>
      </c>
      <c r="B2592" s="31" t="s">
        <v>862</v>
      </c>
      <c r="C2592" s="34" t="s">
        <v>2012</v>
      </c>
      <c r="D2592" s="231"/>
      <c r="E2592" s="231"/>
      <c r="F2592" s="231"/>
      <c r="G2592" s="231"/>
      <c r="H2592" s="231"/>
      <c r="I2592" s="231"/>
      <c r="J2592" s="231"/>
      <c r="K2592" s="231"/>
      <c r="L2592" s="231"/>
      <c r="M2592" s="231"/>
      <c r="N2592" s="231"/>
      <c r="O2592" s="231"/>
      <c r="P2592" s="231"/>
      <c r="Q2592" s="231"/>
      <c r="R2592" s="231"/>
      <c r="S2592" s="231"/>
      <c r="T2592" s="231"/>
      <c r="U2592" s="231"/>
      <c r="V2592" s="231"/>
      <c r="W2592" s="231"/>
      <c r="X2592" s="231"/>
      <c r="Y2592" s="231"/>
      <c r="Z2592" s="231"/>
      <c r="AA2592" s="231"/>
      <c r="AB2592" s="22">
        <f t="shared" si="803"/>
        <v>0</v>
      </c>
      <c r="AC2592" s="23">
        <v>0</v>
      </c>
      <c r="AD2592" s="35">
        <v>4055</v>
      </c>
      <c r="AE2592" s="35"/>
      <c r="AF2592" s="35"/>
      <c r="AG2592" s="35"/>
      <c r="AH2592" s="35">
        <f>421+2295</f>
        <v>2716</v>
      </c>
      <c r="AI2592" s="35"/>
      <c r="AJ2592" s="35"/>
      <c r="AK2592" s="35"/>
      <c r="AL2592" s="35">
        <f>2633+1864</f>
        <v>4497</v>
      </c>
      <c r="AM2592" s="35"/>
      <c r="AN2592" s="35"/>
      <c r="AO2592" s="35"/>
      <c r="AP2592" s="35">
        <f>2+2446+60</f>
        <v>2508</v>
      </c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22">
        <f t="shared" si="804"/>
        <v>13776</v>
      </c>
      <c r="BC2592" s="23">
        <v>10306</v>
      </c>
      <c r="BD2592" s="130">
        <f t="shared" si="805"/>
        <v>13776</v>
      </c>
      <c r="BE2592" s="130">
        <f t="shared" si="806"/>
        <v>10306</v>
      </c>
      <c r="BF2592" s="195">
        <f t="shared" si="807"/>
        <v>133.66970696681543</v>
      </c>
      <c r="BG2592" s="373">
        <f t="shared" si="808"/>
        <v>-3470</v>
      </c>
    </row>
    <row r="2593" spans="1:59" s="46" customFormat="1" ht="15.95" customHeight="1">
      <c r="A2593" s="176">
        <v>212</v>
      </c>
      <c r="B2593" s="31" t="s">
        <v>864</v>
      </c>
      <c r="C2593" s="34" t="s">
        <v>1516</v>
      </c>
      <c r="D2593" s="231"/>
      <c r="E2593" s="231"/>
      <c r="F2593" s="231"/>
      <c r="G2593" s="231"/>
      <c r="H2593" s="231"/>
      <c r="I2593" s="231"/>
      <c r="J2593" s="231"/>
      <c r="K2593" s="231"/>
      <c r="L2593" s="231"/>
      <c r="M2593" s="231"/>
      <c r="N2593" s="231"/>
      <c r="O2593" s="231"/>
      <c r="P2593" s="231">
        <v>2</v>
      </c>
      <c r="Q2593" s="231"/>
      <c r="R2593" s="231"/>
      <c r="S2593" s="231"/>
      <c r="T2593" s="231"/>
      <c r="U2593" s="231"/>
      <c r="V2593" s="231"/>
      <c r="W2593" s="231"/>
      <c r="X2593" s="231"/>
      <c r="Y2593" s="231"/>
      <c r="Z2593" s="231"/>
      <c r="AA2593" s="231"/>
      <c r="AB2593" s="22">
        <f t="shared" si="803"/>
        <v>2</v>
      </c>
      <c r="AC2593" s="23">
        <v>0</v>
      </c>
      <c r="AD2593" s="35">
        <v>62</v>
      </c>
      <c r="AE2593" s="35"/>
      <c r="AF2593" s="35"/>
      <c r="AG2593" s="35"/>
      <c r="AH2593" s="35">
        <v>9</v>
      </c>
      <c r="AI2593" s="35"/>
      <c r="AJ2593" s="35"/>
      <c r="AK2593" s="35"/>
      <c r="AL2593" s="35">
        <f>18+40</f>
        <v>58</v>
      </c>
      <c r="AM2593" s="35"/>
      <c r="AN2593" s="35"/>
      <c r="AO2593" s="35"/>
      <c r="AP2593" s="35">
        <v>17</v>
      </c>
      <c r="AQ2593" s="35"/>
      <c r="AR2593" s="35"/>
      <c r="AS2593" s="35"/>
      <c r="AT2593" s="35"/>
      <c r="AU2593" s="35"/>
      <c r="AV2593" s="35"/>
      <c r="AW2593" s="35"/>
      <c r="AX2593" s="35"/>
      <c r="AY2593" s="35"/>
      <c r="AZ2593" s="35"/>
      <c r="BA2593" s="35"/>
      <c r="BB2593" s="22">
        <f t="shared" si="804"/>
        <v>146</v>
      </c>
      <c r="BC2593" s="23">
        <v>57</v>
      </c>
      <c r="BD2593" s="130">
        <f t="shared" si="805"/>
        <v>148</v>
      </c>
      <c r="BE2593" s="130">
        <f t="shared" si="806"/>
        <v>57</v>
      </c>
      <c r="BF2593" s="195">
        <f t="shared" si="807"/>
        <v>259.64912280701753</v>
      </c>
      <c r="BG2593" s="373">
        <f t="shared" si="808"/>
        <v>-91</v>
      </c>
    </row>
    <row r="2594" spans="1:59" s="46" customFormat="1" ht="15.95" customHeight="1">
      <c r="A2594" s="176">
        <v>213</v>
      </c>
      <c r="B2594" s="31" t="s">
        <v>865</v>
      </c>
      <c r="C2594" s="34" t="s">
        <v>976</v>
      </c>
      <c r="D2594" s="231"/>
      <c r="E2594" s="231"/>
      <c r="F2594" s="231"/>
      <c r="G2594" s="231"/>
      <c r="H2594" s="231"/>
      <c r="I2594" s="231"/>
      <c r="J2594" s="231"/>
      <c r="K2594" s="231"/>
      <c r="L2594" s="231"/>
      <c r="M2594" s="231"/>
      <c r="N2594" s="231"/>
      <c r="O2594" s="231"/>
      <c r="P2594" s="231"/>
      <c r="Q2594" s="231"/>
      <c r="R2594" s="231"/>
      <c r="S2594" s="231"/>
      <c r="T2594" s="231"/>
      <c r="U2594" s="231"/>
      <c r="V2594" s="231"/>
      <c r="W2594" s="231"/>
      <c r="X2594" s="231"/>
      <c r="Y2594" s="231"/>
      <c r="Z2594" s="231"/>
      <c r="AA2594" s="231"/>
      <c r="AB2594" s="22">
        <f t="shared" si="803"/>
        <v>0</v>
      </c>
      <c r="AC2594" s="23">
        <v>0</v>
      </c>
      <c r="AD2594" s="35"/>
      <c r="AE2594" s="35"/>
      <c r="AF2594" s="35"/>
      <c r="AG2594" s="35"/>
      <c r="AH2594" s="35"/>
      <c r="AI2594" s="35"/>
      <c r="AJ2594" s="35"/>
      <c r="AK2594" s="35"/>
      <c r="AL2594" s="35">
        <v>23</v>
      </c>
      <c r="AM2594" s="35"/>
      <c r="AN2594" s="35"/>
      <c r="AO2594" s="35"/>
      <c r="AP2594" s="35">
        <v>10</v>
      </c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22">
        <f t="shared" si="804"/>
        <v>33</v>
      </c>
      <c r="BC2594" s="23">
        <v>91</v>
      </c>
      <c r="BD2594" s="130">
        <f t="shared" si="805"/>
        <v>33</v>
      </c>
      <c r="BE2594" s="130">
        <f t="shared" si="806"/>
        <v>91</v>
      </c>
      <c r="BF2594" s="195">
        <f t="shared" si="807"/>
        <v>36.263736263736263</v>
      </c>
      <c r="BG2594" s="373">
        <f t="shared" si="808"/>
        <v>58</v>
      </c>
    </row>
    <row r="2595" spans="1:59" s="46" customFormat="1" ht="15.95" customHeight="1">
      <c r="A2595" s="176">
        <v>214</v>
      </c>
      <c r="B2595" s="31" t="s">
        <v>2279</v>
      </c>
      <c r="C2595" s="34" t="s">
        <v>2280</v>
      </c>
      <c r="D2595" s="231"/>
      <c r="E2595" s="231"/>
      <c r="F2595" s="231"/>
      <c r="G2595" s="231"/>
      <c r="H2595" s="231"/>
      <c r="I2595" s="231"/>
      <c r="J2595" s="231"/>
      <c r="K2595" s="231"/>
      <c r="L2595" s="231"/>
      <c r="M2595" s="231"/>
      <c r="N2595" s="231"/>
      <c r="O2595" s="231"/>
      <c r="P2595" s="231"/>
      <c r="Q2595" s="231"/>
      <c r="R2595" s="231"/>
      <c r="S2595" s="231"/>
      <c r="T2595" s="231"/>
      <c r="U2595" s="231"/>
      <c r="V2595" s="231"/>
      <c r="W2595" s="231"/>
      <c r="X2595" s="231"/>
      <c r="Y2595" s="231"/>
      <c r="Z2595" s="231"/>
      <c r="AA2595" s="231"/>
      <c r="AB2595" s="22">
        <f t="shared" si="803"/>
        <v>0</v>
      </c>
      <c r="AC2595" s="23">
        <v>0</v>
      </c>
      <c r="AD2595" s="35"/>
      <c r="AE2595" s="35"/>
      <c r="AF2595" s="35"/>
      <c r="AG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  <c r="AX2595" s="35"/>
      <c r="AY2595" s="35"/>
      <c r="AZ2595" s="35"/>
      <c r="BA2595" s="35"/>
      <c r="BB2595" s="22">
        <f t="shared" si="804"/>
        <v>0</v>
      </c>
      <c r="BC2595" s="23">
        <v>5</v>
      </c>
      <c r="BD2595" s="130">
        <f t="shared" si="805"/>
        <v>0</v>
      </c>
      <c r="BE2595" s="130">
        <f t="shared" si="806"/>
        <v>5</v>
      </c>
      <c r="BF2595" s="195">
        <f t="shared" si="807"/>
        <v>0</v>
      </c>
      <c r="BG2595" s="373">
        <f t="shared" si="808"/>
        <v>5</v>
      </c>
    </row>
    <row r="2596" spans="1:59" s="46" customFormat="1" ht="15.95" customHeight="1">
      <c r="A2596" s="176">
        <v>215</v>
      </c>
      <c r="B2596" s="31" t="s">
        <v>1028</v>
      </c>
      <c r="C2596" s="34" t="s">
        <v>2469</v>
      </c>
      <c r="D2596" s="231"/>
      <c r="E2596" s="231"/>
      <c r="F2596" s="231"/>
      <c r="G2596" s="231"/>
      <c r="H2596" s="231"/>
      <c r="I2596" s="231"/>
      <c r="J2596" s="231"/>
      <c r="K2596" s="231"/>
      <c r="L2596" s="231"/>
      <c r="M2596" s="231"/>
      <c r="N2596" s="231"/>
      <c r="O2596" s="231"/>
      <c r="P2596" s="231"/>
      <c r="Q2596" s="231"/>
      <c r="R2596" s="231"/>
      <c r="S2596" s="231"/>
      <c r="T2596" s="231"/>
      <c r="U2596" s="231"/>
      <c r="V2596" s="231"/>
      <c r="W2596" s="231"/>
      <c r="X2596" s="231"/>
      <c r="Y2596" s="231"/>
      <c r="Z2596" s="231"/>
      <c r="AA2596" s="231"/>
      <c r="AB2596" s="22">
        <f t="shared" si="803"/>
        <v>0</v>
      </c>
      <c r="AC2596" s="23">
        <v>0</v>
      </c>
      <c r="AD2596" s="35"/>
      <c r="AE2596" s="35"/>
      <c r="AF2596" s="35"/>
      <c r="AG2596" s="35"/>
      <c r="AH2596" s="35"/>
      <c r="AI2596" s="35"/>
      <c r="AJ2596" s="35"/>
      <c r="AK2596" s="35"/>
      <c r="AL2596" s="35">
        <v>8</v>
      </c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  <c r="AX2596" s="35"/>
      <c r="AY2596" s="35"/>
      <c r="AZ2596" s="35"/>
      <c r="BA2596" s="35"/>
      <c r="BB2596" s="22">
        <f t="shared" si="804"/>
        <v>8</v>
      </c>
      <c r="BC2596" s="23">
        <v>2</v>
      </c>
      <c r="BD2596" s="130">
        <f t="shared" si="805"/>
        <v>8</v>
      </c>
      <c r="BE2596" s="130">
        <f t="shared" si="806"/>
        <v>2</v>
      </c>
      <c r="BF2596" s="195">
        <f t="shared" si="807"/>
        <v>400</v>
      </c>
      <c r="BG2596" s="373">
        <f t="shared" si="808"/>
        <v>-6</v>
      </c>
    </row>
    <row r="2597" spans="1:59" s="46" customFormat="1" ht="15.95" customHeight="1">
      <c r="A2597" s="176">
        <v>216</v>
      </c>
      <c r="B2597" s="31" t="s">
        <v>922</v>
      </c>
      <c r="C2597" s="34" t="s">
        <v>2013</v>
      </c>
      <c r="D2597" s="231"/>
      <c r="E2597" s="231"/>
      <c r="F2597" s="231"/>
      <c r="G2597" s="231"/>
      <c r="H2597" s="231"/>
      <c r="I2597" s="231"/>
      <c r="J2597" s="231"/>
      <c r="K2597" s="231"/>
      <c r="L2597" s="231"/>
      <c r="M2597" s="231"/>
      <c r="N2597" s="231"/>
      <c r="O2597" s="231"/>
      <c r="P2597" s="231"/>
      <c r="Q2597" s="231"/>
      <c r="R2597" s="231"/>
      <c r="S2597" s="231"/>
      <c r="T2597" s="231"/>
      <c r="U2597" s="231"/>
      <c r="V2597" s="231"/>
      <c r="W2597" s="231"/>
      <c r="X2597" s="231"/>
      <c r="Y2597" s="231"/>
      <c r="Z2597" s="231"/>
      <c r="AA2597" s="231"/>
      <c r="AB2597" s="22">
        <f t="shared" si="803"/>
        <v>0</v>
      </c>
      <c r="AC2597" s="23">
        <v>0</v>
      </c>
      <c r="AD2597" s="35"/>
      <c r="AE2597" s="35"/>
      <c r="AF2597" s="35"/>
      <c r="AG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  <c r="AX2597" s="35"/>
      <c r="AY2597" s="35"/>
      <c r="AZ2597" s="35"/>
      <c r="BA2597" s="35"/>
      <c r="BB2597" s="22">
        <f t="shared" si="804"/>
        <v>0</v>
      </c>
      <c r="BC2597" s="23">
        <v>67</v>
      </c>
      <c r="BD2597" s="130">
        <f t="shared" si="805"/>
        <v>0</v>
      </c>
      <c r="BE2597" s="130">
        <f t="shared" si="806"/>
        <v>67</v>
      </c>
      <c r="BF2597" s="195">
        <f t="shared" si="807"/>
        <v>0</v>
      </c>
      <c r="BG2597" s="373">
        <f t="shared" si="808"/>
        <v>67</v>
      </c>
    </row>
    <row r="2598" spans="1:59" s="46" customFormat="1" ht="15.95" customHeight="1">
      <c r="A2598" s="176">
        <v>217</v>
      </c>
      <c r="B2598" s="31" t="s">
        <v>1029</v>
      </c>
      <c r="C2598" s="32" t="s">
        <v>1652</v>
      </c>
      <c r="D2598" s="231"/>
      <c r="E2598" s="231"/>
      <c r="F2598" s="231"/>
      <c r="G2598" s="231"/>
      <c r="H2598" s="231"/>
      <c r="I2598" s="231"/>
      <c r="J2598" s="231"/>
      <c r="K2598" s="231"/>
      <c r="L2598" s="231"/>
      <c r="M2598" s="231"/>
      <c r="N2598" s="231"/>
      <c r="O2598" s="231"/>
      <c r="P2598" s="231"/>
      <c r="Q2598" s="231"/>
      <c r="R2598" s="231"/>
      <c r="S2598" s="231"/>
      <c r="T2598" s="231"/>
      <c r="U2598" s="231"/>
      <c r="V2598" s="231"/>
      <c r="W2598" s="231"/>
      <c r="X2598" s="231"/>
      <c r="Y2598" s="231"/>
      <c r="Z2598" s="231"/>
      <c r="AA2598" s="231"/>
      <c r="AB2598" s="22">
        <f t="shared" si="803"/>
        <v>0</v>
      </c>
      <c r="AC2598" s="23">
        <v>0</v>
      </c>
      <c r="AD2598" s="35"/>
      <c r="AE2598" s="35"/>
      <c r="AF2598" s="35"/>
      <c r="AG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22">
        <f t="shared" si="804"/>
        <v>0</v>
      </c>
      <c r="BC2598" s="23">
        <v>5</v>
      </c>
      <c r="BD2598" s="130">
        <f t="shared" si="805"/>
        <v>0</v>
      </c>
      <c r="BE2598" s="130">
        <f t="shared" si="806"/>
        <v>5</v>
      </c>
      <c r="BF2598" s="195">
        <f t="shared" si="807"/>
        <v>0</v>
      </c>
      <c r="BG2598" s="373">
        <f t="shared" si="808"/>
        <v>5</v>
      </c>
    </row>
    <row r="2599" spans="1:59" s="46" customFormat="1" ht="15.95" customHeight="1">
      <c r="A2599" s="176">
        <v>218</v>
      </c>
      <c r="B2599" s="31" t="s">
        <v>1030</v>
      </c>
      <c r="C2599" s="34" t="s">
        <v>2014</v>
      </c>
      <c r="D2599" s="231"/>
      <c r="E2599" s="231"/>
      <c r="F2599" s="231"/>
      <c r="G2599" s="231"/>
      <c r="H2599" s="231"/>
      <c r="I2599" s="231"/>
      <c r="J2599" s="231"/>
      <c r="K2599" s="231"/>
      <c r="L2599" s="231"/>
      <c r="M2599" s="231"/>
      <c r="N2599" s="231"/>
      <c r="O2599" s="231"/>
      <c r="P2599" s="231"/>
      <c r="Q2599" s="231"/>
      <c r="R2599" s="231"/>
      <c r="S2599" s="231"/>
      <c r="T2599" s="231"/>
      <c r="U2599" s="231"/>
      <c r="V2599" s="231"/>
      <c r="W2599" s="231"/>
      <c r="X2599" s="231"/>
      <c r="Y2599" s="231"/>
      <c r="Z2599" s="231"/>
      <c r="AA2599" s="231"/>
      <c r="AB2599" s="22">
        <f t="shared" si="803"/>
        <v>0</v>
      </c>
      <c r="AC2599" s="23">
        <v>0</v>
      </c>
      <c r="AD2599" s="35"/>
      <c r="AE2599" s="35"/>
      <c r="AF2599" s="35"/>
      <c r="AG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  <c r="AX2599" s="35"/>
      <c r="AY2599" s="35"/>
      <c r="AZ2599" s="35"/>
      <c r="BA2599" s="35"/>
      <c r="BB2599" s="22">
        <f t="shared" si="804"/>
        <v>0</v>
      </c>
      <c r="BC2599" s="23">
        <v>1</v>
      </c>
      <c r="BD2599" s="130">
        <f t="shared" si="805"/>
        <v>0</v>
      </c>
      <c r="BE2599" s="130">
        <f t="shared" si="806"/>
        <v>1</v>
      </c>
      <c r="BF2599" s="195">
        <f t="shared" si="807"/>
        <v>0</v>
      </c>
      <c r="BG2599" s="373">
        <f t="shared" si="808"/>
        <v>1</v>
      </c>
    </row>
    <row r="2600" spans="1:59" s="46" customFormat="1" ht="15.95" customHeight="1">
      <c r="A2600" s="176">
        <v>219</v>
      </c>
      <c r="B2600" s="31" t="s">
        <v>1032</v>
      </c>
      <c r="C2600" s="32" t="s">
        <v>3986</v>
      </c>
      <c r="D2600" s="231"/>
      <c r="E2600" s="231"/>
      <c r="F2600" s="231"/>
      <c r="G2600" s="231"/>
      <c r="H2600" s="231"/>
      <c r="I2600" s="231"/>
      <c r="J2600" s="231"/>
      <c r="K2600" s="231"/>
      <c r="L2600" s="231"/>
      <c r="M2600" s="231"/>
      <c r="N2600" s="231"/>
      <c r="O2600" s="231"/>
      <c r="P2600" s="231"/>
      <c r="Q2600" s="231"/>
      <c r="R2600" s="231"/>
      <c r="S2600" s="231"/>
      <c r="T2600" s="231"/>
      <c r="U2600" s="231"/>
      <c r="V2600" s="231"/>
      <c r="W2600" s="231"/>
      <c r="X2600" s="231"/>
      <c r="Y2600" s="231"/>
      <c r="Z2600" s="231"/>
      <c r="AA2600" s="231"/>
      <c r="AB2600" s="22">
        <f t="shared" si="803"/>
        <v>0</v>
      </c>
      <c r="AC2600" s="23">
        <v>0</v>
      </c>
      <c r="AD2600" s="35"/>
      <c r="AE2600" s="35"/>
      <c r="AF2600" s="35"/>
      <c r="AG2600" s="35"/>
      <c r="AH2600" s="35">
        <v>3</v>
      </c>
      <c r="AI2600" s="35"/>
      <c r="AJ2600" s="35"/>
      <c r="AK2600" s="35"/>
      <c r="AL2600" s="35">
        <v>1</v>
      </c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22">
        <f t="shared" si="804"/>
        <v>4</v>
      </c>
      <c r="BC2600" s="23">
        <v>204</v>
      </c>
      <c r="BD2600" s="130">
        <f t="shared" si="805"/>
        <v>4</v>
      </c>
      <c r="BE2600" s="130">
        <f t="shared" si="806"/>
        <v>204</v>
      </c>
      <c r="BF2600" s="195">
        <f t="shared" si="807"/>
        <v>1.9607843137254901</v>
      </c>
      <c r="BG2600" s="373">
        <f t="shared" si="808"/>
        <v>200</v>
      </c>
    </row>
    <row r="2601" spans="1:59" s="46" customFormat="1" ht="15.95" customHeight="1">
      <c r="A2601" s="176">
        <v>220</v>
      </c>
      <c r="B2601" s="31" t="s">
        <v>1654</v>
      </c>
      <c r="C2601" s="32" t="s">
        <v>1983</v>
      </c>
      <c r="D2601" s="231"/>
      <c r="E2601" s="231"/>
      <c r="F2601" s="231"/>
      <c r="G2601" s="231"/>
      <c r="H2601" s="231"/>
      <c r="I2601" s="231"/>
      <c r="J2601" s="231"/>
      <c r="K2601" s="231"/>
      <c r="L2601" s="231">
        <v>1</v>
      </c>
      <c r="M2601" s="231"/>
      <c r="N2601" s="231"/>
      <c r="O2601" s="231"/>
      <c r="P2601" s="231"/>
      <c r="Q2601" s="231"/>
      <c r="R2601" s="231"/>
      <c r="S2601" s="231"/>
      <c r="T2601" s="231"/>
      <c r="U2601" s="231"/>
      <c r="V2601" s="231"/>
      <c r="W2601" s="231"/>
      <c r="X2601" s="231"/>
      <c r="Y2601" s="231"/>
      <c r="Z2601" s="231"/>
      <c r="AA2601" s="231"/>
      <c r="AB2601" s="22">
        <f t="shared" si="803"/>
        <v>1</v>
      </c>
      <c r="AC2601" s="23">
        <v>1</v>
      </c>
      <c r="AD2601" s="35"/>
      <c r="AE2601" s="35"/>
      <c r="AF2601" s="35"/>
      <c r="AG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22">
        <f t="shared" si="804"/>
        <v>0</v>
      </c>
      <c r="BC2601" s="23">
        <v>2</v>
      </c>
      <c r="BD2601" s="130">
        <f t="shared" si="805"/>
        <v>1</v>
      </c>
      <c r="BE2601" s="130">
        <f t="shared" si="806"/>
        <v>3</v>
      </c>
      <c r="BF2601" s="195">
        <f t="shared" si="807"/>
        <v>33.333333333333329</v>
      </c>
      <c r="BG2601" s="373">
        <f t="shared" si="808"/>
        <v>2</v>
      </c>
    </row>
    <row r="2602" spans="1:59" s="46" customFormat="1" ht="15.95" customHeight="1">
      <c r="A2602" s="176">
        <v>221</v>
      </c>
      <c r="B2602" s="31" t="s">
        <v>1656</v>
      </c>
      <c r="C2602" s="32" t="s">
        <v>3987</v>
      </c>
      <c r="D2602" s="231"/>
      <c r="E2602" s="231"/>
      <c r="F2602" s="231"/>
      <c r="G2602" s="231"/>
      <c r="H2602" s="231"/>
      <c r="I2602" s="231"/>
      <c r="J2602" s="231"/>
      <c r="K2602" s="231"/>
      <c r="L2602" s="231"/>
      <c r="M2602" s="231"/>
      <c r="N2602" s="231"/>
      <c r="O2602" s="231"/>
      <c r="P2602" s="231"/>
      <c r="Q2602" s="231"/>
      <c r="R2602" s="231"/>
      <c r="S2602" s="231"/>
      <c r="T2602" s="231"/>
      <c r="U2602" s="231"/>
      <c r="V2602" s="231"/>
      <c r="W2602" s="231"/>
      <c r="X2602" s="231"/>
      <c r="Y2602" s="231"/>
      <c r="Z2602" s="231"/>
      <c r="AA2602" s="231"/>
      <c r="AB2602" s="22">
        <f t="shared" si="803"/>
        <v>0</v>
      </c>
      <c r="AC2602" s="23">
        <v>0</v>
      </c>
      <c r="AD2602" s="35"/>
      <c r="AE2602" s="35"/>
      <c r="AF2602" s="35"/>
      <c r="AG2602" s="35"/>
      <c r="AH2602" s="35"/>
      <c r="AI2602" s="35"/>
      <c r="AJ2602" s="35"/>
      <c r="AK2602" s="35"/>
      <c r="AL2602" s="35">
        <v>15</v>
      </c>
      <c r="AM2602" s="35"/>
      <c r="AN2602" s="35"/>
      <c r="AO2602" s="35"/>
      <c r="AP2602" s="35">
        <v>6</v>
      </c>
      <c r="AQ2602" s="35"/>
      <c r="AR2602" s="35"/>
      <c r="AS2602" s="35"/>
      <c r="AT2602" s="35"/>
      <c r="AU2602" s="35"/>
      <c r="AV2602" s="35"/>
      <c r="AW2602" s="35"/>
      <c r="AX2602" s="35"/>
      <c r="AY2602" s="35"/>
      <c r="AZ2602" s="35"/>
      <c r="BA2602" s="35"/>
      <c r="BB2602" s="22">
        <f t="shared" si="804"/>
        <v>21</v>
      </c>
      <c r="BC2602" s="23">
        <v>22</v>
      </c>
      <c r="BD2602" s="130">
        <f t="shared" si="805"/>
        <v>21</v>
      </c>
      <c r="BE2602" s="130">
        <f t="shared" si="806"/>
        <v>22</v>
      </c>
      <c r="BF2602" s="195">
        <f t="shared" si="807"/>
        <v>95.454545454545453</v>
      </c>
      <c r="BG2602" s="373">
        <f t="shared" si="808"/>
        <v>1</v>
      </c>
    </row>
    <row r="2603" spans="1:59" s="46" customFormat="1" ht="15.95" customHeight="1">
      <c r="A2603" s="176">
        <v>222</v>
      </c>
      <c r="B2603" s="31" t="s">
        <v>1658</v>
      </c>
      <c r="C2603" s="32" t="s">
        <v>1659</v>
      </c>
      <c r="D2603" s="550"/>
      <c r="E2603" s="550"/>
      <c r="F2603" s="550"/>
      <c r="G2603" s="550"/>
      <c r="H2603" s="550"/>
      <c r="I2603" s="550"/>
      <c r="J2603" s="550"/>
      <c r="K2603" s="550"/>
      <c r="L2603" s="550"/>
      <c r="M2603" s="550"/>
      <c r="N2603" s="550"/>
      <c r="O2603" s="550"/>
      <c r="P2603" s="550"/>
      <c r="Q2603" s="550"/>
      <c r="R2603" s="550"/>
      <c r="S2603" s="550"/>
      <c r="T2603" s="550"/>
      <c r="U2603" s="550"/>
      <c r="V2603" s="550"/>
      <c r="W2603" s="550"/>
      <c r="X2603" s="550"/>
      <c r="Y2603" s="550"/>
      <c r="Z2603" s="550"/>
      <c r="AA2603" s="550"/>
      <c r="AB2603" s="22">
        <f t="shared" si="803"/>
        <v>0</v>
      </c>
      <c r="AC2603" s="23">
        <v>0</v>
      </c>
      <c r="AD2603" s="35"/>
      <c r="AE2603" s="35"/>
      <c r="AF2603" s="35"/>
      <c r="AG2603" s="35"/>
      <c r="AH2603" s="35"/>
      <c r="AI2603" s="35"/>
      <c r="AJ2603" s="35"/>
      <c r="AK2603" s="35"/>
      <c r="AL2603" s="35">
        <v>2</v>
      </c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22">
        <f t="shared" si="804"/>
        <v>2</v>
      </c>
      <c r="BC2603" s="23">
        <v>0</v>
      </c>
      <c r="BD2603" s="130">
        <f t="shared" si="805"/>
        <v>2</v>
      </c>
      <c r="BE2603" s="130">
        <f t="shared" si="806"/>
        <v>0</v>
      </c>
      <c r="BF2603" s="195" t="e">
        <f t="shared" si="807"/>
        <v>#DIV/0!</v>
      </c>
      <c r="BG2603" s="373"/>
    </row>
    <row r="2604" spans="1:59" s="46" customFormat="1" ht="15.95" customHeight="1">
      <c r="A2604" s="176">
        <v>223</v>
      </c>
      <c r="B2604" s="31" t="s">
        <v>1034</v>
      </c>
      <c r="C2604" s="34" t="s">
        <v>1660</v>
      </c>
      <c r="D2604" s="231"/>
      <c r="E2604" s="231"/>
      <c r="F2604" s="231"/>
      <c r="G2604" s="231"/>
      <c r="H2604" s="231"/>
      <c r="I2604" s="231"/>
      <c r="J2604" s="231"/>
      <c r="K2604" s="231"/>
      <c r="L2604" s="231"/>
      <c r="M2604" s="231"/>
      <c r="N2604" s="231"/>
      <c r="O2604" s="231"/>
      <c r="P2604" s="231"/>
      <c r="Q2604" s="231"/>
      <c r="R2604" s="231"/>
      <c r="S2604" s="231"/>
      <c r="T2604" s="231"/>
      <c r="U2604" s="231"/>
      <c r="V2604" s="231"/>
      <c r="W2604" s="231"/>
      <c r="X2604" s="231"/>
      <c r="Y2604" s="231"/>
      <c r="Z2604" s="231"/>
      <c r="AA2604" s="231"/>
      <c r="AB2604" s="22">
        <f t="shared" si="803"/>
        <v>0</v>
      </c>
      <c r="AC2604" s="23">
        <v>0</v>
      </c>
      <c r="AD2604" s="35">
        <v>4228</v>
      </c>
      <c r="AE2604" s="35"/>
      <c r="AF2604" s="35"/>
      <c r="AG2604" s="35"/>
      <c r="AH2604" s="35">
        <f>325+2394+1</f>
        <v>2720</v>
      </c>
      <c r="AI2604" s="35"/>
      <c r="AJ2604" s="35"/>
      <c r="AK2604" s="35"/>
      <c r="AL2604" s="35">
        <f>2253+1952+13</f>
        <v>4218</v>
      </c>
      <c r="AM2604" s="35"/>
      <c r="AN2604" s="35"/>
      <c r="AO2604" s="35"/>
      <c r="AP2604" s="35">
        <f>1+2804+61</f>
        <v>2866</v>
      </c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22">
        <f t="shared" si="804"/>
        <v>14032</v>
      </c>
      <c r="BC2604" s="23">
        <v>4240</v>
      </c>
      <c r="BD2604" s="130">
        <f t="shared" si="805"/>
        <v>14032</v>
      </c>
      <c r="BE2604" s="130">
        <f t="shared" si="806"/>
        <v>4240</v>
      </c>
      <c r="BF2604" s="195">
        <f t="shared" si="807"/>
        <v>330.94339622641508</v>
      </c>
      <c r="BG2604" s="373">
        <f>BE2604-BD2604</f>
        <v>-9792</v>
      </c>
    </row>
    <row r="2605" spans="1:59" s="46" customFormat="1" ht="15.95" customHeight="1">
      <c r="A2605" s="176">
        <v>224</v>
      </c>
      <c r="B2605" s="31" t="s">
        <v>1035</v>
      </c>
      <c r="C2605" s="34" t="s">
        <v>2422</v>
      </c>
      <c r="D2605" s="231"/>
      <c r="E2605" s="231"/>
      <c r="F2605" s="231"/>
      <c r="G2605" s="231"/>
      <c r="H2605" s="231"/>
      <c r="I2605" s="231"/>
      <c r="J2605" s="231"/>
      <c r="K2605" s="231"/>
      <c r="L2605" s="231"/>
      <c r="M2605" s="231"/>
      <c r="N2605" s="231"/>
      <c r="O2605" s="231"/>
      <c r="P2605" s="231"/>
      <c r="Q2605" s="231"/>
      <c r="R2605" s="231"/>
      <c r="S2605" s="231"/>
      <c r="T2605" s="231"/>
      <c r="U2605" s="231"/>
      <c r="V2605" s="231"/>
      <c r="W2605" s="231"/>
      <c r="X2605" s="231"/>
      <c r="Y2605" s="231"/>
      <c r="Z2605" s="231"/>
      <c r="AA2605" s="231"/>
      <c r="AB2605" s="22">
        <f t="shared" si="803"/>
        <v>0</v>
      </c>
      <c r="AC2605" s="23">
        <v>0</v>
      </c>
      <c r="AD2605" s="35">
        <v>16</v>
      </c>
      <c r="AE2605" s="35"/>
      <c r="AF2605" s="35"/>
      <c r="AG2605" s="35"/>
      <c r="AH2605" s="35">
        <v>2</v>
      </c>
      <c r="AI2605" s="35"/>
      <c r="AJ2605" s="35"/>
      <c r="AK2605" s="35"/>
      <c r="AL2605" s="35">
        <f>5+8</f>
        <v>13</v>
      </c>
      <c r="AM2605" s="35"/>
      <c r="AN2605" s="35"/>
      <c r="AO2605" s="35"/>
      <c r="AP2605" s="35">
        <v>1</v>
      </c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22">
        <f t="shared" si="804"/>
        <v>32</v>
      </c>
      <c r="BC2605" s="23">
        <v>63</v>
      </c>
      <c r="BD2605" s="130">
        <f t="shared" si="805"/>
        <v>32</v>
      </c>
      <c r="BE2605" s="130">
        <f t="shared" si="806"/>
        <v>63</v>
      </c>
      <c r="BF2605" s="195">
        <f t="shared" si="807"/>
        <v>50.793650793650791</v>
      </c>
      <c r="BG2605" s="373">
        <f>BE2605-BD2605</f>
        <v>31</v>
      </c>
    </row>
    <row r="2606" spans="1:59" s="46" customFormat="1" ht="15.95" customHeight="1">
      <c r="A2606" s="176">
        <v>225</v>
      </c>
      <c r="B2606" s="31" t="s">
        <v>2421</v>
      </c>
      <c r="C2606" s="34" t="s">
        <v>2423</v>
      </c>
      <c r="D2606" s="521"/>
      <c r="E2606" s="521"/>
      <c r="F2606" s="521"/>
      <c r="G2606" s="521"/>
      <c r="H2606" s="521"/>
      <c r="I2606" s="521"/>
      <c r="J2606" s="521"/>
      <c r="K2606" s="521"/>
      <c r="L2606" s="521"/>
      <c r="M2606" s="521"/>
      <c r="N2606" s="521"/>
      <c r="O2606" s="521"/>
      <c r="P2606" s="521"/>
      <c r="Q2606" s="521"/>
      <c r="R2606" s="521"/>
      <c r="S2606" s="521"/>
      <c r="T2606" s="521"/>
      <c r="U2606" s="521"/>
      <c r="V2606" s="521"/>
      <c r="W2606" s="521"/>
      <c r="X2606" s="521"/>
      <c r="Y2606" s="521"/>
      <c r="Z2606" s="521"/>
      <c r="AA2606" s="521"/>
      <c r="AB2606" s="22">
        <f t="shared" si="803"/>
        <v>0</v>
      </c>
      <c r="AC2606" s="23">
        <v>0</v>
      </c>
      <c r="AD2606" s="35"/>
      <c r="AE2606" s="35"/>
      <c r="AF2606" s="35"/>
      <c r="AG2606" s="35"/>
      <c r="AH2606" s="35">
        <v>4</v>
      </c>
      <c r="AI2606" s="35"/>
      <c r="AJ2606" s="35"/>
      <c r="AK2606" s="35"/>
      <c r="AL2606" s="35">
        <v>1</v>
      </c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22">
        <f t="shared" si="804"/>
        <v>5</v>
      </c>
      <c r="BC2606" s="23">
        <v>0</v>
      </c>
      <c r="BD2606" s="130">
        <f t="shared" si="805"/>
        <v>5</v>
      </c>
      <c r="BE2606" s="130">
        <f t="shared" si="806"/>
        <v>0</v>
      </c>
      <c r="BF2606" s="195" t="e">
        <f t="shared" si="807"/>
        <v>#DIV/0!</v>
      </c>
      <c r="BG2606" s="373"/>
    </row>
    <row r="2607" spans="1:59" s="46" customFormat="1" ht="15.95" customHeight="1">
      <c r="A2607" s="176">
        <v>226</v>
      </c>
      <c r="B2607" s="31" t="s">
        <v>2737</v>
      </c>
      <c r="C2607" s="34" t="s">
        <v>2738</v>
      </c>
      <c r="D2607" s="231"/>
      <c r="E2607" s="231"/>
      <c r="F2607" s="231"/>
      <c r="G2607" s="231"/>
      <c r="H2607" s="231"/>
      <c r="I2607" s="231"/>
      <c r="J2607" s="231"/>
      <c r="K2607" s="231"/>
      <c r="L2607" s="231"/>
      <c r="M2607" s="231"/>
      <c r="N2607" s="231"/>
      <c r="O2607" s="231"/>
      <c r="P2607" s="231"/>
      <c r="Q2607" s="231"/>
      <c r="R2607" s="231"/>
      <c r="S2607" s="231"/>
      <c r="T2607" s="231"/>
      <c r="U2607" s="231"/>
      <c r="V2607" s="231"/>
      <c r="W2607" s="231"/>
      <c r="X2607" s="231"/>
      <c r="Y2607" s="231"/>
      <c r="Z2607" s="231"/>
      <c r="AA2607" s="231"/>
      <c r="AB2607" s="22">
        <f t="shared" si="803"/>
        <v>0</v>
      </c>
      <c r="AC2607" s="23">
        <v>0</v>
      </c>
      <c r="AD2607" s="35"/>
      <c r="AE2607" s="35"/>
      <c r="AF2607" s="35"/>
      <c r="AG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  <c r="AX2607" s="35"/>
      <c r="AY2607" s="35"/>
      <c r="AZ2607" s="35"/>
      <c r="BA2607" s="35"/>
      <c r="BB2607" s="22">
        <f t="shared" si="804"/>
        <v>0</v>
      </c>
      <c r="BC2607" s="23">
        <v>6</v>
      </c>
      <c r="BD2607" s="130">
        <f t="shared" si="805"/>
        <v>0</v>
      </c>
      <c r="BE2607" s="130">
        <f t="shared" si="806"/>
        <v>6</v>
      </c>
      <c r="BF2607" s="195">
        <f t="shared" si="807"/>
        <v>0</v>
      </c>
      <c r="BG2607" s="373">
        <f>BE2607-BD2607</f>
        <v>6</v>
      </c>
    </row>
    <row r="2608" spans="1:59" s="46" customFormat="1" ht="15.95" customHeight="1">
      <c r="A2608" s="176">
        <v>227</v>
      </c>
      <c r="B2608" s="31" t="s">
        <v>977</v>
      </c>
      <c r="C2608" s="34" t="s">
        <v>2157</v>
      </c>
      <c r="D2608" s="231"/>
      <c r="E2608" s="231"/>
      <c r="F2608" s="231"/>
      <c r="G2608" s="231"/>
      <c r="H2608" s="231"/>
      <c r="I2608" s="231"/>
      <c r="J2608" s="231"/>
      <c r="K2608" s="231"/>
      <c r="L2608" s="231"/>
      <c r="M2608" s="231"/>
      <c r="N2608" s="231"/>
      <c r="O2608" s="231"/>
      <c r="P2608" s="231"/>
      <c r="Q2608" s="231"/>
      <c r="R2608" s="231"/>
      <c r="S2608" s="231"/>
      <c r="T2608" s="231"/>
      <c r="U2608" s="231"/>
      <c r="V2608" s="231"/>
      <c r="W2608" s="231"/>
      <c r="X2608" s="231"/>
      <c r="Y2608" s="231"/>
      <c r="Z2608" s="231"/>
      <c r="AA2608" s="231"/>
      <c r="AB2608" s="22">
        <f t="shared" si="803"/>
        <v>0</v>
      </c>
      <c r="AC2608" s="23">
        <v>0</v>
      </c>
      <c r="AD2608" s="35">
        <v>2</v>
      </c>
      <c r="AE2608" s="35"/>
      <c r="AF2608" s="35"/>
      <c r="AG2608" s="35"/>
      <c r="AH2608" s="35"/>
      <c r="AI2608" s="35"/>
      <c r="AJ2608" s="35"/>
      <c r="AK2608" s="35"/>
      <c r="AL2608" s="35">
        <v>1</v>
      </c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22">
        <f t="shared" si="804"/>
        <v>3</v>
      </c>
      <c r="BC2608" s="23">
        <v>13</v>
      </c>
      <c r="BD2608" s="130">
        <f t="shared" si="805"/>
        <v>3</v>
      </c>
      <c r="BE2608" s="130">
        <f t="shared" si="806"/>
        <v>13</v>
      </c>
      <c r="BF2608" s="195">
        <f t="shared" si="807"/>
        <v>23.076923076923077</v>
      </c>
      <c r="BG2608" s="373">
        <f>BE2608-BD2608</f>
        <v>10</v>
      </c>
    </row>
    <row r="2609" spans="1:59" s="46" customFormat="1" ht="15.95" customHeight="1">
      <c r="A2609" s="176">
        <v>228</v>
      </c>
      <c r="B2609" s="31" t="s">
        <v>1661</v>
      </c>
      <c r="C2609" s="34" t="s">
        <v>3703</v>
      </c>
      <c r="D2609" s="407"/>
      <c r="E2609" s="407"/>
      <c r="F2609" s="407"/>
      <c r="G2609" s="407"/>
      <c r="H2609" s="407"/>
      <c r="I2609" s="407"/>
      <c r="J2609" s="407"/>
      <c r="K2609" s="407"/>
      <c r="L2609" s="407"/>
      <c r="M2609" s="407"/>
      <c r="N2609" s="407"/>
      <c r="O2609" s="407"/>
      <c r="P2609" s="407"/>
      <c r="Q2609" s="407"/>
      <c r="R2609" s="407"/>
      <c r="S2609" s="407"/>
      <c r="T2609" s="407"/>
      <c r="U2609" s="407"/>
      <c r="V2609" s="407"/>
      <c r="W2609" s="407"/>
      <c r="X2609" s="407"/>
      <c r="Y2609" s="407"/>
      <c r="Z2609" s="407"/>
      <c r="AA2609" s="407"/>
      <c r="AB2609" s="22">
        <f t="shared" si="803"/>
        <v>0</v>
      </c>
      <c r="AC2609" s="23">
        <v>0</v>
      </c>
      <c r="AD2609" s="35">
        <v>6</v>
      </c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5"/>
      <c r="BA2609" s="35"/>
      <c r="BB2609" s="22">
        <f t="shared" si="804"/>
        <v>6</v>
      </c>
      <c r="BC2609" s="23">
        <v>0</v>
      </c>
      <c r="BD2609" s="130">
        <f t="shared" si="805"/>
        <v>6</v>
      </c>
      <c r="BE2609" s="130">
        <f t="shared" si="806"/>
        <v>0</v>
      </c>
      <c r="BF2609" s="195" t="e">
        <f t="shared" si="807"/>
        <v>#DIV/0!</v>
      </c>
      <c r="BG2609" s="373"/>
    </row>
    <row r="2610" spans="1:59" s="46" customFormat="1" ht="15.95" customHeight="1">
      <c r="A2610" s="176">
        <v>229</v>
      </c>
      <c r="B2610" s="31" t="s">
        <v>1091</v>
      </c>
      <c r="C2610" s="32" t="s">
        <v>1092</v>
      </c>
      <c r="D2610" s="231"/>
      <c r="E2610" s="231"/>
      <c r="F2610" s="231"/>
      <c r="G2610" s="231"/>
      <c r="H2610" s="231"/>
      <c r="I2610" s="231"/>
      <c r="J2610" s="231"/>
      <c r="K2610" s="231"/>
      <c r="L2610" s="231"/>
      <c r="M2610" s="231"/>
      <c r="N2610" s="231"/>
      <c r="O2610" s="231"/>
      <c r="P2610" s="231"/>
      <c r="Q2610" s="231"/>
      <c r="R2610" s="231"/>
      <c r="S2610" s="231"/>
      <c r="T2610" s="231"/>
      <c r="U2610" s="231"/>
      <c r="V2610" s="231"/>
      <c r="W2610" s="231"/>
      <c r="X2610" s="231"/>
      <c r="Y2610" s="231"/>
      <c r="Z2610" s="231"/>
      <c r="AA2610" s="231"/>
      <c r="AB2610" s="22">
        <f t="shared" si="803"/>
        <v>0</v>
      </c>
      <c r="AC2610" s="23">
        <v>0</v>
      </c>
      <c r="AD2610" s="35"/>
      <c r="AE2610" s="35"/>
      <c r="AF2610" s="35"/>
      <c r="AG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  <c r="AX2610" s="35"/>
      <c r="AY2610" s="35"/>
      <c r="AZ2610" s="35"/>
      <c r="BA2610" s="35"/>
      <c r="BB2610" s="22">
        <f t="shared" si="804"/>
        <v>0</v>
      </c>
      <c r="BC2610" s="23">
        <v>2</v>
      </c>
      <c r="BD2610" s="130">
        <f t="shared" si="805"/>
        <v>0</v>
      </c>
      <c r="BE2610" s="130">
        <f t="shared" si="806"/>
        <v>2</v>
      </c>
      <c r="BF2610" s="195">
        <f t="shared" si="807"/>
        <v>0</v>
      </c>
      <c r="BG2610" s="373">
        <f>BE2610-BD2610</f>
        <v>2</v>
      </c>
    </row>
    <row r="2611" spans="1:59" s="46" customFormat="1" ht="15.95" customHeight="1">
      <c r="A2611" s="176">
        <v>230</v>
      </c>
      <c r="B2611" s="31" t="s">
        <v>1361</v>
      </c>
      <c r="C2611" s="32" t="s">
        <v>1362</v>
      </c>
      <c r="D2611" s="231"/>
      <c r="E2611" s="231"/>
      <c r="F2611" s="231"/>
      <c r="G2611" s="231"/>
      <c r="H2611" s="231"/>
      <c r="I2611" s="231"/>
      <c r="J2611" s="231"/>
      <c r="K2611" s="231"/>
      <c r="L2611" s="231"/>
      <c r="M2611" s="231"/>
      <c r="N2611" s="231"/>
      <c r="O2611" s="231"/>
      <c r="P2611" s="231"/>
      <c r="Q2611" s="231"/>
      <c r="R2611" s="231"/>
      <c r="S2611" s="231"/>
      <c r="T2611" s="231"/>
      <c r="U2611" s="231"/>
      <c r="V2611" s="231"/>
      <c r="W2611" s="231"/>
      <c r="X2611" s="231"/>
      <c r="Y2611" s="231"/>
      <c r="Z2611" s="231"/>
      <c r="AA2611" s="231"/>
      <c r="AB2611" s="22">
        <f t="shared" si="803"/>
        <v>0</v>
      </c>
      <c r="AC2611" s="23">
        <v>1</v>
      </c>
      <c r="AD2611" s="35"/>
      <c r="AE2611" s="35"/>
      <c r="AF2611" s="35"/>
      <c r="AG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22">
        <f t="shared" si="804"/>
        <v>0</v>
      </c>
      <c r="BC2611" s="23">
        <v>0</v>
      </c>
      <c r="BD2611" s="130">
        <f t="shared" si="805"/>
        <v>0</v>
      </c>
      <c r="BE2611" s="130">
        <f t="shared" si="806"/>
        <v>1</v>
      </c>
      <c r="BF2611" s="195">
        <f t="shared" si="807"/>
        <v>0</v>
      </c>
      <c r="BG2611" s="373">
        <f>BE2611-BD2611</f>
        <v>1</v>
      </c>
    </row>
    <row r="2612" spans="1:59" s="46" customFormat="1" ht="15.95" customHeight="1">
      <c r="A2612" s="176">
        <v>231</v>
      </c>
      <c r="B2612" s="437" t="s">
        <v>3047</v>
      </c>
      <c r="C2612" s="439" t="s">
        <v>3048</v>
      </c>
      <c r="D2612" s="253"/>
      <c r="E2612" s="253"/>
      <c r="F2612" s="253"/>
      <c r="G2612" s="253"/>
      <c r="H2612" s="253"/>
      <c r="I2612" s="253"/>
      <c r="J2612" s="253"/>
      <c r="K2612" s="253"/>
      <c r="L2612" s="253"/>
      <c r="M2612" s="253"/>
      <c r="N2612" s="253"/>
      <c r="O2612" s="253"/>
      <c r="P2612" s="253"/>
      <c r="Q2612" s="253"/>
      <c r="R2612" s="253"/>
      <c r="S2612" s="253"/>
      <c r="T2612" s="253"/>
      <c r="U2612" s="253"/>
      <c r="V2612" s="253"/>
      <c r="W2612" s="253"/>
      <c r="X2612" s="253"/>
      <c r="Y2612" s="253"/>
      <c r="Z2612" s="253"/>
      <c r="AA2612" s="253"/>
      <c r="AB2612" s="22">
        <f t="shared" si="803"/>
        <v>0</v>
      </c>
      <c r="AC2612" s="23">
        <v>1280</v>
      </c>
      <c r="AD2612" s="35"/>
      <c r="AE2612" s="35"/>
      <c r="AF2612" s="35"/>
      <c r="AG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22">
        <f t="shared" si="804"/>
        <v>0</v>
      </c>
      <c r="BC2612" s="23">
        <v>0</v>
      </c>
      <c r="BD2612" s="130">
        <f t="shared" si="805"/>
        <v>0</v>
      </c>
      <c r="BE2612" s="130">
        <f t="shared" si="806"/>
        <v>1280</v>
      </c>
      <c r="BF2612" s="195">
        <f t="shared" si="807"/>
        <v>0</v>
      </c>
      <c r="BG2612" s="373">
        <f>BE2612-BD2612</f>
        <v>1280</v>
      </c>
    </row>
    <row r="2613" spans="1:59" s="46" customFormat="1" ht="15.95" customHeight="1">
      <c r="A2613" s="176">
        <v>232</v>
      </c>
      <c r="B2613" s="31" t="s">
        <v>3236</v>
      </c>
      <c r="C2613" s="32" t="s">
        <v>3237</v>
      </c>
      <c r="D2613" s="231"/>
      <c r="E2613" s="231"/>
      <c r="F2613" s="231"/>
      <c r="G2613" s="231"/>
      <c r="H2613" s="231"/>
      <c r="I2613" s="231"/>
      <c r="J2613" s="231"/>
      <c r="K2613" s="231"/>
      <c r="L2613" s="231"/>
      <c r="M2613" s="231"/>
      <c r="N2613" s="231"/>
      <c r="O2613" s="231"/>
      <c r="P2613" s="231"/>
      <c r="Q2613" s="231"/>
      <c r="R2613" s="231"/>
      <c r="S2613" s="231"/>
      <c r="T2613" s="231"/>
      <c r="U2613" s="231"/>
      <c r="V2613" s="231"/>
      <c r="W2613" s="231"/>
      <c r="X2613" s="231"/>
      <c r="Y2613" s="231"/>
      <c r="Z2613" s="231"/>
      <c r="AA2613" s="231"/>
      <c r="AB2613" s="22">
        <f t="shared" si="803"/>
        <v>0</v>
      </c>
      <c r="AC2613" s="23">
        <v>5</v>
      </c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22">
        <f t="shared" si="804"/>
        <v>0</v>
      </c>
      <c r="BC2613" s="23">
        <v>0</v>
      </c>
      <c r="BD2613" s="130">
        <f t="shared" si="805"/>
        <v>0</v>
      </c>
      <c r="BE2613" s="130">
        <f t="shared" si="806"/>
        <v>5</v>
      </c>
      <c r="BF2613" s="195">
        <f t="shared" si="807"/>
        <v>0</v>
      </c>
      <c r="BG2613" s="373">
        <f>BE2613-BD2613</f>
        <v>5</v>
      </c>
    </row>
    <row r="2614" spans="1:59" s="46" customFormat="1" ht="15.95" customHeight="1">
      <c r="A2614" s="638" t="s">
        <v>1363</v>
      </c>
      <c r="B2614" s="639"/>
      <c r="C2614" s="639"/>
      <c r="D2614" s="98">
        <f t="shared" ref="D2614:AI2614" si="809">SUM(D2615:D2626)</f>
        <v>0</v>
      </c>
      <c r="E2614" s="98">
        <f t="shared" si="809"/>
        <v>0</v>
      </c>
      <c r="F2614" s="98">
        <f t="shared" si="809"/>
        <v>0</v>
      </c>
      <c r="G2614" s="98">
        <f t="shared" si="809"/>
        <v>0</v>
      </c>
      <c r="H2614" s="98">
        <f t="shared" si="809"/>
        <v>0</v>
      </c>
      <c r="I2614" s="98">
        <f t="shared" si="809"/>
        <v>0</v>
      </c>
      <c r="J2614" s="98">
        <f t="shared" si="809"/>
        <v>0</v>
      </c>
      <c r="K2614" s="98">
        <f t="shared" si="809"/>
        <v>0</v>
      </c>
      <c r="L2614" s="98">
        <f t="shared" si="809"/>
        <v>3</v>
      </c>
      <c r="M2614" s="98">
        <f t="shared" si="809"/>
        <v>0</v>
      </c>
      <c r="N2614" s="98">
        <f t="shared" si="809"/>
        <v>0</v>
      </c>
      <c r="O2614" s="98">
        <f t="shared" si="809"/>
        <v>0</v>
      </c>
      <c r="P2614" s="98">
        <f t="shared" si="809"/>
        <v>0</v>
      </c>
      <c r="Q2614" s="98">
        <f t="shared" si="809"/>
        <v>0</v>
      </c>
      <c r="R2614" s="98">
        <f t="shared" si="809"/>
        <v>0</v>
      </c>
      <c r="S2614" s="98">
        <f t="shared" si="809"/>
        <v>0</v>
      </c>
      <c r="T2614" s="98">
        <f t="shared" si="809"/>
        <v>0</v>
      </c>
      <c r="U2614" s="98">
        <f t="shared" si="809"/>
        <v>0</v>
      </c>
      <c r="V2614" s="98">
        <f t="shared" si="809"/>
        <v>0</v>
      </c>
      <c r="W2614" s="98">
        <f t="shared" si="809"/>
        <v>0</v>
      </c>
      <c r="X2614" s="98">
        <f t="shared" si="809"/>
        <v>0</v>
      </c>
      <c r="Y2614" s="98">
        <f t="shared" si="809"/>
        <v>0</v>
      </c>
      <c r="Z2614" s="98">
        <f t="shared" si="809"/>
        <v>0</v>
      </c>
      <c r="AA2614" s="98">
        <f t="shared" si="809"/>
        <v>0</v>
      </c>
      <c r="AB2614" s="98">
        <f t="shared" si="809"/>
        <v>3</v>
      </c>
      <c r="AC2614" s="103">
        <f t="shared" si="809"/>
        <v>79</v>
      </c>
      <c r="AD2614" s="130">
        <f t="shared" si="809"/>
        <v>0</v>
      </c>
      <c r="AE2614" s="130">
        <f t="shared" si="809"/>
        <v>0</v>
      </c>
      <c r="AF2614" s="130">
        <f t="shared" si="809"/>
        <v>0</v>
      </c>
      <c r="AG2614" s="130">
        <f t="shared" si="809"/>
        <v>0</v>
      </c>
      <c r="AH2614" s="130">
        <f t="shared" si="809"/>
        <v>0</v>
      </c>
      <c r="AI2614" s="130">
        <f t="shared" si="809"/>
        <v>0</v>
      </c>
      <c r="AJ2614" s="130">
        <f t="shared" ref="AJ2614:BC2614" si="810">SUM(AJ2615:AJ2626)</f>
        <v>0</v>
      </c>
      <c r="AK2614" s="130">
        <f t="shared" si="810"/>
        <v>0</v>
      </c>
      <c r="AL2614" s="130">
        <f t="shared" si="810"/>
        <v>3</v>
      </c>
      <c r="AM2614" s="130">
        <f t="shared" si="810"/>
        <v>0</v>
      </c>
      <c r="AN2614" s="130">
        <f t="shared" si="810"/>
        <v>0</v>
      </c>
      <c r="AO2614" s="130">
        <f t="shared" si="810"/>
        <v>0</v>
      </c>
      <c r="AP2614" s="130">
        <f t="shared" si="810"/>
        <v>0</v>
      </c>
      <c r="AQ2614" s="130">
        <f t="shared" si="810"/>
        <v>0</v>
      </c>
      <c r="AR2614" s="130">
        <f t="shared" si="810"/>
        <v>0</v>
      </c>
      <c r="AS2614" s="130">
        <f t="shared" si="810"/>
        <v>0</v>
      </c>
      <c r="AT2614" s="130">
        <f t="shared" si="810"/>
        <v>0</v>
      </c>
      <c r="AU2614" s="130">
        <f t="shared" si="810"/>
        <v>0</v>
      </c>
      <c r="AV2614" s="130">
        <f t="shared" si="810"/>
        <v>0</v>
      </c>
      <c r="AW2614" s="130">
        <f t="shared" si="810"/>
        <v>0</v>
      </c>
      <c r="AX2614" s="130">
        <f t="shared" si="810"/>
        <v>0</v>
      </c>
      <c r="AY2614" s="130">
        <f t="shared" si="810"/>
        <v>0</v>
      </c>
      <c r="AZ2614" s="130">
        <f t="shared" si="810"/>
        <v>0</v>
      </c>
      <c r="BA2614" s="130">
        <f t="shared" si="810"/>
        <v>0</v>
      </c>
      <c r="BB2614" s="130">
        <f t="shared" si="810"/>
        <v>3</v>
      </c>
      <c r="BC2614" s="103">
        <f t="shared" si="810"/>
        <v>20</v>
      </c>
      <c r="BD2614" s="130">
        <f t="shared" ref="BD2614:BD2627" si="811">AB2614+BB2614</f>
        <v>6</v>
      </c>
      <c r="BE2614" s="130">
        <f t="shared" ref="BE2614:BE2627" si="812">AC2614+BC2614</f>
        <v>99</v>
      </c>
      <c r="BF2614" s="195">
        <f t="shared" ref="BF2614:BF2627" si="813">BD2614/BE2614*100</f>
        <v>6.0606060606060606</v>
      </c>
      <c r="BG2614" s="374">
        <f t="shared" ref="BG2614:BG2627" si="814">BE2614-BD2614</f>
        <v>93</v>
      </c>
    </row>
    <row r="2615" spans="1:59" s="46" customFormat="1" ht="15.95" customHeight="1">
      <c r="A2615" s="176">
        <v>1</v>
      </c>
      <c r="B2615" s="31" t="s">
        <v>754</v>
      </c>
      <c r="C2615" s="32" t="s">
        <v>889</v>
      </c>
      <c r="D2615" s="231"/>
      <c r="E2615" s="231"/>
      <c r="F2615" s="231"/>
      <c r="G2615" s="231"/>
      <c r="H2615" s="231"/>
      <c r="I2615" s="231"/>
      <c r="J2615" s="231"/>
      <c r="K2615" s="231"/>
      <c r="L2615" s="231">
        <v>1</v>
      </c>
      <c r="M2615" s="231"/>
      <c r="N2615" s="231"/>
      <c r="O2615" s="231"/>
      <c r="P2615" s="231"/>
      <c r="Q2615" s="231"/>
      <c r="R2615" s="231"/>
      <c r="S2615" s="231"/>
      <c r="T2615" s="231"/>
      <c r="U2615" s="231"/>
      <c r="V2615" s="231"/>
      <c r="W2615" s="231"/>
      <c r="X2615" s="231"/>
      <c r="Y2615" s="231"/>
      <c r="Z2615" s="231"/>
      <c r="AA2615" s="231"/>
      <c r="AB2615" s="22">
        <f t="shared" ref="AB2615:AB2626" si="815">SUM(D2615:AA2615)</f>
        <v>1</v>
      </c>
      <c r="AC2615" s="23">
        <v>27</v>
      </c>
      <c r="AD2615" s="35"/>
      <c r="AE2615" s="35"/>
      <c r="AF2615" s="35"/>
      <c r="AG2615" s="35"/>
      <c r="AH2615" s="35"/>
      <c r="AI2615" s="35"/>
      <c r="AJ2615" s="35"/>
      <c r="AK2615" s="35"/>
      <c r="AL2615" s="35">
        <v>1</v>
      </c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22">
        <f t="shared" ref="BB2615:BB2626" si="816">SUM(AD2615:BA2615)</f>
        <v>1</v>
      </c>
      <c r="BC2615" s="23">
        <v>4</v>
      </c>
      <c r="BD2615" s="130">
        <f t="shared" ref="BD2615:BD2626" si="817">AB2615+BB2615</f>
        <v>2</v>
      </c>
      <c r="BE2615" s="130">
        <f t="shared" si="812"/>
        <v>31</v>
      </c>
      <c r="BF2615" s="195">
        <f t="shared" ref="BF2615:BF2626" si="818">BD2615/BE2615*100</f>
        <v>6.4516129032258061</v>
      </c>
      <c r="BG2615" s="373">
        <f t="shared" ref="BG2615:BG2626" si="819">BE2615-BD2615</f>
        <v>29</v>
      </c>
    </row>
    <row r="2616" spans="1:59" s="46" customFormat="1" ht="15.95" customHeight="1">
      <c r="A2616" s="176">
        <v>2</v>
      </c>
      <c r="B2616" s="31" t="s">
        <v>768</v>
      </c>
      <c r="C2616" s="32" t="s">
        <v>769</v>
      </c>
      <c r="D2616" s="231"/>
      <c r="E2616" s="231"/>
      <c r="F2616" s="231"/>
      <c r="G2616" s="231"/>
      <c r="H2616" s="231"/>
      <c r="I2616" s="231"/>
      <c r="J2616" s="231"/>
      <c r="K2616" s="231"/>
      <c r="L2616" s="231"/>
      <c r="M2616" s="231"/>
      <c r="N2616" s="231"/>
      <c r="O2616" s="231"/>
      <c r="P2616" s="231"/>
      <c r="Q2616" s="231"/>
      <c r="R2616" s="231"/>
      <c r="S2616" s="231"/>
      <c r="T2616" s="231"/>
      <c r="U2616" s="231"/>
      <c r="V2616" s="231"/>
      <c r="W2616" s="231"/>
      <c r="X2616" s="231"/>
      <c r="Y2616" s="231"/>
      <c r="Z2616" s="231"/>
      <c r="AA2616" s="231"/>
      <c r="AB2616" s="22">
        <f t="shared" si="815"/>
        <v>0</v>
      </c>
      <c r="AC2616" s="23">
        <v>0</v>
      </c>
      <c r="AD2616" s="35"/>
      <c r="AE2616" s="35"/>
      <c r="AF2616" s="35"/>
      <c r="AG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  <c r="AX2616" s="35"/>
      <c r="AY2616" s="35"/>
      <c r="AZ2616" s="35"/>
      <c r="BA2616" s="35"/>
      <c r="BB2616" s="22">
        <f t="shared" si="816"/>
        <v>0</v>
      </c>
      <c r="BC2616" s="23">
        <v>1</v>
      </c>
      <c r="BD2616" s="130">
        <f t="shared" si="817"/>
        <v>0</v>
      </c>
      <c r="BE2616" s="130">
        <f t="shared" si="812"/>
        <v>1</v>
      </c>
      <c r="BF2616" s="195">
        <f t="shared" si="818"/>
        <v>0</v>
      </c>
      <c r="BG2616" s="373">
        <f t="shared" si="819"/>
        <v>1</v>
      </c>
    </row>
    <row r="2617" spans="1:59" s="46" customFormat="1" ht="22.5" customHeight="1">
      <c r="A2617" s="176">
        <v>3</v>
      </c>
      <c r="B2617" s="31" t="s">
        <v>770</v>
      </c>
      <c r="C2617" s="34" t="s">
        <v>771</v>
      </c>
      <c r="D2617" s="366"/>
      <c r="E2617" s="366"/>
      <c r="F2617" s="366"/>
      <c r="G2617" s="366"/>
      <c r="H2617" s="366"/>
      <c r="I2617" s="366"/>
      <c r="J2617" s="366"/>
      <c r="K2617" s="366"/>
      <c r="L2617" s="366"/>
      <c r="M2617" s="366"/>
      <c r="N2617" s="366"/>
      <c r="O2617" s="366"/>
      <c r="P2617" s="366"/>
      <c r="Q2617" s="366"/>
      <c r="R2617" s="366"/>
      <c r="S2617" s="366"/>
      <c r="T2617" s="366"/>
      <c r="U2617" s="366"/>
      <c r="V2617" s="366"/>
      <c r="W2617" s="366"/>
      <c r="X2617" s="366"/>
      <c r="Y2617" s="366"/>
      <c r="Z2617" s="366"/>
      <c r="AA2617" s="366"/>
      <c r="AB2617" s="22">
        <f t="shared" si="815"/>
        <v>0</v>
      </c>
      <c r="AC2617" s="23">
        <v>0</v>
      </c>
      <c r="AD2617" s="35"/>
      <c r="AE2617" s="35"/>
      <c r="AF2617" s="35"/>
      <c r="AG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22">
        <f t="shared" si="816"/>
        <v>0</v>
      </c>
      <c r="BC2617" s="23">
        <v>1</v>
      </c>
      <c r="BD2617" s="130">
        <f t="shared" si="817"/>
        <v>0</v>
      </c>
      <c r="BE2617" s="130">
        <f t="shared" si="812"/>
        <v>1</v>
      </c>
      <c r="BF2617" s="195">
        <f t="shared" si="818"/>
        <v>0</v>
      </c>
      <c r="BG2617" s="373">
        <f t="shared" si="819"/>
        <v>1</v>
      </c>
    </row>
    <row r="2618" spans="1:59" s="46" customFormat="1" ht="15.95" customHeight="1">
      <c r="A2618" s="176">
        <v>4</v>
      </c>
      <c r="B2618" s="31" t="s">
        <v>819</v>
      </c>
      <c r="C2618" s="32" t="s">
        <v>1369</v>
      </c>
      <c r="D2618" s="366"/>
      <c r="E2618" s="366"/>
      <c r="F2618" s="366"/>
      <c r="G2618" s="366"/>
      <c r="H2618" s="366"/>
      <c r="I2618" s="366"/>
      <c r="J2618" s="366"/>
      <c r="K2618" s="366"/>
      <c r="L2618" s="366"/>
      <c r="M2618" s="366"/>
      <c r="N2618" s="366"/>
      <c r="O2618" s="366"/>
      <c r="P2618" s="366"/>
      <c r="Q2618" s="366"/>
      <c r="R2618" s="366"/>
      <c r="S2618" s="366"/>
      <c r="T2618" s="366"/>
      <c r="U2618" s="366"/>
      <c r="V2618" s="366"/>
      <c r="W2618" s="366"/>
      <c r="X2618" s="366"/>
      <c r="Y2618" s="366"/>
      <c r="Z2618" s="366"/>
      <c r="AA2618" s="366"/>
      <c r="AB2618" s="22">
        <f t="shared" si="815"/>
        <v>0</v>
      </c>
      <c r="AC2618" s="23">
        <v>0</v>
      </c>
      <c r="AD2618" s="35"/>
      <c r="AE2618" s="35"/>
      <c r="AF2618" s="35"/>
      <c r="AG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22">
        <f t="shared" si="816"/>
        <v>0</v>
      </c>
      <c r="BC2618" s="23">
        <v>2</v>
      </c>
      <c r="BD2618" s="130">
        <f t="shared" si="817"/>
        <v>0</v>
      </c>
      <c r="BE2618" s="130">
        <f t="shared" si="812"/>
        <v>2</v>
      </c>
      <c r="BF2618" s="195">
        <f t="shared" si="818"/>
        <v>0</v>
      </c>
      <c r="BG2618" s="373">
        <f t="shared" si="819"/>
        <v>2</v>
      </c>
    </row>
    <row r="2619" spans="1:59" s="46" customFormat="1" ht="15.95" customHeight="1">
      <c r="A2619" s="176">
        <v>5</v>
      </c>
      <c r="B2619" s="31" t="s">
        <v>825</v>
      </c>
      <c r="C2619" s="32" t="s">
        <v>907</v>
      </c>
      <c r="D2619" s="366"/>
      <c r="E2619" s="366"/>
      <c r="F2619" s="366"/>
      <c r="G2619" s="366"/>
      <c r="H2619" s="366"/>
      <c r="I2619" s="366"/>
      <c r="J2619" s="366"/>
      <c r="K2619" s="366"/>
      <c r="L2619" s="366"/>
      <c r="M2619" s="366"/>
      <c r="N2619" s="366"/>
      <c r="O2619" s="366"/>
      <c r="P2619" s="366"/>
      <c r="Q2619" s="366"/>
      <c r="R2619" s="366"/>
      <c r="S2619" s="366"/>
      <c r="T2619" s="366"/>
      <c r="U2619" s="366"/>
      <c r="V2619" s="366"/>
      <c r="W2619" s="366"/>
      <c r="X2619" s="366"/>
      <c r="Y2619" s="366"/>
      <c r="Z2619" s="366"/>
      <c r="AA2619" s="366"/>
      <c r="AB2619" s="22">
        <f t="shared" si="815"/>
        <v>0</v>
      </c>
      <c r="AC2619" s="23">
        <v>0</v>
      </c>
      <c r="AD2619" s="35"/>
      <c r="AE2619" s="35"/>
      <c r="AF2619" s="35"/>
      <c r="AG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22">
        <f t="shared" si="816"/>
        <v>0</v>
      </c>
      <c r="BC2619" s="23">
        <v>1</v>
      </c>
      <c r="BD2619" s="130">
        <f t="shared" si="817"/>
        <v>0</v>
      </c>
      <c r="BE2619" s="130">
        <f t="shared" si="812"/>
        <v>1</v>
      </c>
      <c r="BF2619" s="195">
        <f t="shared" si="818"/>
        <v>0</v>
      </c>
      <c r="BG2619" s="373">
        <f t="shared" si="819"/>
        <v>1</v>
      </c>
    </row>
    <row r="2620" spans="1:59" s="46" customFormat="1" ht="15.95" customHeight="1">
      <c r="A2620" s="176">
        <v>6</v>
      </c>
      <c r="B2620" s="31" t="s">
        <v>845</v>
      </c>
      <c r="C2620" s="34" t="s">
        <v>948</v>
      </c>
      <c r="D2620" s="366"/>
      <c r="E2620" s="366"/>
      <c r="F2620" s="366"/>
      <c r="G2620" s="366"/>
      <c r="H2620" s="366"/>
      <c r="I2620" s="366"/>
      <c r="J2620" s="366"/>
      <c r="K2620" s="366"/>
      <c r="L2620" s="366"/>
      <c r="M2620" s="366"/>
      <c r="N2620" s="366"/>
      <c r="O2620" s="366"/>
      <c r="P2620" s="366"/>
      <c r="Q2620" s="366"/>
      <c r="R2620" s="366"/>
      <c r="S2620" s="366"/>
      <c r="T2620" s="366"/>
      <c r="U2620" s="366"/>
      <c r="V2620" s="366"/>
      <c r="W2620" s="366"/>
      <c r="X2620" s="366"/>
      <c r="Y2620" s="366"/>
      <c r="Z2620" s="366"/>
      <c r="AA2620" s="366"/>
      <c r="AB2620" s="22">
        <f t="shared" si="815"/>
        <v>0</v>
      </c>
      <c r="AC2620" s="23">
        <v>5</v>
      </c>
      <c r="AD2620" s="35"/>
      <c r="AE2620" s="35"/>
      <c r="AF2620" s="35"/>
      <c r="AG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22">
        <f t="shared" si="816"/>
        <v>0</v>
      </c>
      <c r="BC2620" s="23">
        <v>0</v>
      </c>
      <c r="BD2620" s="130">
        <f t="shared" si="817"/>
        <v>0</v>
      </c>
      <c r="BE2620" s="130">
        <f t="shared" si="812"/>
        <v>5</v>
      </c>
      <c r="BF2620" s="195">
        <f t="shared" si="818"/>
        <v>0</v>
      </c>
      <c r="BG2620" s="373">
        <f t="shared" si="819"/>
        <v>5</v>
      </c>
    </row>
    <row r="2621" spans="1:59" s="46" customFormat="1" ht="15.95" customHeight="1">
      <c r="A2621" s="176">
        <v>7</v>
      </c>
      <c r="B2621" s="31" t="s">
        <v>1075</v>
      </c>
      <c r="C2621" s="34" t="s">
        <v>1076</v>
      </c>
      <c r="D2621" s="231"/>
      <c r="E2621" s="231"/>
      <c r="F2621" s="231"/>
      <c r="G2621" s="231"/>
      <c r="H2621" s="231"/>
      <c r="I2621" s="231"/>
      <c r="J2621" s="231"/>
      <c r="K2621" s="231"/>
      <c r="L2621" s="231">
        <v>1</v>
      </c>
      <c r="M2621" s="231"/>
      <c r="N2621" s="231"/>
      <c r="O2621" s="231"/>
      <c r="P2621" s="231"/>
      <c r="Q2621" s="231"/>
      <c r="R2621" s="231"/>
      <c r="S2621" s="231"/>
      <c r="T2621" s="231"/>
      <c r="U2621" s="231"/>
      <c r="V2621" s="231"/>
      <c r="W2621" s="231"/>
      <c r="X2621" s="231"/>
      <c r="Y2621" s="231"/>
      <c r="Z2621" s="231"/>
      <c r="AA2621" s="231"/>
      <c r="AB2621" s="22">
        <f t="shared" si="815"/>
        <v>1</v>
      </c>
      <c r="AC2621" s="23">
        <v>21</v>
      </c>
      <c r="AD2621" s="35"/>
      <c r="AE2621" s="35"/>
      <c r="AF2621" s="35"/>
      <c r="AG2621" s="35"/>
      <c r="AH2621" s="35"/>
      <c r="AI2621" s="35"/>
      <c r="AJ2621" s="35"/>
      <c r="AK2621" s="35"/>
      <c r="AL2621" s="35">
        <v>1</v>
      </c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  <c r="AX2621" s="35"/>
      <c r="AY2621" s="35"/>
      <c r="AZ2621" s="35"/>
      <c r="BA2621" s="35"/>
      <c r="BB2621" s="22">
        <f t="shared" si="816"/>
        <v>1</v>
      </c>
      <c r="BC2621" s="23">
        <v>5</v>
      </c>
      <c r="BD2621" s="130">
        <f t="shared" si="817"/>
        <v>2</v>
      </c>
      <c r="BE2621" s="130">
        <f t="shared" si="812"/>
        <v>26</v>
      </c>
      <c r="BF2621" s="195">
        <f t="shared" si="818"/>
        <v>7.6923076923076925</v>
      </c>
      <c r="BG2621" s="373">
        <f t="shared" si="819"/>
        <v>24</v>
      </c>
    </row>
    <row r="2622" spans="1:59" s="46" customFormat="1" ht="15.95" customHeight="1">
      <c r="A2622" s="176">
        <v>8</v>
      </c>
      <c r="B2622" s="31" t="s">
        <v>1082</v>
      </c>
      <c r="C2622" s="36" t="s">
        <v>1083</v>
      </c>
      <c r="D2622" s="231"/>
      <c r="E2622" s="231"/>
      <c r="F2622" s="231"/>
      <c r="G2622" s="231"/>
      <c r="H2622" s="231"/>
      <c r="I2622" s="231"/>
      <c r="J2622" s="231"/>
      <c r="K2622" s="231"/>
      <c r="L2622" s="231">
        <v>1</v>
      </c>
      <c r="M2622" s="231"/>
      <c r="N2622" s="231"/>
      <c r="O2622" s="231"/>
      <c r="P2622" s="231"/>
      <c r="Q2622" s="231"/>
      <c r="R2622" s="231"/>
      <c r="S2622" s="231"/>
      <c r="T2622" s="231"/>
      <c r="U2622" s="231"/>
      <c r="V2622" s="231"/>
      <c r="W2622" s="231"/>
      <c r="X2622" s="231"/>
      <c r="Y2622" s="231"/>
      <c r="Z2622" s="231"/>
      <c r="AA2622" s="231"/>
      <c r="AB2622" s="22">
        <f t="shared" si="815"/>
        <v>1</v>
      </c>
      <c r="AC2622" s="23">
        <v>25</v>
      </c>
      <c r="AD2622" s="35"/>
      <c r="AE2622" s="35"/>
      <c r="AF2622" s="35"/>
      <c r="AG2622" s="35"/>
      <c r="AH2622" s="35"/>
      <c r="AI2622" s="35"/>
      <c r="AJ2622" s="35"/>
      <c r="AK2622" s="35"/>
      <c r="AL2622" s="35">
        <v>1</v>
      </c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  <c r="AX2622" s="35"/>
      <c r="AY2622" s="35"/>
      <c r="AZ2622" s="35"/>
      <c r="BA2622" s="35"/>
      <c r="BB2622" s="22">
        <f t="shared" si="816"/>
        <v>1</v>
      </c>
      <c r="BC2622" s="23">
        <v>3</v>
      </c>
      <c r="BD2622" s="130">
        <f t="shared" si="817"/>
        <v>2</v>
      </c>
      <c r="BE2622" s="130">
        <f t="shared" si="812"/>
        <v>28</v>
      </c>
      <c r="BF2622" s="195">
        <f t="shared" si="818"/>
        <v>7.1428571428571423</v>
      </c>
      <c r="BG2622" s="373">
        <f t="shared" si="819"/>
        <v>26</v>
      </c>
    </row>
    <row r="2623" spans="1:59" s="46" customFormat="1" ht="15.95" customHeight="1">
      <c r="A2623" s="176">
        <v>9</v>
      </c>
      <c r="B2623" s="31" t="s">
        <v>1355</v>
      </c>
      <c r="C2623" s="34" t="s">
        <v>1400</v>
      </c>
      <c r="D2623" s="231"/>
      <c r="E2623" s="231"/>
      <c r="F2623" s="231"/>
      <c r="G2623" s="231"/>
      <c r="H2623" s="231"/>
      <c r="I2623" s="231"/>
      <c r="J2623" s="231"/>
      <c r="K2623" s="231"/>
      <c r="L2623" s="231"/>
      <c r="M2623" s="231"/>
      <c r="N2623" s="231"/>
      <c r="O2623" s="231"/>
      <c r="P2623" s="231"/>
      <c r="Q2623" s="231"/>
      <c r="R2623" s="231"/>
      <c r="S2623" s="231"/>
      <c r="T2623" s="231"/>
      <c r="U2623" s="231"/>
      <c r="V2623" s="231"/>
      <c r="W2623" s="231"/>
      <c r="X2623" s="231"/>
      <c r="Y2623" s="231"/>
      <c r="Z2623" s="231"/>
      <c r="AA2623" s="231"/>
      <c r="AB2623" s="22">
        <f t="shared" si="815"/>
        <v>0</v>
      </c>
      <c r="AC2623" s="23">
        <v>0</v>
      </c>
      <c r="AD2623" s="35"/>
      <c r="AE2623" s="35"/>
      <c r="AF2623" s="35"/>
      <c r="AG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  <c r="AX2623" s="35"/>
      <c r="AY2623" s="35"/>
      <c r="AZ2623" s="35"/>
      <c r="BA2623" s="35"/>
      <c r="BB2623" s="22">
        <f t="shared" si="816"/>
        <v>0</v>
      </c>
      <c r="BC2623" s="23">
        <v>1</v>
      </c>
      <c r="BD2623" s="130">
        <f t="shared" si="817"/>
        <v>0</v>
      </c>
      <c r="BE2623" s="130">
        <f t="shared" si="812"/>
        <v>1</v>
      </c>
      <c r="BF2623" s="195">
        <f t="shared" si="818"/>
        <v>0</v>
      </c>
      <c r="BG2623" s="373">
        <f t="shared" si="819"/>
        <v>1</v>
      </c>
    </row>
    <row r="2624" spans="1:59" s="46" customFormat="1" ht="15.95" customHeight="1">
      <c r="A2624" s="176">
        <v>10</v>
      </c>
      <c r="B2624" s="31" t="s">
        <v>1088</v>
      </c>
      <c r="C2624" s="32" t="s">
        <v>1089</v>
      </c>
      <c r="D2624" s="231"/>
      <c r="E2624" s="231"/>
      <c r="F2624" s="231"/>
      <c r="G2624" s="231"/>
      <c r="H2624" s="231"/>
      <c r="I2624" s="231"/>
      <c r="J2624" s="231"/>
      <c r="K2624" s="231"/>
      <c r="L2624" s="231"/>
      <c r="M2624" s="231"/>
      <c r="N2624" s="231"/>
      <c r="O2624" s="231"/>
      <c r="P2624" s="231"/>
      <c r="Q2624" s="231"/>
      <c r="R2624" s="231"/>
      <c r="S2624" s="231"/>
      <c r="T2624" s="231"/>
      <c r="U2624" s="231"/>
      <c r="V2624" s="231"/>
      <c r="W2624" s="231"/>
      <c r="X2624" s="231"/>
      <c r="Y2624" s="231"/>
      <c r="Z2624" s="231"/>
      <c r="AA2624" s="231"/>
      <c r="AB2624" s="22">
        <f t="shared" si="815"/>
        <v>0</v>
      </c>
      <c r="AC2624" s="23">
        <v>0</v>
      </c>
      <c r="AD2624" s="35"/>
      <c r="AE2624" s="35"/>
      <c r="AF2624" s="35"/>
      <c r="AG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  <c r="AX2624" s="35"/>
      <c r="AY2624" s="35"/>
      <c r="AZ2624" s="35"/>
      <c r="BA2624" s="35"/>
      <c r="BB2624" s="22">
        <f t="shared" si="816"/>
        <v>0</v>
      </c>
      <c r="BC2624" s="23">
        <v>1</v>
      </c>
      <c r="BD2624" s="130">
        <f t="shared" si="817"/>
        <v>0</v>
      </c>
      <c r="BE2624" s="130">
        <f t="shared" si="812"/>
        <v>1</v>
      </c>
      <c r="BF2624" s="195">
        <f t="shared" si="818"/>
        <v>0</v>
      </c>
      <c r="BG2624" s="373">
        <f t="shared" si="819"/>
        <v>1</v>
      </c>
    </row>
    <row r="2625" spans="1:61" s="46" customFormat="1" ht="15.95" customHeight="1">
      <c r="A2625" s="176">
        <v>11</v>
      </c>
      <c r="B2625" s="31" t="s">
        <v>1018</v>
      </c>
      <c r="C2625" s="32" t="s">
        <v>1402</v>
      </c>
      <c r="D2625" s="231"/>
      <c r="E2625" s="231"/>
      <c r="F2625" s="231"/>
      <c r="G2625" s="231"/>
      <c r="H2625" s="231"/>
      <c r="I2625" s="231"/>
      <c r="J2625" s="231"/>
      <c r="K2625" s="231"/>
      <c r="L2625" s="231"/>
      <c r="M2625" s="231"/>
      <c r="N2625" s="231"/>
      <c r="O2625" s="231"/>
      <c r="P2625" s="231"/>
      <c r="Q2625" s="231"/>
      <c r="R2625" s="231"/>
      <c r="S2625" s="231"/>
      <c r="T2625" s="231"/>
      <c r="U2625" s="231"/>
      <c r="V2625" s="231"/>
      <c r="W2625" s="231"/>
      <c r="X2625" s="231"/>
      <c r="Y2625" s="231"/>
      <c r="Z2625" s="231"/>
      <c r="AA2625" s="231"/>
      <c r="AB2625" s="22">
        <f t="shared" si="815"/>
        <v>0</v>
      </c>
      <c r="AC2625" s="23">
        <v>0</v>
      </c>
      <c r="AD2625" s="35"/>
      <c r="AE2625" s="35"/>
      <c r="AF2625" s="35"/>
      <c r="AG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  <c r="AX2625" s="35"/>
      <c r="AY2625" s="35"/>
      <c r="AZ2625" s="35"/>
      <c r="BA2625" s="35"/>
      <c r="BB2625" s="22">
        <f t="shared" si="816"/>
        <v>0</v>
      </c>
      <c r="BC2625" s="23">
        <v>1</v>
      </c>
      <c r="BD2625" s="130">
        <f t="shared" si="817"/>
        <v>0</v>
      </c>
      <c r="BE2625" s="130">
        <f t="shared" si="812"/>
        <v>1</v>
      </c>
      <c r="BF2625" s="195">
        <f t="shared" si="818"/>
        <v>0</v>
      </c>
      <c r="BG2625" s="373">
        <f t="shared" si="819"/>
        <v>1</v>
      </c>
    </row>
    <row r="2626" spans="1:61" s="46" customFormat="1" ht="15.95" customHeight="1">
      <c r="A2626" s="176">
        <v>12</v>
      </c>
      <c r="B2626" s="437" t="s">
        <v>3047</v>
      </c>
      <c r="C2626" s="439" t="s">
        <v>3048</v>
      </c>
      <c r="D2626" s="231"/>
      <c r="E2626" s="231"/>
      <c r="F2626" s="231"/>
      <c r="G2626" s="231"/>
      <c r="H2626" s="231"/>
      <c r="I2626" s="231"/>
      <c r="J2626" s="231"/>
      <c r="K2626" s="231"/>
      <c r="L2626" s="231"/>
      <c r="M2626" s="231"/>
      <c r="N2626" s="231"/>
      <c r="O2626" s="231"/>
      <c r="P2626" s="231"/>
      <c r="Q2626" s="231"/>
      <c r="R2626" s="231"/>
      <c r="S2626" s="231"/>
      <c r="T2626" s="231"/>
      <c r="U2626" s="231"/>
      <c r="V2626" s="231"/>
      <c r="W2626" s="231"/>
      <c r="X2626" s="231"/>
      <c r="Y2626" s="231"/>
      <c r="Z2626" s="231"/>
      <c r="AA2626" s="231"/>
      <c r="AB2626" s="22">
        <f t="shared" si="815"/>
        <v>0</v>
      </c>
      <c r="AC2626" s="23">
        <v>1</v>
      </c>
      <c r="AD2626" s="35"/>
      <c r="AE2626" s="35"/>
      <c r="AF2626" s="35"/>
      <c r="AG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22">
        <f t="shared" si="816"/>
        <v>0</v>
      </c>
      <c r="BC2626" s="23">
        <v>0</v>
      </c>
      <c r="BD2626" s="130">
        <f t="shared" si="817"/>
        <v>0</v>
      </c>
      <c r="BE2626" s="130">
        <f t="shared" si="812"/>
        <v>1</v>
      </c>
      <c r="BF2626" s="195">
        <f t="shared" si="818"/>
        <v>0</v>
      </c>
      <c r="BG2626" s="373">
        <f t="shared" si="819"/>
        <v>1</v>
      </c>
    </row>
    <row r="2627" spans="1:61" s="46" customFormat="1" ht="15.95" customHeight="1">
      <c r="A2627" s="636" t="s">
        <v>1403</v>
      </c>
      <c r="B2627" s="637"/>
      <c r="C2627" s="637"/>
      <c r="D2627" s="98">
        <f t="shared" ref="D2627:AI2627" si="820">SUM(D2628:D2778)</f>
        <v>334</v>
      </c>
      <c r="E2627" s="98">
        <f t="shared" si="820"/>
        <v>0</v>
      </c>
      <c r="F2627" s="98">
        <f t="shared" si="820"/>
        <v>0</v>
      </c>
      <c r="G2627" s="98">
        <f t="shared" si="820"/>
        <v>1356</v>
      </c>
      <c r="H2627" s="98">
        <f t="shared" si="820"/>
        <v>378</v>
      </c>
      <c r="I2627" s="98">
        <f t="shared" si="820"/>
        <v>0</v>
      </c>
      <c r="J2627" s="98">
        <f t="shared" si="820"/>
        <v>0</v>
      </c>
      <c r="K2627" s="98">
        <f t="shared" si="820"/>
        <v>1443</v>
      </c>
      <c r="L2627" s="98">
        <f t="shared" si="820"/>
        <v>745</v>
      </c>
      <c r="M2627" s="98">
        <f t="shared" si="820"/>
        <v>0</v>
      </c>
      <c r="N2627" s="98">
        <f t="shared" si="820"/>
        <v>0</v>
      </c>
      <c r="O2627" s="98">
        <f t="shared" si="820"/>
        <v>3214</v>
      </c>
      <c r="P2627" s="98">
        <f t="shared" si="820"/>
        <v>757</v>
      </c>
      <c r="Q2627" s="98">
        <f t="shared" si="820"/>
        <v>0</v>
      </c>
      <c r="R2627" s="98">
        <f t="shared" si="820"/>
        <v>0</v>
      </c>
      <c r="S2627" s="98">
        <f t="shared" si="820"/>
        <v>2075</v>
      </c>
      <c r="T2627" s="98">
        <f t="shared" si="820"/>
        <v>0</v>
      </c>
      <c r="U2627" s="98">
        <f t="shared" si="820"/>
        <v>0</v>
      </c>
      <c r="V2627" s="98">
        <f t="shared" si="820"/>
        <v>0</v>
      </c>
      <c r="W2627" s="98">
        <f t="shared" si="820"/>
        <v>0</v>
      </c>
      <c r="X2627" s="98">
        <f t="shared" si="820"/>
        <v>0</v>
      </c>
      <c r="Y2627" s="98">
        <f t="shared" si="820"/>
        <v>0</v>
      </c>
      <c r="Z2627" s="98">
        <f t="shared" si="820"/>
        <v>0</v>
      </c>
      <c r="AA2627" s="98">
        <f t="shared" si="820"/>
        <v>0</v>
      </c>
      <c r="AB2627" s="98">
        <f t="shared" si="820"/>
        <v>10302</v>
      </c>
      <c r="AC2627" s="161">
        <f t="shared" si="820"/>
        <v>5234</v>
      </c>
      <c r="AD2627" s="130">
        <f t="shared" si="820"/>
        <v>4598</v>
      </c>
      <c r="AE2627" s="130">
        <f t="shared" si="820"/>
        <v>0</v>
      </c>
      <c r="AF2627" s="130">
        <f t="shared" si="820"/>
        <v>0</v>
      </c>
      <c r="AG2627" s="130">
        <f t="shared" si="820"/>
        <v>0</v>
      </c>
      <c r="AH2627" s="130">
        <f t="shared" si="820"/>
        <v>3966</v>
      </c>
      <c r="AI2627" s="130">
        <f t="shared" si="820"/>
        <v>0</v>
      </c>
      <c r="AJ2627" s="130">
        <f t="shared" ref="AJ2627:BC2627" si="821">SUM(AJ2628:AJ2778)</f>
        <v>0</v>
      </c>
      <c r="AK2627" s="130">
        <f t="shared" si="821"/>
        <v>0</v>
      </c>
      <c r="AL2627" s="130">
        <f t="shared" si="821"/>
        <v>12670</v>
      </c>
      <c r="AM2627" s="130">
        <f t="shared" si="821"/>
        <v>0</v>
      </c>
      <c r="AN2627" s="130">
        <f t="shared" si="821"/>
        <v>0</v>
      </c>
      <c r="AO2627" s="130">
        <f t="shared" si="821"/>
        <v>0</v>
      </c>
      <c r="AP2627" s="130">
        <f t="shared" si="821"/>
        <v>9900</v>
      </c>
      <c r="AQ2627" s="130">
        <f t="shared" si="821"/>
        <v>0</v>
      </c>
      <c r="AR2627" s="130">
        <f t="shared" si="821"/>
        <v>0</v>
      </c>
      <c r="AS2627" s="130">
        <f t="shared" si="821"/>
        <v>0</v>
      </c>
      <c r="AT2627" s="130">
        <f t="shared" si="821"/>
        <v>0</v>
      </c>
      <c r="AU2627" s="130">
        <f t="shared" si="821"/>
        <v>0</v>
      </c>
      <c r="AV2627" s="130">
        <f t="shared" si="821"/>
        <v>0</v>
      </c>
      <c r="AW2627" s="130">
        <f t="shared" si="821"/>
        <v>0</v>
      </c>
      <c r="AX2627" s="130">
        <f t="shared" si="821"/>
        <v>0</v>
      </c>
      <c r="AY2627" s="130">
        <f t="shared" si="821"/>
        <v>0</v>
      </c>
      <c r="AZ2627" s="130">
        <f t="shared" si="821"/>
        <v>0</v>
      </c>
      <c r="BA2627" s="130">
        <f t="shared" si="821"/>
        <v>0</v>
      </c>
      <c r="BB2627" s="130">
        <f t="shared" si="821"/>
        <v>31134</v>
      </c>
      <c r="BC2627" s="103">
        <f t="shared" si="821"/>
        <v>48642</v>
      </c>
      <c r="BD2627" s="130">
        <f t="shared" si="811"/>
        <v>41436</v>
      </c>
      <c r="BE2627" s="130">
        <f t="shared" si="812"/>
        <v>53876</v>
      </c>
      <c r="BF2627" s="195">
        <f t="shared" si="813"/>
        <v>76.909941346796344</v>
      </c>
      <c r="BG2627" s="374">
        <f t="shared" si="814"/>
        <v>12440</v>
      </c>
    </row>
    <row r="2628" spans="1:61" s="46" customFormat="1" ht="21" customHeight="1">
      <c r="A2628" s="417">
        <v>1</v>
      </c>
      <c r="B2628" s="418" t="s">
        <v>926</v>
      </c>
      <c r="C2628" s="423" t="s">
        <v>927</v>
      </c>
      <c r="D2628" s="231"/>
      <c r="E2628" s="231"/>
      <c r="F2628" s="231"/>
      <c r="G2628" s="231"/>
      <c r="H2628" s="231"/>
      <c r="I2628" s="231"/>
      <c r="J2628" s="231"/>
      <c r="K2628" s="231"/>
      <c r="L2628" s="231"/>
      <c r="M2628" s="231"/>
      <c r="N2628" s="231"/>
      <c r="O2628" s="231">
        <v>4</v>
      </c>
      <c r="P2628" s="231"/>
      <c r="Q2628" s="231"/>
      <c r="R2628" s="231"/>
      <c r="S2628" s="231">
        <v>4</v>
      </c>
      <c r="T2628" s="231"/>
      <c r="U2628" s="231"/>
      <c r="V2628" s="231"/>
      <c r="W2628" s="231"/>
      <c r="X2628" s="231"/>
      <c r="Y2628" s="231"/>
      <c r="Z2628" s="231"/>
      <c r="AA2628" s="231"/>
      <c r="AB2628" s="22">
        <f t="shared" ref="AB2628:AB2659" si="822">SUM(D2628:AA2628)</f>
        <v>8</v>
      </c>
      <c r="AC2628" s="23">
        <f>4+21</f>
        <v>25</v>
      </c>
      <c r="AD2628" s="35"/>
      <c r="AE2628" s="35"/>
      <c r="AF2628" s="35"/>
      <c r="AG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22">
        <f t="shared" ref="BB2628:BB2659" si="823">SUM(AD2628:BA2628)</f>
        <v>0</v>
      </c>
      <c r="BC2628" s="23">
        <v>0</v>
      </c>
      <c r="BD2628" s="130">
        <f t="shared" ref="BD2628:BD2659" si="824">AB2628+BB2628</f>
        <v>8</v>
      </c>
      <c r="BE2628" s="130">
        <f t="shared" ref="BE2628:BE2659" si="825">AC2628+BC2628</f>
        <v>25</v>
      </c>
      <c r="BF2628" s="195">
        <f t="shared" ref="BF2628:BF2659" si="826">BD2628/BE2628*100</f>
        <v>32</v>
      </c>
      <c r="BG2628" s="373">
        <f>BE2628-BD2628</f>
        <v>17</v>
      </c>
      <c r="BH2628" s="426" t="s">
        <v>3675</v>
      </c>
      <c r="BI2628" s="426"/>
    </row>
    <row r="2629" spans="1:61" s="46" customFormat="1" ht="21" customHeight="1">
      <c r="A2629" s="417">
        <v>2</v>
      </c>
      <c r="B2629" s="418" t="s">
        <v>1266</v>
      </c>
      <c r="C2629" s="419" t="s">
        <v>1267</v>
      </c>
      <c r="D2629" s="231"/>
      <c r="E2629" s="231"/>
      <c r="F2629" s="231"/>
      <c r="G2629" s="231">
        <v>6</v>
      </c>
      <c r="H2629" s="231"/>
      <c r="I2629" s="231"/>
      <c r="J2629" s="231"/>
      <c r="K2629" s="231">
        <v>21</v>
      </c>
      <c r="L2629" s="231"/>
      <c r="M2629" s="231"/>
      <c r="N2629" s="231"/>
      <c r="O2629" s="231">
        <f>1+59</f>
        <v>60</v>
      </c>
      <c r="P2629" s="231"/>
      <c r="Q2629" s="231"/>
      <c r="R2629" s="231"/>
      <c r="S2629" s="231">
        <v>148</v>
      </c>
      <c r="T2629" s="231"/>
      <c r="U2629" s="231"/>
      <c r="V2629" s="231"/>
      <c r="W2629" s="231"/>
      <c r="X2629" s="231"/>
      <c r="Y2629" s="231"/>
      <c r="Z2629" s="231"/>
      <c r="AA2629" s="231"/>
      <c r="AB2629" s="22">
        <f t="shared" si="822"/>
        <v>235</v>
      </c>
      <c r="AC2629" s="23">
        <f>37+362</f>
        <v>399</v>
      </c>
      <c r="AD2629" s="35"/>
      <c r="AE2629" s="35"/>
      <c r="AF2629" s="35"/>
      <c r="AG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22">
        <f t="shared" si="823"/>
        <v>0</v>
      </c>
      <c r="BC2629" s="23">
        <v>0</v>
      </c>
      <c r="BD2629" s="130">
        <f t="shared" si="824"/>
        <v>235</v>
      </c>
      <c r="BE2629" s="130">
        <f t="shared" si="825"/>
        <v>399</v>
      </c>
      <c r="BF2629" s="195">
        <f t="shared" si="826"/>
        <v>58.897243107769427</v>
      </c>
      <c r="BG2629" s="373">
        <f>BE2629-BD2629</f>
        <v>164</v>
      </c>
      <c r="BH2629" s="426" t="s">
        <v>3675</v>
      </c>
      <c r="BI2629" s="421"/>
    </row>
    <row r="2630" spans="1:61" s="46" customFormat="1" ht="21" customHeight="1">
      <c r="A2630" s="417">
        <v>3</v>
      </c>
      <c r="B2630" s="418" t="s">
        <v>3676</v>
      </c>
      <c r="C2630" s="419" t="s">
        <v>3677</v>
      </c>
      <c r="D2630" s="407"/>
      <c r="E2630" s="407"/>
      <c r="F2630" s="407"/>
      <c r="G2630" s="407">
        <v>2</v>
      </c>
      <c r="H2630" s="407"/>
      <c r="I2630" s="407"/>
      <c r="J2630" s="407"/>
      <c r="K2630" s="407"/>
      <c r="L2630" s="407"/>
      <c r="M2630" s="407"/>
      <c r="N2630" s="407"/>
      <c r="O2630" s="407">
        <v>1</v>
      </c>
      <c r="P2630" s="407"/>
      <c r="Q2630" s="407"/>
      <c r="R2630" s="407"/>
      <c r="S2630" s="407"/>
      <c r="T2630" s="407"/>
      <c r="U2630" s="407"/>
      <c r="V2630" s="407"/>
      <c r="W2630" s="407"/>
      <c r="X2630" s="407"/>
      <c r="Y2630" s="407"/>
      <c r="Z2630" s="407"/>
      <c r="AA2630" s="407"/>
      <c r="AB2630" s="22">
        <f t="shared" si="822"/>
        <v>3</v>
      </c>
      <c r="AC2630" s="23">
        <v>0</v>
      </c>
      <c r="AD2630" s="35"/>
      <c r="AE2630" s="35"/>
      <c r="AF2630" s="35"/>
      <c r="AG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  <c r="AX2630" s="35"/>
      <c r="AY2630" s="35"/>
      <c r="AZ2630" s="35"/>
      <c r="BA2630" s="35"/>
      <c r="BB2630" s="22">
        <f t="shared" si="823"/>
        <v>0</v>
      </c>
      <c r="BC2630" s="23">
        <v>0</v>
      </c>
      <c r="BD2630" s="130">
        <f t="shared" si="824"/>
        <v>3</v>
      </c>
      <c r="BE2630" s="130">
        <f t="shared" si="825"/>
        <v>0</v>
      </c>
      <c r="BF2630" s="195" t="e">
        <f t="shared" si="826"/>
        <v>#DIV/0!</v>
      </c>
      <c r="BG2630" s="373"/>
      <c r="BH2630" s="426" t="s">
        <v>3675</v>
      </c>
      <c r="BI2630" s="421"/>
    </row>
    <row r="2631" spans="1:61" s="46" customFormat="1" ht="21" customHeight="1">
      <c r="A2631" s="417">
        <v>4</v>
      </c>
      <c r="B2631" s="418" t="s">
        <v>2218</v>
      </c>
      <c r="C2631" s="419" t="s">
        <v>2222</v>
      </c>
      <c r="D2631" s="231"/>
      <c r="E2631" s="231"/>
      <c r="F2631" s="231"/>
      <c r="G2631" s="231">
        <v>1</v>
      </c>
      <c r="H2631" s="231"/>
      <c r="I2631" s="231"/>
      <c r="J2631" s="231"/>
      <c r="K2631" s="231">
        <v>169</v>
      </c>
      <c r="L2631" s="231"/>
      <c r="M2631" s="231"/>
      <c r="N2631" s="231"/>
      <c r="O2631" s="231">
        <f>1+4+952</f>
        <v>957</v>
      </c>
      <c r="P2631" s="231"/>
      <c r="Q2631" s="231"/>
      <c r="R2631" s="231"/>
      <c r="S2631" s="231">
        <v>747</v>
      </c>
      <c r="T2631" s="231"/>
      <c r="U2631" s="231"/>
      <c r="V2631" s="231"/>
      <c r="W2631" s="231"/>
      <c r="X2631" s="231"/>
      <c r="Y2631" s="231"/>
      <c r="Z2631" s="231"/>
      <c r="AA2631" s="231"/>
      <c r="AB2631" s="22">
        <f t="shared" si="822"/>
        <v>1874</v>
      </c>
      <c r="AC2631" s="23">
        <v>2078</v>
      </c>
      <c r="AD2631" s="35"/>
      <c r="AE2631" s="35"/>
      <c r="AF2631" s="35"/>
      <c r="AG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22">
        <f t="shared" si="823"/>
        <v>0</v>
      </c>
      <c r="BC2631" s="23">
        <v>0</v>
      </c>
      <c r="BD2631" s="130">
        <f t="shared" si="824"/>
        <v>1874</v>
      </c>
      <c r="BE2631" s="130">
        <f t="shared" si="825"/>
        <v>2078</v>
      </c>
      <c r="BF2631" s="195">
        <f t="shared" si="826"/>
        <v>90.182868142444661</v>
      </c>
      <c r="BG2631" s="373">
        <f t="shared" ref="BG2631:BG2653" si="827">BE2631-BD2631</f>
        <v>204</v>
      </c>
      <c r="BH2631" s="426" t="s">
        <v>3675</v>
      </c>
      <c r="BI2631" s="421"/>
    </row>
    <row r="2632" spans="1:61" s="46" customFormat="1" ht="21" customHeight="1">
      <c r="A2632" s="417">
        <v>5</v>
      </c>
      <c r="B2632" s="418" t="s">
        <v>2246</v>
      </c>
      <c r="C2632" s="419" t="s">
        <v>2247</v>
      </c>
      <c r="D2632" s="231"/>
      <c r="E2632" s="231"/>
      <c r="F2632" s="231"/>
      <c r="G2632" s="231">
        <f>419+2+926</f>
        <v>1347</v>
      </c>
      <c r="H2632" s="231"/>
      <c r="I2632" s="231"/>
      <c r="J2632" s="231"/>
      <c r="K2632" s="231">
        <f>653+597</f>
        <v>1250</v>
      </c>
      <c r="L2632" s="231"/>
      <c r="M2632" s="231"/>
      <c r="N2632" s="231"/>
      <c r="O2632" s="231">
        <f>519+4+1635+34</f>
        <v>2192</v>
      </c>
      <c r="P2632" s="231"/>
      <c r="Q2632" s="231"/>
      <c r="R2632" s="231"/>
      <c r="S2632" s="231">
        <f>21+1136+19</f>
        <v>1176</v>
      </c>
      <c r="T2632" s="231"/>
      <c r="U2632" s="231"/>
      <c r="V2632" s="231"/>
      <c r="W2632" s="231"/>
      <c r="X2632" s="231"/>
      <c r="Y2632" s="231"/>
      <c r="Z2632" s="231"/>
      <c r="AA2632" s="231"/>
      <c r="AB2632" s="22">
        <f t="shared" si="822"/>
        <v>5965</v>
      </c>
      <c r="AC2632" s="23">
        <v>36</v>
      </c>
      <c r="AD2632" s="35"/>
      <c r="AE2632" s="35"/>
      <c r="AF2632" s="35"/>
      <c r="AG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22">
        <f t="shared" si="823"/>
        <v>0</v>
      </c>
      <c r="BC2632" s="23">
        <v>0</v>
      </c>
      <c r="BD2632" s="130">
        <f t="shared" si="824"/>
        <v>5965</v>
      </c>
      <c r="BE2632" s="130">
        <f t="shared" si="825"/>
        <v>36</v>
      </c>
      <c r="BF2632" s="195">
        <f t="shared" si="826"/>
        <v>16569.444444444445</v>
      </c>
      <c r="BG2632" s="373">
        <f t="shared" si="827"/>
        <v>-5929</v>
      </c>
      <c r="BH2632" s="426" t="s">
        <v>3675</v>
      </c>
      <c r="BI2632" s="421"/>
    </row>
    <row r="2633" spans="1:61" s="46" customFormat="1" ht="15.95" customHeight="1">
      <c r="A2633" s="176">
        <v>6</v>
      </c>
      <c r="B2633" s="31" t="s">
        <v>736</v>
      </c>
      <c r="C2633" s="32" t="s">
        <v>737</v>
      </c>
      <c r="D2633" s="231"/>
      <c r="E2633" s="231"/>
      <c r="F2633" s="231"/>
      <c r="G2633" s="231"/>
      <c r="H2633" s="231"/>
      <c r="I2633" s="231"/>
      <c r="J2633" s="231"/>
      <c r="K2633" s="231"/>
      <c r="L2633" s="231"/>
      <c r="M2633" s="231"/>
      <c r="N2633" s="231"/>
      <c r="O2633" s="231"/>
      <c r="P2633" s="231"/>
      <c r="Q2633" s="231"/>
      <c r="R2633" s="231"/>
      <c r="S2633" s="231"/>
      <c r="T2633" s="231"/>
      <c r="U2633" s="231"/>
      <c r="V2633" s="231"/>
      <c r="W2633" s="231"/>
      <c r="X2633" s="231"/>
      <c r="Y2633" s="231"/>
      <c r="Z2633" s="231"/>
      <c r="AA2633" s="231"/>
      <c r="AB2633" s="22">
        <f t="shared" si="822"/>
        <v>0</v>
      </c>
      <c r="AC2633" s="23">
        <v>0</v>
      </c>
      <c r="AD2633" s="35"/>
      <c r="AE2633" s="35"/>
      <c r="AF2633" s="35"/>
      <c r="AG2633" s="35"/>
      <c r="AH2633" s="35"/>
      <c r="AI2633" s="35"/>
      <c r="AJ2633" s="35"/>
      <c r="AK2633" s="35"/>
      <c r="AL2633" s="35">
        <v>19</v>
      </c>
      <c r="AM2633" s="35"/>
      <c r="AN2633" s="35"/>
      <c r="AO2633" s="35"/>
      <c r="AP2633" s="35">
        <v>4</v>
      </c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22">
        <f t="shared" si="823"/>
        <v>23</v>
      </c>
      <c r="BC2633" s="23">
        <v>172</v>
      </c>
      <c r="BD2633" s="130">
        <f t="shared" si="824"/>
        <v>23</v>
      </c>
      <c r="BE2633" s="130">
        <f t="shared" si="825"/>
        <v>172</v>
      </c>
      <c r="BF2633" s="195">
        <f t="shared" si="826"/>
        <v>13.372093023255813</v>
      </c>
      <c r="BG2633" s="373">
        <f t="shared" si="827"/>
        <v>149</v>
      </c>
    </row>
    <row r="2634" spans="1:61" s="46" customFormat="1" ht="15.95" customHeight="1">
      <c r="A2634" s="176">
        <v>7</v>
      </c>
      <c r="B2634" s="31" t="s">
        <v>738</v>
      </c>
      <c r="C2634" s="32" t="s">
        <v>739</v>
      </c>
      <c r="D2634" s="390"/>
      <c r="E2634" s="390"/>
      <c r="F2634" s="390"/>
      <c r="G2634" s="390"/>
      <c r="H2634" s="390"/>
      <c r="I2634" s="390"/>
      <c r="J2634" s="390"/>
      <c r="K2634" s="390"/>
      <c r="L2634" s="390"/>
      <c r="M2634" s="390"/>
      <c r="N2634" s="390"/>
      <c r="O2634" s="390"/>
      <c r="P2634" s="390"/>
      <c r="Q2634" s="390"/>
      <c r="R2634" s="390"/>
      <c r="S2634" s="390"/>
      <c r="T2634" s="390"/>
      <c r="U2634" s="390"/>
      <c r="V2634" s="390"/>
      <c r="W2634" s="390"/>
      <c r="X2634" s="390"/>
      <c r="Y2634" s="390"/>
      <c r="Z2634" s="390"/>
      <c r="AA2634" s="390"/>
      <c r="AB2634" s="22">
        <f t="shared" si="822"/>
        <v>0</v>
      </c>
      <c r="AC2634" s="23">
        <v>0</v>
      </c>
      <c r="AD2634" s="35"/>
      <c r="AE2634" s="35"/>
      <c r="AF2634" s="35"/>
      <c r="AG2634" s="35"/>
      <c r="AH2634" s="35"/>
      <c r="AI2634" s="35"/>
      <c r="AJ2634" s="35"/>
      <c r="AK2634" s="35"/>
      <c r="AL2634" s="35">
        <v>8</v>
      </c>
      <c r="AM2634" s="35"/>
      <c r="AN2634" s="35"/>
      <c r="AO2634" s="35"/>
      <c r="AP2634" s="35">
        <v>6</v>
      </c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22">
        <f t="shared" si="823"/>
        <v>14</v>
      </c>
      <c r="BC2634" s="23">
        <v>5</v>
      </c>
      <c r="BD2634" s="130">
        <f t="shared" si="824"/>
        <v>14</v>
      </c>
      <c r="BE2634" s="130">
        <f t="shared" si="825"/>
        <v>5</v>
      </c>
      <c r="BF2634" s="195">
        <f t="shared" si="826"/>
        <v>280</v>
      </c>
      <c r="BG2634" s="373">
        <f t="shared" si="827"/>
        <v>-9</v>
      </c>
    </row>
    <row r="2635" spans="1:61" s="46" customFormat="1" ht="15.95" customHeight="1">
      <c r="A2635" s="176">
        <v>8</v>
      </c>
      <c r="B2635" s="31" t="s">
        <v>740</v>
      </c>
      <c r="C2635" s="32" t="s">
        <v>1404</v>
      </c>
      <c r="D2635" s="390"/>
      <c r="E2635" s="390"/>
      <c r="F2635" s="390"/>
      <c r="G2635" s="390"/>
      <c r="H2635" s="390"/>
      <c r="I2635" s="390"/>
      <c r="J2635" s="390"/>
      <c r="K2635" s="390"/>
      <c r="L2635" s="390"/>
      <c r="M2635" s="390"/>
      <c r="N2635" s="390"/>
      <c r="O2635" s="390"/>
      <c r="P2635" s="390"/>
      <c r="Q2635" s="390"/>
      <c r="R2635" s="390"/>
      <c r="S2635" s="390"/>
      <c r="T2635" s="390"/>
      <c r="U2635" s="390"/>
      <c r="V2635" s="390"/>
      <c r="W2635" s="390"/>
      <c r="X2635" s="390"/>
      <c r="Y2635" s="390"/>
      <c r="Z2635" s="390"/>
      <c r="AA2635" s="390"/>
      <c r="AB2635" s="22">
        <f t="shared" si="822"/>
        <v>0</v>
      </c>
      <c r="AC2635" s="23">
        <v>0</v>
      </c>
      <c r="AD2635" s="35"/>
      <c r="AE2635" s="35"/>
      <c r="AF2635" s="35"/>
      <c r="AG2635" s="35"/>
      <c r="AH2635" s="35"/>
      <c r="AI2635" s="35"/>
      <c r="AJ2635" s="35"/>
      <c r="AK2635" s="35"/>
      <c r="AL2635" s="35">
        <v>1</v>
      </c>
      <c r="AM2635" s="35"/>
      <c r="AN2635" s="35"/>
      <c r="AO2635" s="35"/>
      <c r="AP2635" s="35">
        <v>3</v>
      </c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22">
        <f t="shared" si="823"/>
        <v>4</v>
      </c>
      <c r="BC2635" s="23">
        <v>46</v>
      </c>
      <c r="BD2635" s="130">
        <f t="shared" si="824"/>
        <v>4</v>
      </c>
      <c r="BE2635" s="130">
        <f t="shared" si="825"/>
        <v>46</v>
      </c>
      <c r="BF2635" s="195">
        <f t="shared" si="826"/>
        <v>8.695652173913043</v>
      </c>
      <c r="BG2635" s="373">
        <f t="shared" si="827"/>
        <v>42</v>
      </c>
    </row>
    <row r="2636" spans="1:61" s="46" customFormat="1" ht="15.95" customHeight="1">
      <c r="A2636" s="176">
        <v>9</v>
      </c>
      <c r="B2636" s="31" t="s">
        <v>746</v>
      </c>
      <c r="C2636" s="32" t="s">
        <v>747</v>
      </c>
      <c r="D2636" s="390"/>
      <c r="E2636" s="390"/>
      <c r="F2636" s="390"/>
      <c r="G2636" s="390"/>
      <c r="H2636" s="390"/>
      <c r="I2636" s="390"/>
      <c r="J2636" s="390"/>
      <c r="K2636" s="390"/>
      <c r="L2636" s="390"/>
      <c r="M2636" s="390"/>
      <c r="N2636" s="390"/>
      <c r="O2636" s="390"/>
      <c r="P2636" s="390"/>
      <c r="Q2636" s="390"/>
      <c r="R2636" s="390"/>
      <c r="S2636" s="390"/>
      <c r="T2636" s="390"/>
      <c r="U2636" s="390"/>
      <c r="V2636" s="390"/>
      <c r="W2636" s="390"/>
      <c r="X2636" s="390"/>
      <c r="Y2636" s="390"/>
      <c r="Z2636" s="390"/>
      <c r="AA2636" s="390"/>
      <c r="AB2636" s="22">
        <f t="shared" si="822"/>
        <v>0</v>
      </c>
      <c r="AC2636" s="23">
        <v>0</v>
      </c>
      <c r="AD2636" s="35"/>
      <c r="AE2636" s="35"/>
      <c r="AF2636" s="35"/>
      <c r="AG2636" s="35"/>
      <c r="AH2636" s="35">
        <v>1</v>
      </c>
      <c r="AI2636" s="35"/>
      <c r="AJ2636" s="35"/>
      <c r="AK2636" s="35"/>
      <c r="AL2636" s="35">
        <v>38</v>
      </c>
      <c r="AM2636" s="35"/>
      <c r="AN2636" s="35"/>
      <c r="AO2636" s="35"/>
      <c r="AP2636" s="35">
        <v>19</v>
      </c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22">
        <f t="shared" si="823"/>
        <v>58</v>
      </c>
      <c r="BC2636" s="23">
        <v>64</v>
      </c>
      <c r="BD2636" s="130">
        <f t="shared" si="824"/>
        <v>58</v>
      </c>
      <c r="BE2636" s="130">
        <f t="shared" si="825"/>
        <v>64</v>
      </c>
      <c r="BF2636" s="195">
        <f t="shared" si="826"/>
        <v>90.625</v>
      </c>
      <c r="BG2636" s="373">
        <f t="shared" si="827"/>
        <v>6</v>
      </c>
    </row>
    <row r="2637" spans="1:61" s="46" customFormat="1" ht="15.95" customHeight="1">
      <c r="A2637" s="176">
        <v>10</v>
      </c>
      <c r="B2637" s="31" t="s">
        <v>881</v>
      </c>
      <c r="C2637" s="32" t="s">
        <v>1405</v>
      </c>
      <c r="D2637" s="390"/>
      <c r="E2637" s="390"/>
      <c r="F2637" s="390"/>
      <c r="G2637" s="390"/>
      <c r="H2637" s="390"/>
      <c r="I2637" s="390"/>
      <c r="J2637" s="390"/>
      <c r="K2637" s="390"/>
      <c r="L2637" s="390"/>
      <c r="M2637" s="390"/>
      <c r="N2637" s="390"/>
      <c r="O2637" s="390"/>
      <c r="P2637" s="390"/>
      <c r="Q2637" s="390"/>
      <c r="R2637" s="390"/>
      <c r="S2637" s="390"/>
      <c r="T2637" s="390"/>
      <c r="U2637" s="390"/>
      <c r="V2637" s="390"/>
      <c r="W2637" s="390"/>
      <c r="X2637" s="390"/>
      <c r="Y2637" s="390"/>
      <c r="Z2637" s="390"/>
      <c r="AA2637" s="390"/>
      <c r="AB2637" s="22">
        <f t="shared" si="822"/>
        <v>0</v>
      </c>
      <c r="AC2637" s="23">
        <v>0</v>
      </c>
      <c r="AD2637" s="35">
        <v>36</v>
      </c>
      <c r="AE2637" s="35"/>
      <c r="AF2637" s="35"/>
      <c r="AG2637" s="35"/>
      <c r="AH2637" s="35">
        <f>26+57</f>
        <v>83</v>
      </c>
      <c r="AI2637" s="35"/>
      <c r="AJ2637" s="35"/>
      <c r="AK2637" s="35"/>
      <c r="AL2637" s="35">
        <f>48+297</f>
        <v>345</v>
      </c>
      <c r="AM2637" s="35"/>
      <c r="AN2637" s="35"/>
      <c r="AO2637" s="35"/>
      <c r="AP2637" s="35">
        <f>12+227</f>
        <v>239</v>
      </c>
      <c r="AQ2637" s="35"/>
      <c r="AR2637" s="35"/>
      <c r="AS2637" s="35"/>
      <c r="AT2637" s="35"/>
      <c r="AU2637" s="35"/>
      <c r="AV2637" s="35"/>
      <c r="AW2637" s="35"/>
      <c r="AX2637" s="35"/>
      <c r="AY2637" s="35"/>
      <c r="AZ2637" s="35"/>
      <c r="BA2637" s="35"/>
      <c r="BB2637" s="22">
        <f t="shared" si="823"/>
        <v>703</v>
      </c>
      <c r="BC2637" s="23">
        <v>1615</v>
      </c>
      <c r="BD2637" s="130">
        <f t="shared" si="824"/>
        <v>703</v>
      </c>
      <c r="BE2637" s="130">
        <f t="shared" si="825"/>
        <v>1615</v>
      </c>
      <c r="BF2637" s="195">
        <f t="shared" si="826"/>
        <v>43.529411764705884</v>
      </c>
      <c r="BG2637" s="373">
        <f t="shared" si="827"/>
        <v>912</v>
      </c>
    </row>
    <row r="2638" spans="1:61" s="46" customFormat="1" ht="15.95" customHeight="1">
      <c r="A2638" s="176">
        <v>11</v>
      </c>
      <c r="B2638" s="31" t="s">
        <v>3025</v>
      </c>
      <c r="C2638" s="32" t="s">
        <v>3031</v>
      </c>
      <c r="D2638" s="290"/>
      <c r="E2638" s="290"/>
      <c r="F2638" s="290"/>
      <c r="G2638" s="290"/>
      <c r="H2638" s="290"/>
      <c r="I2638" s="290"/>
      <c r="J2638" s="290"/>
      <c r="K2638" s="290"/>
      <c r="L2638" s="290"/>
      <c r="M2638" s="290"/>
      <c r="N2638" s="290"/>
      <c r="O2638" s="290"/>
      <c r="P2638" s="290"/>
      <c r="Q2638" s="290"/>
      <c r="R2638" s="290"/>
      <c r="S2638" s="290"/>
      <c r="T2638" s="290"/>
      <c r="U2638" s="290"/>
      <c r="V2638" s="290"/>
      <c r="W2638" s="290"/>
      <c r="X2638" s="290"/>
      <c r="Y2638" s="290"/>
      <c r="Z2638" s="290"/>
      <c r="AA2638" s="290"/>
      <c r="AB2638" s="22">
        <f t="shared" si="822"/>
        <v>0</v>
      </c>
      <c r="AC2638" s="23">
        <v>0</v>
      </c>
      <c r="AD2638" s="35"/>
      <c r="AE2638" s="35"/>
      <c r="AF2638" s="35"/>
      <c r="AG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  <c r="AX2638" s="35"/>
      <c r="AY2638" s="35"/>
      <c r="AZ2638" s="35"/>
      <c r="BA2638" s="35"/>
      <c r="BB2638" s="22">
        <f t="shared" si="823"/>
        <v>0</v>
      </c>
      <c r="BC2638" s="23">
        <v>2</v>
      </c>
      <c r="BD2638" s="130">
        <f t="shared" si="824"/>
        <v>0</v>
      </c>
      <c r="BE2638" s="130">
        <f t="shared" si="825"/>
        <v>2</v>
      </c>
      <c r="BF2638" s="195">
        <f t="shared" si="826"/>
        <v>0</v>
      </c>
      <c r="BG2638" s="373">
        <f t="shared" si="827"/>
        <v>2</v>
      </c>
    </row>
    <row r="2639" spans="1:61" s="46" customFormat="1" ht="15.95" customHeight="1">
      <c r="A2639" s="176">
        <v>12</v>
      </c>
      <c r="B2639" s="31" t="s">
        <v>748</v>
      </c>
      <c r="C2639" s="32" t="s">
        <v>749</v>
      </c>
      <c r="D2639" s="231"/>
      <c r="E2639" s="231"/>
      <c r="F2639" s="231"/>
      <c r="G2639" s="231"/>
      <c r="H2639" s="231"/>
      <c r="I2639" s="231"/>
      <c r="J2639" s="231"/>
      <c r="K2639" s="231"/>
      <c r="L2639" s="231"/>
      <c r="M2639" s="231"/>
      <c r="N2639" s="231"/>
      <c r="O2639" s="231"/>
      <c r="P2639" s="231"/>
      <c r="Q2639" s="231"/>
      <c r="R2639" s="231"/>
      <c r="S2639" s="231"/>
      <c r="T2639" s="231"/>
      <c r="U2639" s="231"/>
      <c r="V2639" s="231"/>
      <c r="W2639" s="231"/>
      <c r="X2639" s="231"/>
      <c r="Y2639" s="231"/>
      <c r="Z2639" s="231"/>
      <c r="AA2639" s="231"/>
      <c r="AB2639" s="22">
        <f t="shared" si="822"/>
        <v>0</v>
      </c>
      <c r="AC2639" s="23">
        <v>0</v>
      </c>
      <c r="AD2639" s="35"/>
      <c r="AE2639" s="35"/>
      <c r="AF2639" s="35"/>
      <c r="AG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  <c r="AX2639" s="35"/>
      <c r="AY2639" s="35"/>
      <c r="AZ2639" s="35"/>
      <c r="BA2639" s="35"/>
      <c r="BB2639" s="22">
        <f t="shared" si="823"/>
        <v>0</v>
      </c>
      <c r="BC2639" s="23">
        <v>1</v>
      </c>
      <c r="BD2639" s="130">
        <f t="shared" si="824"/>
        <v>0</v>
      </c>
      <c r="BE2639" s="130">
        <f t="shared" si="825"/>
        <v>1</v>
      </c>
      <c r="BF2639" s="195">
        <f t="shared" si="826"/>
        <v>0</v>
      </c>
      <c r="BG2639" s="373">
        <f t="shared" si="827"/>
        <v>1</v>
      </c>
    </row>
    <row r="2640" spans="1:61" s="46" customFormat="1" ht="15.95" customHeight="1">
      <c r="A2640" s="176">
        <v>13</v>
      </c>
      <c r="B2640" s="31" t="s">
        <v>1066</v>
      </c>
      <c r="C2640" s="32" t="s">
        <v>1067</v>
      </c>
      <c r="D2640" s="231"/>
      <c r="E2640" s="231"/>
      <c r="F2640" s="231"/>
      <c r="G2640" s="231"/>
      <c r="H2640" s="231"/>
      <c r="I2640" s="231"/>
      <c r="J2640" s="231"/>
      <c r="K2640" s="231"/>
      <c r="L2640" s="231"/>
      <c r="M2640" s="231"/>
      <c r="N2640" s="231"/>
      <c r="O2640" s="231"/>
      <c r="P2640" s="231"/>
      <c r="Q2640" s="231"/>
      <c r="R2640" s="231"/>
      <c r="S2640" s="231"/>
      <c r="T2640" s="231"/>
      <c r="U2640" s="231"/>
      <c r="V2640" s="231"/>
      <c r="W2640" s="231"/>
      <c r="X2640" s="231"/>
      <c r="Y2640" s="231"/>
      <c r="Z2640" s="231"/>
      <c r="AA2640" s="231"/>
      <c r="AB2640" s="22">
        <f t="shared" si="822"/>
        <v>0</v>
      </c>
      <c r="AC2640" s="23">
        <v>0</v>
      </c>
      <c r="AD2640" s="35">
        <v>1</v>
      </c>
      <c r="AE2640" s="35"/>
      <c r="AF2640" s="35"/>
      <c r="AG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22">
        <f t="shared" si="823"/>
        <v>1</v>
      </c>
      <c r="BC2640" s="23">
        <v>34</v>
      </c>
      <c r="BD2640" s="130">
        <f t="shared" si="824"/>
        <v>1</v>
      </c>
      <c r="BE2640" s="130">
        <f t="shared" si="825"/>
        <v>34</v>
      </c>
      <c r="BF2640" s="195">
        <f t="shared" si="826"/>
        <v>2.9411764705882351</v>
      </c>
      <c r="BG2640" s="373">
        <f t="shared" si="827"/>
        <v>33</v>
      </c>
    </row>
    <row r="2641" spans="1:59" s="46" customFormat="1" ht="15.95" customHeight="1">
      <c r="A2641" s="176">
        <v>14</v>
      </c>
      <c r="B2641" s="31" t="s">
        <v>750</v>
      </c>
      <c r="C2641" s="32" t="s">
        <v>751</v>
      </c>
      <c r="D2641" s="231"/>
      <c r="E2641" s="231"/>
      <c r="F2641" s="231"/>
      <c r="G2641" s="231"/>
      <c r="H2641" s="231"/>
      <c r="I2641" s="231"/>
      <c r="J2641" s="231"/>
      <c r="K2641" s="231"/>
      <c r="L2641" s="231"/>
      <c r="M2641" s="231"/>
      <c r="N2641" s="231"/>
      <c r="O2641" s="231"/>
      <c r="P2641" s="231"/>
      <c r="Q2641" s="231"/>
      <c r="R2641" s="231"/>
      <c r="S2641" s="231"/>
      <c r="T2641" s="231"/>
      <c r="U2641" s="231"/>
      <c r="V2641" s="231"/>
      <c r="W2641" s="231"/>
      <c r="X2641" s="231"/>
      <c r="Y2641" s="231"/>
      <c r="Z2641" s="231"/>
      <c r="AA2641" s="231"/>
      <c r="AB2641" s="22">
        <f t="shared" si="822"/>
        <v>0</v>
      </c>
      <c r="AC2641" s="23">
        <v>0</v>
      </c>
      <c r="AD2641" s="35">
        <v>8</v>
      </c>
      <c r="AE2641" s="35"/>
      <c r="AF2641" s="35"/>
      <c r="AG2641" s="35"/>
      <c r="AH2641" s="35">
        <v>9</v>
      </c>
      <c r="AI2641" s="35"/>
      <c r="AJ2641" s="35"/>
      <c r="AK2641" s="35"/>
      <c r="AL2641" s="35">
        <f>6+75</f>
        <v>81</v>
      </c>
      <c r="AM2641" s="35"/>
      <c r="AN2641" s="35"/>
      <c r="AO2641" s="35"/>
      <c r="AP2641" s="35">
        <v>92</v>
      </c>
      <c r="AQ2641" s="35"/>
      <c r="AR2641" s="35"/>
      <c r="AS2641" s="35"/>
      <c r="AT2641" s="35"/>
      <c r="AU2641" s="35"/>
      <c r="AV2641" s="35"/>
      <c r="AW2641" s="35"/>
      <c r="AX2641" s="35"/>
      <c r="AY2641" s="35"/>
      <c r="AZ2641" s="35"/>
      <c r="BA2641" s="35"/>
      <c r="BB2641" s="22">
        <f t="shared" si="823"/>
        <v>190</v>
      </c>
      <c r="BC2641" s="23">
        <v>357</v>
      </c>
      <c r="BD2641" s="130">
        <f t="shared" si="824"/>
        <v>190</v>
      </c>
      <c r="BE2641" s="130">
        <f t="shared" si="825"/>
        <v>357</v>
      </c>
      <c r="BF2641" s="195">
        <f t="shared" si="826"/>
        <v>53.221288515406165</v>
      </c>
      <c r="BG2641" s="373">
        <f t="shared" si="827"/>
        <v>167</v>
      </c>
    </row>
    <row r="2642" spans="1:59" s="46" customFormat="1" ht="15.95" customHeight="1">
      <c r="A2642" s="176">
        <v>15</v>
      </c>
      <c r="B2642" s="31" t="s">
        <v>930</v>
      </c>
      <c r="C2642" s="32" t="s">
        <v>931</v>
      </c>
      <c r="D2642" s="293"/>
      <c r="E2642" s="293"/>
      <c r="F2642" s="293"/>
      <c r="G2642" s="293"/>
      <c r="H2642" s="293"/>
      <c r="I2642" s="293"/>
      <c r="J2642" s="293"/>
      <c r="K2642" s="293"/>
      <c r="L2642" s="293"/>
      <c r="M2642" s="293"/>
      <c r="N2642" s="293"/>
      <c r="O2642" s="293"/>
      <c r="P2642" s="293"/>
      <c r="Q2642" s="293"/>
      <c r="R2642" s="293"/>
      <c r="S2642" s="293"/>
      <c r="T2642" s="293"/>
      <c r="U2642" s="293"/>
      <c r="V2642" s="293"/>
      <c r="W2642" s="293"/>
      <c r="X2642" s="293"/>
      <c r="Y2642" s="293"/>
      <c r="Z2642" s="293"/>
      <c r="AA2642" s="293"/>
      <c r="AB2642" s="22">
        <f t="shared" si="822"/>
        <v>0</v>
      </c>
      <c r="AC2642" s="23">
        <v>0</v>
      </c>
      <c r="AD2642" s="35"/>
      <c r="AE2642" s="35"/>
      <c r="AF2642" s="35"/>
      <c r="AG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  <c r="AX2642" s="35"/>
      <c r="AY2642" s="35"/>
      <c r="AZ2642" s="35"/>
      <c r="BA2642" s="35"/>
      <c r="BB2642" s="22">
        <f t="shared" si="823"/>
        <v>0</v>
      </c>
      <c r="BC2642" s="23">
        <v>33</v>
      </c>
      <c r="BD2642" s="130">
        <f t="shared" si="824"/>
        <v>0</v>
      </c>
      <c r="BE2642" s="130">
        <f t="shared" si="825"/>
        <v>33</v>
      </c>
      <c r="BF2642" s="195">
        <f t="shared" si="826"/>
        <v>0</v>
      </c>
      <c r="BG2642" s="373">
        <f t="shared" si="827"/>
        <v>33</v>
      </c>
    </row>
    <row r="2643" spans="1:59" s="46" customFormat="1" ht="15.95" customHeight="1">
      <c r="A2643" s="176">
        <v>16</v>
      </c>
      <c r="B2643" s="37" t="s">
        <v>754</v>
      </c>
      <c r="C2643" s="38" t="s">
        <v>889</v>
      </c>
      <c r="D2643" s="231"/>
      <c r="E2643" s="231"/>
      <c r="F2643" s="231"/>
      <c r="G2643" s="231"/>
      <c r="H2643" s="231"/>
      <c r="I2643" s="231"/>
      <c r="J2643" s="231"/>
      <c r="K2643" s="231"/>
      <c r="L2643" s="231"/>
      <c r="M2643" s="231"/>
      <c r="N2643" s="231"/>
      <c r="O2643" s="231"/>
      <c r="P2643" s="231"/>
      <c r="Q2643" s="231"/>
      <c r="R2643" s="231"/>
      <c r="S2643" s="231"/>
      <c r="T2643" s="231"/>
      <c r="U2643" s="231"/>
      <c r="V2643" s="231"/>
      <c r="W2643" s="231"/>
      <c r="X2643" s="231"/>
      <c r="Y2643" s="231"/>
      <c r="Z2643" s="231"/>
      <c r="AA2643" s="231"/>
      <c r="AB2643" s="22">
        <f t="shared" si="822"/>
        <v>0</v>
      </c>
      <c r="AC2643" s="23">
        <v>0</v>
      </c>
      <c r="AD2643" s="35"/>
      <c r="AE2643" s="35"/>
      <c r="AF2643" s="35"/>
      <c r="AG2643" s="35"/>
      <c r="AH2643" s="35"/>
      <c r="AI2643" s="35"/>
      <c r="AJ2643" s="35"/>
      <c r="AK2643" s="35"/>
      <c r="AL2643" s="35">
        <v>9</v>
      </c>
      <c r="AM2643" s="35"/>
      <c r="AN2643" s="35"/>
      <c r="AO2643" s="35"/>
      <c r="AP2643" s="35">
        <v>6</v>
      </c>
      <c r="AQ2643" s="35"/>
      <c r="AR2643" s="35"/>
      <c r="AS2643" s="35"/>
      <c r="AT2643" s="35"/>
      <c r="AU2643" s="35"/>
      <c r="AV2643" s="35"/>
      <c r="AW2643" s="35"/>
      <c r="AX2643" s="35"/>
      <c r="AY2643" s="35"/>
      <c r="AZ2643" s="35"/>
      <c r="BA2643" s="35"/>
      <c r="BB2643" s="22">
        <f t="shared" si="823"/>
        <v>15</v>
      </c>
      <c r="BC2643" s="23">
        <v>40</v>
      </c>
      <c r="BD2643" s="130">
        <f t="shared" si="824"/>
        <v>15</v>
      </c>
      <c r="BE2643" s="130">
        <f t="shared" si="825"/>
        <v>40</v>
      </c>
      <c r="BF2643" s="195">
        <f t="shared" si="826"/>
        <v>37.5</v>
      </c>
      <c r="BG2643" s="373">
        <f t="shared" si="827"/>
        <v>25</v>
      </c>
    </row>
    <row r="2644" spans="1:59" s="46" customFormat="1" ht="15.95" customHeight="1">
      <c r="A2644" s="176">
        <v>17</v>
      </c>
      <c r="B2644" s="31" t="s">
        <v>756</v>
      </c>
      <c r="C2644" s="32" t="s">
        <v>757</v>
      </c>
      <c r="D2644" s="231"/>
      <c r="E2644" s="231"/>
      <c r="F2644" s="231"/>
      <c r="G2644" s="231"/>
      <c r="H2644" s="231"/>
      <c r="I2644" s="231"/>
      <c r="J2644" s="231"/>
      <c r="K2644" s="231"/>
      <c r="L2644" s="231"/>
      <c r="M2644" s="231"/>
      <c r="N2644" s="231"/>
      <c r="O2644" s="231"/>
      <c r="P2644" s="231"/>
      <c r="Q2644" s="231"/>
      <c r="R2644" s="231"/>
      <c r="S2644" s="231"/>
      <c r="T2644" s="231"/>
      <c r="U2644" s="231"/>
      <c r="V2644" s="231"/>
      <c r="W2644" s="231"/>
      <c r="X2644" s="231"/>
      <c r="Y2644" s="231"/>
      <c r="Z2644" s="231"/>
      <c r="AA2644" s="231"/>
      <c r="AB2644" s="22">
        <f t="shared" si="822"/>
        <v>0</v>
      </c>
      <c r="AC2644" s="23">
        <v>0</v>
      </c>
      <c r="AD2644" s="35">
        <v>52</v>
      </c>
      <c r="AE2644" s="35"/>
      <c r="AF2644" s="35"/>
      <c r="AG2644" s="35"/>
      <c r="AH2644" s="35">
        <f>11+118</f>
        <v>129</v>
      </c>
      <c r="AI2644" s="35"/>
      <c r="AJ2644" s="35"/>
      <c r="AK2644" s="35"/>
      <c r="AL2644" s="35">
        <f>32+655</f>
        <v>687</v>
      </c>
      <c r="AM2644" s="35"/>
      <c r="AN2644" s="35"/>
      <c r="AO2644" s="35"/>
      <c r="AP2644" s="35">
        <v>620</v>
      </c>
      <c r="AQ2644" s="35"/>
      <c r="AR2644" s="35"/>
      <c r="AS2644" s="35"/>
      <c r="AT2644" s="35"/>
      <c r="AU2644" s="35"/>
      <c r="AV2644" s="35"/>
      <c r="AW2644" s="35"/>
      <c r="AX2644" s="35"/>
      <c r="AY2644" s="35"/>
      <c r="AZ2644" s="35"/>
      <c r="BA2644" s="35"/>
      <c r="BB2644" s="22">
        <f t="shared" si="823"/>
        <v>1488</v>
      </c>
      <c r="BC2644" s="23">
        <v>3410</v>
      </c>
      <c r="BD2644" s="130">
        <f t="shared" si="824"/>
        <v>1488</v>
      </c>
      <c r="BE2644" s="130">
        <f t="shared" si="825"/>
        <v>3410</v>
      </c>
      <c r="BF2644" s="195">
        <f t="shared" si="826"/>
        <v>43.636363636363633</v>
      </c>
      <c r="BG2644" s="373">
        <f t="shared" si="827"/>
        <v>1922</v>
      </c>
    </row>
    <row r="2645" spans="1:59" s="46" customFormat="1" ht="15.95" customHeight="1">
      <c r="A2645" s="176">
        <v>18</v>
      </c>
      <c r="B2645" s="31" t="s">
        <v>758</v>
      </c>
      <c r="C2645" s="32" t="s">
        <v>759</v>
      </c>
      <c r="D2645" s="231"/>
      <c r="E2645" s="231"/>
      <c r="F2645" s="231"/>
      <c r="G2645" s="231"/>
      <c r="H2645" s="231"/>
      <c r="I2645" s="231"/>
      <c r="J2645" s="231"/>
      <c r="K2645" s="231"/>
      <c r="L2645" s="231"/>
      <c r="M2645" s="231"/>
      <c r="N2645" s="231"/>
      <c r="O2645" s="231"/>
      <c r="P2645" s="231"/>
      <c r="Q2645" s="231"/>
      <c r="R2645" s="231"/>
      <c r="S2645" s="231"/>
      <c r="T2645" s="231"/>
      <c r="U2645" s="231"/>
      <c r="V2645" s="231"/>
      <c r="W2645" s="231"/>
      <c r="X2645" s="231"/>
      <c r="Y2645" s="231"/>
      <c r="Z2645" s="231"/>
      <c r="AA2645" s="231"/>
      <c r="AB2645" s="22">
        <f t="shared" si="822"/>
        <v>0</v>
      </c>
      <c r="AC2645" s="23">
        <v>0</v>
      </c>
      <c r="AD2645" s="35"/>
      <c r="AE2645" s="35"/>
      <c r="AF2645" s="35"/>
      <c r="AG2645" s="35"/>
      <c r="AH2645" s="35"/>
      <c r="AI2645" s="35"/>
      <c r="AJ2645" s="35"/>
      <c r="AK2645" s="35"/>
      <c r="AL2645" s="35">
        <v>12</v>
      </c>
      <c r="AM2645" s="35"/>
      <c r="AN2645" s="35"/>
      <c r="AO2645" s="35"/>
      <c r="AP2645" s="35">
        <v>9</v>
      </c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22">
        <f t="shared" si="823"/>
        <v>21</v>
      </c>
      <c r="BC2645" s="23">
        <v>136</v>
      </c>
      <c r="BD2645" s="130">
        <f t="shared" si="824"/>
        <v>21</v>
      </c>
      <c r="BE2645" s="130">
        <f t="shared" si="825"/>
        <v>136</v>
      </c>
      <c r="BF2645" s="195">
        <f t="shared" si="826"/>
        <v>15.441176470588236</v>
      </c>
      <c r="BG2645" s="373">
        <f t="shared" si="827"/>
        <v>115</v>
      </c>
    </row>
    <row r="2646" spans="1:59" s="46" customFormat="1" ht="15.95" customHeight="1">
      <c r="A2646" s="176">
        <v>19</v>
      </c>
      <c r="B2646" s="31" t="s">
        <v>760</v>
      </c>
      <c r="C2646" s="32" t="s">
        <v>1130</v>
      </c>
      <c r="D2646" s="231"/>
      <c r="E2646" s="231"/>
      <c r="F2646" s="231"/>
      <c r="G2646" s="231"/>
      <c r="H2646" s="231"/>
      <c r="I2646" s="231"/>
      <c r="J2646" s="231"/>
      <c r="K2646" s="231"/>
      <c r="L2646" s="231"/>
      <c r="M2646" s="231"/>
      <c r="N2646" s="231"/>
      <c r="O2646" s="231"/>
      <c r="P2646" s="231"/>
      <c r="Q2646" s="231"/>
      <c r="R2646" s="231"/>
      <c r="S2646" s="231"/>
      <c r="T2646" s="231"/>
      <c r="U2646" s="231"/>
      <c r="V2646" s="231"/>
      <c r="W2646" s="231"/>
      <c r="X2646" s="231"/>
      <c r="Y2646" s="231"/>
      <c r="Z2646" s="231"/>
      <c r="AA2646" s="231"/>
      <c r="AB2646" s="22">
        <f t="shared" si="822"/>
        <v>0</v>
      </c>
      <c r="AC2646" s="23">
        <v>0</v>
      </c>
      <c r="AD2646" s="35"/>
      <c r="AE2646" s="35"/>
      <c r="AF2646" s="35"/>
      <c r="AG2646" s="35"/>
      <c r="AH2646" s="35"/>
      <c r="AI2646" s="35"/>
      <c r="AJ2646" s="35"/>
      <c r="AK2646" s="35"/>
      <c r="AL2646" s="35">
        <v>3</v>
      </c>
      <c r="AM2646" s="35"/>
      <c r="AN2646" s="35"/>
      <c r="AO2646" s="35"/>
      <c r="AP2646" s="35">
        <v>2</v>
      </c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22">
        <f t="shared" si="823"/>
        <v>5</v>
      </c>
      <c r="BC2646" s="23">
        <v>125</v>
      </c>
      <c r="BD2646" s="130">
        <f t="shared" si="824"/>
        <v>5</v>
      </c>
      <c r="BE2646" s="130">
        <f t="shared" si="825"/>
        <v>125</v>
      </c>
      <c r="BF2646" s="195">
        <f t="shared" si="826"/>
        <v>4</v>
      </c>
      <c r="BG2646" s="373">
        <f t="shared" si="827"/>
        <v>120</v>
      </c>
    </row>
    <row r="2647" spans="1:59" s="46" customFormat="1" ht="15.95" customHeight="1">
      <c r="A2647" s="176">
        <v>20</v>
      </c>
      <c r="B2647" s="31" t="s">
        <v>763</v>
      </c>
      <c r="C2647" s="32" t="s">
        <v>2483</v>
      </c>
      <c r="D2647" s="231"/>
      <c r="E2647" s="231"/>
      <c r="F2647" s="231"/>
      <c r="G2647" s="231"/>
      <c r="H2647" s="231"/>
      <c r="I2647" s="231"/>
      <c r="J2647" s="231"/>
      <c r="K2647" s="231"/>
      <c r="L2647" s="231"/>
      <c r="M2647" s="231"/>
      <c r="N2647" s="231"/>
      <c r="O2647" s="231"/>
      <c r="P2647" s="231"/>
      <c r="Q2647" s="231"/>
      <c r="R2647" s="231"/>
      <c r="S2647" s="231"/>
      <c r="T2647" s="231"/>
      <c r="U2647" s="231"/>
      <c r="V2647" s="231"/>
      <c r="W2647" s="231"/>
      <c r="X2647" s="231"/>
      <c r="Y2647" s="231"/>
      <c r="Z2647" s="231"/>
      <c r="AA2647" s="231"/>
      <c r="AB2647" s="22">
        <f t="shared" si="822"/>
        <v>0</v>
      </c>
      <c r="AC2647" s="23">
        <v>0</v>
      </c>
      <c r="AD2647" s="35"/>
      <c r="AE2647" s="35"/>
      <c r="AF2647" s="35"/>
      <c r="AG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22">
        <f t="shared" si="823"/>
        <v>0</v>
      </c>
      <c r="BC2647" s="23">
        <v>3</v>
      </c>
      <c r="BD2647" s="130">
        <f t="shared" si="824"/>
        <v>0</v>
      </c>
      <c r="BE2647" s="130">
        <f t="shared" si="825"/>
        <v>3</v>
      </c>
      <c r="BF2647" s="195">
        <f t="shared" si="826"/>
        <v>0</v>
      </c>
      <c r="BG2647" s="373">
        <f t="shared" si="827"/>
        <v>3</v>
      </c>
    </row>
    <row r="2648" spans="1:59" s="46" customFormat="1" ht="15.95" customHeight="1">
      <c r="A2648" s="176">
        <v>21</v>
      </c>
      <c r="B2648" s="31" t="s">
        <v>764</v>
      </c>
      <c r="C2648" s="32" t="s">
        <v>765</v>
      </c>
      <c r="D2648" s="231"/>
      <c r="E2648" s="231"/>
      <c r="F2648" s="231"/>
      <c r="G2648" s="231"/>
      <c r="H2648" s="231"/>
      <c r="I2648" s="231"/>
      <c r="J2648" s="231"/>
      <c r="K2648" s="231"/>
      <c r="L2648" s="231"/>
      <c r="M2648" s="231"/>
      <c r="N2648" s="231"/>
      <c r="O2648" s="231"/>
      <c r="P2648" s="231"/>
      <c r="Q2648" s="231"/>
      <c r="R2648" s="231"/>
      <c r="S2648" s="231"/>
      <c r="T2648" s="231"/>
      <c r="U2648" s="231"/>
      <c r="V2648" s="231"/>
      <c r="W2648" s="231"/>
      <c r="X2648" s="231"/>
      <c r="Y2648" s="231"/>
      <c r="Z2648" s="231"/>
      <c r="AA2648" s="231"/>
      <c r="AB2648" s="22">
        <f t="shared" si="822"/>
        <v>0</v>
      </c>
      <c r="AC2648" s="23">
        <v>0</v>
      </c>
      <c r="AD2648" s="35"/>
      <c r="AE2648" s="35"/>
      <c r="AF2648" s="35"/>
      <c r="AG2648" s="35"/>
      <c r="AH2648" s="35"/>
      <c r="AI2648" s="35"/>
      <c r="AJ2648" s="35"/>
      <c r="AK2648" s="35"/>
      <c r="AL2648" s="35">
        <v>30</v>
      </c>
      <c r="AM2648" s="35"/>
      <c r="AN2648" s="35"/>
      <c r="AO2648" s="35"/>
      <c r="AP2648" s="35">
        <v>10</v>
      </c>
      <c r="AQ2648" s="35"/>
      <c r="AR2648" s="35"/>
      <c r="AS2648" s="35"/>
      <c r="AT2648" s="35"/>
      <c r="AU2648" s="35"/>
      <c r="AV2648" s="35"/>
      <c r="AW2648" s="35"/>
      <c r="AX2648" s="35"/>
      <c r="AY2648" s="35"/>
      <c r="AZ2648" s="35"/>
      <c r="BA2648" s="35"/>
      <c r="BB2648" s="22">
        <f t="shared" si="823"/>
        <v>40</v>
      </c>
      <c r="BC2648" s="23">
        <v>39</v>
      </c>
      <c r="BD2648" s="130">
        <f t="shared" si="824"/>
        <v>40</v>
      </c>
      <c r="BE2648" s="130">
        <f t="shared" si="825"/>
        <v>39</v>
      </c>
      <c r="BF2648" s="195">
        <f t="shared" si="826"/>
        <v>102.56410256410255</v>
      </c>
      <c r="BG2648" s="373">
        <f t="shared" si="827"/>
        <v>-1</v>
      </c>
    </row>
    <row r="2649" spans="1:59" s="46" customFormat="1" ht="15.95" customHeight="1">
      <c r="A2649" s="176">
        <v>22</v>
      </c>
      <c r="B2649" s="31" t="s">
        <v>1366</v>
      </c>
      <c r="C2649" s="32" t="s">
        <v>1367</v>
      </c>
      <c r="D2649" s="231"/>
      <c r="E2649" s="231"/>
      <c r="F2649" s="231"/>
      <c r="G2649" s="231"/>
      <c r="H2649" s="231"/>
      <c r="I2649" s="231"/>
      <c r="J2649" s="231"/>
      <c r="K2649" s="231"/>
      <c r="L2649" s="231"/>
      <c r="M2649" s="231"/>
      <c r="N2649" s="231"/>
      <c r="O2649" s="231"/>
      <c r="P2649" s="231"/>
      <c r="Q2649" s="231"/>
      <c r="R2649" s="231"/>
      <c r="S2649" s="231"/>
      <c r="T2649" s="231"/>
      <c r="U2649" s="231"/>
      <c r="V2649" s="231"/>
      <c r="W2649" s="231"/>
      <c r="X2649" s="231"/>
      <c r="Y2649" s="231"/>
      <c r="Z2649" s="231"/>
      <c r="AA2649" s="231"/>
      <c r="AB2649" s="22">
        <f t="shared" si="822"/>
        <v>0</v>
      </c>
      <c r="AC2649" s="23">
        <v>0</v>
      </c>
      <c r="AD2649" s="35"/>
      <c r="AE2649" s="35"/>
      <c r="AF2649" s="35"/>
      <c r="AG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22">
        <f t="shared" si="823"/>
        <v>0</v>
      </c>
      <c r="BC2649" s="23">
        <v>3</v>
      </c>
      <c r="BD2649" s="130">
        <f t="shared" si="824"/>
        <v>0</v>
      </c>
      <c r="BE2649" s="130">
        <f t="shared" si="825"/>
        <v>3</v>
      </c>
      <c r="BF2649" s="195">
        <f t="shared" si="826"/>
        <v>0</v>
      </c>
      <c r="BG2649" s="373">
        <f t="shared" si="827"/>
        <v>3</v>
      </c>
    </row>
    <row r="2650" spans="1:59" s="46" customFormat="1" ht="15.95" customHeight="1">
      <c r="A2650" s="176">
        <v>23</v>
      </c>
      <c r="B2650" s="31" t="s">
        <v>768</v>
      </c>
      <c r="C2650" s="32" t="s">
        <v>769</v>
      </c>
      <c r="D2650" s="231"/>
      <c r="E2650" s="231"/>
      <c r="F2650" s="231"/>
      <c r="G2650" s="231"/>
      <c r="H2650" s="231"/>
      <c r="I2650" s="231"/>
      <c r="J2650" s="231"/>
      <c r="K2650" s="231"/>
      <c r="L2650" s="231"/>
      <c r="M2650" s="231"/>
      <c r="N2650" s="231"/>
      <c r="O2650" s="231"/>
      <c r="P2650" s="231"/>
      <c r="Q2650" s="231"/>
      <c r="R2650" s="231"/>
      <c r="S2650" s="231"/>
      <c r="T2650" s="231"/>
      <c r="U2650" s="231"/>
      <c r="V2650" s="231"/>
      <c r="W2650" s="231"/>
      <c r="X2650" s="231"/>
      <c r="Y2650" s="231"/>
      <c r="Z2650" s="231"/>
      <c r="AA2650" s="231"/>
      <c r="AB2650" s="22">
        <f t="shared" si="822"/>
        <v>0</v>
      </c>
      <c r="AC2650" s="23">
        <v>0</v>
      </c>
      <c r="AD2650" s="35"/>
      <c r="AE2650" s="35"/>
      <c r="AF2650" s="35"/>
      <c r="AG2650" s="35"/>
      <c r="AH2650" s="35">
        <v>8</v>
      </c>
      <c r="AI2650" s="35"/>
      <c r="AJ2650" s="35"/>
      <c r="AK2650" s="35"/>
      <c r="AL2650" s="35">
        <v>62</v>
      </c>
      <c r="AM2650" s="35"/>
      <c r="AN2650" s="35"/>
      <c r="AO2650" s="35"/>
      <c r="AP2650" s="35">
        <v>45</v>
      </c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22">
        <f t="shared" si="823"/>
        <v>115</v>
      </c>
      <c r="BC2650" s="23">
        <v>230</v>
      </c>
      <c r="BD2650" s="130">
        <f t="shared" si="824"/>
        <v>115</v>
      </c>
      <c r="BE2650" s="130">
        <f t="shared" si="825"/>
        <v>230</v>
      </c>
      <c r="BF2650" s="195">
        <f t="shared" si="826"/>
        <v>50</v>
      </c>
      <c r="BG2650" s="373">
        <f t="shared" si="827"/>
        <v>115</v>
      </c>
    </row>
    <row r="2651" spans="1:59" s="46" customFormat="1" ht="15.95" customHeight="1">
      <c r="A2651" s="176">
        <v>24</v>
      </c>
      <c r="B2651" s="31" t="s">
        <v>770</v>
      </c>
      <c r="C2651" s="32" t="s">
        <v>771</v>
      </c>
      <c r="D2651" s="231"/>
      <c r="E2651" s="231"/>
      <c r="F2651" s="231"/>
      <c r="G2651" s="231"/>
      <c r="H2651" s="231"/>
      <c r="I2651" s="231"/>
      <c r="J2651" s="231"/>
      <c r="K2651" s="231"/>
      <c r="L2651" s="231"/>
      <c r="M2651" s="231"/>
      <c r="N2651" s="231"/>
      <c r="O2651" s="231"/>
      <c r="P2651" s="231"/>
      <c r="Q2651" s="231"/>
      <c r="R2651" s="231"/>
      <c r="S2651" s="231"/>
      <c r="T2651" s="231"/>
      <c r="U2651" s="231"/>
      <c r="V2651" s="231"/>
      <c r="W2651" s="231"/>
      <c r="X2651" s="231"/>
      <c r="Y2651" s="231"/>
      <c r="Z2651" s="231"/>
      <c r="AA2651" s="231"/>
      <c r="AB2651" s="22">
        <f t="shared" si="822"/>
        <v>0</v>
      </c>
      <c r="AC2651" s="23">
        <v>0</v>
      </c>
      <c r="AD2651" s="35"/>
      <c r="AE2651" s="35"/>
      <c r="AF2651" s="35"/>
      <c r="AG2651" s="35"/>
      <c r="AH2651" s="35">
        <v>8</v>
      </c>
      <c r="AI2651" s="35"/>
      <c r="AJ2651" s="35"/>
      <c r="AK2651" s="35"/>
      <c r="AL2651" s="35">
        <v>70</v>
      </c>
      <c r="AM2651" s="35"/>
      <c r="AN2651" s="35"/>
      <c r="AO2651" s="35"/>
      <c r="AP2651" s="35">
        <v>46</v>
      </c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22">
        <f t="shared" si="823"/>
        <v>124</v>
      </c>
      <c r="BC2651" s="23">
        <v>280</v>
      </c>
      <c r="BD2651" s="130">
        <f t="shared" si="824"/>
        <v>124</v>
      </c>
      <c r="BE2651" s="130">
        <f t="shared" si="825"/>
        <v>280</v>
      </c>
      <c r="BF2651" s="195">
        <f t="shared" si="826"/>
        <v>44.285714285714285</v>
      </c>
      <c r="BG2651" s="373">
        <f t="shared" si="827"/>
        <v>156</v>
      </c>
    </row>
    <row r="2652" spans="1:59" s="46" customFormat="1" ht="15.95" customHeight="1">
      <c r="A2652" s="176">
        <v>25</v>
      </c>
      <c r="B2652" s="31" t="s">
        <v>1140</v>
      </c>
      <c r="C2652" s="34" t="s">
        <v>639</v>
      </c>
      <c r="D2652" s="231">
        <v>1</v>
      </c>
      <c r="E2652" s="231"/>
      <c r="F2652" s="231"/>
      <c r="G2652" s="231"/>
      <c r="H2652" s="231"/>
      <c r="I2652" s="231"/>
      <c r="J2652" s="231"/>
      <c r="K2652" s="231"/>
      <c r="L2652" s="231">
        <v>1</v>
      </c>
      <c r="M2652" s="231"/>
      <c r="N2652" s="231"/>
      <c r="O2652" s="231"/>
      <c r="P2652" s="231"/>
      <c r="Q2652" s="231"/>
      <c r="R2652" s="231"/>
      <c r="S2652" s="231"/>
      <c r="T2652" s="231"/>
      <c r="U2652" s="231"/>
      <c r="V2652" s="231"/>
      <c r="W2652" s="231"/>
      <c r="X2652" s="231"/>
      <c r="Y2652" s="231"/>
      <c r="Z2652" s="231"/>
      <c r="AA2652" s="231"/>
      <c r="AB2652" s="22">
        <f t="shared" si="822"/>
        <v>2</v>
      </c>
      <c r="AC2652" s="23">
        <v>0</v>
      </c>
      <c r="AD2652" s="35"/>
      <c r="AE2652" s="35"/>
      <c r="AF2652" s="35"/>
      <c r="AG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22">
        <f t="shared" si="823"/>
        <v>0</v>
      </c>
      <c r="BC2652" s="23">
        <v>2</v>
      </c>
      <c r="BD2652" s="130">
        <f t="shared" si="824"/>
        <v>2</v>
      </c>
      <c r="BE2652" s="130">
        <f t="shared" si="825"/>
        <v>2</v>
      </c>
      <c r="BF2652" s="195">
        <f t="shared" si="826"/>
        <v>100</v>
      </c>
      <c r="BG2652" s="373">
        <f t="shared" si="827"/>
        <v>0</v>
      </c>
    </row>
    <row r="2653" spans="1:59" s="46" customFormat="1" ht="15.95" customHeight="1">
      <c r="A2653" s="176">
        <v>26</v>
      </c>
      <c r="B2653" s="31" t="s">
        <v>772</v>
      </c>
      <c r="C2653" s="32" t="s">
        <v>773</v>
      </c>
      <c r="D2653" s="231">
        <v>7</v>
      </c>
      <c r="E2653" s="231"/>
      <c r="F2653" s="231"/>
      <c r="G2653" s="231"/>
      <c r="H2653" s="231">
        <v>17</v>
      </c>
      <c r="I2653" s="231"/>
      <c r="J2653" s="231"/>
      <c r="K2653" s="231"/>
      <c r="L2653" s="231">
        <v>36</v>
      </c>
      <c r="M2653" s="231"/>
      <c r="N2653" s="231"/>
      <c r="O2653" s="231"/>
      <c r="P2653" s="231">
        <v>12</v>
      </c>
      <c r="Q2653" s="231"/>
      <c r="R2653" s="231"/>
      <c r="S2653" s="231"/>
      <c r="T2653" s="231"/>
      <c r="U2653" s="231"/>
      <c r="V2653" s="231"/>
      <c r="W2653" s="231"/>
      <c r="X2653" s="231"/>
      <c r="Y2653" s="231"/>
      <c r="Z2653" s="231"/>
      <c r="AA2653" s="231"/>
      <c r="AB2653" s="22">
        <f t="shared" si="822"/>
        <v>72</v>
      </c>
      <c r="AC2653" s="23">
        <v>17</v>
      </c>
      <c r="AD2653" s="35">
        <v>3</v>
      </c>
      <c r="AE2653" s="35"/>
      <c r="AF2653" s="35"/>
      <c r="AG2653" s="35"/>
      <c r="AH2653" s="35">
        <f>2+60</f>
        <v>62</v>
      </c>
      <c r="AI2653" s="35"/>
      <c r="AJ2653" s="35"/>
      <c r="AK2653" s="35"/>
      <c r="AL2653" s="35">
        <f>2+10+407</f>
        <v>419</v>
      </c>
      <c r="AM2653" s="35"/>
      <c r="AN2653" s="35"/>
      <c r="AO2653" s="35"/>
      <c r="AP2653" s="35">
        <v>360</v>
      </c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22">
        <f t="shared" si="823"/>
        <v>844</v>
      </c>
      <c r="BC2653" s="23">
        <v>2312</v>
      </c>
      <c r="BD2653" s="130">
        <f t="shared" si="824"/>
        <v>916</v>
      </c>
      <c r="BE2653" s="130">
        <f t="shared" si="825"/>
        <v>2329</v>
      </c>
      <c r="BF2653" s="195">
        <f t="shared" si="826"/>
        <v>39.330184628595966</v>
      </c>
      <c r="BG2653" s="373">
        <f t="shared" si="827"/>
        <v>1413</v>
      </c>
    </row>
    <row r="2654" spans="1:59" s="46" customFormat="1" ht="15.95" customHeight="1">
      <c r="A2654" s="176">
        <v>27</v>
      </c>
      <c r="B2654" s="31" t="s">
        <v>892</v>
      </c>
      <c r="C2654" s="32" t="s">
        <v>893</v>
      </c>
      <c r="D2654" s="552"/>
      <c r="E2654" s="552"/>
      <c r="F2654" s="552"/>
      <c r="G2654" s="552"/>
      <c r="H2654" s="552"/>
      <c r="I2654" s="552"/>
      <c r="J2654" s="552"/>
      <c r="K2654" s="552"/>
      <c r="L2654" s="552"/>
      <c r="M2654" s="552"/>
      <c r="N2654" s="552"/>
      <c r="O2654" s="552"/>
      <c r="P2654" s="552"/>
      <c r="Q2654" s="552"/>
      <c r="R2654" s="552"/>
      <c r="S2654" s="552"/>
      <c r="T2654" s="552"/>
      <c r="U2654" s="552"/>
      <c r="V2654" s="552"/>
      <c r="W2654" s="552"/>
      <c r="X2654" s="552"/>
      <c r="Y2654" s="552"/>
      <c r="Z2654" s="552"/>
      <c r="AA2654" s="552"/>
      <c r="AB2654" s="22">
        <f t="shared" si="822"/>
        <v>0</v>
      </c>
      <c r="AC2654" s="23">
        <v>0</v>
      </c>
      <c r="AD2654" s="35"/>
      <c r="AE2654" s="35"/>
      <c r="AF2654" s="35"/>
      <c r="AG2654" s="35"/>
      <c r="AH2654" s="35"/>
      <c r="AI2654" s="35"/>
      <c r="AJ2654" s="35"/>
      <c r="AK2654" s="35"/>
      <c r="AL2654" s="35">
        <v>1</v>
      </c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22">
        <f t="shared" si="823"/>
        <v>1</v>
      </c>
      <c r="BC2654" s="23">
        <v>0</v>
      </c>
      <c r="BD2654" s="130">
        <f t="shared" si="824"/>
        <v>1</v>
      </c>
      <c r="BE2654" s="130">
        <f t="shared" si="825"/>
        <v>0</v>
      </c>
      <c r="BF2654" s="195" t="e">
        <f t="shared" si="826"/>
        <v>#DIV/0!</v>
      </c>
      <c r="BG2654" s="373"/>
    </row>
    <row r="2655" spans="1:59" s="46" customFormat="1" ht="15.95" customHeight="1">
      <c r="A2655" s="176">
        <v>28</v>
      </c>
      <c r="B2655" s="31" t="s">
        <v>1284</v>
      </c>
      <c r="C2655" s="32" t="s">
        <v>1285</v>
      </c>
      <c r="D2655" s="231"/>
      <c r="E2655" s="231"/>
      <c r="F2655" s="231"/>
      <c r="G2655" s="231"/>
      <c r="H2655" s="231"/>
      <c r="I2655" s="231"/>
      <c r="J2655" s="231"/>
      <c r="K2655" s="231"/>
      <c r="L2655" s="231"/>
      <c r="M2655" s="231"/>
      <c r="N2655" s="231"/>
      <c r="O2655" s="231"/>
      <c r="P2655" s="231"/>
      <c r="Q2655" s="231"/>
      <c r="R2655" s="231"/>
      <c r="S2655" s="231"/>
      <c r="T2655" s="231"/>
      <c r="U2655" s="231"/>
      <c r="V2655" s="231"/>
      <c r="W2655" s="231"/>
      <c r="X2655" s="231"/>
      <c r="Y2655" s="231"/>
      <c r="Z2655" s="231"/>
      <c r="AA2655" s="231"/>
      <c r="AB2655" s="22">
        <f t="shared" si="822"/>
        <v>0</v>
      </c>
      <c r="AC2655" s="23">
        <v>1</v>
      </c>
      <c r="AD2655" s="35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22">
        <f t="shared" si="823"/>
        <v>0</v>
      </c>
      <c r="BC2655" s="23">
        <v>0</v>
      </c>
      <c r="BD2655" s="130">
        <f t="shared" si="824"/>
        <v>0</v>
      </c>
      <c r="BE2655" s="130">
        <f t="shared" si="825"/>
        <v>1</v>
      </c>
      <c r="BF2655" s="195">
        <f t="shared" si="826"/>
        <v>0</v>
      </c>
      <c r="BG2655" s="373">
        <f>BE2655-BD2655</f>
        <v>1</v>
      </c>
    </row>
    <row r="2656" spans="1:59" s="46" customFormat="1" ht="15.95" customHeight="1">
      <c r="A2656" s="176">
        <v>29</v>
      </c>
      <c r="B2656" s="31" t="s">
        <v>1290</v>
      </c>
      <c r="C2656" s="32" t="s">
        <v>1291</v>
      </c>
      <c r="D2656" s="231"/>
      <c r="E2656" s="231"/>
      <c r="F2656" s="231"/>
      <c r="G2656" s="231"/>
      <c r="H2656" s="231"/>
      <c r="I2656" s="231"/>
      <c r="J2656" s="231"/>
      <c r="K2656" s="231"/>
      <c r="L2656" s="231"/>
      <c r="M2656" s="231"/>
      <c r="N2656" s="231"/>
      <c r="O2656" s="231"/>
      <c r="P2656" s="231"/>
      <c r="Q2656" s="231"/>
      <c r="R2656" s="231"/>
      <c r="S2656" s="231"/>
      <c r="T2656" s="231"/>
      <c r="U2656" s="231"/>
      <c r="V2656" s="231"/>
      <c r="W2656" s="231"/>
      <c r="X2656" s="231"/>
      <c r="Y2656" s="231"/>
      <c r="Z2656" s="231"/>
      <c r="AA2656" s="231"/>
      <c r="AB2656" s="22">
        <f t="shared" si="822"/>
        <v>0</v>
      </c>
      <c r="AC2656" s="23">
        <v>0</v>
      </c>
      <c r="AD2656" s="35"/>
      <c r="AE2656" s="35"/>
      <c r="AF2656" s="35"/>
      <c r="AG2656" s="35"/>
      <c r="AH2656" s="35"/>
      <c r="AI2656" s="35"/>
      <c r="AJ2656" s="35"/>
      <c r="AK2656" s="35"/>
      <c r="AL2656" s="35"/>
      <c r="AM2656" s="35"/>
      <c r="AN2656" s="35"/>
      <c r="AO2656" s="35"/>
      <c r="AP2656" s="35">
        <f>1+1</f>
        <v>2</v>
      </c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22">
        <f t="shared" si="823"/>
        <v>2</v>
      </c>
      <c r="BC2656" s="23">
        <v>2</v>
      </c>
      <c r="BD2656" s="130">
        <f t="shared" si="824"/>
        <v>2</v>
      </c>
      <c r="BE2656" s="130">
        <f t="shared" si="825"/>
        <v>2</v>
      </c>
      <c r="BF2656" s="195">
        <f t="shared" si="826"/>
        <v>100</v>
      </c>
      <c r="BG2656" s="373">
        <f>BE2656-BD2656</f>
        <v>0</v>
      </c>
    </row>
    <row r="2657" spans="1:59" s="46" customFormat="1" ht="15.95" customHeight="1">
      <c r="A2657" s="176">
        <v>30</v>
      </c>
      <c r="B2657" s="31" t="s">
        <v>780</v>
      </c>
      <c r="C2657" s="32" t="s">
        <v>991</v>
      </c>
      <c r="D2657" s="231">
        <v>65</v>
      </c>
      <c r="E2657" s="231"/>
      <c r="F2657" s="231"/>
      <c r="G2657" s="231"/>
      <c r="H2657" s="231">
        <v>113</v>
      </c>
      <c r="I2657" s="231"/>
      <c r="J2657" s="231"/>
      <c r="K2657" s="231"/>
      <c r="L2657" s="231">
        <v>238</v>
      </c>
      <c r="M2657" s="231"/>
      <c r="N2657" s="231"/>
      <c r="O2657" s="231"/>
      <c r="P2657" s="231">
        <v>334</v>
      </c>
      <c r="Q2657" s="231"/>
      <c r="R2657" s="231"/>
      <c r="S2657" s="231"/>
      <c r="T2657" s="231"/>
      <c r="U2657" s="231"/>
      <c r="V2657" s="231"/>
      <c r="W2657" s="231"/>
      <c r="X2657" s="231"/>
      <c r="Y2657" s="231"/>
      <c r="Z2657" s="231"/>
      <c r="AA2657" s="231"/>
      <c r="AB2657" s="22">
        <f t="shared" si="822"/>
        <v>750</v>
      </c>
      <c r="AC2657" s="23">
        <v>474</v>
      </c>
      <c r="AD2657" s="35"/>
      <c r="AE2657" s="35"/>
      <c r="AF2657" s="35"/>
      <c r="AG2657" s="35"/>
      <c r="AH2657" s="35">
        <f>3+1</f>
        <v>4</v>
      </c>
      <c r="AI2657" s="35"/>
      <c r="AJ2657" s="35"/>
      <c r="AK2657" s="35"/>
      <c r="AL2657" s="35">
        <f>6+2</f>
        <v>8</v>
      </c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22">
        <f t="shared" si="823"/>
        <v>12</v>
      </c>
      <c r="BC2657" s="23">
        <v>22</v>
      </c>
      <c r="BD2657" s="130">
        <f t="shared" si="824"/>
        <v>762</v>
      </c>
      <c r="BE2657" s="130">
        <f t="shared" si="825"/>
        <v>496</v>
      </c>
      <c r="BF2657" s="195">
        <f t="shared" si="826"/>
        <v>153.62903225806451</v>
      </c>
      <c r="BG2657" s="373">
        <f>BE2657-BD2657</f>
        <v>-266</v>
      </c>
    </row>
    <row r="2658" spans="1:59" s="46" customFormat="1" ht="15.95" customHeight="1">
      <c r="A2658" s="176">
        <v>31</v>
      </c>
      <c r="B2658" s="31" t="s">
        <v>1094</v>
      </c>
      <c r="C2658" s="32" t="s">
        <v>1095</v>
      </c>
      <c r="D2658" s="231"/>
      <c r="E2658" s="231"/>
      <c r="F2658" s="231"/>
      <c r="G2658" s="231"/>
      <c r="H2658" s="231"/>
      <c r="I2658" s="231"/>
      <c r="J2658" s="231"/>
      <c r="K2658" s="231"/>
      <c r="L2658" s="231"/>
      <c r="M2658" s="231"/>
      <c r="N2658" s="231"/>
      <c r="O2658" s="231"/>
      <c r="P2658" s="231"/>
      <c r="Q2658" s="231"/>
      <c r="R2658" s="231"/>
      <c r="S2658" s="231"/>
      <c r="T2658" s="231"/>
      <c r="U2658" s="231"/>
      <c r="V2658" s="231"/>
      <c r="W2658" s="231"/>
      <c r="X2658" s="231"/>
      <c r="Y2658" s="231"/>
      <c r="Z2658" s="231"/>
      <c r="AA2658" s="231"/>
      <c r="AB2658" s="22">
        <f t="shared" si="822"/>
        <v>0</v>
      </c>
      <c r="AC2658" s="23">
        <v>0</v>
      </c>
      <c r="AD2658" s="35"/>
      <c r="AE2658" s="35"/>
      <c r="AF2658" s="35"/>
      <c r="AG2658" s="35"/>
      <c r="AH2658" s="35"/>
      <c r="AI2658" s="35"/>
      <c r="AJ2658" s="35"/>
      <c r="AK2658" s="35"/>
      <c r="AL2658" s="35">
        <v>2</v>
      </c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  <c r="AX2658" s="35"/>
      <c r="AY2658" s="35"/>
      <c r="AZ2658" s="35"/>
      <c r="BA2658" s="35"/>
      <c r="BB2658" s="22">
        <f t="shared" si="823"/>
        <v>2</v>
      </c>
      <c r="BC2658" s="23">
        <v>4</v>
      </c>
      <c r="BD2658" s="130">
        <f t="shared" si="824"/>
        <v>2</v>
      </c>
      <c r="BE2658" s="130">
        <f t="shared" si="825"/>
        <v>4</v>
      </c>
      <c r="BF2658" s="195">
        <f t="shared" si="826"/>
        <v>50</v>
      </c>
      <c r="BG2658" s="373">
        <f>BE2658-BD2658</f>
        <v>2</v>
      </c>
    </row>
    <row r="2659" spans="1:59" s="46" customFormat="1" ht="15.95" customHeight="1">
      <c r="A2659" s="176">
        <v>32</v>
      </c>
      <c r="B2659" s="31" t="s">
        <v>3529</v>
      </c>
      <c r="C2659" s="32" t="s">
        <v>3530</v>
      </c>
      <c r="D2659" s="231"/>
      <c r="E2659" s="231"/>
      <c r="F2659" s="231"/>
      <c r="G2659" s="231"/>
      <c r="H2659" s="231"/>
      <c r="I2659" s="231"/>
      <c r="J2659" s="231"/>
      <c r="K2659" s="231"/>
      <c r="L2659" s="231"/>
      <c r="M2659" s="231"/>
      <c r="N2659" s="231"/>
      <c r="O2659" s="231"/>
      <c r="P2659" s="231"/>
      <c r="Q2659" s="231"/>
      <c r="R2659" s="231"/>
      <c r="S2659" s="231"/>
      <c r="T2659" s="231"/>
      <c r="U2659" s="231"/>
      <c r="V2659" s="231"/>
      <c r="W2659" s="231"/>
      <c r="X2659" s="231"/>
      <c r="Y2659" s="231"/>
      <c r="Z2659" s="231"/>
      <c r="AA2659" s="231"/>
      <c r="AB2659" s="22">
        <f t="shared" si="822"/>
        <v>0</v>
      </c>
      <c r="AC2659" s="23">
        <v>0</v>
      </c>
      <c r="AD2659" s="35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22">
        <f t="shared" si="823"/>
        <v>0</v>
      </c>
      <c r="BC2659" s="23">
        <v>16</v>
      </c>
      <c r="BD2659" s="130">
        <f t="shared" si="824"/>
        <v>0</v>
      </c>
      <c r="BE2659" s="130">
        <f t="shared" si="825"/>
        <v>16</v>
      </c>
      <c r="BF2659" s="195">
        <f t="shared" si="826"/>
        <v>0</v>
      </c>
      <c r="BG2659" s="373">
        <f>BE2659-BD2659</f>
        <v>16</v>
      </c>
    </row>
    <row r="2660" spans="1:59" s="46" customFormat="1" ht="15.95" customHeight="1">
      <c r="A2660" s="176">
        <v>33</v>
      </c>
      <c r="B2660" s="31" t="s">
        <v>2860</v>
      </c>
      <c r="C2660" s="32" t="s">
        <v>3828</v>
      </c>
      <c r="D2660" s="528"/>
      <c r="E2660" s="528"/>
      <c r="F2660" s="528"/>
      <c r="G2660" s="528"/>
      <c r="H2660" s="528"/>
      <c r="I2660" s="528"/>
      <c r="J2660" s="528"/>
      <c r="K2660" s="528"/>
      <c r="L2660" s="528"/>
      <c r="M2660" s="528"/>
      <c r="N2660" s="528"/>
      <c r="O2660" s="528"/>
      <c r="P2660" s="528"/>
      <c r="Q2660" s="528"/>
      <c r="R2660" s="528"/>
      <c r="S2660" s="528"/>
      <c r="T2660" s="528"/>
      <c r="U2660" s="528"/>
      <c r="V2660" s="528"/>
      <c r="W2660" s="528"/>
      <c r="X2660" s="528"/>
      <c r="Y2660" s="528"/>
      <c r="Z2660" s="528"/>
      <c r="AA2660" s="528"/>
      <c r="AB2660" s="22">
        <f t="shared" ref="AB2660:AB2691" si="828">SUM(D2660:AA2660)</f>
        <v>0</v>
      </c>
      <c r="AC2660" s="23">
        <v>0</v>
      </c>
      <c r="AD2660" s="35"/>
      <c r="AE2660" s="35"/>
      <c r="AF2660" s="35"/>
      <c r="AG2660" s="35"/>
      <c r="AH2660" s="35">
        <v>1</v>
      </c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  <c r="AX2660" s="35"/>
      <c r="AY2660" s="35"/>
      <c r="AZ2660" s="35"/>
      <c r="BA2660" s="35"/>
      <c r="BB2660" s="22">
        <f t="shared" ref="BB2660:BB2691" si="829">SUM(AD2660:BA2660)</f>
        <v>1</v>
      </c>
      <c r="BC2660" s="23">
        <v>0</v>
      </c>
      <c r="BD2660" s="130">
        <f t="shared" ref="BD2660:BD2691" si="830">AB2660+BB2660</f>
        <v>1</v>
      </c>
      <c r="BE2660" s="130">
        <f t="shared" ref="BE2660:BE2691" si="831">AC2660+BC2660</f>
        <v>0</v>
      </c>
      <c r="BF2660" s="195" t="e">
        <f t="shared" ref="BF2660:BF2691" si="832">BD2660/BE2660*100</f>
        <v>#DIV/0!</v>
      </c>
      <c r="BG2660" s="373"/>
    </row>
    <row r="2661" spans="1:59" s="46" customFormat="1" ht="15.95" customHeight="1">
      <c r="A2661" s="176">
        <v>34</v>
      </c>
      <c r="B2661" s="31" t="s">
        <v>2564</v>
      </c>
      <c r="C2661" s="32" t="s">
        <v>3251</v>
      </c>
      <c r="D2661" s="231"/>
      <c r="E2661" s="231"/>
      <c r="F2661" s="231"/>
      <c r="G2661" s="231"/>
      <c r="H2661" s="231"/>
      <c r="I2661" s="231"/>
      <c r="J2661" s="231"/>
      <c r="K2661" s="231"/>
      <c r="L2661" s="231"/>
      <c r="M2661" s="231"/>
      <c r="N2661" s="231"/>
      <c r="O2661" s="231"/>
      <c r="P2661" s="231"/>
      <c r="Q2661" s="231"/>
      <c r="R2661" s="231"/>
      <c r="S2661" s="231"/>
      <c r="T2661" s="231"/>
      <c r="U2661" s="231"/>
      <c r="V2661" s="231"/>
      <c r="W2661" s="231"/>
      <c r="X2661" s="231"/>
      <c r="Y2661" s="231"/>
      <c r="Z2661" s="231"/>
      <c r="AA2661" s="231"/>
      <c r="AB2661" s="22">
        <f t="shared" si="828"/>
        <v>0</v>
      </c>
      <c r="AC2661" s="23">
        <v>0</v>
      </c>
      <c r="AD2661" s="35"/>
      <c r="AE2661" s="35"/>
      <c r="AF2661" s="35"/>
      <c r="AG2661" s="35"/>
      <c r="AH2661" s="35"/>
      <c r="AI2661" s="35"/>
      <c r="AJ2661" s="35"/>
      <c r="AK2661" s="35"/>
      <c r="AL2661" s="35"/>
      <c r="AM2661" s="35"/>
      <c r="AN2661" s="35"/>
      <c r="AO2661" s="35"/>
      <c r="AP2661" s="35">
        <v>28</v>
      </c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22">
        <f t="shared" si="829"/>
        <v>28</v>
      </c>
      <c r="BC2661" s="23">
        <v>37</v>
      </c>
      <c r="BD2661" s="130">
        <f t="shared" si="830"/>
        <v>28</v>
      </c>
      <c r="BE2661" s="130">
        <f t="shared" si="831"/>
        <v>37</v>
      </c>
      <c r="BF2661" s="195">
        <f t="shared" si="832"/>
        <v>75.675675675675677</v>
      </c>
      <c r="BG2661" s="373">
        <f>BE2661-BD2661</f>
        <v>9</v>
      </c>
    </row>
    <row r="2662" spans="1:59" s="46" customFormat="1" ht="15.95" customHeight="1">
      <c r="A2662" s="176">
        <v>35</v>
      </c>
      <c r="B2662" s="31" t="s">
        <v>3833</v>
      </c>
      <c r="C2662" s="32" t="s">
        <v>3834</v>
      </c>
      <c r="D2662" s="535"/>
      <c r="E2662" s="535"/>
      <c r="F2662" s="535"/>
      <c r="G2662" s="535"/>
      <c r="H2662" s="535"/>
      <c r="I2662" s="535"/>
      <c r="J2662" s="535"/>
      <c r="K2662" s="535">
        <v>2</v>
      </c>
      <c r="L2662" s="535"/>
      <c r="M2662" s="535"/>
      <c r="N2662" s="535"/>
      <c r="O2662" s="535"/>
      <c r="P2662" s="535"/>
      <c r="Q2662" s="535"/>
      <c r="R2662" s="535"/>
      <c r="S2662" s="535"/>
      <c r="T2662" s="535"/>
      <c r="U2662" s="535"/>
      <c r="V2662" s="535"/>
      <c r="W2662" s="535"/>
      <c r="X2662" s="535"/>
      <c r="Y2662" s="535"/>
      <c r="Z2662" s="535"/>
      <c r="AA2662" s="535"/>
      <c r="AB2662" s="22">
        <f t="shared" si="828"/>
        <v>2</v>
      </c>
      <c r="AC2662" s="23">
        <v>0</v>
      </c>
      <c r="AD2662" s="35"/>
      <c r="AE2662" s="35"/>
      <c r="AF2662" s="35"/>
      <c r="AG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  <c r="AX2662" s="35"/>
      <c r="AY2662" s="35"/>
      <c r="AZ2662" s="35"/>
      <c r="BA2662" s="35"/>
      <c r="BB2662" s="22">
        <f t="shared" si="829"/>
        <v>0</v>
      </c>
      <c r="BC2662" s="23">
        <v>0</v>
      </c>
      <c r="BD2662" s="130">
        <f t="shared" si="830"/>
        <v>2</v>
      </c>
      <c r="BE2662" s="130">
        <f t="shared" si="831"/>
        <v>0</v>
      </c>
      <c r="BF2662" s="195" t="e">
        <f t="shared" si="832"/>
        <v>#DIV/0!</v>
      </c>
      <c r="BG2662" s="373"/>
    </row>
    <row r="2663" spans="1:59" s="46" customFormat="1" ht="15.95" customHeight="1">
      <c r="A2663" s="176">
        <v>36</v>
      </c>
      <c r="B2663" s="31" t="s">
        <v>1408</v>
      </c>
      <c r="C2663" s="32" t="s">
        <v>1409</v>
      </c>
      <c r="D2663" s="332"/>
      <c r="E2663" s="332"/>
      <c r="F2663" s="332"/>
      <c r="G2663" s="332"/>
      <c r="H2663" s="332"/>
      <c r="I2663" s="332"/>
      <c r="J2663" s="332"/>
      <c r="K2663" s="332"/>
      <c r="L2663" s="332"/>
      <c r="M2663" s="332"/>
      <c r="N2663" s="332"/>
      <c r="O2663" s="332"/>
      <c r="P2663" s="332"/>
      <c r="Q2663" s="332"/>
      <c r="R2663" s="332"/>
      <c r="S2663" s="332"/>
      <c r="T2663" s="332"/>
      <c r="U2663" s="332"/>
      <c r="V2663" s="332"/>
      <c r="W2663" s="332"/>
      <c r="X2663" s="332"/>
      <c r="Y2663" s="332"/>
      <c r="Z2663" s="332"/>
      <c r="AA2663" s="332"/>
      <c r="AB2663" s="22">
        <f t="shared" si="828"/>
        <v>0</v>
      </c>
      <c r="AC2663" s="23">
        <v>0</v>
      </c>
      <c r="AD2663" s="35"/>
      <c r="AE2663" s="35"/>
      <c r="AF2663" s="35"/>
      <c r="AG2663" s="35"/>
      <c r="AH2663" s="35"/>
      <c r="AI2663" s="35"/>
      <c r="AJ2663" s="35"/>
      <c r="AK2663" s="35"/>
      <c r="AL2663" s="35">
        <v>16</v>
      </c>
      <c r="AM2663" s="35"/>
      <c r="AN2663" s="35"/>
      <c r="AO2663" s="35"/>
      <c r="AP2663" s="35">
        <v>10</v>
      </c>
      <c r="AQ2663" s="35"/>
      <c r="AR2663" s="35"/>
      <c r="AS2663" s="35"/>
      <c r="AT2663" s="35"/>
      <c r="AU2663" s="35"/>
      <c r="AV2663" s="35"/>
      <c r="AW2663" s="35"/>
      <c r="AX2663" s="35"/>
      <c r="AY2663" s="35"/>
      <c r="AZ2663" s="35"/>
      <c r="BA2663" s="35"/>
      <c r="BB2663" s="22">
        <f t="shared" si="829"/>
        <v>26</v>
      </c>
      <c r="BC2663" s="23">
        <v>42</v>
      </c>
      <c r="BD2663" s="130">
        <f t="shared" si="830"/>
        <v>26</v>
      </c>
      <c r="BE2663" s="130">
        <f t="shared" si="831"/>
        <v>42</v>
      </c>
      <c r="BF2663" s="195">
        <f t="shared" si="832"/>
        <v>61.904761904761905</v>
      </c>
      <c r="BG2663" s="373">
        <f>BE2663-BD2663</f>
        <v>16</v>
      </c>
    </row>
    <row r="2664" spans="1:59" s="46" customFormat="1" ht="15.95" customHeight="1">
      <c r="A2664" s="176">
        <v>37</v>
      </c>
      <c r="B2664" s="31" t="s">
        <v>783</v>
      </c>
      <c r="C2664" s="32" t="s">
        <v>1370</v>
      </c>
      <c r="D2664" s="231"/>
      <c r="E2664" s="231"/>
      <c r="F2664" s="231"/>
      <c r="G2664" s="231"/>
      <c r="H2664" s="231">
        <v>101</v>
      </c>
      <c r="I2664" s="231"/>
      <c r="J2664" s="231"/>
      <c r="K2664" s="231"/>
      <c r="L2664" s="231"/>
      <c r="M2664" s="231"/>
      <c r="N2664" s="231"/>
      <c r="O2664" s="231"/>
      <c r="P2664" s="231"/>
      <c r="Q2664" s="231"/>
      <c r="R2664" s="231"/>
      <c r="S2664" s="231"/>
      <c r="T2664" s="231"/>
      <c r="U2664" s="231"/>
      <c r="V2664" s="231"/>
      <c r="W2664" s="231"/>
      <c r="X2664" s="231"/>
      <c r="Y2664" s="231"/>
      <c r="Z2664" s="231"/>
      <c r="AA2664" s="231"/>
      <c r="AB2664" s="22">
        <f t="shared" si="828"/>
        <v>101</v>
      </c>
      <c r="AC2664" s="23">
        <v>0</v>
      </c>
      <c r="AD2664" s="35">
        <v>12</v>
      </c>
      <c r="AE2664" s="35"/>
      <c r="AF2664" s="35"/>
      <c r="AG2664" s="35"/>
      <c r="AH2664" s="35">
        <f>6+2+17</f>
        <v>25</v>
      </c>
      <c r="AI2664" s="35"/>
      <c r="AJ2664" s="35"/>
      <c r="AK2664" s="35"/>
      <c r="AL2664" s="35">
        <f>4+9+118</f>
        <v>131</v>
      </c>
      <c r="AM2664" s="35"/>
      <c r="AN2664" s="35"/>
      <c r="AO2664" s="35"/>
      <c r="AP2664" s="35">
        <f>6+75</f>
        <v>81</v>
      </c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22">
        <f t="shared" si="829"/>
        <v>249</v>
      </c>
      <c r="BC2664" s="23">
        <v>394</v>
      </c>
      <c r="BD2664" s="130">
        <f t="shared" si="830"/>
        <v>350</v>
      </c>
      <c r="BE2664" s="130">
        <f t="shared" si="831"/>
        <v>394</v>
      </c>
      <c r="BF2664" s="195">
        <f t="shared" si="832"/>
        <v>88.832487309644677</v>
      </c>
      <c r="BG2664" s="373">
        <f>BE2664-BD2664</f>
        <v>44</v>
      </c>
    </row>
    <row r="2665" spans="1:59" s="46" customFormat="1" ht="15.95" customHeight="1">
      <c r="A2665" s="176">
        <v>38</v>
      </c>
      <c r="B2665" s="31" t="s">
        <v>993</v>
      </c>
      <c r="C2665" s="32" t="s">
        <v>1410</v>
      </c>
      <c r="D2665" s="231">
        <v>110</v>
      </c>
      <c r="E2665" s="231"/>
      <c r="F2665" s="231"/>
      <c r="G2665" s="231"/>
      <c r="H2665" s="231"/>
      <c r="I2665" s="231"/>
      <c r="J2665" s="231"/>
      <c r="K2665" s="231"/>
      <c r="L2665" s="231">
        <v>202</v>
      </c>
      <c r="M2665" s="231"/>
      <c r="N2665" s="231"/>
      <c r="O2665" s="231"/>
      <c r="P2665" s="231">
        <v>187</v>
      </c>
      <c r="Q2665" s="231"/>
      <c r="R2665" s="231"/>
      <c r="S2665" s="231"/>
      <c r="T2665" s="231"/>
      <c r="U2665" s="231"/>
      <c r="V2665" s="231"/>
      <c r="W2665" s="231"/>
      <c r="X2665" s="231"/>
      <c r="Y2665" s="231"/>
      <c r="Z2665" s="231"/>
      <c r="AA2665" s="231"/>
      <c r="AB2665" s="22">
        <f t="shared" si="828"/>
        <v>499</v>
      </c>
      <c r="AC2665" s="23">
        <v>882</v>
      </c>
      <c r="AD2665" s="35"/>
      <c r="AE2665" s="35"/>
      <c r="AF2665" s="35"/>
      <c r="AG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22">
        <f t="shared" si="829"/>
        <v>0</v>
      </c>
      <c r="BC2665" s="23">
        <v>1</v>
      </c>
      <c r="BD2665" s="130">
        <f t="shared" si="830"/>
        <v>499</v>
      </c>
      <c r="BE2665" s="130">
        <f t="shared" si="831"/>
        <v>883</v>
      </c>
      <c r="BF2665" s="195">
        <f t="shared" si="832"/>
        <v>56.511891279728196</v>
      </c>
      <c r="BG2665" s="373">
        <f>BE2665-BD2665</f>
        <v>384</v>
      </c>
    </row>
    <row r="2666" spans="1:59" s="46" customFormat="1" ht="15.95" customHeight="1">
      <c r="A2666" s="176">
        <v>39</v>
      </c>
      <c r="B2666" s="31" t="s">
        <v>3216</v>
      </c>
      <c r="C2666" s="32" t="s">
        <v>3217</v>
      </c>
      <c r="D2666" s="231"/>
      <c r="E2666" s="231"/>
      <c r="F2666" s="231"/>
      <c r="G2666" s="231"/>
      <c r="H2666" s="231"/>
      <c r="I2666" s="231"/>
      <c r="J2666" s="231"/>
      <c r="K2666" s="231"/>
      <c r="L2666" s="231"/>
      <c r="M2666" s="231"/>
      <c r="N2666" s="231"/>
      <c r="O2666" s="231"/>
      <c r="P2666" s="231"/>
      <c r="Q2666" s="231"/>
      <c r="R2666" s="231"/>
      <c r="S2666" s="231"/>
      <c r="T2666" s="231"/>
      <c r="U2666" s="231"/>
      <c r="V2666" s="231"/>
      <c r="W2666" s="231"/>
      <c r="X2666" s="231"/>
      <c r="Y2666" s="231"/>
      <c r="Z2666" s="231"/>
      <c r="AA2666" s="231"/>
      <c r="AB2666" s="22">
        <f t="shared" si="828"/>
        <v>0</v>
      </c>
      <c r="AC2666" s="23">
        <v>0</v>
      </c>
      <c r="AD2666" s="35"/>
      <c r="AE2666" s="35"/>
      <c r="AF2666" s="35"/>
      <c r="AG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22">
        <f t="shared" si="829"/>
        <v>0</v>
      </c>
      <c r="BC2666" s="23">
        <v>2</v>
      </c>
      <c r="BD2666" s="130">
        <f t="shared" si="830"/>
        <v>0</v>
      </c>
      <c r="BE2666" s="130">
        <f t="shared" si="831"/>
        <v>2</v>
      </c>
      <c r="BF2666" s="195">
        <f t="shared" si="832"/>
        <v>0</v>
      </c>
      <c r="BG2666" s="373">
        <f>BE2666-BD2666</f>
        <v>2</v>
      </c>
    </row>
    <row r="2667" spans="1:59" s="46" customFormat="1" ht="15.95" customHeight="1">
      <c r="A2667" s="176">
        <v>40</v>
      </c>
      <c r="B2667" s="31" t="s">
        <v>4017</v>
      </c>
      <c r="C2667" s="32" t="s">
        <v>4018</v>
      </c>
      <c r="D2667" s="552"/>
      <c r="E2667" s="552"/>
      <c r="F2667" s="552"/>
      <c r="G2667" s="552"/>
      <c r="H2667" s="552"/>
      <c r="I2667" s="552"/>
      <c r="J2667" s="552"/>
      <c r="K2667" s="552"/>
      <c r="L2667" s="552"/>
      <c r="M2667" s="552"/>
      <c r="N2667" s="552"/>
      <c r="O2667" s="552"/>
      <c r="P2667" s="552"/>
      <c r="Q2667" s="552"/>
      <c r="R2667" s="552"/>
      <c r="S2667" s="552"/>
      <c r="T2667" s="552"/>
      <c r="U2667" s="552"/>
      <c r="V2667" s="552"/>
      <c r="W2667" s="552"/>
      <c r="X2667" s="552"/>
      <c r="Y2667" s="552"/>
      <c r="Z2667" s="552"/>
      <c r="AA2667" s="552"/>
      <c r="AB2667" s="22">
        <f t="shared" si="828"/>
        <v>0</v>
      </c>
      <c r="AC2667" s="23">
        <v>0</v>
      </c>
      <c r="AD2667" s="35"/>
      <c r="AE2667" s="35"/>
      <c r="AF2667" s="35"/>
      <c r="AG2667" s="35"/>
      <c r="AH2667" s="35"/>
      <c r="AI2667" s="35"/>
      <c r="AJ2667" s="35"/>
      <c r="AK2667" s="35"/>
      <c r="AL2667" s="35">
        <f>1+1</f>
        <v>2</v>
      </c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  <c r="AX2667" s="35"/>
      <c r="AY2667" s="35"/>
      <c r="AZ2667" s="35"/>
      <c r="BA2667" s="35"/>
      <c r="BB2667" s="22">
        <f t="shared" si="829"/>
        <v>2</v>
      </c>
      <c r="BC2667" s="23">
        <v>0</v>
      </c>
      <c r="BD2667" s="130">
        <f t="shared" si="830"/>
        <v>2</v>
      </c>
      <c r="BE2667" s="130">
        <f t="shared" si="831"/>
        <v>0</v>
      </c>
      <c r="BF2667" s="195" t="e">
        <f t="shared" si="832"/>
        <v>#DIV/0!</v>
      </c>
      <c r="BG2667" s="373"/>
    </row>
    <row r="2668" spans="1:59" s="46" customFormat="1" ht="15.95" customHeight="1">
      <c r="A2668" s="176">
        <v>41</v>
      </c>
      <c r="B2668" s="505" t="s">
        <v>1158</v>
      </c>
      <c r="C2668" s="506" t="s">
        <v>1159</v>
      </c>
      <c r="D2668" s="328"/>
      <c r="E2668" s="328"/>
      <c r="F2668" s="328"/>
      <c r="G2668" s="328"/>
      <c r="H2668" s="328"/>
      <c r="I2668" s="328"/>
      <c r="J2668" s="328"/>
      <c r="K2668" s="328"/>
      <c r="L2668" s="328"/>
      <c r="M2668" s="328"/>
      <c r="N2668" s="328"/>
      <c r="O2668" s="328"/>
      <c r="P2668" s="328"/>
      <c r="Q2668" s="328"/>
      <c r="R2668" s="328"/>
      <c r="S2668" s="328"/>
      <c r="T2668" s="328"/>
      <c r="U2668" s="328"/>
      <c r="V2668" s="328"/>
      <c r="W2668" s="328"/>
      <c r="X2668" s="328"/>
      <c r="Y2668" s="328"/>
      <c r="Z2668" s="328"/>
      <c r="AA2668" s="328"/>
      <c r="AB2668" s="22">
        <f t="shared" si="828"/>
        <v>0</v>
      </c>
      <c r="AC2668" s="23">
        <v>0</v>
      </c>
      <c r="AD2668" s="35"/>
      <c r="AE2668" s="35"/>
      <c r="AF2668" s="35"/>
      <c r="AG2668" s="35"/>
      <c r="AH2668" s="35">
        <f>125+9</f>
        <v>134</v>
      </c>
      <c r="AI2668" s="35"/>
      <c r="AJ2668" s="35"/>
      <c r="AK2668" s="35"/>
      <c r="AL2668" s="35">
        <f>253+37+6</f>
        <v>296</v>
      </c>
      <c r="AM2668" s="35"/>
      <c r="AN2668" s="35"/>
      <c r="AO2668" s="35"/>
      <c r="AP2668" s="35">
        <f>175+42</f>
        <v>217</v>
      </c>
      <c r="AQ2668" s="35"/>
      <c r="AR2668" s="35"/>
      <c r="AS2668" s="35"/>
      <c r="AT2668" s="35"/>
      <c r="AU2668" s="35"/>
      <c r="AV2668" s="35"/>
      <c r="AW2668" s="35"/>
      <c r="AX2668" s="35"/>
      <c r="AY2668" s="35"/>
      <c r="AZ2668" s="35"/>
      <c r="BA2668" s="35"/>
      <c r="BB2668" s="22">
        <f t="shared" si="829"/>
        <v>647</v>
      </c>
      <c r="BC2668" s="23">
        <v>1380</v>
      </c>
      <c r="BD2668" s="130">
        <f t="shared" si="830"/>
        <v>647</v>
      </c>
      <c r="BE2668" s="130">
        <f t="shared" si="831"/>
        <v>1380</v>
      </c>
      <c r="BF2668" s="195">
        <f t="shared" si="832"/>
        <v>46.884057971014492</v>
      </c>
      <c r="BG2668" s="373">
        <f t="shared" ref="BG2668:BG2684" si="833">BE2668-BD2668</f>
        <v>733</v>
      </c>
    </row>
    <row r="2669" spans="1:59" s="46" customFormat="1" ht="15.95" customHeight="1">
      <c r="A2669" s="176">
        <v>42</v>
      </c>
      <c r="B2669" s="37" t="s">
        <v>1411</v>
      </c>
      <c r="C2669" s="38" t="s">
        <v>1412</v>
      </c>
      <c r="D2669" s="231"/>
      <c r="E2669" s="231"/>
      <c r="F2669" s="231"/>
      <c r="G2669" s="231"/>
      <c r="H2669" s="231"/>
      <c r="I2669" s="231"/>
      <c r="J2669" s="231"/>
      <c r="K2669" s="231"/>
      <c r="L2669" s="231"/>
      <c r="M2669" s="231"/>
      <c r="N2669" s="231"/>
      <c r="O2669" s="231"/>
      <c r="P2669" s="231"/>
      <c r="Q2669" s="231"/>
      <c r="R2669" s="231"/>
      <c r="S2669" s="231"/>
      <c r="T2669" s="231"/>
      <c r="U2669" s="231"/>
      <c r="V2669" s="231"/>
      <c r="W2669" s="231"/>
      <c r="X2669" s="231"/>
      <c r="Y2669" s="231"/>
      <c r="Z2669" s="231"/>
      <c r="AA2669" s="231"/>
      <c r="AB2669" s="22">
        <f t="shared" si="828"/>
        <v>0</v>
      </c>
      <c r="AC2669" s="23">
        <v>0</v>
      </c>
      <c r="AD2669" s="35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22">
        <f t="shared" si="829"/>
        <v>0</v>
      </c>
      <c r="BC2669" s="23">
        <v>16</v>
      </c>
      <c r="BD2669" s="130">
        <f t="shared" si="830"/>
        <v>0</v>
      </c>
      <c r="BE2669" s="130">
        <f t="shared" si="831"/>
        <v>16</v>
      </c>
      <c r="BF2669" s="195">
        <f t="shared" si="832"/>
        <v>0</v>
      </c>
      <c r="BG2669" s="373">
        <f t="shared" si="833"/>
        <v>16</v>
      </c>
    </row>
    <row r="2670" spans="1:59" s="46" customFormat="1" ht="15.95" customHeight="1">
      <c r="A2670" s="176">
        <v>43</v>
      </c>
      <c r="B2670" s="31" t="s">
        <v>1413</v>
      </c>
      <c r="C2670" s="45" t="s">
        <v>1414</v>
      </c>
      <c r="D2670" s="231"/>
      <c r="E2670" s="231"/>
      <c r="F2670" s="231"/>
      <c r="G2670" s="231"/>
      <c r="H2670" s="231"/>
      <c r="I2670" s="231"/>
      <c r="J2670" s="231"/>
      <c r="K2670" s="231"/>
      <c r="L2670" s="231"/>
      <c r="M2670" s="231"/>
      <c r="N2670" s="231"/>
      <c r="O2670" s="231"/>
      <c r="P2670" s="231"/>
      <c r="Q2670" s="231"/>
      <c r="R2670" s="231"/>
      <c r="S2670" s="231"/>
      <c r="T2670" s="231"/>
      <c r="U2670" s="231"/>
      <c r="V2670" s="231"/>
      <c r="W2670" s="231"/>
      <c r="X2670" s="231"/>
      <c r="Y2670" s="231"/>
      <c r="Z2670" s="231"/>
      <c r="AA2670" s="231"/>
      <c r="AB2670" s="22">
        <f t="shared" si="828"/>
        <v>0</v>
      </c>
      <c r="AC2670" s="23">
        <v>0</v>
      </c>
      <c r="AD2670" s="35"/>
      <c r="AE2670" s="35"/>
      <c r="AF2670" s="35"/>
      <c r="AG2670" s="35"/>
      <c r="AH2670" s="35"/>
      <c r="AI2670" s="35"/>
      <c r="AJ2670" s="35"/>
      <c r="AK2670" s="35"/>
      <c r="AL2670" s="35"/>
      <c r="AM2670" s="35"/>
      <c r="AN2670" s="35"/>
      <c r="AO2670" s="35"/>
      <c r="AP2670" s="35">
        <v>2</v>
      </c>
      <c r="AQ2670" s="35"/>
      <c r="AR2670" s="35"/>
      <c r="AS2670" s="35"/>
      <c r="AT2670" s="35"/>
      <c r="AU2670" s="35"/>
      <c r="AV2670" s="35"/>
      <c r="AW2670" s="35"/>
      <c r="AX2670" s="35"/>
      <c r="AY2670" s="35"/>
      <c r="AZ2670" s="35"/>
      <c r="BA2670" s="35"/>
      <c r="BB2670" s="22">
        <f t="shared" si="829"/>
        <v>2</v>
      </c>
      <c r="BC2670" s="23">
        <v>2</v>
      </c>
      <c r="BD2670" s="130">
        <f t="shared" si="830"/>
        <v>2</v>
      </c>
      <c r="BE2670" s="130">
        <f t="shared" si="831"/>
        <v>2</v>
      </c>
      <c r="BF2670" s="195">
        <f t="shared" si="832"/>
        <v>100</v>
      </c>
      <c r="BG2670" s="373">
        <f t="shared" si="833"/>
        <v>0</v>
      </c>
    </row>
    <row r="2671" spans="1:59" s="46" customFormat="1" ht="15.95" customHeight="1">
      <c r="A2671" s="176">
        <v>44</v>
      </c>
      <c r="B2671" s="31" t="s">
        <v>1160</v>
      </c>
      <c r="C2671" s="34" t="s">
        <v>1415</v>
      </c>
      <c r="D2671" s="390"/>
      <c r="E2671" s="390"/>
      <c r="F2671" s="390"/>
      <c r="G2671" s="390"/>
      <c r="H2671" s="390"/>
      <c r="I2671" s="390"/>
      <c r="J2671" s="390"/>
      <c r="K2671" s="390"/>
      <c r="L2671" s="390"/>
      <c r="M2671" s="390"/>
      <c r="N2671" s="390"/>
      <c r="O2671" s="390"/>
      <c r="P2671" s="390"/>
      <c r="Q2671" s="390"/>
      <c r="R2671" s="390"/>
      <c r="S2671" s="390"/>
      <c r="T2671" s="390"/>
      <c r="U2671" s="390"/>
      <c r="V2671" s="390"/>
      <c r="W2671" s="390"/>
      <c r="X2671" s="390"/>
      <c r="Y2671" s="390"/>
      <c r="Z2671" s="390"/>
      <c r="AA2671" s="390"/>
      <c r="AB2671" s="22">
        <f t="shared" si="828"/>
        <v>0</v>
      </c>
      <c r="AC2671" s="23">
        <v>0</v>
      </c>
      <c r="AD2671" s="35"/>
      <c r="AE2671" s="35"/>
      <c r="AF2671" s="35"/>
      <c r="AG2671" s="35"/>
      <c r="AH2671" s="35">
        <v>2</v>
      </c>
      <c r="AI2671" s="35"/>
      <c r="AJ2671" s="35"/>
      <c r="AK2671" s="35"/>
      <c r="AL2671" s="35">
        <f>2+30</f>
        <v>32</v>
      </c>
      <c r="AM2671" s="35"/>
      <c r="AN2671" s="35"/>
      <c r="AO2671" s="35"/>
      <c r="AP2671" s="35">
        <v>10</v>
      </c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22">
        <f t="shared" si="829"/>
        <v>44</v>
      </c>
      <c r="BC2671" s="23">
        <v>104</v>
      </c>
      <c r="BD2671" s="130">
        <f t="shared" si="830"/>
        <v>44</v>
      </c>
      <c r="BE2671" s="130">
        <f t="shared" si="831"/>
        <v>104</v>
      </c>
      <c r="BF2671" s="195">
        <f t="shared" si="832"/>
        <v>42.307692307692307</v>
      </c>
      <c r="BG2671" s="373">
        <f t="shared" si="833"/>
        <v>60</v>
      </c>
    </row>
    <row r="2672" spans="1:59" s="46" customFormat="1" ht="15.95" customHeight="1">
      <c r="A2672" s="176">
        <v>45</v>
      </c>
      <c r="B2672" s="31" t="s">
        <v>1416</v>
      </c>
      <c r="C2672" s="32" t="s">
        <v>1417</v>
      </c>
      <c r="D2672" s="390"/>
      <c r="E2672" s="390"/>
      <c r="F2672" s="390"/>
      <c r="G2672" s="390"/>
      <c r="H2672" s="390"/>
      <c r="I2672" s="390"/>
      <c r="J2672" s="390"/>
      <c r="K2672" s="390"/>
      <c r="L2672" s="390"/>
      <c r="M2672" s="390"/>
      <c r="N2672" s="390"/>
      <c r="O2672" s="390"/>
      <c r="P2672" s="390"/>
      <c r="Q2672" s="390"/>
      <c r="R2672" s="390"/>
      <c r="S2672" s="390"/>
      <c r="T2672" s="390"/>
      <c r="U2672" s="390"/>
      <c r="V2672" s="390"/>
      <c r="W2672" s="390"/>
      <c r="X2672" s="390"/>
      <c r="Y2672" s="390"/>
      <c r="Z2672" s="390"/>
      <c r="AA2672" s="390"/>
      <c r="AB2672" s="22">
        <f t="shared" si="828"/>
        <v>0</v>
      </c>
      <c r="AC2672" s="23">
        <v>0</v>
      </c>
      <c r="AD2672" s="35"/>
      <c r="AE2672" s="35"/>
      <c r="AF2672" s="35"/>
      <c r="AG2672" s="35"/>
      <c r="AH2672" s="35">
        <v>2</v>
      </c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22">
        <f t="shared" si="829"/>
        <v>2</v>
      </c>
      <c r="BC2672" s="23">
        <v>10</v>
      </c>
      <c r="BD2672" s="130">
        <f t="shared" si="830"/>
        <v>2</v>
      </c>
      <c r="BE2672" s="130">
        <f t="shared" si="831"/>
        <v>10</v>
      </c>
      <c r="BF2672" s="195">
        <f t="shared" si="832"/>
        <v>20</v>
      </c>
      <c r="BG2672" s="373">
        <f t="shared" si="833"/>
        <v>8</v>
      </c>
    </row>
    <row r="2673" spans="1:59" s="46" customFormat="1" ht="15.95" customHeight="1">
      <c r="A2673" s="176">
        <v>46</v>
      </c>
      <c r="B2673" s="31" t="s">
        <v>1418</v>
      </c>
      <c r="C2673" s="32" t="s">
        <v>1419</v>
      </c>
      <c r="D2673" s="390"/>
      <c r="E2673" s="390"/>
      <c r="F2673" s="390"/>
      <c r="G2673" s="390"/>
      <c r="H2673" s="390"/>
      <c r="I2673" s="390"/>
      <c r="J2673" s="390"/>
      <c r="K2673" s="390"/>
      <c r="L2673" s="390"/>
      <c r="M2673" s="390"/>
      <c r="N2673" s="390"/>
      <c r="O2673" s="390"/>
      <c r="P2673" s="390"/>
      <c r="Q2673" s="390"/>
      <c r="R2673" s="390"/>
      <c r="S2673" s="390"/>
      <c r="T2673" s="390"/>
      <c r="U2673" s="390"/>
      <c r="V2673" s="390"/>
      <c r="W2673" s="390"/>
      <c r="X2673" s="390"/>
      <c r="Y2673" s="390"/>
      <c r="Z2673" s="390"/>
      <c r="AA2673" s="390"/>
      <c r="AB2673" s="22">
        <f t="shared" si="828"/>
        <v>0</v>
      </c>
      <c r="AC2673" s="23">
        <v>0</v>
      </c>
      <c r="AD2673" s="35"/>
      <c r="AE2673" s="35"/>
      <c r="AF2673" s="35"/>
      <c r="AG2673" s="35"/>
      <c r="AH2673" s="35"/>
      <c r="AI2673" s="35"/>
      <c r="AJ2673" s="35"/>
      <c r="AK2673" s="35"/>
      <c r="AL2673" s="35">
        <v>3</v>
      </c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  <c r="AX2673" s="35"/>
      <c r="AY2673" s="35"/>
      <c r="AZ2673" s="35"/>
      <c r="BA2673" s="35"/>
      <c r="BB2673" s="22">
        <f t="shared" si="829"/>
        <v>3</v>
      </c>
      <c r="BC2673" s="23">
        <v>3</v>
      </c>
      <c r="BD2673" s="130">
        <f t="shared" si="830"/>
        <v>3</v>
      </c>
      <c r="BE2673" s="130">
        <f t="shared" si="831"/>
        <v>3</v>
      </c>
      <c r="BF2673" s="195">
        <f t="shared" si="832"/>
        <v>100</v>
      </c>
      <c r="BG2673" s="373">
        <f t="shared" si="833"/>
        <v>0</v>
      </c>
    </row>
    <row r="2674" spans="1:59" s="46" customFormat="1" ht="15.95" customHeight="1">
      <c r="A2674" s="176">
        <v>47</v>
      </c>
      <c r="B2674" s="31" t="s">
        <v>383</v>
      </c>
      <c r="C2674" s="32" t="s">
        <v>384</v>
      </c>
      <c r="D2674" s="390"/>
      <c r="E2674" s="390"/>
      <c r="F2674" s="390"/>
      <c r="G2674" s="390"/>
      <c r="H2674" s="390"/>
      <c r="I2674" s="390"/>
      <c r="J2674" s="390"/>
      <c r="K2674" s="390"/>
      <c r="L2674" s="390"/>
      <c r="M2674" s="390"/>
      <c r="N2674" s="390"/>
      <c r="O2674" s="390"/>
      <c r="P2674" s="390"/>
      <c r="Q2674" s="390"/>
      <c r="R2674" s="390"/>
      <c r="S2674" s="390"/>
      <c r="T2674" s="390"/>
      <c r="U2674" s="390"/>
      <c r="V2674" s="390"/>
      <c r="W2674" s="390"/>
      <c r="X2674" s="390"/>
      <c r="Y2674" s="390"/>
      <c r="Z2674" s="390"/>
      <c r="AA2674" s="390"/>
      <c r="AB2674" s="22">
        <f t="shared" si="828"/>
        <v>0</v>
      </c>
      <c r="AC2674" s="23">
        <v>0</v>
      </c>
      <c r="AD2674" s="35"/>
      <c r="AE2674" s="35"/>
      <c r="AF2674" s="35"/>
      <c r="AG2674" s="35"/>
      <c r="AH2674" s="35">
        <v>2</v>
      </c>
      <c r="AI2674" s="35"/>
      <c r="AJ2674" s="35"/>
      <c r="AK2674" s="35"/>
      <c r="AL2674" s="35">
        <f>7+1</f>
        <v>8</v>
      </c>
      <c r="AM2674" s="35"/>
      <c r="AN2674" s="35"/>
      <c r="AO2674" s="35"/>
      <c r="AP2674" s="35">
        <v>4</v>
      </c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22">
        <f t="shared" si="829"/>
        <v>14</v>
      </c>
      <c r="BC2674" s="23">
        <v>32</v>
      </c>
      <c r="BD2674" s="130">
        <f t="shared" si="830"/>
        <v>14</v>
      </c>
      <c r="BE2674" s="130">
        <f t="shared" si="831"/>
        <v>32</v>
      </c>
      <c r="BF2674" s="195">
        <f t="shared" si="832"/>
        <v>43.75</v>
      </c>
      <c r="BG2674" s="373">
        <f t="shared" si="833"/>
        <v>18</v>
      </c>
    </row>
    <row r="2675" spans="1:59" s="46" customFormat="1" ht="15.95" customHeight="1">
      <c r="A2675" s="176">
        <v>48</v>
      </c>
      <c r="B2675" s="31" t="s">
        <v>1420</v>
      </c>
      <c r="C2675" s="34" t="s">
        <v>1421</v>
      </c>
      <c r="D2675" s="390"/>
      <c r="E2675" s="390"/>
      <c r="F2675" s="390"/>
      <c r="G2675" s="390"/>
      <c r="H2675" s="390"/>
      <c r="I2675" s="390"/>
      <c r="J2675" s="390"/>
      <c r="K2675" s="390"/>
      <c r="L2675" s="390"/>
      <c r="M2675" s="390"/>
      <c r="N2675" s="390"/>
      <c r="O2675" s="390"/>
      <c r="P2675" s="390"/>
      <c r="Q2675" s="390"/>
      <c r="R2675" s="390"/>
      <c r="S2675" s="390"/>
      <c r="T2675" s="390"/>
      <c r="U2675" s="390"/>
      <c r="V2675" s="390"/>
      <c r="W2675" s="390"/>
      <c r="X2675" s="390"/>
      <c r="Y2675" s="390"/>
      <c r="Z2675" s="390"/>
      <c r="AA2675" s="390"/>
      <c r="AB2675" s="22">
        <f t="shared" si="828"/>
        <v>0</v>
      </c>
      <c r="AC2675" s="23">
        <v>0</v>
      </c>
      <c r="AD2675" s="35"/>
      <c r="AE2675" s="35"/>
      <c r="AF2675" s="35"/>
      <c r="AG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  <c r="AX2675" s="35"/>
      <c r="AY2675" s="35"/>
      <c r="AZ2675" s="35"/>
      <c r="BA2675" s="35"/>
      <c r="BB2675" s="22">
        <f t="shared" si="829"/>
        <v>0</v>
      </c>
      <c r="BC2675" s="23">
        <v>19</v>
      </c>
      <c r="BD2675" s="130">
        <f t="shared" si="830"/>
        <v>0</v>
      </c>
      <c r="BE2675" s="130">
        <f t="shared" si="831"/>
        <v>19</v>
      </c>
      <c r="BF2675" s="195">
        <f t="shared" si="832"/>
        <v>0</v>
      </c>
      <c r="BG2675" s="373">
        <f t="shared" si="833"/>
        <v>19</v>
      </c>
    </row>
    <row r="2676" spans="1:59" s="46" customFormat="1" ht="15.95" customHeight="1">
      <c r="A2676" s="176">
        <v>49</v>
      </c>
      <c r="B2676" s="31" t="s">
        <v>1422</v>
      </c>
      <c r="C2676" s="34" t="s">
        <v>1423</v>
      </c>
      <c r="D2676" s="390"/>
      <c r="E2676" s="390"/>
      <c r="F2676" s="390"/>
      <c r="G2676" s="390"/>
      <c r="H2676" s="390"/>
      <c r="I2676" s="390"/>
      <c r="J2676" s="390"/>
      <c r="K2676" s="390"/>
      <c r="L2676" s="390"/>
      <c r="M2676" s="390"/>
      <c r="N2676" s="390"/>
      <c r="O2676" s="390"/>
      <c r="P2676" s="390"/>
      <c r="Q2676" s="390"/>
      <c r="R2676" s="390"/>
      <c r="S2676" s="390"/>
      <c r="T2676" s="390"/>
      <c r="U2676" s="390"/>
      <c r="V2676" s="390"/>
      <c r="W2676" s="390"/>
      <c r="X2676" s="390"/>
      <c r="Y2676" s="390"/>
      <c r="Z2676" s="390"/>
      <c r="AA2676" s="390"/>
      <c r="AB2676" s="22">
        <f t="shared" si="828"/>
        <v>0</v>
      </c>
      <c r="AC2676" s="23">
        <v>0</v>
      </c>
      <c r="AD2676" s="35"/>
      <c r="AE2676" s="35"/>
      <c r="AF2676" s="35"/>
      <c r="AG2676" s="35"/>
      <c r="AH2676" s="35">
        <v>4</v>
      </c>
      <c r="AI2676" s="35"/>
      <c r="AJ2676" s="35"/>
      <c r="AK2676" s="35"/>
      <c r="AL2676" s="35">
        <v>2</v>
      </c>
      <c r="AM2676" s="35"/>
      <c r="AN2676" s="35"/>
      <c r="AO2676" s="35"/>
      <c r="AP2676" s="35">
        <v>2</v>
      </c>
      <c r="AQ2676" s="35"/>
      <c r="AR2676" s="35"/>
      <c r="AS2676" s="35"/>
      <c r="AT2676" s="35"/>
      <c r="AU2676" s="35"/>
      <c r="AV2676" s="35"/>
      <c r="AW2676" s="35"/>
      <c r="AX2676" s="35"/>
      <c r="AY2676" s="35"/>
      <c r="AZ2676" s="35"/>
      <c r="BA2676" s="35"/>
      <c r="BB2676" s="22">
        <f t="shared" si="829"/>
        <v>8</v>
      </c>
      <c r="BC2676" s="23">
        <v>11</v>
      </c>
      <c r="BD2676" s="130">
        <f t="shared" si="830"/>
        <v>8</v>
      </c>
      <c r="BE2676" s="130">
        <f t="shared" si="831"/>
        <v>11</v>
      </c>
      <c r="BF2676" s="195">
        <f t="shared" si="832"/>
        <v>72.727272727272734</v>
      </c>
      <c r="BG2676" s="373">
        <f t="shared" si="833"/>
        <v>3</v>
      </c>
    </row>
    <row r="2677" spans="1:59" s="46" customFormat="1" ht="15.95" customHeight="1">
      <c r="A2677" s="176">
        <v>50</v>
      </c>
      <c r="B2677" s="31" t="s">
        <v>1424</v>
      </c>
      <c r="C2677" s="34" t="s">
        <v>1425</v>
      </c>
      <c r="D2677" s="390"/>
      <c r="E2677" s="390"/>
      <c r="F2677" s="390"/>
      <c r="G2677" s="390"/>
      <c r="H2677" s="390"/>
      <c r="I2677" s="390"/>
      <c r="J2677" s="390"/>
      <c r="K2677" s="390"/>
      <c r="L2677" s="390"/>
      <c r="M2677" s="390"/>
      <c r="N2677" s="390"/>
      <c r="O2677" s="390"/>
      <c r="P2677" s="390"/>
      <c r="Q2677" s="390"/>
      <c r="R2677" s="390"/>
      <c r="S2677" s="390"/>
      <c r="T2677" s="390"/>
      <c r="U2677" s="390"/>
      <c r="V2677" s="390"/>
      <c r="W2677" s="390"/>
      <c r="X2677" s="390"/>
      <c r="Y2677" s="390"/>
      <c r="Z2677" s="390"/>
      <c r="AA2677" s="390"/>
      <c r="AB2677" s="22">
        <f t="shared" si="828"/>
        <v>0</v>
      </c>
      <c r="AC2677" s="23">
        <v>0</v>
      </c>
      <c r="AD2677" s="35"/>
      <c r="AE2677" s="35"/>
      <c r="AF2677" s="35"/>
      <c r="AG2677" s="35"/>
      <c r="AH2677" s="35">
        <v>14</v>
      </c>
      <c r="AI2677" s="35"/>
      <c r="AJ2677" s="35"/>
      <c r="AK2677" s="35"/>
      <c r="AL2677" s="35">
        <v>94</v>
      </c>
      <c r="AM2677" s="35"/>
      <c r="AN2677" s="35"/>
      <c r="AO2677" s="35"/>
      <c r="AP2677" s="35">
        <v>146</v>
      </c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22">
        <f t="shared" si="829"/>
        <v>254</v>
      </c>
      <c r="BC2677" s="23">
        <v>896</v>
      </c>
      <c r="BD2677" s="130">
        <f t="shared" si="830"/>
        <v>254</v>
      </c>
      <c r="BE2677" s="130">
        <f t="shared" si="831"/>
        <v>896</v>
      </c>
      <c r="BF2677" s="195">
        <f t="shared" si="832"/>
        <v>28.348214285714285</v>
      </c>
      <c r="BG2677" s="373">
        <f t="shared" si="833"/>
        <v>642</v>
      </c>
    </row>
    <row r="2678" spans="1:59" s="46" customFormat="1" ht="15.95" customHeight="1">
      <c r="A2678" s="176">
        <v>51</v>
      </c>
      <c r="B2678" s="31" t="s">
        <v>2813</v>
      </c>
      <c r="C2678" s="32" t="s">
        <v>2814</v>
      </c>
      <c r="D2678" s="390"/>
      <c r="E2678" s="390"/>
      <c r="F2678" s="390"/>
      <c r="G2678" s="390"/>
      <c r="H2678" s="390"/>
      <c r="I2678" s="390"/>
      <c r="J2678" s="390"/>
      <c r="K2678" s="390"/>
      <c r="L2678" s="390"/>
      <c r="M2678" s="390"/>
      <c r="N2678" s="390"/>
      <c r="O2678" s="390"/>
      <c r="P2678" s="390"/>
      <c r="Q2678" s="390"/>
      <c r="R2678" s="390"/>
      <c r="S2678" s="390"/>
      <c r="T2678" s="390"/>
      <c r="U2678" s="390"/>
      <c r="V2678" s="390"/>
      <c r="W2678" s="390"/>
      <c r="X2678" s="390"/>
      <c r="Y2678" s="390"/>
      <c r="Z2678" s="390"/>
      <c r="AA2678" s="390"/>
      <c r="AB2678" s="22">
        <f t="shared" si="828"/>
        <v>0</v>
      </c>
      <c r="AC2678" s="23">
        <v>0</v>
      </c>
      <c r="AD2678" s="35"/>
      <c r="AE2678" s="35"/>
      <c r="AF2678" s="35"/>
      <c r="AG2678" s="35"/>
      <c r="AH2678" s="35">
        <v>2</v>
      </c>
      <c r="AI2678" s="35"/>
      <c r="AJ2678" s="35"/>
      <c r="AK2678" s="35"/>
      <c r="AL2678" s="35">
        <v>3</v>
      </c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  <c r="AX2678" s="35"/>
      <c r="AY2678" s="35"/>
      <c r="AZ2678" s="35"/>
      <c r="BA2678" s="35"/>
      <c r="BB2678" s="22">
        <f t="shared" si="829"/>
        <v>5</v>
      </c>
      <c r="BC2678" s="23">
        <v>3</v>
      </c>
      <c r="BD2678" s="130">
        <f t="shared" si="830"/>
        <v>5</v>
      </c>
      <c r="BE2678" s="130">
        <f t="shared" si="831"/>
        <v>3</v>
      </c>
      <c r="BF2678" s="195">
        <f t="shared" si="832"/>
        <v>166.66666666666669</v>
      </c>
      <c r="BG2678" s="373">
        <f t="shared" si="833"/>
        <v>-2</v>
      </c>
    </row>
    <row r="2679" spans="1:59" s="46" customFormat="1" ht="15.95" customHeight="1">
      <c r="A2679" s="176">
        <v>52</v>
      </c>
      <c r="B2679" s="31" t="s">
        <v>1426</v>
      </c>
      <c r="C2679" s="32" t="s">
        <v>1427</v>
      </c>
      <c r="D2679" s="390">
        <v>37</v>
      </c>
      <c r="E2679" s="390"/>
      <c r="F2679" s="390"/>
      <c r="G2679" s="390"/>
      <c r="H2679" s="390">
        <v>45</v>
      </c>
      <c r="I2679" s="390"/>
      <c r="J2679" s="390"/>
      <c r="K2679" s="390"/>
      <c r="L2679" s="390">
        <v>60</v>
      </c>
      <c r="M2679" s="390"/>
      <c r="N2679" s="390"/>
      <c r="O2679" s="390"/>
      <c r="P2679" s="390">
        <v>37</v>
      </c>
      <c r="Q2679" s="390"/>
      <c r="R2679" s="390"/>
      <c r="S2679" s="390"/>
      <c r="T2679" s="390"/>
      <c r="U2679" s="390"/>
      <c r="V2679" s="390"/>
      <c r="W2679" s="390"/>
      <c r="X2679" s="390"/>
      <c r="Y2679" s="390"/>
      <c r="Z2679" s="390"/>
      <c r="AA2679" s="390"/>
      <c r="AB2679" s="22">
        <f t="shared" si="828"/>
        <v>179</v>
      </c>
      <c r="AC2679" s="23">
        <v>135</v>
      </c>
      <c r="AD2679" s="35"/>
      <c r="AE2679" s="35"/>
      <c r="AF2679" s="35"/>
      <c r="AG2679" s="35"/>
      <c r="AH2679" s="35">
        <v>2</v>
      </c>
      <c r="AI2679" s="35"/>
      <c r="AJ2679" s="35"/>
      <c r="AK2679" s="35"/>
      <c r="AL2679" s="35">
        <f>6+3</f>
        <v>9</v>
      </c>
      <c r="AM2679" s="35"/>
      <c r="AN2679" s="35"/>
      <c r="AO2679" s="35"/>
      <c r="AP2679" s="35">
        <v>3</v>
      </c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22">
        <f t="shared" si="829"/>
        <v>14</v>
      </c>
      <c r="BC2679" s="23">
        <v>11</v>
      </c>
      <c r="BD2679" s="130">
        <f t="shared" si="830"/>
        <v>193</v>
      </c>
      <c r="BE2679" s="130">
        <f t="shared" si="831"/>
        <v>146</v>
      </c>
      <c r="BF2679" s="195">
        <f t="shared" si="832"/>
        <v>132.1917808219178</v>
      </c>
      <c r="BG2679" s="373">
        <f t="shared" si="833"/>
        <v>-47</v>
      </c>
    </row>
    <row r="2680" spans="1:59" s="46" customFormat="1" ht="15.95" customHeight="1">
      <c r="A2680" s="176">
        <v>53</v>
      </c>
      <c r="B2680" s="37" t="s">
        <v>1310</v>
      </c>
      <c r="C2680" s="38" t="s">
        <v>681</v>
      </c>
      <c r="D2680" s="231"/>
      <c r="E2680" s="231"/>
      <c r="F2680" s="231"/>
      <c r="G2680" s="231"/>
      <c r="H2680" s="231"/>
      <c r="I2680" s="231"/>
      <c r="J2680" s="231"/>
      <c r="K2680" s="231"/>
      <c r="L2680" s="231"/>
      <c r="M2680" s="231"/>
      <c r="N2680" s="231"/>
      <c r="O2680" s="231"/>
      <c r="P2680" s="231"/>
      <c r="Q2680" s="231"/>
      <c r="R2680" s="231"/>
      <c r="S2680" s="231"/>
      <c r="T2680" s="231"/>
      <c r="U2680" s="231"/>
      <c r="V2680" s="231"/>
      <c r="W2680" s="231"/>
      <c r="X2680" s="231"/>
      <c r="Y2680" s="231"/>
      <c r="Z2680" s="231"/>
      <c r="AA2680" s="231"/>
      <c r="AB2680" s="22">
        <f t="shared" si="828"/>
        <v>0</v>
      </c>
      <c r="AC2680" s="23">
        <v>0</v>
      </c>
      <c r="AD2680" s="35"/>
      <c r="AE2680" s="35"/>
      <c r="AF2680" s="35"/>
      <c r="AG2680" s="35"/>
      <c r="AH2680" s="35">
        <f>9+9</f>
        <v>18</v>
      </c>
      <c r="AI2680" s="35"/>
      <c r="AJ2680" s="35"/>
      <c r="AK2680" s="35"/>
      <c r="AL2680" s="35">
        <f>37+9+1</f>
        <v>47</v>
      </c>
      <c r="AM2680" s="35"/>
      <c r="AN2680" s="35"/>
      <c r="AO2680" s="35"/>
      <c r="AP2680" s="35">
        <f>32+10</f>
        <v>42</v>
      </c>
      <c r="AQ2680" s="35"/>
      <c r="AR2680" s="35"/>
      <c r="AS2680" s="35"/>
      <c r="AT2680" s="35"/>
      <c r="AU2680" s="35"/>
      <c r="AV2680" s="35"/>
      <c r="AW2680" s="35"/>
      <c r="AX2680" s="35"/>
      <c r="AY2680" s="35"/>
      <c r="AZ2680" s="35"/>
      <c r="BA2680" s="35"/>
      <c r="BB2680" s="22">
        <f t="shared" si="829"/>
        <v>107</v>
      </c>
      <c r="BC2680" s="23">
        <v>142</v>
      </c>
      <c r="BD2680" s="130">
        <f t="shared" si="830"/>
        <v>107</v>
      </c>
      <c r="BE2680" s="130">
        <f t="shared" si="831"/>
        <v>142</v>
      </c>
      <c r="BF2680" s="195">
        <f t="shared" si="832"/>
        <v>75.352112676056336</v>
      </c>
      <c r="BG2680" s="373">
        <f t="shared" si="833"/>
        <v>35</v>
      </c>
    </row>
    <row r="2681" spans="1:59" s="46" customFormat="1" ht="15.95" customHeight="1">
      <c r="A2681" s="176">
        <v>54</v>
      </c>
      <c r="B2681" s="31" t="s">
        <v>3531</v>
      </c>
      <c r="C2681" s="32" t="s">
        <v>3532</v>
      </c>
      <c r="D2681" s="231"/>
      <c r="E2681" s="231"/>
      <c r="F2681" s="231"/>
      <c r="G2681" s="231"/>
      <c r="H2681" s="231"/>
      <c r="I2681" s="231"/>
      <c r="J2681" s="231"/>
      <c r="K2681" s="231">
        <v>1</v>
      </c>
      <c r="L2681" s="231"/>
      <c r="M2681" s="231"/>
      <c r="N2681" s="231"/>
      <c r="O2681" s="231"/>
      <c r="P2681" s="231"/>
      <c r="Q2681" s="231"/>
      <c r="R2681" s="231"/>
      <c r="S2681" s="231"/>
      <c r="T2681" s="231"/>
      <c r="U2681" s="231"/>
      <c r="V2681" s="231"/>
      <c r="W2681" s="231"/>
      <c r="X2681" s="231"/>
      <c r="Y2681" s="231"/>
      <c r="Z2681" s="231"/>
      <c r="AA2681" s="231"/>
      <c r="AB2681" s="22">
        <f t="shared" si="828"/>
        <v>1</v>
      </c>
      <c r="AC2681" s="23">
        <v>0</v>
      </c>
      <c r="AD2681" s="35"/>
      <c r="AE2681" s="35"/>
      <c r="AF2681" s="35"/>
      <c r="AG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22">
        <f t="shared" si="829"/>
        <v>0</v>
      </c>
      <c r="BC2681" s="23">
        <v>3</v>
      </c>
      <c r="BD2681" s="130">
        <f t="shared" si="830"/>
        <v>1</v>
      </c>
      <c r="BE2681" s="130">
        <f t="shared" si="831"/>
        <v>3</v>
      </c>
      <c r="BF2681" s="195">
        <f t="shared" si="832"/>
        <v>33.333333333333329</v>
      </c>
      <c r="BG2681" s="373">
        <f t="shared" si="833"/>
        <v>2</v>
      </c>
    </row>
    <row r="2682" spans="1:59" s="46" customFormat="1" ht="15.95" customHeight="1">
      <c r="A2682" s="176">
        <v>55</v>
      </c>
      <c r="B2682" s="31" t="s">
        <v>1371</v>
      </c>
      <c r="C2682" s="32" t="s">
        <v>1372</v>
      </c>
      <c r="D2682" s="231"/>
      <c r="E2682" s="231"/>
      <c r="F2682" s="231"/>
      <c r="G2682" s="231"/>
      <c r="H2682" s="231"/>
      <c r="I2682" s="231"/>
      <c r="J2682" s="231"/>
      <c r="K2682" s="231"/>
      <c r="L2682" s="231"/>
      <c r="M2682" s="231"/>
      <c r="N2682" s="231"/>
      <c r="O2682" s="231"/>
      <c r="P2682" s="231"/>
      <c r="Q2682" s="231"/>
      <c r="R2682" s="231"/>
      <c r="S2682" s="231"/>
      <c r="T2682" s="231"/>
      <c r="U2682" s="231"/>
      <c r="V2682" s="231"/>
      <c r="W2682" s="231"/>
      <c r="X2682" s="231"/>
      <c r="Y2682" s="231"/>
      <c r="Z2682" s="231"/>
      <c r="AA2682" s="231"/>
      <c r="AB2682" s="22">
        <f t="shared" si="828"/>
        <v>0</v>
      </c>
      <c r="AC2682" s="23">
        <v>0</v>
      </c>
      <c r="AD2682" s="35"/>
      <c r="AE2682" s="35"/>
      <c r="AF2682" s="35"/>
      <c r="AG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22">
        <f t="shared" si="829"/>
        <v>0</v>
      </c>
      <c r="BC2682" s="23">
        <v>1</v>
      </c>
      <c r="BD2682" s="130">
        <f t="shared" si="830"/>
        <v>0</v>
      </c>
      <c r="BE2682" s="130">
        <f t="shared" si="831"/>
        <v>1</v>
      </c>
      <c r="BF2682" s="195">
        <f t="shared" si="832"/>
        <v>0</v>
      </c>
      <c r="BG2682" s="373">
        <f t="shared" si="833"/>
        <v>1</v>
      </c>
    </row>
    <row r="2683" spans="1:59" s="46" customFormat="1" ht="15.95" customHeight="1">
      <c r="A2683" s="176">
        <v>56</v>
      </c>
      <c r="B2683" s="31" t="s">
        <v>3254</v>
      </c>
      <c r="C2683" s="32" t="s">
        <v>3255</v>
      </c>
      <c r="D2683" s="231"/>
      <c r="E2683" s="231"/>
      <c r="F2683" s="231"/>
      <c r="G2683" s="231"/>
      <c r="H2683" s="231"/>
      <c r="I2683" s="231"/>
      <c r="J2683" s="231"/>
      <c r="K2683" s="231"/>
      <c r="L2683" s="231"/>
      <c r="M2683" s="231"/>
      <c r="N2683" s="231"/>
      <c r="O2683" s="231"/>
      <c r="P2683" s="231"/>
      <c r="Q2683" s="231"/>
      <c r="R2683" s="231"/>
      <c r="S2683" s="231"/>
      <c r="T2683" s="231"/>
      <c r="U2683" s="231"/>
      <c r="V2683" s="231"/>
      <c r="W2683" s="231"/>
      <c r="X2683" s="231"/>
      <c r="Y2683" s="231"/>
      <c r="Z2683" s="231"/>
      <c r="AA2683" s="231"/>
      <c r="AB2683" s="22">
        <f t="shared" si="828"/>
        <v>0</v>
      </c>
      <c r="AC2683" s="23">
        <v>0</v>
      </c>
      <c r="AD2683" s="35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22">
        <f t="shared" si="829"/>
        <v>0</v>
      </c>
      <c r="BC2683" s="23">
        <v>1</v>
      </c>
      <c r="BD2683" s="130">
        <f t="shared" si="830"/>
        <v>0</v>
      </c>
      <c r="BE2683" s="130">
        <f t="shared" si="831"/>
        <v>1</v>
      </c>
      <c r="BF2683" s="195">
        <f t="shared" si="832"/>
        <v>0</v>
      </c>
      <c r="BG2683" s="373">
        <f t="shared" si="833"/>
        <v>1</v>
      </c>
    </row>
    <row r="2684" spans="1:59" s="46" customFormat="1" ht="15.95" customHeight="1">
      <c r="A2684" s="176">
        <v>57</v>
      </c>
      <c r="B2684" s="31" t="s">
        <v>814</v>
      </c>
      <c r="C2684" s="34" t="s">
        <v>1374</v>
      </c>
      <c r="D2684" s="231"/>
      <c r="E2684" s="231"/>
      <c r="F2684" s="231"/>
      <c r="G2684" s="231"/>
      <c r="H2684" s="231"/>
      <c r="I2684" s="231"/>
      <c r="J2684" s="231"/>
      <c r="K2684" s="231"/>
      <c r="L2684" s="231"/>
      <c r="M2684" s="231"/>
      <c r="N2684" s="231"/>
      <c r="O2684" s="231"/>
      <c r="P2684" s="231"/>
      <c r="Q2684" s="231"/>
      <c r="R2684" s="231"/>
      <c r="S2684" s="231"/>
      <c r="T2684" s="231"/>
      <c r="U2684" s="231"/>
      <c r="V2684" s="231"/>
      <c r="W2684" s="231"/>
      <c r="X2684" s="231"/>
      <c r="Y2684" s="231"/>
      <c r="Z2684" s="231"/>
      <c r="AA2684" s="231"/>
      <c r="AB2684" s="22">
        <f t="shared" si="828"/>
        <v>0</v>
      </c>
      <c r="AC2684" s="23">
        <v>0</v>
      </c>
      <c r="AD2684" s="35"/>
      <c r="AE2684" s="35"/>
      <c r="AF2684" s="35"/>
      <c r="AG2684" s="35"/>
      <c r="AH2684" s="35">
        <v>4</v>
      </c>
      <c r="AI2684" s="35"/>
      <c r="AJ2684" s="35"/>
      <c r="AK2684" s="35"/>
      <c r="AL2684" s="35">
        <v>10</v>
      </c>
      <c r="AM2684" s="35"/>
      <c r="AN2684" s="35"/>
      <c r="AO2684" s="35"/>
      <c r="AP2684" s="35">
        <v>17</v>
      </c>
      <c r="AQ2684" s="35"/>
      <c r="AR2684" s="35"/>
      <c r="AS2684" s="35"/>
      <c r="AT2684" s="35"/>
      <c r="AU2684" s="35"/>
      <c r="AV2684" s="35"/>
      <c r="AW2684" s="35"/>
      <c r="AX2684" s="35"/>
      <c r="AY2684" s="35"/>
      <c r="AZ2684" s="35"/>
      <c r="BA2684" s="35"/>
      <c r="BB2684" s="22">
        <f t="shared" si="829"/>
        <v>31</v>
      </c>
      <c r="BC2684" s="23">
        <v>24</v>
      </c>
      <c r="BD2684" s="130">
        <f t="shared" si="830"/>
        <v>31</v>
      </c>
      <c r="BE2684" s="130">
        <f t="shared" si="831"/>
        <v>24</v>
      </c>
      <c r="BF2684" s="195">
        <f t="shared" si="832"/>
        <v>129.16666666666669</v>
      </c>
      <c r="BG2684" s="373">
        <f t="shared" si="833"/>
        <v>-7</v>
      </c>
    </row>
    <row r="2685" spans="1:59" s="46" customFormat="1" ht="15.95" customHeight="1">
      <c r="A2685" s="176">
        <v>58</v>
      </c>
      <c r="B2685" s="31" t="s">
        <v>905</v>
      </c>
      <c r="C2685" s="34" t="s">
        <v>3176</v>
      </c>
      <c r="D2685" s="552"/>
      <c r="E2685" s="552"/>
      <c r="F2685" s="552"/>
      <c r="G2685" s="552"/>
      <c r="H2685" s="552"/>
      <c r="I2685" s="552"/>
      <c r="J2685" s="552"/>
      <c r="K2685" s="552"/>
      <c r="L2685" s="552"/>
      <c r="M2685" s="552"/>
      <c r="N2685" s="552"/>
      <c r="O2685" s="552"/>
      <c r="P2685" s="552"/>
      <c r="Q2685" s="552"/>
      <c r="R2685" s="552"/>
      <c r="S2685" s="552"/>
      <c r="T2685" s="552"/>
      <c r="U2685" s="552"/>
      <c r="V2685" s="552"/>
      <c r="W2685" s="552"/>
      <c r="X2685" s="552"/>
      <c r="Y2685" s="552"/>
      <c r="Z2685" s="552"/>
      <c r="AA2685" s="552"/>
      <c r="AB2685" s="22">
        <f t="shared" si="828"/>
        <v>0</v>
      </c>
      <c r="AC2685" s="23">
        <v>0</v>
      </c>
      <c r="AD2685" s="35"/>
      <c r="AE2685" s="35"/>
      <c r="AF2685" s="35"/>
      <c r="AG2685" s="35"/>
      <c r="AH2685" s="35"/>
      <c r="AI2685" s="35"/>
      <c r="AJ2685" s="35"/>
      <c r="AK2685" s="35"/>
      <c r="AL2685" s="35">
        <v>1</v>
      </c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22">
        <f t="shared" si="829"/>
        <v>1</v>
      </c>
      <c r="BC2685" s="23">
        <v>0</v>
      </c>
      <c r="BD2685" s="130">
        <f t="shared" si="830"/>
        <v>1</v>
      </c>
      <c r="BE2685" s="130">
        <f t="shared" si="831"/>
        <v>0</v>
      </c>
      <c r="BF2685" s="195" t="e">
        <f t="shared" si="832"/>
        <v>#DIV/0!</v>
      </c>
      <c r="BG2685" s="373"/>
    </row>
    <row r="2686" spans="1:59" s="46" customFormat="1" ht="15.95" customHeight="1">
      <c r="A2686" s="176">
        <v>59</v>
      </c>
      <c r="B2686" s="31" t="s">
        <v>819</v>
      </c>
      <c r="C2686" s="34" t="s">
        <v>1369</v>
      </c>
      <c r="D2686" s="231"/>
      <c r="E2686" s="231"/>
      <c r="F2686" s="231"/>
      <c r="G2686" s="231"/>
      <c r="H2686" s="231"/>
      <c r="I2686" s="231"/>
      <c r="J2686" s="231"/>
      <c r="K2686" s="231"/>
      <c r="L2686" s="231"/>
      <c r="M2686" s="231"/>
      <c r="N2686" s="231"/>
      <c r="O2686" s="231"/>
      <c r="P2686" s="231"/>
      <c r="Q2686" s="231"/>
      <c r="R2686" s="231"/>
      <c r="S2686" s="231"/>
      <c r="T2686" s="231"/>
      <c r="U2686" s="231"/>
      <c r="V2686" s="231"/>
      <c r="W2686" s="231"/>
      <c r="X2686" s="231"/>
      <c r="Y2686" s="231"/>
      <c r="Z2686" s="231"/>
      <c r="AA2686" s="231"/>
      <c r="AB2686" s="22">
        <f t="shared" si="828"/>
        <v>0</v>
      </c>
      <c r="AC2686" s="23">
        <v>0</v>
      </c>
      <c r="AD2686" s="35">
        <v>200</v>
      </c>
      <c r="AE2686" s="35"/>
      <c r="AF2686" s="35"/>
      <c r="AG2686" s="35"/>
      <c r="AH2686" s="35">
        <f>98+138</f>
        <v>236</v>
      </c>
      <c r="AI2686" s="35"/>
      <c r="AJ2686" s="35"/>
      <c r="AK2686" s="35"/>
      <c r="AL2686" s="35">
        <f>117+2+547</f>
        <v>666</v>
      </c>
      <c r="AM2686" s="35"/>
      <c r="AN2686" s="35"/>
      <c r="AO2686" s="35"/>
      <c r="AP2686" s="35">
        <f>3+640</f>
        <v>643</v>
      </c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22">
        <f t="shared" si="829"/>
        <v>1745</v>
      </c>
      <c r="BC2686" s="23">
        <v>3085</v>
      </c>
      <c r="BD2686" s="130">
        <f t="shared" si="830"/>
        <v>1745</v>
      </c>
      <c r="BE2686" s="130">
        <f t="shared" si="831"/>
        <v>3085</v>
      </c>
      <c r="BF2686" s="195">
        <f t="shared" si="832"/>
        <v>56.56401944894651</v>
      </c>
      <c r="BG2686" s="373">
        <f t="shared" ref="BG2686:BG2712" si="834">BE2686-BD2686</f>
        <v>1340</v>
      </c>
    </row>
    <row r="2687" spans="1:59" s="46" customFormat="1" ht="15.95" customHeight="1">
      <c r="A2687" s="176">
        <v>60</v>
      </c>
      <c r="B2687" s="31" t="s">
        <v>1047</v>
      </c>
      <c r="C2687" s="34" t="s">
        <v>1326</v>
      </c>
      <c r="D2687" s="366">
        <v>1</v>
      </c>
      <c r="E2687" s="366"/>
      <c r="F2687" s="366"/>
      <c r="G2687" s="366"/>
      <c r="H2687" s="366"/>
      <c r="I2687" s="366"/>
      <c r="J2687" s="366"/>
      <c r="K2687" s="366"/>
      <c r="L2687" s="366">
        <v>1</v>
      </c>
      <c r="M2687" s="366"/>
      <c r="N2687" s="366"/>
      <c r="O2687" s="366"/>
      <c r="P2687" s="366"/>
      <c r="Q2687" s="366"/>
      <c r="R2687" s="366"/>
      <c r="S2687" s="366"/>
      <c r="T2687" s="366"/>
      <c r="U2687" s="366"/>
      <c r="V2687" s="366"/>
      <c r="W2687" s="366"/>
      <c r="X2687" s="366"/>
      <c r="Y2687" s="366"/>
      <c r="Z2687" s="366"/>
      <c r="AA2687" s="366"/>
      <c r="AB2687" s="22">
        <f t="shared" si="828"/>
        <v>2</v>
      </c>
      <c r="AC2687" s="23">
        <v>4</v>
      </c>
      <c r="AD2687" s="35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  <c r="AX2687" s="35"/>
      <c r="AY2687" s="35"/>
      <c r="AZ2687" s="35"/>
      <c r="BA2687" s="35"/>
      <c r="BB2687" s="22">
        <f t="shared" si="829"/>
        <v>0</v>
      </c>
      <c r="BC2687" s="23">
        <v>0</v>
      </c>
      <c r="BD2687" s="130">
        <f t="shared" si="830"/>
        <v>2</v>
      </c>
      <c r="BE2687" s="130">
        <f t="shared" si="831"/>
        <v>4</v>
      </c>
      <c r="BF2687" s="195">
        <f t="shared" si="832"/>
        <v>50</v>
      </c>
      <c r="BG2687" s="373">
        <f t="shared" si="834"/>
        <v>2</v>
      </c>
    </row>
    <row r="2688" spans="1:59" s="46" customFormat="1" ht="15.95" customHeight="1">
      <c r="A2688" s="176">
        <v>61</v>
      </c>
      <c r="B2688" s="31" t="s">
        <v>1327</v>
      </c>
      <c r="C2688" s="32" t="s">
        <v>1328</v>
      </c>
      <c r="D2688" s="366">
        <v>1</v>
      </c>
      <c r="E2688" s="366"/>
      <c r="F2688" s="366"/>
      <c r="G2688" s="366"/>
      <c r="H2688" s="366"/>
      <c r="I2688" s="366"/>
      <c r="J2688" s="366"/>
      <c r="K2688" s="366"/>
      <c r="L2688" s="366">
        <v>1</v>
      </c>
      <c r="M2688" s="366"/>
      <c r="N2688" s="366"/>
      <c r="O2688" s="366"/>
      <c r="P2688" s="366"/>
      <c r="Q2688" s="366"/>
      <c r="R2688" s="366"/>
      <c r="S2688" s="366"/>
      <c r="T2688" s="366"/>
      <c r="U2688" s="366"/>
      <c r="V2688" s="366"/>
      <c r="W2688" s="366"/>
      <c r="X2688" s="366"/>
      <c r="Y2688" s="366"/>
      <c r="Z2688" s="366"/>
      <c r="AA2688" s="366"/>
      <c r="AB2688" s="22">
        <f t="shared" si="828"/>
        <v>2</v>
      </c>
      <c r="AC2688" s="23">
        <v>3</v>
      </c>
      <c r="AD2688" s="35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22">
        <f t="shared" si="829"/>
        <v>0</v>
      </c>
      <c r="BC2688" s="23">
        <v>0</v>
      </c>
      <c r="BD2688" s="130">
        <f t="shared" si="830"/>
        <v>2</v>
      </c>
      <c r="BE2688" s="130">
        <f t="shared" si="831"/>
        <v>3</v>
      </c>
      <c r="BF2688" s="195">
        <f t="shared" si="832"/>
        <v>66.666666666666657</v>
      </c>
      <c r="BG2688" s="373">
        <f t="shared" si="834"/>
        <v>1</v>
      </c>
    </row>
    <row r="2689" spans="1:59" s="46" customFormat="1" ht="15.95" customHeight="1">
      <c r="A2689" s="176">
        <v>62</v>
      </c>
      <c r="B2689" s="31" t="s">
        <v>1375</v>
      </c>
      <c r="C2689" s="34" t="s">
        <v>1376</v>
      </c>
      <c r="D2689" s="366"/>
      <c r="E2689" s="366"/>
      <c r="F2689" s="366"/>
      <c r="G2689" s="366"/>
      <c r="H2689" s="366"/>
      <c r="I2689" s="366"/>
      <c r="J2689" s="366"/>
      <c r="K2689" s="366"/>
      <c r="L2689" s="366"/>
      <c r="M2689" s="366"/>
      <c r="N2689" s="366"/>
      <c r="O2689" s="366"/>
      <c r="P2689" s="366"/>
      <c r="Q2689" s="366"/>
      <c r="R2689" s="366"/>
      <c r="S2689" s="366"/>
      <c r="T2689" s="366"/>
      <c r="U2689" s="366"/>
      <c r="V2689" s="366"/>
      <c r="W2689" s="366"/>
      <c r="X2689" s="366"/>
      <c r="Y2689" s="366"/>
      <c r="Z2689" s="366"/>
      <c r="AA2689" s="366"/>
      <c r="AB2689" s="22">
        <f t="shared" si="828"/>
        <v>0</v>
      </c>
      <c r="AC2689" s="23">
        <v>0</v>
      </c>
      <c r="AD2689" s="35"/>
      <c r="AE2689" s="35"/>
      <c r="AF2689" s="35"/>
      <c r="AG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  <c r="AX2689" s="35"/>
      <c r="AY2689" s="35"/>
      <c r="AZ2689" s="35"/>
      <c r="BA2689" s="35"/>
      <c r="BB2689" s="22">
        <f t="shared" si="829"/>
        <v>0</v>
      </c>
      <c r="BC2689" s="23">
        <v>1</v>
      </c>
      <c r="BD2689" s="130">
        <f t="shared" si="830"/>
        <v>0</v>
      </c>
      <c r="BE2689" s="130">
        <f t="shared" si="831"/>
        <v>1</v>
      </c>
      <c r="BF2689" s="195">
        <f t="shared" si="832"/>
        <v>0</v>
      </c>
      <c r="BG2689" s="373">
        <f t="shared" si="834"/>
        <v>1</v>
      </c>
    </row>
    <row r="2690" spans="1:59" s="46" customFormat="1" ht="15.95" customHeight="1">
      <c r="A2690" s="176">
        <v>63</v>
      </c>
      <c r="B2690" s="31" t="s">
        <v>1099</v>
      </c>
      <c r="C2690" s="32" t="s">
        <v>1100</v>
      </c>
      <c r="D2690" s="366"/>
      <c r="E2690" s="366"/>
      <c r="F2690" s="366"/>
      <c r="G2690" s="366"/>
      <c r="H2690" s="366"/>
      <c r="I2690" s="366"/>
      <c r="J2690" s="366"/>
      <c r="K2690" s="366"/>
      <c r="L2690" s="366"/>
      <c r="M2690" s="366"/>
      <c r="N2690" s="366"/>
      <c r="O2690" s="366"/>
      <c r="P2690" s="366"/>
      <c r="Q2690" s="366"/>
      <c r="R2690" s="366"/>
      <c r="S2690" s="366"/>
      <c r="T2690" s="366"/>
      <c r="U2690" s="366"/>
      <c r="V2690" s="366"/>
      <c r="W2690" s="366"/>
      <c r="X2690" s="366"/>
      <c r="Y2690" s="366"/>
      <c r="Z2690" s="366"/>
      <c r="AA2690" s="366"/>
      <c r="AB2690" s="22">
        <f t="shared" si="828"/>
        <v>0</v>
      </c>
      <c r="AC2690" s="23">
        <v>0</v>
      </c>
      <c r="AD2690" s="35"/>
      <c r="AE2690" s="35"/>
      <c r="AF2690" s="35"/>
      <c r="AG2690" s="35"/>
      <c r="AH2690" s="35"/>
      <c r="AI2690" s="35"/>
      <c r="AJ2690" s="35"/>
      <c r="AK2690" s="35"/>
      <c r="AL2690" s="35">
        <v>9</v>
      </c>
      <c r="AM2690" s="35"/>
      <c r="AN2690" s="35"/>
      <c r="AO2690" s="35"/>
      <c r="AP2690" s="35">
        <v>2</v>
      </c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22">
        <f t="shared" si="829"/>
        <v>11</v>
      </c>
      <c r="BC2690" s="23">
        <v>78</v>
      </c>
      <c r="BD2690" s="130">
        <f t="shared" si="830"/>
        <v>11</v>
      </c>
      <c r="BE2690" s="130">
        <f t="shared" si="831"/>
        <v>78</v>
      </c>
      <c r="BF2690" s="195">
        <f t="shared" si="832"/>
        <v>14.102564102564102</v>
      </c>
      <c r="BG2690" s="373">
        <f t="shared" si="834"/>
        <v>67</v>
      </c>
    </row>
    <row r="2691" spans="1:59" s="46" customFormat="1" ht="15.95" customHeight="1">
      <c r="A2691" s="176">
        <v>64</v>
      </c>
      <c r="B2691" s="31" t="s">
        <v>821</v>
      </c>
      <c r="C2691" s="32" t="s">
        <v>1594</v>
      </c>
      <c r="D2691" s="366"/>
      <c r="E2691" s="366"/>
      <c r="F2691" s="366"/>
      <c r="G2691" s="366"/>
      <c r="H2691" s="366"/>
      <c r="I2691" s="366"/>
      <c r="J2691" s="366"/>
      <c r="K2691" s="366"/>
      <c r="L2691" s="366"/>
      <c r="M2691" s="366"/>
      <c r="N2691" s="366"/>
      <c r="O2691" s="366"/>
      <c r="P2691" s="366"/>
      <c r="Q2691" s="366"/>
      <c r="R2691" s="366"/>
      <c r="S2691" s="366"/>
      <c r="T2691" s="366"/>
      <c r="U2691" s="366"/>
      <c r="V2691" s="366"/>
      <c r="W2691" s="366"/>
      <c r="X2691" s="366"/>
      <c r="Y2691" s="366"/>
      <c r="Z2691" s="366"/>
      <c r="AA2691" s="366"/>
      <c r="AB2691" s="22">
        <f t="shared" si="828"/>
        <v>0</v>
      </c>
      <c r="AC2691" s="23">
        <v>0</v>
      </c>
      <c r="AD2691" s="35"/>
      <c r="AE2691" s="35"/>
      <c r="AF2691" s="35"/>
      <c r="AG2691" s="35"/>
      <c r="AH2691" s="35">
        <v>1</v>
      </c>
      <c r="AI2691" s="35"/>
      <c r="AJ2691" s="35"/>
      <c r="AK2691" s="35"/>
      <c r="AL2691" s="35">
        <v>10</v>
      </c>
      <c r="AM2691" s="35"/>
      <c r="AN2691" s="35"/>
      <c r="AO2691" s="35"/>
      <c r="AP2691" s="35">
        <v>7</v>
      </c>
      <c r="AQ2691" s="35"/>
      <c r="AR2691" s="35"/>
      <c r="AS2691" s="35"/>
      <c r="AT2691" s="35"/>
      <c r="AU2691" s="35"/>
      <c r="AV2691" s="35"/>
      <c r="AW2691" s="35"/>
      <c r="AX2691" s="35"/>
      <c r="AY2691" s="35"/>
      <c r="AZ2691" s="35"/>
      <c r="BA2691" s="35"/>
      <c r="BB2691" s="22">
        <f t="shared" si="829"/>
        <v>18</v>
      </c>
      <c r="BC2691" s="23">
        <v>25</v>
      </c>
      <c r="BD2691" s="130">
        <f t="shared" si="830"/>
        <v>18</v>
      </c>
      <c r="BE2691" s="130">
        <f t="shared" si="831"/>
        <v>25</v>
      </c>
      <c r="BF2691" s="195">
        <f t="shared" si="832"/>
        <v>72</v>
      </c>
      <c r="BG2691" s="373">
        <f t="shared" si="834"/>
        <v>7</v>
      </c>
    </row>
    <row r="2692" spans="1:59" s="46" customFormat="1" ht="15.95" customHeight="1">
      <c r="A2692" s="176">
        <v>65</v>
      </c>
      <c r="B2692" s="31" t="s">
        <v>1377</v>
      </c>
      <c r="C2692" s="32" t="s">
        <v>1378</v>
      </c>
      <c r="D2692" s="231"/>
      <c r="E2692" s="231"/>
      <c r="F2692" s="231"/>
      <c r="G2692" s="231"/>
      <c r="H2692" s="231"/>
      <c r="I2692" s="231"/>
      <c r="J2692" s="231"/>
      <c r="K2692" s="231"/>
      <c r="L2692" s="231"/>
      <c r="M2692" s="231"/>
      <c r="N2692" s="231"/>
      <c r="O2692" s="231"/>
      <c r="P2692" s="231"/>
      <c r="Q2692" s="231"/>
      <c r="R2692" s="231"/>
      <c r="S2692" s="231"/>
      <c r="T2692" s="231"/>
      <c r="U2692" s="231"/>
      <c r="V2692" s="231"/>
      <c r="W2692" s="231"/>
      <c r="X2692" s="231"/>
      <c r="Y2692" s="231"/>
      <c r="Z2692" s="231"/>
      <c r="AA2692" s="231"/>
      <c r="AB2692" s="22">
        <f t="shared" ref="AB2692:AB2723" si="835">SUM(D2692:AA2692)</f>
        <v>0</v>
      </c>
      <c r="AC2692" s="23">
        <v>0</v>
      </c>
      <c r="AD2692" s="35"/>
      <c r="AE2692" s="35"/>
      <c r="AF2692" s="35"/>
      <c r="AG2692" s="35"/>
      <c r="AH2692" s="35"/>
      <c r="AI2692" s="35"/>
      <c r="AJ2692" s="35"/>
      <c r="AK2692" s="35"/>
      <c r="AL2692" s="35">
        <v>9</v>
      </c>
      <c r="AM2692" s="35"/>
      <c r="AN2692" s="35"/>
      <c r="AO2692" s="35"/>
      <c r="AP2692" s="35">
        <v>2</v>
      </c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22">
        <f t="shared" ref="BB2692:BB2723" si="836">SUM(AD2692:BA2692)</f>
        <v>11</v>
      </c>
      <c r="BC2692" s="23">
        <v>78</v>
      </c>
      <c r="BD2692" s="130">
        <f t="shared" ref="BD2692:BD2723" si="837">AB2692+BB2692</f>
        <v>11</v>
      </c>
      <c r="BE2692" s="130">
        <f t="shared" ref="BE2692:BE2723" si="838">AC2692+BC2692</f>
        <v>78</v>
      </c>
      <c r="BF2692" s="195">
        <f t="shared" ref="BF2692:BF2723" si="839">BD2692/BE2692*100</f>
        <v>14.102564102564102</v>
      </c>
      <c r="BG2692" s="373">
        <f t="shared" si="834"/>
        <v>67</v>
      </c>
    </row>
    <row r="2693" spans="1:59" s="46" customFormat="1" ht="15.95" customHeight="1">
      <c r="A2693" s="176">
        <v>66</v>
      </c>
      <c r="B2693" s="31" t="s">
        <v>823</v>
      </c>
      <c r="C2693" s="32" t="s">
        <v>824</v>
      </c>
      <c r="D2693" s="366"/>
      <c r="E2693" s="366"/>
      <c r="F2693" s="366"/>
      <c r="G2693" s="366"/>
      <c r="H2693" s="366"/>
      <c r="I2693" s="366"/>
      <c r="J2693" s="366"/>
      <c r="K2693" s="366"/>
      <c r="L2693" s="366"/>
      <c r="M2693" s="366"/>
      <c r="N2693" s="366"/>
      <c r="O2693" s="366"/>
      <c r="P2693" s="366"/>
      <c r="Q2693" s="366"/>
      <c r="R2693" s="366"/>
      <c r="S2693" s="366"/>
      <c r="T2693" s="366"/>
      <c r="U2693" s="366"/>
      <c r="V2693" s="366"/>
      <c r="W2693" s="366"/>
      <c r="X2693" s="366"/>
      <c r="Y2693" s="366"/>
      <c r="Z2693" s="366"/>
      <c r="AA2693" s="366"/>
      <c r="AB2693" s="22">
        <f t="shared" si="835"/>
        <v>0</v>
      </c>
      <c r="AC2693" s="23">
        <v>0</v>
      </c>
      <c r="AD2693" s="35"/>
      <c r="AE2693" s="35"/>
      <c r="AF2693" s="35"/>
      <c r="AG2693" s="35"/>
      <c r="AH2693" s="35"/>
      <c r="AI2693" s="35"/>
      <c r="AJ2693" s="35"/>
      <c r="AK2693" s="35"/>
      <c r="AL2693" s="35">
        <v>3</v>
      </c>
      <c r="AM2693" s="35"/>
      <c r="AN2693" s="35"/>
      <c r="AO2693" s="35"/>
      <c r="AP2693" s="35">
        <v>2</v>
      </c>
      <c r="AQ2693" s="35"/>
      <c r="AR2693" s="35"/>
      <c r="AS2693" s="35"/>
      <c r="AT2693" s="35"/>
      <c r="AU2693" s="35"/>
      <c r="AV2693" s="35"/>
      <c r="AW2693" s="35"/>
      <c r="AX2693" s="35"/>
      <c r="AY2693" s="35"/>
      <c r="AZ2693" s="35"/>
      <c r="BA2693" s="35"/>
      <c r="BB2693" s="22">
        <f t="shared" si="836"/>
        <v>5</v>
      </c>
      <c r="BC2693" s="23">
        <v>86</v>
      </c>
      <c r="BD2693" s="130">
        <f t="shared" si="837"/>
        <v>5</v>
      </c>
      <c r="BE2693" s="130">
        <f t="shared" si="838"/>
        <v>86</v>
      </c>
      <c r="BF2693" s="195">
        <f t="shared" si="839"/>
        <v>5.8139534883720927</v>
      </c>
      <c r="BG2693" s="373">
        <f t="shared" si="834"/>
        <v>81</v>
      </c>
    </row>
    <row r="2694" spans="1:59" s="46" customFormat="1" ht="15.95" customHeight="1">
      <c r="A2694" s="176">
        <v>67</v>
      </c>
      <c r="B2694" s="31" t="s">
        <v>825</v>
      </c>
      <c r="C2694" s="32" t="s">
        <v>907</v>
      </c>
      <c r="D2694" s="366"/>
      <c r="E2694" s="366"/>
      <c r="F2694" s="366"/>
      <c r="G2694" s="366"/>
      <c r="H2694" s="366"/>
      <c r="I2694" s="366"/>
      <c r="J2694" s="366"/>
      <c r="K2694" s="366"/>
      <c r="L2694" s="366"/>
      <c r="M2694" s="366"/>
      <c r="N2694" s="366"/>
      <c r="O2694" s="366"/>
      <c r="P2694" s="366"/>
      <c r="Q2694" s="366"/>
      <c r="R2694" s="366"/>
      <c r="S2694" s="366"/>
      <c r="T2694" s="366"/>
      <c r="U2694" s="366"/>
      <c r="V2694" s="366"/>
      <c r="W2694" s="366"/>
      <c r="X2694" s="366"/>
      <c r="Y2694" s="366"/>
      <c r="Z2694" s="366"/>
      <c r="AA2694" s="366"/>
      <c r="AB2694" s="22">
        <f t="shared" si="835"/>
        <v>0</v>
      </c>
      <c r="AC2694" s="23">
        <v>0</v>
      </c>
      <c r="AD2694" s="35">
        <v>87</v>
      </c>
      <c r="AE2694" s="35"/>
      <c r="AF2694" s="35"/>
      <c r="AG2694" s="35"/>
      <c r="AH2694" s="35">
        <f>13+2</f>
        <v>15</v>
      </c>
      <c r="AI2694" s="35"/>
      <c r="AJ2694" s="35"/>
      <c r="AK2694" s="35"/>
      <c r="AL2694" s="35">
        <f>17+58</f>
        <v>75</v>
      </c>
      <c r="AM2694" s="35"/>
      <c r="AN2694" s="35"/>
      <c r="AO2694" s="35"/>
      <c r="AP2694" s="35">
        <v>31</v>
      </c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22">
        <f t="shared" si="836"/>
        <v>208</v>
      </c>
      <c r="BC2694" s="23">
        <v>260</v>
      </c>
      <c r="BD2694" s="130">
        <f t="shared" si="837"/>
        <v>208</v>
      </c>
      <c r="BE2694" s="130">
        <f t="shared" si="838"/>
        <v>260</v>
      </c>
      <c r="BF2694" s="195">
        <f t="shared" si="839"/>
        <v>80</v>
      </c>
      <c r="BG2694" s="373">
        <f t="shared" si="834"/>
        <v>52</v>
      </c>
    </row>
    <row r="2695" spans="1:59" s="46" customFormat="1" ht="15.95" customHeight="1">
      <c r="A2695" s="176">
        <v>68</v>
      </c>
      <c r="B2695" s="31" t="s">
        <v>827</v>
      </c>
      <c r="C2695" s="32" t="s">
        <v>1453</v>
      </c>
      <c r="D2695" s="366"/>
      <c r="E2695" s="366"/>
      <c r="F2695" s="366"/>
      <c r="G2695" s="366"/>
      <c r="H2695" s="366"/>
      <c r="I2695" s="366"/>
      <c r="J2695" s="366"/>
      <c r="K2695" s="366"/>
      <c r="L2695" s="366"/>
      <c r="M2695" s="366"/>
      <c r="N2695" s="366"/>
      <c r="O2695" s="366"/>
      <c r="P2695" s="366"/>
      <c r="Q2695" s="366"/>
      <c r="R2695" s="366"/>
      <c r="S2695" s="366"/>
      <c r="T2695" s="366"/>
      <c r="U2695" s="366"/>
      <c r="V2695" s="366"/>
      <c r="W2695" s="366"/>
      <c r="X2695" s="366"/>
      <c r="Y2695" s="366"/>
      <c r="Z2695" s="366"/>
      <c r="AA2695" s="366"/>
      <c r="AB2695" s="22">
        <f t="shared" si="835"/>
        <v>0</v>
      </c>
      <c r="AC2695" s="23">
        <v>0</v>
      </c>
      <c r="AD2695" s="35"/>
      <c r="AE2695" s="35"/>
      <c r="AF2695" s="35"/>
      <c r="AG2695" s="35"/>
      <c r="AH2695" s="35"/>
      <c r="AI2695" s="35"/>
      <c r="AJ2695" s="35"/>
      <c r="AK2695" s="35"/>
      <c r="AL2695" s="35">
        <v>2</v>
      </c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22">
        <f t="shared" si="836"/>
        <v>2</v>
      </c>
      <c r="BC2695" s="23">
        <v>2</v>
      </c>
      <c r="BD2695" s="130">
        <f t="shared" si="837"/>
        <v>2</v>
      </c>
      <c r="BE2695" s="130">
        <f t="shared" si="838"/>
        <v>2</v>
      </c>
      <c r="BF2695" s="195">
        <f t="shared" si="839"/>
        <v>100</v>
      </c>
      <c r="BG2695" s="373">
        <f t="shared" si="834"/>
        <v>0</v>
      </c>
    </row>
    <row r="2696" spans="1:59" s="46" customFormat="1" ht="15.95" customHeight="1">
      <c r="A2696" s="176">
        <v>69</v>
      </c>
      <c r="B2696" s="31" t="s">
        <v>829</v>
      </c>
      <c r="C2696" s="32" t="s">
        <v>830</v>
      </c>
      <c r="D2696" s="366"/>
      <c r="E2696" s="366"/>
      <c r="F2696" s="366"/>
      <c r="G2696" s="366"/>
      <c r="H2696" s="366"/>
      <c r="I2696" s="366"/>
      <c r="J2696" s="366"/>
      <c r="K2696" s="366"/>
      <c r="L2696" s="366"/>
      <c r="M2696" s="366"/>
      <c r="N2696" s="366"/>
      <c r="O2696" s="366"/>
      <c r="P2696" s="366"/>
      <c r="Q2696" s="366"/>
      <c r="R2696" s="366"/>
      <c r="S2696" s="366"/>
      <c r="T2696" s="366"/>
      <c r="U2696" s="366"/>
      <c r="V2696" s="366"/>
      <c r="W2696" s="366"/>
      <c r="X2696" s="366"/>
      <c r="Y2696" s="366"/>
      <c r="Z2696" s="366"/>
      <c r="AA2696" s="366"/>
      <c r="AB2696" s="22">
        <f t="shared" si="835"/>
        <v>0</v>
      </c>
      <c r="AC2696" s="23">
        <v>0</v>
      </c>
      <c r="AD2696" s="35"/>
      <c r="AE2696" s="35"/>
      <c r="AF2696" s="35"/>
      <c r="AG2696" s="35"/>
      <c r="AH2696" s="35"/>
      <c r="AI2696" s="35"/>
      <c r="AJ2696" s="35"/>
      <c r="AK2696" s="35"/>
      <c r="AL2696" s="35">
        <v>2</v>
      </c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22">
        <f t="shared" si="836"/>
        <v>2</v>
      </c>
      <c r="BC2696" s="23">
        <v>2</v>
      </c>
      <c r="BD2696" s="130">
        <f t="shared" si="837"/>
        <v>2</v>
      </c>
      <c r="BE2696" s="130">
        <f t="shared" si="838"/>
        <v>2</v>
      </c>
      <c r="BF2696" s="195">
        <f t="shared" si="839"/>
        <v>100</v>
      </c>
      <c r="BG2696" s="373">
        <f t="shared" si="834"/>
        <v>0</v>
      </c>
    </row>
    <row r="2697" spans="1:59" s="46" customFormat="1" ht="15.95" customHeight="1">
      <c r="A2697" s="176">
        <v>70</v>
      </c>
      <c r="B2697" s="31" t="s">
        <v>835</v>
      </c>
      <c r="C2697" s="32" t="s">
        <v>947</v>
      </c>
      <c r="D2697" s="366"/>
      <c r="E2697" s="366"/>
      <c r="F2697" s="366"/>
      <c r="G2697" s="366"/>
      <c r="H2697" s="366"/>
      <c r="I2697" s="366"/>
      <c r="J2697" s="366"/>
      <c r="K2697" s="366"/>
      <c r="L2697" s="366"/>
      <c r="M2697" s="366"/>
      <c r="N2697" s="366"/>
      <c r="O2697" s="366"/>
      <c r="P2697" s="366"/>
      <c r="Q2697" s="366"/>
      <c r="R2697" s="366"/>
      <c r="S2697" s="366"/>
      <c r="T2697" s="366"/>
      <c r="U2697" s="366"/>
      <c r="V2697" s="366"/>
      <c r="W2697" s="366"/>
      <c r="X2697" s="366"/>
      <c r="Y2697" s="366"/>
      <c r="Z2697" s="366"/>
      <c r="AA2697" s="366"/>
      <c r="AB2697" s="22">
        <f t="shared" si="835"/>
        <v>0</v>
      </c>
      <c r="AC2697" s="23">
        <v>0</v>
      </c>
      <c r="AD2697" s="35"/>
      <c r="AE2697" s="35"/>
      <c r="AF2697" s="35"/>
      <c r="AG2697" s="35"/>
      <c r="AH2697" s="35"/>
      <c r="AI2697" s="35"/>
      <c r="AJ2697" s="35"/>
      <c r="AK2697" s="35"/>
      <c r="AL2697" s="35">
        <v>13</v>
      </c>
      <c r="AM2697" s="35"/>
      <c r="AN2697" s="35"/>
      <c r="AO2697" s="35"/>
      <c r="AP2697" s="35">
        <v>16</v>
      </c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22">
        <f t="shared" si="836"/>
        <v>29</v>
      </c>
      <c r="BC2697" s="23">
        <v>157</v>
      </c>
      <c r="BD2697" s="130">
        <f t="shared" si="837"/>
        <v>29</v>
      </c>
      <c r="BE2697" s="130">
        <f t="shared" si="838"/>
        <v>157</v>
      </c>
      <c r="BF2697" s="195">
        <f t="shared" si="839"/>
        <v>18.471337579617835</v>
      </c>
      <c r="BG2697" s="373">
        <f t="shared" si="834"/>
        <v>128</v>
      </c>
    </row>
    <row r="2698" spans="1:59" s="46" customFormat="1" ht="15.95" customHeight="1">
      <c r="A2698" s="176">
        <v>71</v>
      </c>
      <c r="B2698" s="31" t="s">
        <v>1013</v>
      </c>
      <c r="C2698" s="32" t="s">
        <v>2260</v>
      </c>
      <c r="D2698" s="366"/>
      <c r="E2698" s="366"/>
      <c r="F2698" s="366"/>
      <c r="G2698" s="366"/>
      <c r="H2698" s="366"/>
      <c r="I2698" s="366"/>
      <c r="J2698" s="366"/>
      <c r="K2698" s="366"/>
      <c r="L2698" s="366"/>
      <c r="M2698" s="366"/>
      <c r="N2698" s="366"/>
      <c r="O2698" s="366"/>
      <c r="P2698" s="366"/>
      <c r="Q2698" s="366"/>
      <c r="R2698" s="366"/>
      <c r="S2698" s="366"/>
      <c r="T2698" s="366"/>
      <c r="U2698" s="366"/>
      <c r="V2698" s="366"/>
      <c r="W2698" s="366"/>
      <c r="X2698" s="366"/>
      <c r="Y2698" s="366"/>
      <c r="Z2698" s="366"/>
      <c r="AA2698" s="366"/>
      <c r="AB2698" s="22">
        <f t="shared" si="835"/>
        <v>0</v>
      </c>
      <c r="AC2698" s="23">
        <v>0</v>
      </c>
      <c r="AD2698" s="35"/>
      <c r="AE2698" s="35"/>
      <c r="AF2698" s="35"/>
      <c r="AG2698" s="35"/>
      <c r="AH2698" s="35"/>
      <c r="AI2698" s="35"/>
      <c r="AJ2698" s="35"/>
      <c r="AK2698" s="35"/>
      <c r="AL2698" s="35"/>
      <c r="AM2698" s="35"/>
      <c r="AN2698" s="35"/>
      <c r="AO2698" s="35"/>
      <c r="AP2698" s="35">
        <v>7</v>
      </c>
      <c r="AQ2698" s="35"/>
      <c r="AR2698" s="35"/>
      <c r="AS2698" s="35"/>
      <c r="AT2698" s="35"/>
      <c r="AU2698" s="35"/>
      <c r="AV2698" s="35"/>
      <c r="AW2698" s="35"/>
      <c r="AX2698" s="35"/>
      <c r="AY2698" s="35"/>
      <c r="AZ2698" s="35"/>
      <c r="BA2698" s="35"/>
      <c r="BB2698" s="22">
        <f t="shared" si="836"/>
        <v>7</v>
      </c>
      <c r="BC2698" s="23">
        <v>6</v>
      </c>
      <c r="BD2698" s="130">
        <f t="shared" si="837"/>
        <v>7</v>
      </c>
      <c r="BE2698" s="130">
        <f t="shared" si="838"/>
        <v>6</v>
      </c>
      <c r="BF2698" s="195">
        <f t="shared" si="839"/>
        <v>116.66666666666667</v>
      </c>
      <c r="BG2698" s="373">
        <f t="shared" si="834"/>
        <v>-1</v>
      </c>
    </row>
    <row r="2699" spans="1:59" s="46" customFormat="1" ht="15.95" customHeight="1">
      <c r="A2699" s="176">
        <v>72</v>
      </c>
      <c r="B2699" s="31" t="s">
        <v>837</v>
      </c>
      <c r="C2699" s="32" t="s">
        <v>908</v>
      </c>
      <c r="D2699" s="231"/>
      <c r="E2699" s="231"/>
      <c r="F2699" s="231"/>
      <c r="G2699" s="231"/>
      <c r="H2699" s="231"/>
      <c r="I2699" s="231"/>
      <c r="J2699" s="231"/>
      <c r="K2699" s="231"/>
      <c r="L2699" s="231"/>
      <c r="M2699" s="231"/>
      <c r="N2699" s="231"/>
      <c r="O2699" s="231"/>
      <c r="P2699" s="231"/>
      <c r="Q2699" s="231"/>
      <c r="R2699" s="231"/>
      <c r="S2699" s="231"/>
      <c r="T2699" s="231"/>
      <c r="U2699" s="231"/>
      <c r="V2699" s="231"/>
      <c r="W2699" s="231"/>
      <c r="X2699" s="231"/>
      <c r="Y2699" s="231"/>
      <c r="Z2699" s="231"/>
      <c r="AA2699" s="231"/>
      <c r="AB2699" s="22">
        <f t="shared" si="835"/>
        <v>0</v>
      </c>
      <c r="AC2699" s="23">
        <v>0</v>
      </c>
      <c r="AD2699" s="35">
        <v>2</v>
      </c>
      <c r="AE2699" s="35"/>
      <c r="AF2699" s="35"/>
      <c r="AG2699" s="35"/>
      <c r="AH2699" s="35"/>
      <c r="AI2699" s="35"/>
      <c r="AJ2699" s="35"/>
      <c r="AK2699" s="35"/>
      <c r="AL2699" s="35">
        <f>2+19</f>
        <v>21</v>
      </c>
      <c r="AM2699" s="35"/>
      <c r="AN2699" s="35"/>
      <c r="AO2699" s="35"/>
      <c r="AP2699" s="35">
        <v>17</v>
      </c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22">
        <f t="shared" si="836"/>
        <v>40</v>
      </c>
      <c r="BC2699" s="23">
        <v>84</v>
      </c>
      <c r="BD2699" s="130">
        <f t="shared" si="837"/>
        <v>40</v>
      </c>
      <c r="BE2699" s="130">
        <f t="shared" si="838"/>
        <v>84</v>
      </c>
      <c r="BF2699" s="195">
        <f t="shared" si="839"/>
        <v>47.619047619047613</v>
      </c>
      <c r="BG2699" s="373">
        <f t="shared" si="834"/>
        <v>44</v>
      </c>
    </row>
    <row r="2700" spans="1:59" s="46" customFormat="1" ht="15.95" customHeight="1">
      <c r="A2700" s="176">
        <v>73</v>
      </c>
      <c r="B2700" s="31" t="s">
        <v>839</v>
      </c>
      <c r="C2700" s="32" t="s">
        <v>840</v>
      </c>
      <c r="D2700" s="231"/>
      <c r="E2700" s="231"/>
      <c r="F2700" s="231"/>
      <c r="G2700" s="231"/>
      <c r="H2700" s="231"/>
      <c r="I2700" s="231"/>
      <c r="J2700" s="231"/>
      <c r="K2700" s="231"/>
      <c r="L2700" s="231"/>
      <c r="M2700" s="231"/>
      <c r="N2700" s="231"/>
      <c r="O2700" s="231"/>
      <c r="P2700" s="231"/>
      <c r="Q2700" s="231"/>
      <c r="R2700" s="231"/>
      <c r="S2700" s="231"/>
      <c r="T2700" s="231"/>
      <c r="U2700" s="231"/>
      <c r="V2700" s="231"/>
      <c r="W2700" s="231"/>
      <c r="X2700" s="231"/>
      <c r="Y2700" s="231"/>
      <c r="Z2700" s="231"/>
      <c r="AA2700" s="231"/>
      <c r="AB2700" s="22">
        <f t="shared" si="835"/>
        <v>0</v>
      </c>
      <c r="AC2700" s="23">
        <v>0</v>
      </c>
      <c r="AD2700" s="35"/>
      <c r="AE2700" s="35"/>
      <c r="AF2700" s="35"/>
      <c r="AG2700" s="35"/>
      <c r="AH2700" s="35"/>
      <c r="AI2700" s="35"/>
      <c r="AJ2700" s="35"/>
      <c r="AK2700" s="35"/>
      <c r="AL2700" s="35">
        <v>2</v>
      </c>
      <c r="AM2700" s="35"/>
      <c r="AN2700" s="35"/>
      <c r="AO2700" s="35"/>
      <c r="AP2700" s="35">
        <v>2</v>
      </c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22">
        <f t="shared" si="836"/>
        <v>4</v>
      </c>
      <c r="BC2700" s="23">
        <v>4</v>
      </c>
      <c r="BD2700" s="130">
        <f t="shared" si="837"/>
        <v>4</v>
      </c>
      <c r="BE2700" s="130">
        <f t="shared" si="838"/>
        <v>4</v>
      </c>
      <c r="BF2700" s="195">
        <f t="shared" si="839"/>
        <v>100</v>
      </c>
      <c r="BG2700" s="373">
        <f t="shared" si="834"/>
        <v>0</v>
      </c>
    </row>
    <row r="2701" spans="1:59" s="46" customFormat="1" ht="15.95" customHeight="1">
      <c r="A2701" s="176">
        <v>74</v>
      </c>
      <c r="B2701" s="31" t="s">
        <v>909</v>
      </c>
      <c r="C2701" s="32" t="s">
        <v>910</v>
      </c>
      <c r="D2701" s="231"/>
      <c r="E2701" s="231"/>
      <c r="F2701" s="231"/>
      <c r="G2701" s="231"/>
      <c r="H2701" s="231"/>
      <c r="I2701" s="231"/>
      <c r="J2701" s="231"/>
      <c r="K2701" s="231"/>
      <c r="L2701" s="231"/>
      <c r="M2701" s="231"/>
      <c r="N2701" s="231"/>
      <c r="O2701" s="231"/>
      <c r="P2701" s="231"/>
      <c r="Q2701" s="231"/>
      <c r="R2701" s="231"/>
      <c r="S2701" s="231"/>
      <c r="T2701" s="231"/>
      <c r="U2701" s="231"/>
      <c r="V2701" s="231"/>
      <c r="W2701" s="231"/>
      <c r="X2701" s="231"/>
      <c r="Y2701" s="231"/>
      <c r="Z2701" s="231"/>
      <c r="AA2701" s="231"/>
      <c r="AB2701" s="22">
        <f t="shared" si="835"/>
        <v>0</v>
      </c>
      <c r="AC2701" s="23">
        <v>0</v>
      </c>
      <c r="AD2701" s="35"/>
      <c r="AE2701" s="35"/>
      <c r="AF2701" s="35"/>
      <c r="AG2701" s="35"/>
      <c r="AH2701" s="35">
        <v>10</v>
      </c>
      <c r="AI2701" s="35"/>
      <c r="AJ2701" s="35"/>
      <c r="AK2701" s="35"/>
      <c r="AL2701" s="35">
        <v>87</v>
      </c>
      <c r="AM2701" s="35"/>
      <c r="AN2701" s="35"/>
      <c r="AO2701" s="35"/>
      <c r="AP2701" s="35">
        <v>59</v>
      </c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22">
        <f t="shared" si="836"/>
        <v>156</v>
      </c>
      <c r="BC2701" s="23">
        <v>402</v>
      </c>
      <c r="BD2701" s="130">
        <f t="shared" si="837"/>
        <v>156</v>
      </c>
      <c r="BE2701" s="130">
        <f t="shared" si="838"/>
        <v>402</v>
      </c>
      <c r="BF2701" s="195">
        <f t="shared" si="839"/>
        <v>38.805970149253731</v>
      </c>
      <c r="BG2701" s="373">
        <f t="shared" si="834"/>
        <v>246</v>
      </c>
    </row>
    <row r="2702" spans="1:59" s="46" customFormat="1" ht="15.95" customHeight="1">
      <c r="A2702" s="176">
        <v>75</v>
      </c>
      <c r="B2702" s="31" t="s">
        <v>1636</v>
      </c>
      <c r="C2702" s="32" t="s">
        <v>1637</v>
      </c>
      <c r="D2702" s="231"/>
      <c r="E2702" s="231"/>
      <c r="F2702" s="231"/>
      <c r="G2702" s="231"/>
      <c r="H2702" s="231"/>
      <c r="I2702" s="231"/>
      <c r="J2702" s="231"/>
      <c r="K2702" s="231"/>
      <c r="L2702" s="231"/>
      <c r="M2702" s="231"/>
      <c r="N2702" s="231"/>
      <c r="O2702" s="231"/>
      <c r="P2702" s="231"/>
      <c r="Q2702" s="231"/>
      <c r="R2702" s="231"/>
      <c r="S2702" s="231"/>
      <c r="T2702" s="231"/>
      <c r="U2702" s="231"/>
      <c r="V2702" s="231"/>
      <c r="W2702" s="231"/>
      <c r="X2702" s="231"/>
      <c r="Y2702" s="231"/>
      <c r="Z2702" s="231"/>
      <c r="AA2702" s="231"/>
      <c r="AB2702" s="22">
        <f t="shared" si="835"/>
        <v>0</v>
      </c>
      <c r="AC2702" s="23">
        <v>0</v>
      </c>
      <c r="AD2702" s="35"/>
      <c r="AE2702" s="35"/>
      <c r="AF2702" s="35"/>
      <c r="AG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22">
        <f t="shared" si="836"/>
        <v>0</v>
      </c>
      <c r="BC2702" s="23">
        <v>51</v>
      </c>
      <c r="BD2702" s="130">
        <f t="shared" si="837"/>
        <v>0</v>
      </c>
      <c r="BE2702" s="130">
        <f t="shared" si="838"/>
        <v>51</v>
      </c>
      <c r="BF2702" s="195">
        <f t="shared" si="839"/>
        <v>0</v>
      </c>
      <c r="BG2702" s="373">
        <f t="shared" si="834"/>
        <v>51</v>
      </c>
    </row>
    <row r="2703" spans="1:59" s="46" customFormat="1" ht="15.95" customHeight="1">
      <c r="A2703" s="176">
        <v>76</v>
      </c>
      <c r="B2703" s="31" t="s">
        <v>841</v>
      </c>
      <c r="C2703" s="32" t="s">
        <v>842</v>
      </c>
      <c r="D2703" s="231"/>
      <c r="E2703" s="231"/>
      <c r="F2703" s="231"/>
      <c r="G2703" s="231"/>
      <c r="H2703" s="231"/>
      <c r="I2703" s="231"/>
      <c r="J2703" s="231"/>
      <c r="K2703" s="231"/>
      <c r="L2703" s="231"/>
      <c r="M2703" s="231"/>
      <c r="N2703" s="231"/>
      <c r="O2703" s="231"/>
      <c r="P2703" s="231"/>
      <c r="Q2703" s="231"/>
      <c r="R2703" s="231"/>
      <c r="S2703" s="231"/>
      <c r="T2703" s="231"/>
      <c r="U2703" s="231"/>
      <c r="V2703" s="231"/>
      <c r="W2703" s="231"/>
      <c r="X2703" s="231"/>
      <c r="Y2703" s="231"/>
      <c r="Z2703" s="231"/>
      <c r="AA2703" s="231"/>
      <c r="AB2703" s="22">
        <f t="shared" si="835"/>
        <v>0</v>
      </c>
      <c r="AC2703" s="23">
        <v>0</v>
      </c>
      <c r="AD2703" s="35">
        <v>1</v>
      </c>
      <c r="AE2703" s="35"/>
      <c r="AF2703" s="35"/>
      <c r="AG2703" s="35"/>
      <c r="AH2703" s="35"/>
      <c r="AI2703" s="35"/>
      <c r="AJ2703" s="35"/>
      <c r="AK2703" s="35"/>
      <c r="AL2703" s="35">
        <v>35</v>
      </c>
      <c r="AM2703" s="35"/>
      <c r="AN2703" s="35"/>
      <c r="AO2703" s="35"/>
      <c r="AP2703" s="35">
        <v>10</v>
      </c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22">
        <f t="shared" si="836"/>
        <v>46</v>
      </c>
      <c r="BC2703" s="23">
        <v>188</v>
      </c>
      <c r="BD2703" s="130">
        <f t="shared" si="837"/>
        <v>46</v>
      </c>
      <c r="BE2703" s="130">
        <f t="shared" si="838"/>
        <v>188</v>
      </c>
      <c r="BF2703" s="195">
        <f t="shared" si="839"/>
        <v>24.468085106382979</v>
      </c>
      <c r="BG2703" s="373">
        <f t="shared" si="834"/>
        <v>142</v>
      </c>
    </row>
    <row r="2704" spans="1:59" s="46" customFormat="1" ht="15.95" customHeight="1">
      <c r="A2704" s="176">
        <v>77</v>
      </c>
      <c r="B2704" s="31" t="s">
        <v>911</v>
      </c>
      <c r="C2704" s="32" t="s">
        <v>1127</v>
      </c>
      <c r="D2704" s="231"/>
      <c r="E2704" s="231"/>
      <c r="F2704" s="231"/>
      <c r="G2704" s="231"/>
      <c r="H2704" s="231"/>
      <c r="I2704" s="231"/>
      <c r="J2704" s="231"/>
      <c r="K2704" s="231"/>
      <c r="L2704" s="231"/>
      <c r="M2704" s="231"/>
      <c r="N2704" s="231"/>
      <c r="O2704" s="231"/>
      <c r="P2704" s="231"/>
      <c r="Q2704" s="231"/>
      <c r="R2704" s="231"/>
      <c r="S2704" s="231"/>
      <c r="T2704" s="231"/>
      <c r="U2704" s="231"/>
      <c r="V2704" s="231"/>
      <c r="W2704" s="231"/>
      <c r="X2704" s="231"/>
      <c r="Y2704" s="231"/>
      <c r="Z2704" s="231"/>
      <c r="AA2704" s="231"/>
      <c r="AB2704" s="22">
        <f t="shared" si="835"/>
        <v>0</v>
      </c>
      <c r="AC2704" s="23">
        <v>0</v>
      </c>
      <c r="AD2704" s="35">
        <v>3</v>
      </c>
      <c r="AE2704" s="35"/>
      <c r="AF2704" s="35"/>
      <c r="AG2704" s="35"/>
      <c r="AH2704" s="35">
        <v>60</v>
      </c>
      <c r="AI2704" s="35"/>
      <c r="AJ2704" s="35"/>
      <c r="AK2704" s="35"/>
      <c r="AL2704" s="35">
        <v>198</v>
      </c>
      <c r="AM2704" s="35"/>
      <c r="AN2704" s="35"/>
      <c r="AO2704" s="35"/>
      <c r="AP2704" s="35">
        <v>216</v>
      </c>
      <c r="AQ2704" s="35"/>
      <c r="AR2704" s="35"/>
      <c r="AS2704" s="35"/>
      <c r="AT2704" s="35"/>
      <c r="AU2704" s="35"/>
      <c r="AV2704" s="35"/>
      <c r="AW2704" s="35"/>
      <c r="AX2704" s="35"/>
      <c r="AY2704" s="35"/>
      <c r="AZ2704" s="35"/>
      <c r="BA2704" s="35"/>
      <c r="BB2704" s="22">
        <f t="shared" si="836"/>
        <v>477</v>
      </c>
      <c r="BC2704" s="23">
        <v>692</v>
      </c>
      <c r="BD2704" s="130">
        <f t="shared" si="837"/>
        <v>477</v>
      </c>
      <c r="BE2704" s="130">
        <f t="shared" si="838"/>
        <v>692</v>
      </c>
      <c r="BF2704" s="195">
        <f t="shared" si="839"/>
        <v>68.930635838150295</v>
      </c>
      <c r="BG2704" s="373">
        <f t="shared" si="834"/>
        <v>215</v>
      </c>
    </row>
    <row r="2705" spans="1:59" s="46" customFormat="1" ht="15.95" customHeight="1">
      <c r="A2705" s="176">
        <v>78</v>
      </c>
      <c r="B2705" s="31" t="s">
        <v>2258</v>
      </c>
      <c r="C2705" s="32" t="s">
        <v>2259</v>
      </c>
      <c r="D2705" s="231"/>
      <c r="E2705" s="231"/>
      <c r="F2705" s="231"/>
      <c r="G2705" s="231"/>
      <c r="H2705" s="231"/>
      <c r="I2705" s="231"/>
      <c r="J2705" s="231"/>
      <c r="K2705" s="231"/>
      <c r="L2705" s="231"/>
      <c r="M2705" s="231"/>
      <c r="N2705" s="231"/>
      <c r="O2705" s="231"/>
      <c r="P2705" s="231"/>
      <c r="Q2705" s="231"/>
      <c r="R2705" s="231"/>
      <c r="S2705" s="231"/>
      <c r="T2705" s="231"/>
      <c r="U2705" s="231"/>
      <c r="V2705" s="231"/>
      <c r="W2705" s="231"/>
      <c r="X2705" s="231"/>
      <c r="Y2705" s="231"/>
      <c r="Z2705" s="231"/>
      <c r="AA2705" s="231"/>
      <c r="AB2705" s="22">
        <f t="shared" si="835"/>
        <v>0</v>
      </c>
      <c r="AC2705" s="23">
        <v>0</v>
      </c>
      <c r="AD2705" s="35"/>
      <c r="AE2705" s="35"/>
      <c r="AF2705" s="35"/>
      <c r="AG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  <c r="AX2705" s="35"/>
      <c r="AY2705" s="35"/>
      <c r="AZ2705" s="35"/>
      <c r="BA2705" s="35"/>
      <c r="BB2705" s="22">
        <f t="shared" si="836"/>
        <v>0</v>
      </c>
      <c r="BC2705" s="23">
        <v>5</v>
      </c>
      <c r="BD2705" s="130">
        <f t="shared" si="837"/>
        <v>0</v>
      </c>
      <c r="BE2705" s="130">
        <f t="shared" si="838"/>
        <v>5</v>
      </c>
      <c r="BF2705" s="195">
        <f t="shared" si="839"/>
        <v>0</v>
      </c>
      <c r="BG2705" s="373">
        <f t="shared" si="834"/>
        <v>5</v>
      </c>
    </row>
    <row r="2706" spans="1:59" s="46" customFormat="1" ht="15.95" customHeight="1">
      <c r="A2706" s="176">
        <v>79</v>
      </c>
      <c r="B2706" s="31" t="s">
        <v>1112</v>
      </c>
      <c r="C2706" s="34" t="s">
        <v>2058</v>
      </c>
      <c r="D2706" s="231">
        <v>1</v>
      </c>
      <c r="E2706" s="231"/>
      <c r="F2706" s="231"/>
      <c r="G2706" s="231"/>
      <c r="H2706" s="231"/>
      <c r="I2706" s="231"/>
      <c r="J2706" s="231"/>
      <c r="K2706" s="231"/>
      <c r="L2706" s="231">
        <v>1</v>
      </c>
      <c r="M2706" s="231"/>
      <c r="N2706" s="231"/>
      <c r="O2706" s="231"/>
      <c r="P2706" s="231"/>
      <c r="Q2706" s="231"/>
      <c r="R2706" s="231"/>
      <c r="S2706" s="231"/>
      <c r="T2706" s="231"/>
      <c r="U2706" s="231"/>
      <c r="V2706" s="231"/>
      <c r="W2706" s="231"/>
      <c r="X2706" s="231"/>
      <c r="Y2706" s="231"/>
      <c r="Z2706" s="231"/>
      <c r="AA2706" s="231"/>
      <c r="AB2706" s="22">
        <f t="shared" si="835"/>
        <v>2</v>
      </c>
      <c r="AC2706" s="23">
        <v>0</v>
      </c>
      <c r="AD2706" s="35"/>
      <c r="AE2706" s="35"/>
      <c r="AF2706" s="35"/>
      <c r="AG2706" s="35"/>
      <c r="AH2706" s="35"/>
      <c r="AI2706" s="35"/>
      <c r="AJ2706" s="35"/>
      <c r="AK2706" s="35"/>
      <c r="AL2706" s="35">
        <v>2</v>
      </c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  <c r="AX2706" s="35"/>
      <c r="AY2706" s="35"/>
      <c r="AZ2706" s="35"/>
      <c r="BA2706" s="35"/>
      <c r="BB2706" s="22">
        <f t="shared" si="836"/>
        <v>2</v>
      </c>
      <c r="BC2706" s="23">
        <v>2</v>
      </c>
      <c r="BD2706" s="130">
        <f t="shared" si="837"/>
        <v>4</v>
      </c>
      <c r="BE2706" s="130">
        <f t="shared" si="838"/>
        <v>2</v>
      </c>
      <c r="BF2706" s="195">
        <f t="shared" si="839"/>
        <v>200</v>
      </c>
      <c r="BG2706" s="373">
        <f t="shared" si="834"/>
        <v>-2</v>
      </c>
    </row>
    <row r="2707" spans="1:59" s="46" customFormat="1" ht="15.95" customHeight="1">
      <c r="A2707" s="176">
        <v>80</v>
      </c>
      <c r="B2707" s="31" t="s">
        <v>3533</v>
      </c>
      <c r="C2707" s="32" t="s">
        <v>3534</v>
      </c>
      <c r="D2707" s="231"/>
      <c r="E2707" s="231"/>
      <c r="F2707" s="231"/>
      <c r="G2707" s="231"/>
      <c r="H2707" s="231">
        <v>1</v>
      </c>
      <c r="I2707" s="231"/>
      <c r="J2707" s="231"/>
      <c r="K2707" s="231"/>
      <c r="L2707" s="231"/>
      <c r="M2707" s="231"/>
      <c r="N2707" s="231"/>
      <c r="O2707" s="231"/>
      <c r="P2707" s="231"/>
      <c r="Q2707" s="231"/>
      <c r="R2707" s="231"/>
      <c r="S2707" s="231"/>
      <c r="T2707" s="231"/>
      <c r="U2707" s="231"/>
      <c r="V2707" s="231"/>
      <c r="W2707" s="231"/>
      <c r="X2707" s="231"/>
      <c r="Y2707" s="231"/>
      <c r="Z2707" s="231"/>
      <c r="AA2707" s="231"/>
      <c r="AB2707" s="22">
        <f t="shared" si="835"/>
        <v>1</v>
      </c>
      <c r="AC2707" s="23">
        <v>1</v>
      </c>
      <c r="AD2707" s="35"/>
      <c r="AE2707" s="35"/>
      <c r="AF2707" s="35"/>
      <c r="AG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22">
        <f t="shared" si="836"/>
        <v>0</v>
      </c>
      <c r="BC2707" s="23">
        <v>0</v>
      </c>
      <c r="BD2707" s="130">
        <f t="shared" si="837"/>
        <v>1</v>
      </c>
      <c r="BE2707" s="130">
        <f t="shared" si="838"/>
        <v>1</v>
      </c>
      <c r="BF2707" s="195">
        <f t="shared" si="839"/>
        <v>100</v>
      </c>
      <c r="BG2707" s="373">
        <f t="shared" si="834"/>
        <v>0</v>
      </c>
    </row>
    <row r="2708" spans="1:59" s="46" customFormat="1" ht="15.95" customHeight="1">
      <c r="A2708" s="176">
        <v>81</v>
      </c>
      <c r="B2708" s="31" t="s">
        <v>2065</v>
      </c>
      <c r="C2708" s="34" t="s">
        <v>2083</v>
      </c>
      <c r="D2708" s="231"/>
      <c r="E2708" s="231"/>
      <c r="F2708" s="231"/>
      <c r="G2708" s="231"/>
      <c r="H2708" s="231"/>
      <c r="I2708" s="231"/>
      <c r="J2708" s="231"/>
      <c r="K2708" s="231"/>
      <c r="L2708" s="231"/>
      <c r="M2708" s="231"/>
      <c r="N2708" s="231"/>
      <c r="O2708" s="231"/>
      <c r="P2708" s="231"/>
      <c r="Q2708" s="231"/>
      <c r="R2708" s="231"/>
      <c r="S2708" s="231"/>
      <c r="T2708" s="231"/>
      <c r="U2708" s="231"/>
      <c r="V2708" s="231"/>
      <c r="W2708" s="231"/>
      <c r="X2708" s="231"/>
      <c r="Y2708" s="231"/>
      <c r="Z2708" s="231"/>
      <c r="AA2708" s="231"/>
      <c r="AB2708" s="22">
        <f t="shared" si="835"/>
        <v>0</v>
      </c>
      <c r="AC2708" s="23">
        <v>0</v>
      </c>
      <c r="AD2708" s="35"/>
      <c r="AE2708" s="35"/>
      <c r="AF2708" s="35"/>
      <c r="AG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22">
        <f t="shared" si="836"/>
        <v>0</v>
      </c>
      <c r="BC2708" s="23">
        <v>15</v>
      </c>
      <c r="BD2708" s="130">
        <f t="shared" si="837"/>
        <v>0</v>
      </c>
      <c r="BE2708" s="130">
        <f t="shared" si="838"/>
        <v>15</v>
      </c>
      <c r="BF2708" s="195">
        <f t="shared" si="839"/>
        <v>0</v>
      </c>
      <c r="BG2708" s="373">
        <f t="shared" si="834"/>
        <v>15</v>
      </c>
    </row>
    <row r="2709" spans="1:59" s="46" customFormat="1" ht="15.95" customHeight="1">
      <c r="A2709" s="176">
        <v>82</v>
      </c>
      <c r="B2709" s="31" t="s">
        <v>1431</v>
      </c>
      <c r="C2709" s="34" t="s">
        <v>1432</v>
      </c>
      <c r="D2709" s="231">
        <v>110</v>
      </c>
      <c r="E2709" s="231"/>
      <c r="F2709" s="231"/>
      <c r="G2709" s="231"/>
      <c r="H2709" s="231">
        <v>101</v>
      </c>
      <c r="I2709" s="231"/>
      <c r="J2709" s="231"/>
      <c r="K2709" s="231"/>
      <c r="L2709" s="231">
        <v>203</v>
      </c>
      <c r="M2709" s="231"/>
      <c r="N2709" s="231"/>
      <c r="O2709" s="231"/>
      <c r="P2709" s="231">
        <v>187</v>
      </c>
      <c r="Q2709" s="231"/>
      <c r="R2709" s="231"/>
      <c r="S2709" s="231"/>
      <c r="T2709" s="231"/>
      <c r="U2709" s="231"/>
      <c r="V2709" s="231"/>
      <c r="W2709" s="231"/>
      <c r="X2709" s="231"/>
      <c r="Y2709" s="231"/>
      <c r="Z2709" s="231"/>
      <c r="AA2709" s="231"/>
      <c r="AB2709" s="22">
        <f t="shared" si="835"/>
        <v>601</v>
      </c>
      <c r="AC2709" s="23">
        <v>878</v>
      </c>
      <c r="AD2709" s="35"/>
      <c r="AE2709" s="35"/>
      <c r="AF2709" s="35"/>
      <c r="AG2709" s="35"/>
      <c r="AH2709" s="35"/>
      <c r="AI2709" s="35"/>
      <c r="AJ2709" s="35"/>
      <c r="AK2709" s="35"/>
      <c r="AL2709" s="35">
        <v>1</v>
      </c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22">
        <f t="shared" si="836"/>
        <v>1</v>
      </c>
      <c r="BC2709" s="23">
        <v>15</v>
      </c>
      <c r="BD2709" s="130">
        <f t="shared" si="837"/>
        <v>602</v>
      </c>
      <c r="BE2709" s="130">
        <f t="shared" si="838"/>
        <v>893</v>
      </c>
      <c r="BF2709" s="195">
        <f t="shared" si="839"/>
        <v>67.413213885778276</v>
      </c>
      <c r="BG2709" s="373">
        <f t="shared" si="834"/>
        <v>291</v>
      </c>
    </row>
    <row r="2710" spans="1:59" s="46" customFormat="1" ht="15.95" customHeight="1">
      <c r="A2710" s="176">
        <v>83</v>
      </c>
      <c r="B2710" s="31" t="s">
        <v>1187</v>
      </c>
      <c r="C2710" s="34" t="s">
        <v>1188</v>
      </c>
      <c r="D2710" s="231"/>
      <c r="E2710" s="231"/>
      <c r="F2710" s="231"/>
      <c r="G2710" s="231"/>
      <c r="H2710" s="231"/>
      <c r="I2710" s="231"/>
      <c r="J2710" s="231"/>
      <c r="K2710" s="231"/>
      <c r="L2710" s="231"/>
      <c r="M2710" s="231"/>
      <c r="N2710" s="231"/>
      <c r="O2710" s="231"/>
      <c r="P2710" s="231"/>
      <c r="Q2710" s="231"/>
      <c r="R2710" s="231"/>
      <c r="S2710" s="231"/>
      <c r="T2710" s="231"/>
      <c r="U2710" s="231"/>
      <c r="V2710" s="231"/>
      <c r="W2710" s="231"/>
      <c r="X2710" s="231"/>
      <c r="Y2710" s="231"/>
      <c r="Z2710" s="231"/>
      <c r="AA2710" s="231"/>
      <c r="AB2710" s="22">
        <f t="shared" si="835"/>
        <v>0</v>
      </c>
      <c r="AC2710" s="23">
        <v>0</v>
      </c>
      <c r="AD2710" s="35"/>
      <c r="AE2710" s="35"/>
      <c r="AF2710" s="35"/>
      <c r="AG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  <c r="AX2710" s="35"/>
      <c r="AY2710" s="35"/>
      <c r="AZ2710" s="35"/>
      <c r="BA2710" s="35"/>
      <c r="BB2710" s="22">
        <f t="shared" si="836"/>
        <v>0</v>
      </c>
      <c r="BC2710" s="23">
        <v>1</v>
      </c>
      <c r="BD2710" s="130">
        <f t="shared" si="837"/>
        <v>0</v>
      </c>
      <c r="BE2710" s="130">
        <f t="shared" si="838"/>
        <v>1</v>
      </c>
      <c r="BF2710" s="195">
        <f t="shared" si="839"/>
        <v>0</v>
      </c>
      <c r="BG2710" s="373">
        <f t="shared" si="834"/>
        <v>1</v>
      </c>
    </row>
    <row r="2711" spans="1:59" s="46" customFormat="1" ht="15.95" customHeight="1">
      <c r="A2711" s="176">
        <v>84</v>
      </c>
      <c r="B2711" s="31" t="s">
        <v>845</v>
      </c>
      <c r="C2711" s="34" t="s">
        <v>948</v>
      </c>
      <c r="D2711" s="231"/>
      <c r="E2711" s="231"/>
      <c r="F2711" s="231"/>
      <c r="G2711" s="231"/>
      <c r="H2711" s="231"/>
      <c r="I2711" s="231"/>
      <c r="J2711" s="231"/>
      <c r="K2711" s="231"/>
      <c r="L2711" s="231"/>
      <c r="M2711" s="231"/>
      <c r="N2711" s="231"/>
      <c r="O2711" s="231"/>
      <c r="P2711" s="231"/>
      <c r="Q2711" s="231"/>
      <c r="R2711" s="231"/>
      <c r="S2711" s="231"/>
      <c r="T2711" s="231"/>
      <c r="U2711" s="231"/>
      <c r="V2711" s="231"/>
      <c r="W2711" s="231"/>
      <c r="X2711" s="231"/>
      <c r="Y2711" s="231"/>
      <c r="Z2711" s="231"/>
      <c r="AA2711" s="231"/>
      <c r="AB2711" s="22">
        <f t="shared" si="835"/>
        <v>0</v>
      </c>
      <c r="AC2711" s="23">
        <v>0</v>
      </c>
      <c r="AD2711" s="35"/>
      <c r="AE2711" s="35"/>
      <c r="AF2711" s="35"/>
      <c r="AG2711" s="35"/>
      <c r="AH2711" s="35">
        <v>10</v>
      </c>
      <c r="AI2711" s="35"/>
      <c r="AJ2711" s="35"/>
      <c r="AK2711" s="35"/>
      <c r="AL2711" s="35">
        <v>86</v>
      </c>
      <c r="AM2711" s="35"/>
      <c r="AN2711" s="35"/>
      <c r="AO2711" s="35"/>
      <c r="AP2711" s="35">
        <v>49</v>
      </c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5"/>
      <c r="BB2711" s="22">
        <f t="shared" si="836"/>
        <v>145</v>
      </c>
      <c r="BC2711" s="23">
        <v>350</v>
      </c>
      <c r="BD2711" s="130">
        <f t="shared" si="837"/>
        <v>145</v>
      </c>
      <c r="BE2711" s="130">
        <f t="shared" si="838"/>
        <v>350</v>
      </c>
      <c r="BF2711" s="195">
        <f t="shared" si="839"/>
        <v>41.428571428571431</v>
      </c>
      <c r="BG2711" s="373">
        <f t="shared" si="834"/>
        <v>205</v>
      </c>
    </row>
    <row r="2712" spans="1:59" s="46" customFormat="1" ht="15.95" customHeight="1">
      <c r="A2712" s="176">
        <v>85</v>
      </c>
      <c r="B2712" s="31" t="s">
        <v>1075</v>
      </c>
      <c r="C2712" s="34" t="s">
        <v>1076</v>
      </c>
      <c r="D2712" s="231"/>
      <c r="E2712" s="231"/>
      <c r="F2712" s="231"/>
      <c r="G2712" s="231"/>
      <c r="H2712" s="231"/>
      <c r="I2712" s="231"/>
      <c r="J2712" s="231"/>
      <c r="K2712" s="231"/>
      <c r="L2712" s="231"/>
      <c r="M2712" s="231"/>
      <c r="N2712" s="231"/>
      <c r="O2712" s="231"/>
      <c r="P2712" s="231"/>
      <c r="Q2712" s="231"/>
      <c r="R2712" s="231"/>
      <c r="S2712" s="231"/>
      <c r="T2712" s="231"/>
      <c r="U2712" s="231"/>
      <c r="V2712" s="231"/>
      <c r="W2712" s="231"/>
      <c r="X2712" s="231"/>
      <c r="Y2712" s="231"/>
      <c r="Z2712" s="231"/>
      <c r="AA2712" s="231"/>
      <c r="AB2712" s="22">
        <f t="shared" si="835"/>
        <v>0</v>
      </c>
      <c r="AC2712" s="23">
        <v>0</v>
      </c>
      <c r="AD2712" s="35"/>
      <c r="AE2712" s="35"/>
      <c r="AF2712" s="35"/>
      <c r="AG2712" s="35"/>
      <c r="AH2712" s="35"/>
      <c r="AI2712" s="35"/>
      <c r="AJ2712" s="35"/>
      <c r="AK2712" s="35"/>
      <c r="AL2712" s="35">
        <v>3</v>
      </c>
      <c r="AM2712" s="35"/>
      <c r="AN2712" s="35"/>
      <c r="AO2712" s="35"/>
      <c r="AP2712" s="35">
        <v>11</v>
      </c>
      <c r="AQ2712" s="35"/>
      <c r="AR2712" s="35"/>
      <c r="AS2712" s="35"/>
      <c r="AT2712" s="35"/>
      <c r="AU2712" s="35"/>
      <c r="AV2712" s="35"/>
      <c r="AW2712" s="35"/>
      <c r="AX2712" s="35"/>
      <c r="AY2712" s="35"/>
      <c r="AZ2712" s="35"/>
      <c r="BA2712" s="35"/>
      <c r="BB2712" s="22">
        <f t="shared" si="836"/>
        <v>14</v>
      </c>
      <c r="BC2712" s="23">
        <v>28</v>
      </c>
      <c r="BD2712" s="130">
        <f t="shared" si="837"/>
        <v>14</v>
      </c>
      <c r="BE2712" s="130">
        <f t="shared" si="838"/>
        <v>28</v>
      </c>
      <c r="BF2712" s="195">
        <f t="shared" si="839"/>
        <v>50</v>
      </c>
      <c r="BG2712" s="373">
        <f t="shared" si="834"/>
        <v>14</v>
      </c>
    </row>
    <row r="2713" spans="1:59" s="46" customFormat="1" ht="15.95" customHeight="1">
      <c r="A2713" s="176">
        <v>86</v>
      </c>
      <c r="B2713" s="31" t="s">
        <v>2067</v>
      </c>
      <c r="C2713" s="34" t="s">
        <v>2225</v>
      </c>
      <c r="D2713" s="580"/>
      <c r="E2713" s="580"/>
      <c r="F2713" s="580"/>
      <c r="G2713" s="580"/>
      <c r="H2713" s="580"/>
      <c r="I2713" s="580"/>
      <c r="J2713" s="580"/>
      <c r="K2713" s="580"/>
      <c r="L2713" s="580"/>
      <c r="M2713" s="580"/>
      <c r="N2713" s="580"/>
      <c r="O2713" s="580"/>
      <c r="P2713" s="580"/>
      <c r="Q2713" s="580"/>
      <c r="R2713" s="580"/>
      <c r="S2713" s="580"/>
      <c r="T2713" s="580"/>
      <c r="U2713" s="580"/>
      <c r="V2713" s="580"/>
      <c r="W2713" s="580"/>
      <c r="X2713" s="580"/>
      <c r="Y2713" s="580"/>
      <c r="Z2713" s="580"/>
      <c r="AA2713" s="580"/>
      <c r="AB2713" s="22">
        <f t="shared" si="835"/>
        <v>0</v>
      </c>
      <c r="AC2713" s="23">
        <v>0</v>
      </c>
      <c r="AD2713" s="35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>
        <v>1</v>
      </c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22">
        <f t="shared" si="836"/>
        <v>1</v>
      </c>
      <c r="BC2713" s="23">
        <v>0</v>
      </c>
      <c r="BD2713" s="130">
        <f t="shared" si="837"/>
        <v>1</v>
      </c>
      <c r="BE2713" s="130">
        <f t="shared" si="838"/>
        <v>0</v>
      </c>
      <c r="BF2713" s="195" t="e">
        <f t="shared" si="839"/>
        <v>#DIV/0!</v>
      </c>
      <c r="BG2713" s="373"/>
    </row>
    <row r="2714" spans="1:59" s="46" customFormat="1" ht="15.95" customHeight="1">
      <c r="A2714" s="176">
        <v>87</v>
      </c>
      <c r="B2714" s="31" t="s">
        <v>3491</v>
      </c>
      <c r="C2714" s="32" t="s">
        <v>3535</v>
      </c>
      <c r="D2714" s="231"/>
      <c r="E2714" s="231"/>
      <c r="F2714" s="231"/>
      <c r="G2714" s="231"/>
      <c r="H2714" s="231"/>
      <c r="I2714" s="231"/>
      <c r="J2714" s="231"/>
      <c r="K2714" s="231"/>
      <c r="L2714" s="231"/>
      <c r="M2714" s="231"/>
      <c r="N2714" s="231"/>
      <c r="O2714" s="231"/>
      <c r="P2714" s="231"/>
      <c r="Q2714" s="231"/>
      <c r="R2714" s="231"/>
      <c r="S2714" s="231"/>
      <c r="T2714" s="231"/>
      <c r="U2714" s="231"/>
      <c r="V2714" s="231"/>
      <c r="W2714" s="231"/>
      <c r="X2714" s="231"/>
      <c r="Y2714" s="231"/>
      <c r="Z2714" s="231"/>
      <c r="AA2714" s="231"/>
      <c r="AB2714" s="22">
        <f t="shared" si="835"/>
        <v>0</v>
      </c>
      <c r="AC2714" s="23">
        <v>0</v>
      </c>
      <c r="AD2714" s="35"/>
      <c r="AE2714" s="35"/>
      <c r="AF2714" s="35"/>
      <c r="AG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22">
        <f t="shared" si="836"/>
        <v>0</v>
      </c>
      <c r="BC2714" s="23">
        <v>1</v>
      </c>
      <c r="BD2714" s="130">
        <f t="shared" si="837"/>
        <v>0</v>
      </c>
      <c r="BE2714" s="130">
        <f t="shared" si="838"/>
        <v>1</v>
      </c>
      <c r="BF2714" s="195">
        <f t="shared" si="839"/>
        <v>0</v>
      </c>
      <c r="BG2714" s="373">
        <f t="shared" ref="BG2714:BG2727" si="840">BE2714-BD2714</f>
        <v>1</v>
      </c>
    </row>
    <row r="2715" spans="1:59" s="46" customFormat="1" ht="15.95" customHeight="1">
      <c r="A2715" s="176">
        <v>88</v>
      </c>
      <c r="B2715" s="31" t="s">
        <v>1244</v>
      </c>
      <c r="C2715" s="34" t="s">
        <v>3218</v>
      </c>
      <c r="D2715" s="231"/>
      <c r="E2715" s="231"/>
      <c r="F2715" s="231"/>
      <c r="G2715" s="231"/>
      <c r="H2715" s="231"/>
      <c r="I2715" s="231"/>
      <c r="J2715" s="231"/>
      <c r="K2715" s="231"/>
      <c r="L2715" s="231"/>
      <c r="M2715" s="231"/>
      <c r="N2715" s="231"/>
      <c r="O2715" s="231"/>
      <c r="P2715" s="231"/>
      <c r="Q2715" s="231"/>
      <c r="R2715" s="231"/>
      <c r="S2715" s="231"/>
      <c r="T2715" s="231"/>
      <c r="U2715" s="231"/>
      <c r="V2715" s="231"/>
      <c r="W2715" s="231"/>
      <c r="X2715" s="231"/>
      <c r="Y2715" s="231"/>
      <c r="Z2715" s="231"/>
      <c r="AA2715" s="231"/>
      <c r="AB2715" s="22">
        <f t="shared" si="835"/>
        <v>0</v>
      </c>
      <c r="AC2715" s="23">
        <v>0</v>
      </c>
      <c r="AD2715" s="35"/>
      <c r="AE2715" s="35"/>
      <c r="AF2715" s="35"/>
      <c r="AG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22">
        <f t="shared" si="836"/>
        <v>0</v>
      </c>
      <c r="BC2715" s="23">
        <v>2</v>
      </c>
      <c r="BD2715" s="130">
        <f t="shared" si="837"/>
        <v>0</v>
      </c>
      <c r="BE2715" s="130">
        <f t="shared" si="838"/>
        <v>2</v>
      </c>
      <c r="BF2715" s="195">
        <f t="shared" si="839"/>
        <v>0</v>
      </c>
      <c r="BG2715" s="373">
        <f t="shared" si="840"/>
        <v>2</v>
      </c>
    </row>
    <row r="2716" spans="1:59" s="46" customFormat="1" ht="15.95" customHeight="1">
      <c r="A2716" s="176">
        <v>89</v>
      </c>
      <c r="B2716" s="31" t="s">
        <v>1384</v>
      </c>
      <c r="C2716" s="34" t="s">
        <v>1972</v>
      </c>
      <c r="D2716" s="231"/>
      <c r="E2716" s="231"/>
      <c r="F2716" s="231"/>
      <c r="G2716" s="231"/>
      <c r="H2716" s="231"/>
      <c r="I2716" s="231"/>
      <c r="J2716" s="231"/>
      <c r="K2716" s="231"/>
      <c r="L2716" s="231"/>
      <c r="M2716" s="231"/>
      <c r="N2716" s="231"/>
      <c r="O2716" s="231"/>
      <c r="P2716" s="231"/>
      <c r="Q2716" s="231"/>
      <c r="R2716" s="231"/>
      <c r="S2716" s="231"/>
      <c r="T2716" s="231"/>
      <c r="U2716" s="231"/>
      <c r="V2716" s="231"/>
      <c r="W2716" s="231"/>
      <c r="X2716" s="231"/>
      <c r="Y2716" s="231"/>
      <c r="Z2716" s="231"/>
      <c r="AA2716" s="231"/>
      <c r="AB2716" s="22">
        <f t="shared" si="835"/>
        <v>0</v>
      </c>
      <c r="AC2716" s="23">
        <v>0</v>
      </c>
      <c r="AD2716" s="35"/>
      <c r="AE2716" s="35"/>
      <c r="AF2716" s="35"/>
      <c r="AG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22">
        <f t="shared" si="836"/>
        <v>0</v>
      </c>
      <c r="BC2716" s="23">
        <v>2</v>
      </c>
      <c r="BD2716" s="130">
        <f t="shared" si="837"/>
        <v>0</v>
      </c>
      <c r="BE2716" s="130">
        <f t="shared" si="838"/>
        <v>2</v>
      </c>
      <c r="BF2716" s="195">
        <f t="shared" si="839"/>
        <v>0</v>
      </c>
      <c r="BG2716" s="373">
        <f t="shared" si="840"/>
        <v>2</v>
      </c>
    </row>
    <row r="2717" spans="1:59" s="46" customFormat="1" ht="15.95" customHeight="1">
      <c r="A2717" s="176">
        <v>90</v>
      </c>
      <c r="B2717" s="31" t="s">
        <v>1246</v>
      </c>
      <c r="C2717" s="34" t="s">
        <v>2937</v>
      </c>
      <c r="D2717" s="231"/>
      <c r="E2717" s="231"/>
      <c r="F2717" s="231"/>
      <c r="G2717" s="231"/>
      <c r="H2717" s="231"/>
      <c r="I2717" s="231"/>
      <c r="J2717" s="231"/>
      <c r="K2717" s="231"/>
      <c r="L2717" s="231"/>
      <c r="M2717" s="231"/>
      <c r="N2717" s="231"/>
      <c r="O2717" s="231"/>
      <c r="P2717" s="231"/>
      <c r="Q2717" s="231"/>
      <c r="R2717" s="231"/>
      <c r="S2717" s="231"/>
      <c r="T2717" s="231"/>
      <c r="U2717" s="231"/>
      <c r="V2717" s="231"/>
      <c r="W2717" s="231"/>
      <c r="X2717" s="231"/>
      <c r="Y2717" s="231"/>
      <c r="Z2717" s="231"/>
      <c r="AA2717" s="231"/>
      <c r="AB2717" s="22">
        <f t="shared" si="835"/>
        <v>0</v>
      </c>
      <c r="AC2717" s="23">
        <v>0</v>
      </c>
      <c r="AD2717" s="35"/>
      <c r="AE2717" s="35"/>
      <c r="AF2717" s="35"/>
      <c r="AG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22">
        <f t="shared" si="836"/>
        <v>0</v>
      </c>
      <c r="BC2717" s="23">
        <v>2</v>
      </c>
      <c r="BD2717" s="130">
        <f t="shared" si="837"/>
        <v>0</v>
      </c>
      <c r="BE2717" s="130">
        <f t="shared" si="838"/>
        <v>2</v>
      </c>
      <c r="BF2717" s="195">
        <f t="shared" si="839"/>
        <v>0</v>
      </c>
      <c r="BG2717" s="373">
        <f t="shared" si="840"/>
        <v>2</v>
      </c>
    </row>
    <row r="2718" spans="1:59" s="46" customFormat="1" ht="15.95" customHeight="1">
      <c r="A2718" s="176">
        <v>91</v>
      </c>
      <c r="B2718" s="31" t="s">
        <v>1248</v>
      </c>
      <c r="C2718" s="34" t="s">
        <v>1433</v>
      </c>
      <c r="D2718" s="231"/>
      <c r="E2718" s="231"/>
      <c r="F2718" s="231"/>
      <c r="G2718" s="231"/>
      <c r="H2718" s="231"/>
      <c r="I2718" s="231"/>
      <c r="J2718" s="231"/>
      <c r="K2718" s="231"/>
      <c r="L2718" s="231"/>
      <c r="M2718" s="231"/>
      <c r="N2718" s="231"/>
      <c r="O2718" s="231"/>
      <c r="P2718" s="231"/>
      <c r="Q2718" s="231"/>
      <c r="R2718" s="231"/>
      <c r="S2718" s="231"/>
      <c r="T2718" s="231"/>
      <c r="U2718" s="231"/>
      <c r="V2718" s="231"/>
      <c r="W2718" s="231"/>
      <c r="X2718" s="231"/>
      <c r="Y2718" s="231"/>
      <c r="Z2718" s="231"/>
      <c r="AA2718" s="231"/>
      <c r="AB2718" s="22">
        <f t="shared" si="835"/>
        <v>0</v>
      </c>
      <c r="AC2718" s="23">
        <v>0</v>
      </c>
      <c r="AD2718" s="35"/>
      <c r="AE2718" s="35"/>
      <c r="AF2718" s="35"/>
      <c r="AG2718" s="35"/>
      <c r="AH2718" s="35"/>
      <c r="AI2718" s="35"/>
      <c r="AJ2718" s="35"/>
      <c r="AK2718" s="35"/>
      <c r="AL2718" s="35">
        <v>2</v>
      </c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22">
        <f t="shared" si="836"/>
        <v>2</v>
      </c>
      <c r="BC2718" s="23">
        <v>9</v>
      </c>
      <c r="BD2718" s="130">
        <f t="shared" si="837"/>
        <v>2</v>
      </c>
      <c r="BE2718" s="130">
        <f t="shared" si="838"/>
        <v>9</v>
      </c>
      <c r="BF2718" s="195">
        <f t="shared" si="839"/>
        <v>22.222222222222221</v>
      </c>
      <c r="BG2718" s="373">
        <f t="shared" si="840"/>
        <v>7</v>
      </c>
    </row>
    <row r="2719" spans="1:59" s="46" customFormat="1" ht="15.95" customHeight="1">
      <c r="A2719" s="176">
        <v>92</v>
      </c>
      <c r="B2719" s="31" t="s">
        <v>1385</v>
      </c>
      <c r="C2719" s="34" t="s">
        <v>2216</v>
      </c>
      <c r="D2719" s="231"/>
      <c r="E2719" s="231"/>
      <c r="F2719" s="231"/>
      <c r="G2719" s="231"/>
      <c r="H2719" s="231"/>
      <c r="I2719" s="231"/>
      <c r="J2719" s="231"/>
      <c r="K2719" s="231"/>
      <c r="L2719" s="231"/>
      <c r="M2719" s="231"/>
      <c r="N2719" s="231"/>
      <c r="O2719" s="231"/>
      <c r="P2719" s="231"/>
      <c r="Q2719" s="231"/>
      <c r="R2719" s="231"/>
      <c r="S2719" s="231"/>
      <c r="T2719" s="231"/>
      <c r="U2719" s="231"/>
      <c r="V2719" s="231"/>
      <c r="W2719" s="231"/>
      <c r="X2719" s="231"/>
      <c r="Y2719" s="231"/>
      <c r="Z2719" s="231"/>
      <c r="AA2719" s="231"/>
      <c r="AB2719" s="22">
        <f t="shared" si="835"/>
        <v>0</v>
      </c>
      <c r="AC2719" s="23">
        <v>0</v>
      </c>
      <c r="AD2719" s="35"/>
      <c r="AE2719" s="35"/>
      <c r="AF2719" s="35"/>
      <c r="AG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22">
        <f t="shared" si="836"/>
        <v>0</v>
      </c>
      <c r="BC2719" s="23">
        <v>2</v>
      </c>
      <c r="BD2719" s="130">
        <f t="shared" si="837"/>
        <v>0</v>
      </c>
      <c r="BE2719" s="130">
        <f t="shared" si="838"/>
        <v>2</v>
      </c>
      <c r="BF2719" s="195">
        <f t="shared" si="839"/>
        <v>0</v>
      </c>
      <c r="BG2719" s="373">
        <f t="shared" si="840"/>
        <v>2</v>
      </c>
    </row>
    <row r="2720" spans="1:59" s="46" customFormat="1" ht="15.95" customHeight="1">
      <c r="A2720" s="176">
        <v>93</v>
      </c>
      <c r="B2720" s="31" t="s">
        <v>1337</v>
      </c>
      <c r="C2720" s="34" t="s">
        <v>2059</v>
      </c>
      <c r="D2720" s="231"/>
      <c r="E2720" s="231"/>
      <c r="F2720" s="231"/>
      <c r="G2720" s="231"/>
      <c r="H2720" s="231"/>
      <c r="I2720" s="231"/>
      <c r="J2720" s="231"/>
      <c r="K2720" s="231"/>
      <c r="L2720" s="231"/>
      <c r="M2720" s="231"/>
      <c r="N2720" s="231"/>
      <c r="O2720" s="231"/>
      <c r="P2720" s="231"/>
      <c r="Q2720" s="231"/>
      <c r="R2720" s="231"/>
      <c r="S2720" s="231"/>
      <c r="T2720" s="231"/>
      <c r="U2720" s="231"/>
      <c r="V2720" s="231"/>
      <c r="W2720" s="231"/>
      <c r="X2720" s="231"/>
      <c r="Y2720" s="231"/>
      <c r="Z2720" s="231"/>
      <c r="AA2720" s="231"/>
      <c r="AB2720" s="22">
        <f t="shared" si="835"/>
        <v>0</v>
      </c>
      <c r="AC2720" s="23">
        <v>0</v>
      </c>
      <c r="AD2720" s="35"/>
      <c r="AE2720" s="35"/>
      <c r="AF2720" s="35"/>
      <c r="AG2720" s="35"/>
      <c r="AH2720" s="35"/>
      <c r="AI2720" s="35"/>
      <c r="AJ2720" s="35"/>
      <c r="AK2720" s="35"/>
      <c r="AL2720" s="35">
        <v>2</v>
      </c>
      <c r="AM2720" s="35"/>
      <c r="AN2720" s="35"/>
      <c r="AO2720" s="35"/>
      <c r="AP2720" s="35">
        <v>1</v>
      </c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22">
        <f t="shared" si="836"/>
        <v>3</v>
      </c>
      <c r="BC2720" s="23">
        <v>14</v>
      </c>
      <c r="BD2720" s="130">
        <f t="shared" si="837"/>
        <v>3</v>
      </c>
      <c r="BE2720" s="130">
        <f t="shared" si="838"/>
        <v>14</v>
      </c>
      <c r="BF2720" s="195">
        <f t="shared" si="839"/>
        <v>21.428571428571427</v>
      </c>
      <c r="BG2720" s="373">
        <f t="shared" si="840"/>
        <v>11</v>
      </c>
    </row>
    <row r="2721" spans="1:59" s="46" customFormat="1" ht="15.95" customHeight="1">
      <c r="A2721" s="176">
        <v>94</v>
      </c>
      <c r="B2721" s="31" t="s">
        <v>1388</v>
      </c>
      <c r="C2721" s="32" t="s">
        <v>2838</v>
      </c>
      <c r="D2721" s="231"/>
      <c r="E2721" s="231"/>
      <c r="F2721" s="231"/>
      <c r="G2721" s="231"/>
      <c r="H2721" s="231"/>
      <c r="I2721" s="231"/>
      <c r="J2721" s="231"/>
      <c r="K2721" s="231"/>
      <c r="L2721" s="231"/>
      <c r="M2721" s="231"/>
      <c r="N2721" s="231"/>
      <c r="O2721" s="231"/>
      <c r="P2721" s="231"/>
      <c r="Q2721" s="231"/>
      <c r="R2721" s="231"/>
      <c r="S2721" s="231"/>
      <c r="T2721" s="231"/>
      <c r="U2721" s="231"/>
      <c r="V2721" s="231"/>
      <c r="W2721" s="231"/>
      <c r="X2721" s="231"/>
      <c r="Y2721" s="231"/>
      <c r="Z2721" s="231"/>
      <c r="AA2721" s="231"/>
      <c r="AB2721" s="22">
        <f t="shared" si="835"/>
        <v>0</v>
      </c>
      <c r="AC2721" s="23">
        <v>0</v>
      </c>
      <c r="AD2721" s="35"/>
      <c r="AE2721" s="35"/>
      <c r="AF2721" s="35"/>
      <c r="AG2721" s="35"/>
      <c r="AH2721" s="35">
        <v>1</v>
      </c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22">
        <f t="shared" si="836"/>
        <v>1</v>
      </c>
      <c r="BC2721" s="23">
        <v>1</v>
      </c>
      <c r="BD2721" s="130">
        <f t="shared" si="837"/>
        <v>1</v>
      </c>
      <c r="BE2721" s="130">
        <f t="shared" si="838"/>
        <v>1</v>
      </c>
      <c r="BF2721" s="195">
        <f t="shared" si="839"/>
        <v>100</v>
      </c>
      <c r="BG2721" s="373">
        <f t="shared" si="840"/>
        <v>0</v>
      </c>
    </row>
    <row r="2722" spans="1:59" s="46" customFormat="1" ht="15.95" customHeight="1">
      <c r="A2722" s="176">
        <v>95</v>
      </c>
      <c r="B2722" s="31" t="s">
        <v>915</v>
      </c>
      <c r="C2722" s="34" t="s">
        <v>1015</v>
      </c>
      <c r="D2722" s="329"/>
      <c r="E2722" s="329"/>
      <c r="F2722" s="329"/>
      <c r="G2722" s="329"/>
      <c r="H2722" s="329"/>
      <c r="I2722" s="329"/>
      <c r="J2722" s="329"/>
      <c r="K2722" s="329"/>
      <c r="L2722" s="329"/>
      <c r="M2722" s="329"/>
      <c r="N2722" s="329"/>
      <c r="O2722" s="329"/>
      <c r="P2722" s="329"/>
      <c r="Q2722" s="329"/>
      <c r="R2722" s="329"/>
      <c r="S2722" s="329"/>
      <c r="T2722" s="329"/>
      <c r="U2722" s="329"/>
      <c r="V2722" s="329"/>
      <c r="W2722" s="329"/>
      <c r="X2722" s="329"/>
      <c r="Y2722" s="329"/>
      <c r="Z2722" s="329"/>
      <c r="AA2722" s="329"/>
      <c r="AB2722" s="22">
        <f t="shared" si="835"/>
        <v>0</v>
      </c>
      <c r="AC2722" s="23">
        <v>0</v>
      </c>
      <c r="AD2722" s="35"/>
      <c r="AE2722" s="35"/>
      <c r="AF2722" s="35"/>
      <c r="AG2722" s="35"/>
      <c r="AH2722" s="35">
        <f>2+2</f>
        <v>4</v>
      </c>
      <c r="AI2722" s="35"/>
      <c r="AJ2722" s="35"/>
      <c r="AK2722" s="35"/>
      <c r="AL2722" s="35">
        <f>7+4</f>
        <v>11</v>
      </c>
      <c r="AM2722" s="35"/>
      <c r="AN2722" s="35"/>
      <c r="AO2722" s="35"/>
      <c r="AP2722" s="35">
        <v>6</v>
      </c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22">
        <f t="shared" si="836"/>
        <v>21</v>
      </c>
      <c r="BC2722" s="23">
        <v>41</v>
      </c>
      <c r="BD2722" s="130">
        <f t="shared" si="837"/>
        <v>21</v>
      </c>
      <c r="BE2722" s="130">
        <f t="shared" si="838"/>
        <v>41</v>
      </c>
      <c r="BF2722" s="195">
        <f t="shared" si="839"/>
        <v>51.219512195121951</v>
      </c>
      <c r="BG2722" s="373">
        <f t="shared" si="840"/>
        <v>20</v>
      </c>
    </row>
    <row r="2723" spans="1:59" s="46" customFormat="1" ht="15.95" customHeight="1">
      <c r="A2723" s="176">
        <v>96</v>
      </c>
      <c r="B2723" s="31" t="s">
        <v>1193</v>
      </c>
      <c r="C2723" s="32" t="s">
        <v>2006</v>
      </c>
      <c r="D2723" s="231"/>
      <c r="E2723" s="231"/>
      <c r="F2723" s="231"/>
      <c r="G2723" s="231"/>
      <c r="H2723" s="231"/>
      <c r="I2723" s="231"/>
      <c r="J2723" s="231"/>
      <c r="K2723" s="231"/>
      <c r="L2723" s="231"/>
      <c r="M2723" s="231"/>
      <c r="N2723" s="231"/>
      <c r="O2723" s="231"/>
      <c r="P2723" s="231"/>
      <c r="Q2723" s="231"/>
      <c r="R2723" s="231"/>
      <c r="S2723" s="231"/>
      <c r="T2723" s="231"/>
      <c r="U2723" s="231"/>
      <c r="V2723" s="231"/>
      <c r="W2723" s="231"/>
      <c r="X2723" s="231"/>
      <c r="Y2723" s="231"/>
      <c r="Z2723" s="231"/>
      <c r="AA2723" s="231"/>
      <c r="AB2723" s="22">
        <f t="shared" si="835"/>
        <v>0</v>
      </c>
      <c r="AC2723" s="23">
        <v>0</v>
      </c>
      <c r="AD2723" s="35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22">
        <f t="shared" si="836"/>
        <v>0</v>
      </c>
      <c r="BC2723" s="23">
        <v>1</v>
      </c>
      <c r="BD2723" s="130">
        <f t="shared" si="837"/>
        <v>0</v>
      </c>
      <c r="BE2723" s="130">
        <f t="shared" si="838"/>
        <v>1</v>
      </c>
      <c r="BF2723" s="195">
        <f t="shared" si="839"/>
        <v>0</v>
      </c>
      <c r="BG2723" s="373">
        <f t="shared" si="840"/>
        <v>1</v>
      </c>
    </row>
    <row r="2724" spans="1:59" s="46" customFormat="1" ht="15.95" customHeight="1">
      <c r="A2724" s="176">
        <v>97</v>
      </c>
      <c r="B2724" s="31" t="s">
        <v>1078</v>
      </c>
      <c r="C2724" s="32" t="s">
        <v>1504</v>
      </c>
      <c r="D2724" s="290"/>
      <c r="E2724" s="290"/>
      <c r="F2724" s="290"/>
      <c r="G2724" s="290"/>
      <c r="H2724" s="290"/>
      <c r="I2724" s="290"/>
      <c r="J2724" s="290"/>
      <c r="K2724" s="290"/>
      <c r="L2724" s="290"/>
      <c r="M2724" s="290"/>
      <c r="N2724" s="290"/>
      <c r="O2724" s="290"/>
      <c r="P2724" s="290"/>
      <c r="Q2724" s="290"/>
      <c r="R2724" s="290"/>
      <c r="S2724" s="290"/>
      <c r="T2724" s="290"/>
      <c r="U2724" s="290"/>
      <c r="V2724" s="290"/>
      <c r="W2724" s="290"/>
      <c r="X2724" s="290"/>
      <c r="Y2724" s="290"/>
      <c r="Z2724" s="290"/>
      <c r="AA2724" s="290"/>
      <c r="AB2724" s="22">
        <f t="shared" ref="AB2724:AB2755" si="841">SUM(D2724:AA2724)</f>
        <v>0</v>
      </c>
      <c r="AC2724" s="23">
        <v>0</v>
      </c>
      <c r="AD2724" s="35"/>
      <c r="AE2724" s="35"/>
      <c r="AF2724" s="35"/>
      <c r="AG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22">
        <f t="shared" ref="BB2724:BB2755" si="842">SUM(AD2724:BA2724)</f>
        <v>0</v>
      </c>
      <c r="BC2724" s="23">
        <v>1</v>
      </c>
      <c r="BD2724" s="130">
        <f t="shared" ref="BD2724:BD2755" si="843">AB2724+BB2724</f>
        <v>0</v>
      </c>
      <c r="BE2724" s="130">
        <f t="shared" ref="BE2724:BE2755" si="844">AC2724+BC2724</f>
        <v>1</v>
      </c>
      <c r="BF2724" s="195">
        <f t="shared" ref="BF2724:BF2755" si="845">BD2724/BE2724*100</f>
        <v>0</v>
      </c>
      <c r="BG2724" s="373">
        <f t="shared" si="840"/>
        <v>1</v>
      </c>
    </row>
    <row r="2725" spans="1:59" s="46" customFormat="1" ht="15.95" customHeight="1">
      <c r="A2725" s="176">
        <v>98</v>
      </c>
      <c r="B2725" s="31" t="s">
        <v>1080</v>
      </c>
      <c r="C2725" s="32" t="s">
        <v>2007</v>
      </c>
      <c r="D2725" s="231"/>
      <c r="E2725" s="231"/>
      <c r="F2725" s="231"/>
      <c r="G2725" s="231"/>
      <c r="H2725" s="231"/>
      <c r="I2725" s="231"/>
      <c r="J2725" s="231"/>
      <c r="K2725" s="231"/>
      <c r="L2725" s="231"/>
      <c r="M2725" s="231"/>
      <c r="N2725" s="231"/>
      <c r="O2725" s="231"/>
      <c r="P2725" s="231"/>
      <c r="Q2725" s="231"/>
      <c r="R2725" s="231"/>
      <c r="S2725" s="231"/>
      <c r="T2725" s="231"/>
      <c r="U2725" s="231"/>
      <c r="V2725" s="231"/>
      <c r="W2725" s="231"/>
      <c r="X2725" s="231"/>
      <c r="Y2725" s="231"/>
      <c r="Z2725" s="231"/>
      <c r="AA2725" s="231"/>
      <c r="AB2725" s="22">
        <f t="shared" si="841"/>
        <v>0</v>
      </c>
      <c r="AC2725" s="23">
        <v>0</v>
      </c>
      <c r="AD2725" s="35"/>
      <c r="AE2725" s="35"/>
      <c r="AF2725" s="35"/>
      <c r="AG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22">
        <f t="shared" si="842"/>
        <v>0</v>
      </c>
      <c r="BC2725" s="23">
        <v>1</v>
      </c>
      <c r="BD2725" s="130">
        <f t="shared" si="843"/>
        <v>0</v>
      </c>
      <c r="BE2725" s="130">
        <f t="shared" si="844"/>
        <v>1</v>
      </c>
      <c r="BF2725" s="195">
        <f t="shared" si="845"/>
        <v>0</v>
      </c>
      <c r="BG2725" s="373">
        <f t="shared" si="840"/>
        <v>1</v>
      </c>
    </row>
    <row r="2726" spans="1:59" s="46" customFormat="1" ht="15.95" customHeight="1">
      <c r="A2726" s="176">
        <v>99</v>
      </c>
      <c r="B2726" s="31" t="s">
        <v>1082</v>
      </c>
      <c r="C2726" s="32" t="s">
        <v>2060</v>
      </c>
      <c r="D2726" s="277"/>
      <c r="E2726" s="277"/>
      <c r="F2726" s="277"/>
      <c r="G2726" s="277"/>
      <c r="H2726" s="277"/>
      <c r="I2726" s="277"/>
      <c r="J2726" s="277"/>
      <c r="K2726" s="277"/>
      <c r="L2726" s="277"/>
      <c r="M2726" s="277"/>
      <c r="N2726" s="277"/>
      <c r="O2726" s="277"/>
      <c r="P2726" s="277"/>
      <c r="Q2726" s="277"/>
      <c r="R2726" s="277"/>
      <c r="S2726" s="277"/>
      <c r="T2726" s="277"/>
      <c r="U2726" s="277"/>
      <c r="V2726" s="277"/>
      <c r="W2726" s="277"/>
      <c r="X2726" s="277"/>
      <c r="Y2726" s="277"/>
      <c r="Z2726" s="277"/>
      <c r="AA2726" s="277"/>
      <c r="AB2726" s="22">
        <f t="shared" si="841"/>
        <v>0</v>
      </c>
      <c r="AC2726" s="23">
        <v>0</v>
      </c>
      <c r="AD2726" s="35"/>
      <c r="AE2726" s="35"/>
      <c r="AF2726" s="35"/>
      <c r="AG2726" s="35"/>
      <c r="AH2726" s="35"/>
      <c r="AI2726" s="35"/>
      <c r="AJ2726" s="35"/>
      <c r="AK2726" s="35"/>
      <c r="AL2726" s="35">
        <v>3</v>
      </c>
      <c r="AM2726" s="35"/>
      <c r="AN2726" s="35"/>
      <c r="AO2726" s="35"/>
      <c r="AP2726" s="35">
        <v>1</v>
      </c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22">
        <f t="shared" si="842"/>
        <v>4</v>
      </c>
      <c r="BC2726" s="23">
        <v>14</v>
      </c>
      <c r="BD2726" s="130">
        <f t="shared" si="843"/>
        <v>4</v>
      </c>
      <c r="BE2726" s="130">
        <f t="shared" si="844"/>
        <v>14</v>
      </c>
      <c r="BF2726" s="195">
        <f t="shared" si="845"/>
        <v>28.571428571428569</v>
      </c>
      <c r="BG2726" s="373">
        <f t="shared" si="840"/>
        <v>10</v>
      </c>
    </row>
    <row r="2727" spans="1:59" s="46" customFormat="1" ht="15.95" customHeight="1">
      <c r="A2727" s="176">
        <v>100</v>
      </c>
      <c r="B2727" s="31" t="s">
        <v>2298</v>
      </c>
      <c r="C2727" s="32" t="s">
        <v>2299</v>
      </c>
      <c r="D2727" s="231"/>
      <c r="E2727" s="231"/>
      <c r="F2727" s="231"/>
      <c r="G2727" s="231"/>
      <c r="H2727" s="231"/>
      <c r="I2727" s="231"/>
      <c r="J2727" s="231"/>
      <c r="K2727" s="231"/>
      <c r="L2727" s="231"/>
      <c r="M2727" s="231"/>
      <c r="N2727" s="231"/>
      <c r="O2727" s="231"/>
      <c r="P2727" s="231"/>
      <c r="Q2727" s="231"/>
      <c r="R2727" s="231"/>
      <c r="S2727" s="231"/>
      <c r="T2727" s="231"/>
      <c r="U2727" s="231"/>
      <c r="V2727" s="231"/>
      <c r="W2727" s="231"/>
      <c r="X2727" s="231"/>
      <c r="Y2727" s="231"/>
      <c r="Z2727" s="231"/>
      <c r="AA2727" s="231"/>
      <c r="AB2727" s="22">
        <f t="shared" si="841"/>
        <v>0</v>
      </c>
      <c r="AC2727" s="23">
        <v>0</v>
      </c>
      <c r="AD2727" s="35"/>
      <c r="AE2727" s="35"/>
      <c r="AF2727" s="35"/>
      <c r="AG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22">
        <f t="shared" si="842"/>
        <v>0</v>
      </c>
      <c r="BC2727" s="23">
        <v>14</v>
      </c>
      <c r="BD2727" s="130">
        <f t="shared" si="843"/>
        <v>0</v>
      </c>
      <c r="BE2727" s="130">
        <f t="shared" si="844"/>
        <v>14</v>
      </c>
      <c r="BF2727" s="195">
        <f t="shared" si="845"/>
        <v>0</v>
      </c>
      <c r="BG2727" s="373">
        <f t="shared" si="840"/>
        <v>14</v>
      </c>
    </row>
    <row r="2728" spans="1:59" s="46" customFormat="1" ht="15.95" customHeight="1">
      <c r="A2728" s="176">
        <v>101</v>
      </c>
      <c r="B2728" s="31" t="s">
        <v>949</v>
      </c>
      <c r="C2728" s="32" t="s">
        <v>4019</v>
      </c>
      <c r="D2728" s="552"/>
      <c r="E2728" s="552"/>
      <c r="F2728" s="552"/>
      <c r="G2728" s="552"/>
      <c r="H2728" s="552"/>
      <c r="I2728" s="552"/>
      <c r="J2728" s="552"/>
      <c r="K2728" s="552"/>
      <c r="L2728" s="552"/>
      <c r="M2728" s="552"/>
      <c r="N2728" s="552"/>
      <c r="O2728" s="552"/>
      <c r="P2728" s="552"/>
      <c r="Q2728" s="552"/>
      <c r="R2728" s="552"/>
      <c r="S2728" s="552"/>
      <c r="T2728" s="552"/>
      <c r="U2728" s="552"/>
      <c r="V2728" s="552"/>
      <c r="W2728" s="552"/>
      <c r="X2728" s="552"/>
      <c r="Y2728" s="552"/>
      <c r="Z2728" s="552"/>
      <c r="AA2728" s="552"/>
      <c r="AB2728" s="22">
        <f t="shared" si="841"/>
        <v>0</v>
      </c>
      <c r="AC2728" s="23">
        <v>0</v>
      </c>
      <c r="AD2728" s="35"/>
      <c r="AE2728" s="35"/>
      <c r="AF2728" s="35"/>
      <c r="AG2728" s="35"/>
      <c r="AH2728" s="35"/>
      <c r="AI2728" s="35"/>
      <c r="AJ2728" s="35"/>
      <c r="AK2728" s="35"/>
      <c r="AL2728" s="35">
        <v>1</v>
      </c>
      <c r="AM2728" s="35"/>
      <c r="AN2728" s="35"/>
      <c r="AO2728" s="35"/>
      <c r="AP2728" s="35">
        <v>3</v>
      </c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22">
        <f t="shared" si="842"/>
        <v>4</v>
      </c>
      <c r="BC2728" s="23">
        <v>0</v>
      </c>
      <c r="BD2728" s="130">
        <f t="shared" si="843"/>
        <v>4</v>
      </c>
      <c r="BE2728" s="130">
        <f t="shared" si="844"/>
        <v>0</v>
      </c>
      <c r="BF2728" s="195" t="e">
        <f t="shared" si="845"/>
        <v>#DIV/0!</v>
      </c>
      <c r="BG2728" s="373"/>
    </row>
    <row r="2729" spans="1:59" s="46" customFormat="1" ht="15.95" customHeight="1">
      <c r="A2729" s="176">
        <v>102</v>
      </c>
      <c r="B2729" s="31" t="s">
        <v>1197</v>
      </c>
      <c r="C2729" s="32" t="s">
        <v>1198</v>
      </c>
      <c r="D2729" s="277"/>
      <c r="E2729" s="277"/>
      <c r="F2729" s="277"/>
      <c r="G2729" s="277"/>
      <c r="H2729" s="277"/>
      <c r="I2729" s="277"/>
      <c r="J2729" s="277"/>
      <c r="K2729" s="277"/>
      <c r="L2729" s="277"/>
      <c r="M2729" s="277"/>
      <c r="N2729" s="277"/>
      <c r="O2729" s="277"/>
      <c r="P2729" s="277"/>
      <c r="Q2729" s="277"/>
      <c r="R2729" s="277"/>
      <c r="S2729" s="277"/>
      <c r="T2729" s="277"/>
      <c r="U2729" s="277"/>
      <c r="V2729" s="277"/>
      <c r="W2729" s="277"/>
      <c r="X2729" s="277"/>
      <c r="Y2729" s="277"/>
      <c r="Z2729" s="277"/>
      <c r="AA2729" s="277"/>
      <c r="AB2729" s="22">
        <f t="shared" si="841"/>
        <v>0</v>
      </c>
      <c r="AC2729" s="23">
        <v>0</v>
      </c>
      <c r="AD2729" s="35"/>
      <c r="AE2729" s="35"/>
      <c r="AF2729" s="35"/>
      <c r="AG2729" s="35"/>
      <c r="AH2729" s="35">
        <v>2</v>
      </c>
      <c r="AI2729" s="35"/>
      <c r="AJ2729" s="35"/>
      <c r="AK2729" s="35"/>
      <c r="AL2729" s="35">
        <v>3</v>
      </c>
      <c r="AM2729" s="35"/>
      <c r="AN2729" s="35"/>
      <c r="AO2729" s="35"/>
      <c r="AP2729" s="35">
        <v>5</v>
      </c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22">
        <f t="shared" si="842"/>
        <v>10</v>
      </c>
      <c r="BC2729" s="23">
        <v>26</v>
      </c>
      <c r="BD2729" s="130">
        <f t="shared" si="843"/>
        <v>10</v>
      </c>
      <c r="BE2729" s="130">
        <f t="shared" si="844"/>
        <v>26</v>
      </c>
      <c r="BF2729" s="195">
        <f t="shared" si="845"/>
        <v>38.461538461538467</v>
      </c>
      <c r="BG2729" s="373">
        <f t="shared" ref="BG2729:BG2741" si="846">BE2729-BD2729</f>
        <v>16</v>
      </c>
    </row>
    <row r="2730" spans="1:59" s="46" customFormat="1" ht="15.95" customHeight="1">
      <c r="A2730" s="176">
        <v>103</v>
      </c>
      <c r="B2730" s="31" t="s">
        <v>1251</v>
      </c>
      <c r="C2730" s="32" t="s">
        <v>1252</v>
      </c>
      <c r="D2730" s="231"/>
      <c r="E2730" s="231"/>
      <c r="F2730" s="231"/>
      <c r="G2730" s="231"/>
      <c r="H2730" s="231"/>
      <c r="I2730" s="231"/>
      <c r="J2730" s="231"/>
      <c r="K2730" s="231"/>
      <c r="L2730" s="231"/>
      <c r="M2730" s="231"/>
      <c r="N2730" s="231"/>
      <c r="O2730" s="231"/>
      <c r="P2730" s="231"/>
      <c r="Q2730" s="231"/>
      <c r="R2730" s="231"/>
      <c r="S2730" s="231"/>
      <c r="T2730" s="231"/>
      <c r="U2730" s="231"/>
      <c r="V2730" s="231"/>
      <c r="W2730" s="231"/>
      <c r="X2730" s="231"/>
      <c r="Y2730" s="231"/>
      <c r="Z2730" s="231"/>
      <c r="AA2730" s="231"/>
      <c r="AB2730" s="22">
        <f t="shared" si="841"/>
        <v>0</v>
      </c>
      <c r="AC2730" s="23">
        <v>0</v>
      </c>
      <c r="AD2730" s="35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>
        <v>4</v>
      </c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22">
        <f t="shared" si="842"/>
        <v>4</v>
      </c>
      <c r="BC2730" s="23">
        <v>1</v>
      </c>
      <c r="BD2730" s="130">
        <f t="shared" si="843"/>
        <v>4</v>
      </c>
      <c r="BE2730" s="130">
        <f t="shared" si="844"/>
        <v>1</v>
      </c>
      <c r="BF2730" s="195">
        <f t="shared" si="845"/>
        <v>400</v>
      </c>
      <c r="BG2730" s="373">
        <f t="shared" si="846"/>
        <v>-3</v>
      </c>
    </row>
    <row r="2731" spans="1:59" s="46" customFormat="1" ht="15.95" customHeight="1">
      <c r="A2731" s="176">
        <v>104</v>
      </c>
      <c r="B2731" s="31" t="s">
        <v>1016</v>
      </c>
      <c r="C2731" s="32" t="s">
        <v>1017</v>
      </c>
      <c r="D2731" s="290"/>
      <c r="E2731" s="290"/>
      <c r="F2731" s="290"/>
      <c r="G2731" s="290"/>
      <c r="H2731" s="290"/>
      <c r="I2731" s="290"/>
      <c r="J2731" s="290"/>
      <c r="K2731" s="290"/>
      <c r="L2731" s="290"/>
      <c r="M2731" s="290"/>
      <c r="N2731" s="290"/>
      <c r="O2731" s="290"/>
      <c r="P2731" s="290"/>
      <c r="Q2731" s="290"/>
      <c r="R2731" s="290"/>
      <c r="S2731" s="290"/>
      <c r="T2731" s="290"/>
      <c r="U2731" s="290"/>
      <c r="V2731" s="290"/>
      <c r="W2731" s="290"/>
      <c r="X2731" s="290"/>
      <c r="Y2731" s="290"/>
      <c r="Z2731" s="290"/>
      <c r="AA2731" s="290"/>
      <c r="AB2731" s="22">
        <f t="shared" si="841"/>
        <v>0</v>
      </c>
      <c r="AC2731" s="23">
        <v>0</v>
      </c>
      <c r="AD2731" s="35"/>
      <c r="AE2731" s="35"/>
      <c r="AF2731" s="35"/>
      <c r="AG2731" s="35"/>
      <c r="AH2731" s="35">
        <v>5</v>
      </c>
      <c r="AI2731" s="35"/>
      <c r="AJ2731" s="35"/>
      <c r="AK2731" s="35"/>
      <c r="AL2731" s="35">
        <v>36</v>
      </c>
      <c r="AM2731" s="35"/>
      <c r="AN2731" s="35"/>
      <c r="AO2731" s="35"/>
      <c r="AP2731" s="35">
        <v>23</v>
      </c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22">
        <f t="shared" si="842"/>
        <v>64</v>
      </c>
      <c r="BC2731" s="23">
        <v>137</v>
      </c>
      <c r="BD2731" s="130">
        <f t="shared" si="843"/>
        <v>64</v>
      </c>
      <c r="BE2731" s="130">
        <f t="shared" si="844"/>
        <v>137</v>
      </c>
      <c r="BF2731" s="195">
        <f t="shared" si="845"/>
        <v>46.715328467153284</v>
      </c>
      <c r="BG2731" s="373">
        <f t="shared" si="846"/>
        <v>73</v>
      </c>
    </row>
    <row r="2732" spans="1:59" s="46" customFormat="1" ht="15.95" customHeight="1">
      <c r="A2732" s="176">
        <v>105</v>
      </c>
      <c r="B2732" s="31" t="s">
        <v>1347</v>
      </c>
      <c r="C2732" s="32" t="s">
        <v>1348</v>
      </c>
      <c r="D2732" s="231"/>
      <c r="E2732" s="231"/>
      <c r="F2732" s="231"/>
      <c r="G2732" s="231"/>
      <c r="H2732" s="231"/>
      <c r="I2732" s="231"/>
      <c r="J2732" s="231"/>
      <c r="K2732" s="231"/>
      <c r="L2732" s="231"/>
      <c r="M2732" s="231"/>
      <c r="N2732" s="231"/>
      <c r="O2732" s="231"/>
      <c r="P2732" s="231"/>
      <c r="Q2732" s="231"/>
      <c r="R2732" s="231"/>
      <c r="S2732" s="231"/>
      <c r="T2732" s="231"/>
      <c r="U2732" s="231"/>
      <c r="V2732" s="231"/>
      <c r="W2732" s="231"/>
      <c r="X2732" s="231"/>
      <c r="Y2732" s="231"/>
      <c r="Z2732" s="231"/>
      <c r="AA2732" s="231"/>
      <c r="AB2732" s="22">
        <f t="shared" si="841"/>
        <v>0</v>
      </c>
      <c r="AC2732" s="23">
        <v>0</v>
      </c>
      <c r="AD2732" s="35"/>
      <c r="AE2732" s="35"/>
      <c r="AF2732" s="35"/>
      <c r="AG2732" s="35"/>
      <c r="AH2732" s="35"/>
      <c r="AI2732" s="35"/>
      <c r="AJ2732" s="35"/>
      <c r="AK2732" s="35"/>
      <c r="AL2732" s="35"/>
      <c r="AM2732" s="35"/>
      <c r="AN2732" s="35"/>
      <c r="AO2732" s="35"/>
      <c r="AP2732" s="35">
        <v>2</v>
      </c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22">
        <f t="shared" si="842"/>
        <v>2</v>
      </c>
      <c r="BC2732" s="23">
        <v>1</v>
      </c>
      <c r="BD2732" s="130">
        <f t="shared" si="843"/>
        <v>2</v>
      </c>
      <c r="BE2732" s="130">
        <f t="shared" si="844"/>
        <v>1</v>
      </c>
      <c r="BF2732" s="195">
        <f t="shared" si="845"/>
        <v>200</v>
      </c>
      <c r="BG2732" s="373">
        <f t="shared" si="846"/>
        <v>-1</v>
      </c>
    </row>
    <row r="2733" spans="1:59" s="46" customFormat="1" ht="15.95" customHeight="1">
      <c r="A2733" s="176">
        <v>106</v>
      </c>
      <c r="B2733" s="31" t="s">
        <v>950</v>
      </c>
      <c r="C2733" s="32" t="s">
        <v>951</v>
      </c>
      <c r="D2733" s="277"/>
      <c r="E2733" s="277"/>
      <c r="F2733" s="277"/>
      <c r="G2733" s="277"/>
      <c r="H2733" s="277"/>
      <c r="I2733" s="277"/>
      <c r="J2733" s="277"/>
      <c r="K2733" s="277"/>
      <c r="L2733" s="277"/>
      <c r="M2733" s="277"/>
      <c r="N2733" s="277"/>
      <c r="O2733" s="277"/>
      <c r="P2733" s="277"/>
      <c r="Q2733" s="277"/>
      <c r="R2733" s="277"/>
      <c r="S2733" s="277"/>
      <c r="T2733" s="277"/>
      <c r="U2733" s="277"/>
      <c r="V2733" s="277"/>
      <c r="W2733" s="277"/>
      <c r="X2733" s="277"/>
      <c r="Y2733" s="277"/>
      <c r="Z2733" s="277"/>
      <c r="AA2733" s="277"/>
      <c r="AB2733" s="22">
        <f t="shared" si="841"/>
        <v>0</v>
      </c>
      <c r="AC2733" s="23">
        <v>0</v>
      </c>
      <c r="AD2733" s="35"/>
      <c r="AE2733" s="35"/>
      <c r="AF2733" s="35"/>
      <c r="AG2733" s="35"/>
      <c r="AH2733" s="35">
        <v>1</v>
      </c>
      <c r="AI2733" s="35"/>
      <c r="AJ2733" s="35"/>
      <c r="AK2733" s="35"/>
      <c r="AL2733" s="35">
        <v>22</v>
      </c>
      <c r="AM2733" s="35"/>
      <c r="AN2733" s="35"/>
      <c r="AO2733" s="35"/>
      <c r="AP2733" s="35">
        <v>10</v>
      </c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22">
        <f t="shared" si="842"/>
        <v>33</v>
      </c>
      <c r="BC2733" s="23">
        <v>117</v>
      </c>
      <c r="BD2733" s="130">
        <f t="shared" si="843"/>
        <v>33</v>
      </c>
      <c r="BE2733" s="130">
        <f t="shared" si="844"/>
        <v>117</v>
      </c>
      <c r="BF2733" s="195">
        <f t="shared" si="845"/>
        <v>28.205128205128204</v>
      </c>
      <c r="BG2733" s="373">
        <f t="shared" si="846"/>
        <v>84</v>
      </c>
    </row>
    <row r="2734" spans="1:59" s="46" customFormat="1" ht="15.95" customHeight="1">
      <c r="A2734" s="176">
        <v>107</v>
      </c>
      <c r="B2734" s="31" t="s">
        <v>952</v>
      </c>
      <c r="C2734" s="32" t="s">
        <v>953</v>
      </c>
      <c r="D2734" s="231"/>
      <c r="E2734" s="231"/>
      <c r="F2734" s="231"/>
      <c r="G2734" s="231"/>
      <c r="H2734" s="231"/>
      <c r="I2734" s="231"/>
      <c r="J2734" s="231"/>
      <c r="K2734" s="231"/>
      <c r="L2734" s="231"/>
      <c r="M2734" s="231"/>
      <c r="N2734" s="231"/>
      <c r="O2734" s="231"/>
      <c r="P2734" s="231"/>
      <c r="Q2734" s="231"/>
      <c r="R2734" s="231"/>
      <c r="S2734" s="231"/>
      <c r="T2734" s="231"/>
      <c r="U2734" s="231"/>
      <c r="V2734" s="231"/>
      <c r="W2734" s="231"/>
      <c r="X2734" s="231"/>
      <c r="Y2734" s="231"/>
      <c r="Z2734" s="231"/>
      <c r="AA2734" s="231"/>
      <c r="AB2734" s="22">
        <f t="shared" si="841"/>
        <v>0</v>
      </c>
      <c r="AC2734" s="23">
        <v>0</v>
      </c>
      <c r="AD2734" s="35"/>
      <c r="AE2734" s="35"/>
      <c r="AF2734" s="35"/>
      <c r="AG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22">
        <f t="shared" si="842"/>
        <v>0</v>
      </c>
      <c r="BC2734" s="23">
        <v>5</v>
      </c>
      <c r="BD2734" s="130">
        <f t="shared" si="843"/>
        <v>0</v>
      </c>
      <c r="BE2734" s="130">
        <f t="shared" si="844"/>
        <v>5</v>
      </c>
      <c r="BF2734" s="195">
        <f t="shared" si="845"/>
        <v>0</v>
      </c>
      <c r="BG2734" s="373">
        <f t="shared" si="846"/>
        <v>5</v>
      </c>
    </row>
    <row r="2735" spans="1:59" s="46" customFormat="1" ht="15.95" customHeight="1">
      <c r="A2735" s="176">
        <v>108</v>
      </c>
      <c r="B2735" s="31" t="s">
        <v>954</v>
      </c>
      <c r="C2735" s="32" t="s">
        <v>955</v>
      </c>
      <c r="D2735" s="259"/>
      <c r="E2735" s="259"/>
      <c r="F2735" s="259"/>
      <c r="G2735" s="259"/>
      <c r="H2735" s="259"/>
      <c r="I2735" s="259"/>
      <c r="J2735" s="259"/>
      <c r="K2735" s="259"/>
      <c r="L2735" s="259"/>
      <c r="M2735" s="259"/>
      <c r="N2735" s="259"/>
      <c r="O2735" s="259"/>
      <c r="P2735" s="259"/>
      <c r="Q2735" s="259"/>
      <c r="R2735" s="259"/>
      <c r="S2735" s="259"/>
      <c r="T2735" s="259"/>
      <c r="U2735" s="259"/>
      <c r="V2735" s="259"/>
      <c r="W2735" s="259"/>
      <c r="X2735" s="259"/>
      <c r="Y2735" s="259"/>
      <c r="Z2735" s="259"/>
      <c r="AA2735" s="259"/>
      <c r="AB2735" s="22">
        <f t="shared" si="841"/>
        <v>0</v>
      </c>
      <c r="AC2735" s="23">
        <v>0</v>
      </c>
      <c r="AD2735" s="35"/>
      <c r="AE2735" s="35"/>
      <c r="AF2735" s="35"/>
      <c r="AG2735" s="35"/>
      <c r="AH2735" s="35"/>
      <c r="AI2735" s="35"/>
      <c r="AJ2735" s="35"/>
      <c r="AK2735" s="35"/>
      <c r="AL2735" s="35">
        <v>2</v>
      </c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  <c r="AX2735" s="35"/>
      <c r="AY2735" s="35"/>
      <c r="AZ2735" s="35"/>
      <c r="BA2735" s="35"/>
      <c r="BB2735" s="22">
        <f t="shared" si="842"/>
        <v>2</v>
      </c>
      <c r="BC2735" s="23">
        <v>10</v>
      </c>
      <c r="BD2735" s="130">
        <f t="shared" si="843"/>
        <v>2</v>
      </c>
      <c r="BE2735" s="130">
        <f t="shared" si="844"/>
        <v>10</v>
      </c>
      <c r="BF2735" s="195">
        <f t="shared" si="845"/>
        <v>20</v>
      </c>
      <c r="BG2735" s="373">
        <f t="shared" si="846"/>
        <v>8</v>
      </c>
    </row>
    <row r="2736" spans="1:59" s="46" customFormat="1" ht="15.95" customHeight="1">
      <c r="A2736" s="176">
        <v>109</v>
      </c>
      <c r="B2736" s="31" t="s">
        <v>1349</v>
      </c>
      <c r="C2736" s="32" t="s">
        <v>1397</v>
      </c>
      <c r="D2736" s="231"/>
      <c r="E2736" s="231"/>
      <c r="F2736" s="231"/>
      <c r="G2736" s="231"/>
      <c r="H2736" s="231"/>
      <c r="I2736" s="231"/>
      <c r="J2736" s="231"/>
      <c r="K2736" s="231"/>
      <c r="L2736" s="231"/>
      <c r="M2736" s="231"/>
      <c r="N2736" s="231"/>
      <c r="O2736" s="231"/>
      <c r="P2736" s="231"/>
      <c r="Q2736" s="231"/>
      <c r="R2736" s="231"/>
      <c r="S2736" s="231"/>
      <c r="T2736" s="231"/>
      <c r="U2736" s="231"/>
      <c r="V2736" s="231"/>
      <c r="W2736" s="231"/>
      <c r="X2736" s="231"/>
      <c r="Y2736" s="231"/>
      <c r="Z2736" s="231"/>
      <c r="AA2736" s="231"/>
      <c r="AB2736" s="22">
        <f t="shared" si="841"/>
        <v>0</v>
      </c>
      <c r="AC2736" s="23">
        <v>0</v>
      </c>
      <c r="AD2736" s="35"/>
      <c r="AE2736" s="35"/>
      <c r="AF2736" s="35"/>
      <c r="AG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  <c r="AX2736" s="35"/>
      <c r="AY2736" s="35"/>
      <c r="AZ2736" s="35"/>
      <c r="BA2736" s="35"/>
      <c r="BB2736" s="22">
        <f t="shared" si="842"/>
        <v>0</v>
      </c>
      <c r="BC2736" s="23">
        <v>1</v>
      </c>
      <c r="BD2736" s="130">
        <f t="shared" si="843"/>
        <v>0</v>
      </c>
      <c r="BE2736" s="130">
        <f t="shared" si="844"/>
        <v>1</v>
      </c>
      <c r="BF2736" s="195">
        <f t="shared" si="845"/>
        <v>0</v>
      </c>
      <c r="BG2736" s="373">
        <f t="shared" si="846"/>
        <v>1</v>
      </c>
    </row>
    <row r="2737" spans="1:59" s="46" customFormat="1" ht="15.95" customHeight="1">
      <c r="A2737" s="176">
        <v>110</v>
      </c>
      <c r="B2737" s="31" t="s">
        <v>957</v>
      </c>
      <c r="C2737" s="32" t="s">
        <v>958</v>
      </c>
      <c r="D2737" s="231"/>
      <c r="E2737" s="231"/>
      <c r="F2737" s="231"/>
      <c r="G2737" s="231"/>
      <c r="H2737" s="231"/>
      <c r="I2737" s="231"/>
      <c r="J2737" s="231"/>
      <c r="K2737" s="231"/>
      <c r="L2737" s="231"/>
      <c r="M2737" s="231"/>
      <c r="N2737" s="231"/>
      <c r="O2737" s="231"/>
      <c r="P2737" s="231"/>
      <c r="Q2737" s="231"/>
      <c r="R2737" s="231"/>
      <c r="S2737" s="231"/>
      <c r="T2737" s="231"/>
      <c r="U2737" s="231"/>
      <c r="V2737" s="231"/>
      <c r="W2737" s="231"/>
      <c r="X2737" s="231"/>
      <c r="Y2737" s="231"/>
      <c r="Z2737" s="231"/>
      <c r="AA2737" s="231"/>
      <c r="AB2737" s="22">
        <f t="shared" si="841"/>
        <v>0</v>
      </c>
      <c r="AC2737" s="23">
        <v>0</v>
      </c>
      <c r="AD2737" s="35"/>
      <c r="AE2737" s="35"/>
      <c r="AF2737" s="35"/>
      <c r="AG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  <c r="AX2737" s="35"/>
      <c r="AY2737" s="35"/>
      <c r="AZ2737" s="35"/>
      <c r="BA2737" s="35"/>
      <c r="BB2737" s="22">
        <f t="shared" si="842"/>
        <v>0</v>
      </c>
      <c r="BC2737" s="23">
        <v>2</v>
      </c>
      <c r="BD2737" s="130">
        <f t="shared" si="843"/>
        <v>0</v>
      </c>
      <c r="BE2737" s="130">
        <f t="shared" si="844"/>
        <v>2</v>
      </c>
      <c r="BF2737" s="195">
        <f t="shared" si="845"/>
        <v>0</v>
      </c>
      <c r="BG2737" s="373">
        <f t="shared" si="846"/>
        <v>2</v>
      </c>
    </row>
    <row r="2738" spans="1:59" s="46" customFormat="1" ht="15.95" customHeight="1">
      <c r="A2738" s="176">
        <v>111</v>
      </c>
      <c r="B2738" s="31" t="s">
        <v>959</v>
      </c>
      <c r="C2738" s="32" t="s">
        <v>2151</v>
      </c>
      <c r="D2738" s="231"/>
      <c r="E2738" s="231"/>
      <c r="F2738" s="231"/>
      <c r="G2738" s="231"/>
      <c r="H2738" s="231"/>
      <c r="I2738" s="231"/>
      <c r="J2738" s="231"/>
      <c r="K2738" s="231"/>
      <c r="L2738" s="231"/>
      <c r="M2738" s="231"/>
      <c r="N2738" s="231"/>
      <c r="O2738" s="231"/>
      <c r="P2738" s="231"/>
      <c r="Q2738" s="231"/>
      <c r="R2738" s="231"/>
      <c r="S2738" s="231"/>
      <c r="T2738" s="231"/>
      <c r="U2738" s="231"/>
      <c r="V2738" s="231"/>
      <c r="W2738" s="231"/>
      <c r="X2738" s="231"/>
      <c r="Y2738" s="231"/>
      <c r="Z2738" s="231"/>
      <c r="AA2738" s="231"/>
      <c r="AB2738" s="22">
        <f t="shared" si="841"/>
        <v>0</v>
      </c>
      <c r="AC2738" s="23">
        <v>0</v>
      </c>
      <c r="AD2738" s="35"/>
      <c r="AE2738" s="35"/>
      <c r="AF2738" s="35"/>
      <c r="AG2738" s="35"/>
      <c r="AH2738" s="35"/>
      <c r="AI2738" s="35"/>
      <c r="AJ2738" s="35"/>
      <c r="AK2738" s="35"/>
      <c r="AL2738" s="35"/>
      <c r="AM2738" s="35"/>
      <c r="AN2738" s="35"/>
      <c r="AO2738" s="35"/>
      <c r="AP2738" s="35">
        <v>1</v>
      </c>
      <c r="AQ2738" s="35"/>
      <c r="AR2738" s="35"/>
      <c r="AS2738" s="35"/>
      <c r="AT2738" s="35"/>
      <c r="AU2738" s="35"/>
      <c r="AV2738" s="35"/>
      <c r="AW2738" s="35"/>
      <c r="AX2738" s="35"/>
      <c r="AY2738" s="35"/>
      <c r="AZ2738" s="35"/>
      <c r="BA2738" s="35"/>
      <c r="BB2738" s="22">
        <f t="shared" si="842"/>
        <v>1</v>
      </c>
      <c r="BC2738" s="23">
        <v>1</v>
      </c>
      <c r="BD2738" s="130">
        <f t="shared" si="843"/>
        <v>1</v>
      </c>
      <c r="BE2738" s="130">
        <f t="shared" si="844"/>
        <v>1</v>
      </c>
      <c r="BF2738" s="195">
        <f t="shared" si="845"/>
        <v>100</v>
      </c>
      <c r="BG2738" s="373">
        <f t="shared" si="846"/>
        <v>0</v>
      </c>
    </row>
    <row r="2739" spans="1:59" s="46" customFormat="1" ht="15.95" customHeight="1">
      <c r="A2739" s="176">
        <v>112</v>
      </c>
      <c r="B2739" s="31" t="s">
        <v>961</v>
      </c>
      <c r="C2739" s="32" t="s">
        <v>962</v>
      </c>
      <c r="D2739" s="231"/>
      <c r="E2739" s="231"/>
      <c r="F2739" s="231"/>
      <c r="G2739" s="231"/>
      <c r="H2739" s="231"/>
      <c r="I2739" s="231"/>
      <c r="J2739" s="231"/>
      <c r="K2739" s="231"/>
      <c r="L2739" s="231"/>
      <c r="M2739" s="231"/>
      <c r="N2739" s="231"/>
      <c r="O2739" s="231"/>
      <c r="P2739" s="231"/>
      <c r="Q2739" s="231"/>
      <c r="R2739" s="231"/>
      <c r="S2739" s="231"/>
      <c r="T2739" s="231"/>
      <c r="U2739" s="231"/>
      <c r="V2739" s="231"/>
      <c r="W2739" s="231"/>
      <c r="X2739" s="231"/>
      <c r="Y2739" s="231"/>
      <c r="Z2739" s="231"/>
      <c r="AA2739" s="231"/>
      <c r="AB2739" s="22">
        <f t="shared" si="841"/>
        <v>0</v>
      </c>
      <c r="AC2739" s="23">
        <v>0</v>
      </c>
      <c r="AD2739" s="35"/>
      <c r="AE2739" s="35"/>
      <c r="AF2739" s="35"/>
      <c r="AG2739" s="35"/>
      <c r="AH2739" s="35"/>
      <c r="AI2739" s="35"/>
      <c r="AJ2739" s="35"/>
      <c r="AK2739" s="35"/>
      <c r="AL2739" s="35">
        <v>9</v>
      </c>
      <c r="AM2739" s="35"/>
      <c r="AN2739" s="35"/>
      <c r="AO2739" s="35"/>
      <c r="AP2739" s="35">
        <v>4</v>
      </c>
      <c r="AQ2739" s="35"/>
      <c r="AR2739" s="35"/>
      <c r="AS2739" s="35"/>
      <c r="AT2739" s="35"/>
      <c r="AU2739" s="35"/>
      <c r="AV2739" s="35"/>
      <c r="AW2739" s="35"/>
      <c r="AX2739" s="35"/>
      <c r="AY2739" s="35"/>
      <c r="AZ2739" s="35"/>
      <c r="BA2739" s="35"/>
      <c r="BB2739" s="22">
        <f t="shared" si="842"/>
        <v>13</v>
      </c>
      <c r="BC2739" s="23">
        <v>17</v>
      </c>
      <c r="BD2739" s="130">
        <f t="shared" si="843"/>
        <v>13</v>
      </c>
      <c r="BE2739" s="130">
        <f t="shared" si="844"/>
        <v>17</v>
      </c>
      <c r="BF2739" s="195">
        <f t="shared" si="845"/>
        <v>76.470588235294116</v>
      </c>
      <c r="BG2739" s="373">
        <f t="shared" si="846"/>
        <v>4</v>
      </c>
    </row>
    <row r="2740" spans="1:59" s="46" customFormat="1" ht="15.95" customHeight="1">
      <c r="A2740" s="176">
        <v>113</v>
      </c>
      <c r="B2740" s="31" t="s">
        <v>963</v>
      </c>
      <c r="C2740" s="32" t="s">
        <v>964</v>
      </c>
      <c r="D2740" s="231"/>
      <c r="E2740" s="231"/>
      <c r="F2740" s="231"/>
      <c r="G2740" s="231"/>
      <c r="H2740" s="231"/>
      <c r="I2740" s="231"/>
      <c r="J2740" s="231"/>
      <c r="K2740" s="231"/>
      <c r="L2740" s="231"/>
      <c r="M2740" s="231"/>
      <c r="N2740" s="231"/>
      <c r="O2740" s="231"/>
      <c r="P2740" s="231"/>
      <c r="Q2740" s="231"/>
      <c r="R2740" s="231"/>
      <c r="S2740" s="231"/>
      <c r="T2740" s="231"/>
      <c r="U2740" s="231"/>
      <c r="V2740" s="231"/>
      <c r="W2740" s="231"/>
      <c r="X2740" s="231"/>
      <c r="Y2740" s="231"/>
      <c r="Z2740" s="231"/>
      <c r="AA2740" s="231"/>
      <c r="AB2740" s="22">
        <f t="shared" si="841"/>
        <v>0</v>
      </c>
      <c r="AC2740" s="23">
        <v>0</v>
      </c>
      <c r="AD2740" s="35"/>
      <c r="AE2740" s="35"/>
      <c r="AF2740" s="35"/>
      <c r="AG2740" s="35"/>
      <c r="AH2740" s="35">
        <v>1</v>
      </c>
      <c r="AI2740" s="35"/>
      <c r="AJ2740" s="35"/>
      <c r="AK2740" s="35"/>
      <c r="AL2740" s="35">
        <v>10</v>
      </c>
      <c r="AM2740" s="35"/>
      <c r="AN2740" s="35"/>
      <c r="AO2740" s="35"/>
      <c r="AP2740" s="35">
        <v>4</v>
      </c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22">
        <f t="shared" si="842"/>
        <v>15</v>
      </c>
      <c r="BC2740" s="23">
        <v>15</v>
      </c>
      <c r="BD2740" s="130">
        <f t="shared" si="843"/>
        <v>15</v>
      </c>
      <c r="BE2740" s="130">
        <f t="shared" si="844"/>
        <v>15</v>
      </c>
      <c r="BF2740" s="195">
        <f t="shared" si="845"/>
        <v>100</v>
      </c>
      <c r="BG2740" s="373">
        <f t="shared" si="846"/>
        <v>0</v>
      </c>
    </row>
    <row r="2741" spans="1:59" s="46" customFormat="1" ht="15.95" customHeight="1">
      <c r="A2741" s="176">
        <v>114</v>
      </c>
      <c r="B2741" s="31" t="s">
        <v>967</v>
      </c>
      <c r="C2741" s="32" t="s">
        <v>2432</v>
      </c>
      <c r="D2741" s="231"/>
      <c r="E2741" s="231"/>
      <c r="F2741" s="231"/>
      <c r="G2741" s="231"/>
      <c r="H2741" s="231"/>
      <c r="I2741" s="231"/>
      <c r="J2741" s="231"/>
      <c r="K2741" s="231"/>
      <c r="L2741" s="231"/>
      <c r="M2741" s="231"/>
      <c r="N2741" s="231"/>
      <c r="O2741" s="231"/>
      <c r="P2741" s="231"/>
      <c r="Q2741" s="231"/>
      <c r="R2741" s="231"/>
      <c r="S2741" s="231"/>
      <c r="T2741" s="231"/>
      <c r="U2741" s="231"/>
      <c r="V2741" s="231"/>
      <c r="W2741" s="231"/>
      <c r="X2741" s="231"/>
      <c r="Y2741" s="231"/>
      <c r="Z2741" s="231"/>
      <c r="AA2741" s="231"/>
      <c r="AB2741" s="22">
        <f t="shared" si="841"/>
        <v>0</v>
      </c>
      <c r="AC2741" s="23">
        <v>0</v>
      </c>
      <c r="AD2741" s="35"/>
      <c r="AE2741" s="35"/>
      <c r="AF2741" s="35"/>
      <c r="AG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22">
        <f t="shared" si="842"/>
        <v>0</v>
      </c>
      <c r="BC2741" s="23">
        <v>1</v>
      </c>
      <c r="BD2741" s="130">
        <f t="shared" si="843"/>
        <v>0</v>
      </c>
      <c r="BE2741" s="130">
        <f t="shared" si="844"/>
        <v>1</v>
      </c>
      <c r="BF2741" s="195">
        <f t="shared" si="845"/>
        <v>0</v>
      </c>
      <c r="BG2741" s="373">
        <f t="shared" si="846"/>
        <v>1</v>
      </c>
    </row>
    <row r="2742" spans="1:59" s="46" customFormat="1" ht="15.95" customHeight="1">
      <c r="A2742" s="176">
        <v>115</v>
      </c>
      <c r="B2742" s="31" t="s">
        <v>1049</v>
      </c>
      <c r="C2742" s="32" t="s">
        <v>1050</v>
      </c>
      <c r="D2742" s="552"/>
      <c r="E2742" s="552"/>
      <c r="F2742" s="552"/>
      <c r="G2742" s="552"/>
      <c r="H2742" s="552"/>
      <c r="I2742" s="552"/>
      <c r="J2742" s="552"/>
      <c r="K2742" s="552"/>
      <c r="L2742" s="552"/>
      <c r="M2742" s="552"/>
      <c r="N2742" s="552"/>
      <c r="O2742" s="552"/>
      <c r="P2742" s="552"/>
      <c r="Q2742" s="552"/>
      <c r="R2742" s="552"/>
      <c r="S2742" s="552"/>
      <c r="T2742" s="552"/>
      <c r="U2742" s="552"/>
      <c r="V2742" s="552"/>
      <c r="W2742" s="552"/>
      <c r="X2742" s="552"/>
      <c r="Y2742" s="552"/>
      <c r="Z2742" s="552"/>
      <c r="AA2742" s="552"/>
      <c r="AB2742" s="22">
        <f t="shared" si="841"/>
        <v>0</v>
      </c>
      <c r="AC2742" s="23">
        <v>0</v>
      </c>
      <c r="AD2742" s="35"/>
      <c r="AE2742" s="35"/>
      <c r="AF2742" s="35"/>
      <c r="AG2742" s="35"/>
      <c r="AH2742" s="35"/>
      <c r="AI2742" s="35"/>
      <c r="AJ2742" s="35"/>
      <c r="AK2742" s="35"/>
      <c r="AL2742" s="35">
        <v>35</v>
      </c>
      <c r="AM2742" s="35"/>
      <c r="AN2742" s="35"/>
      <c r="AO2742" s="35"/>
      <c r="AP2742" s="35">
        <v>19</v>
      </c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22">
        <f t="shared" si="842"/>
        <v>54</v>
      </c>
      <c r="BC2742" s="23">
        <v>0</v>
      </c>
      <c r="BD2742" s="130">
        <f t="shared" si="843"/>
        <v>54</v>
      </c>
      <c r="BE2742" s="130">
        <f t="shared" si="844"/>
        <v>0</v>
      </c>
      <c r="BF2742" s="195" t="e">
        <f t="shared" si="845"/>
        <v>#DIV/0!</v>
      </c>
      <c r="BG2742" s="373"/>
    </row>
    <row r="2743" spans="1:59" s="46" customFormat="1" ht="15.95" customHeight="1">
      <c r="A2743" s="176">
        <v>116</v>
      </c>
      <c r="B2743" s="31" t="s">
        <v>851</v>
      </c>
      <c r="C2743" s="32" t="s">
        <v>1359</v>
      </c>
      <c r="D2743" s="231"/>
      <c r="E2743" s="231"/>
      <c r="F2743" s="231"/>
      <c r="G2743" s="231"/>
      <c r="H2743" s="231"/>
      <c r="I2743" s="231"/>
      <c r="J2743" s="231"/>
      <c r="K2743" s="231"/>
      <c r="L2743" s="231"/>
      <c r="M2743" s="231"/>
      <c r="N2743" s="231"/>
      <c r="O2743" s="231"/>
      <c r="P2743" s="231"/>
      <c r="Q2743" s="231"/>
      <c r="R2743" s="231"/>
      <c r="S2743" s="231"/>
      <c r="T2743" s="231"/>
      <c r="U2743" s="231"/>
      <c r="V2743" s="231"/>
      <c r="W2743" s="231"/>
      <c r="X2743" s="231"/>
      <c r="Y2743" s="231"/>
      <c r="Z2743" s="231"/>
      <c r="AA2743" s="231"/>
      <c r="AB2743" s="22">
        <f t="shared" si="841"/>
        <v>0</v>
      </c>
      <c r="AC2743" s="23">
        <v>0</v>
      </c>
      <c r="AD2743" s="35"/>
      <c r="AE2743" s="35"/>
      <c r="AF2743" s="35"/>
      <c r="AG2743" s="35"/>
      <c r="AH2743" s="35"/>
      <c r="AI2743" s="35"/>
      <c r="AJ2743" s="35"/>
      <c r="AK2743" s="35"/>
      <c r="AL2743" s="35">
        <v>8</v>
      </c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22">
        <f t="shared" si="842"/>
        <v>8</v>
      </c>
      <c r="BC2743" s="23">
        <v>115</v>
      </c>
      <c r="BD2743" s="130">
        <f t="shared" si="843"/>
        <v>8</v>
      </c>
      <c r="BE2743" s="130">
        <f t="shared" si="844"/>
        <v>115</v>
      </c>
      <c r="BF2743" s="195">
        <f t="shared" si="845"/>
        <v>6.9565217391304346</v>
      </c>
      <c r="BG2743" s="373">
        <f t="shared" ref="BG2743:BG2776" si="847">BE2743-BD2743</f>
        <v>107</v>
      </c>
    </row>
    <row r="2744" spans="1:59" s="46" customFormat="1" ht="15.95" customHeight="1">
      <c r="A2744" s="176">
        <v>117</v>
      </c>
      <c r="B2744" s="31" t="s">
        <v>1088</v>
      </c>
      <c r="C2744" s="32" t="s">
        <v>2114</v>
      </c>
      <c r="D2744" s="329"/>
      <c r="E2744" s="329"/>
      <c r="F2744" s="329"/>
      <c r="G2744" s="329"/>
      <c r="H2744" s="329"/>
      <c r="I2744" s="329"/>
      <c r="J2744" s="329"/>
      <c r="K2744" s="329"/>
      <c r="L2744" s="329"/>
      <c r="M2744" s="329"/>
      <c r="N2744" s="329"/>
      <c r="O2744" s="329"/>
      <c r="P2744" s="329"/>
      <c r="Q2744" s="329"/>
      <c r="R2744" s="329"/>
      <c r="S2744" s="329"/>
      <c r="T2744" s="329"/>
      <c r="U2744" s="329"/>
      <c r="V2744" s="329"/>
      <c r="W2744" s="329"/>
      <c r="X2744" s="329"/>
      <c r="Y2744" s="329"/>
      <c r="Z2744" s="329"/>
      <c r="AA2744" s="329"/>
      <c r="AB2744" s="22">
        <f t="shared" si="841"/>
        <v>0</v>
      </c>
      <c r="AC2744" s="23">
        <v>0</v>
      </c>
      <c r="AD2744" s="35"/>
      <c r="AE2744" s="35"/>
      <c r="AF2744" s="35"/>
      <c r="AG2744" s="35"/>
      <c r="AH2744" s="35">
        <v>8</v>
      </c>
      <c r="AI2744" s="35"/>
      <c r="AJ2744" s="35"/>
      <c r="AK2744" s="35"/>
      <c r="AL2744" s="35">
        <v>155</v>
      </c>
      <c r="AM2744" s="35"/>
      <c r="AN2744" s="35"/>
      <c r="AO2744" s="35"/>
      <c r="AP2744" s="35">
        <v>55</v>
      </c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22">
        <f t="shared" si="842"/>
        <v>218</v>
      </c>
      <c r="BC2744" s="23">
        <v>835</v>
      </c>
      <c r="BD2744" s="130">
        <f t="shared" si="843"/>
        <v>218</v>
      </c>
      <c r="BE2744" s="130">
        <f t="shared" si="844"/>
        <v>835</v>
      </c>
      <c r="BF2744" s="195">
        <f t="shared" si="845"/>
        <v>26.107784431137727</v>
      </c>
      <c r="BG2744" s="373">
        <f t="shared" si="847"/>
        <v>617</v>
      </c>
    </row>
    <row r="2745" spans="1:59" s="46" customFormat="1" ht="15.95" customHeight="1">
      <c r="A2745" s="176">
        <v>118</v>
      </c>
      <c r="B2745" s="31" t="s">
        <v>1773</v>
      </c>
      <c r="C2745" s="32" t="s">
        <v>2475</v>
      </c>
      <c r="D2745" s="231"/>
      <c r="E2745" s="231"/>
      <c r="F2745" s="231"/>
      <c r="G2745" s="231"/>
      <c r="H2745" s="231"/>
      <c r="I2745" s="231"/>
      <c r="J2745" s="231"/>
      <c r="K2745" s="231"/>
      <c r="L2745" s="231"/>
      <c r="M2745" s="231"/>
      <c r="N2745" s="231"/>
      <c r="O2745" s="231"/>
      <c r="P2745" s="231"/>
      <c r="Q2745" s="231"/>
      <c r="R2745" s="231"/>
      <c r="S2745" s="231"/>
      <c r="T2745" s="231"/>
      <c r="U2745" s="231"/>
      <c r="V2745" s="231"/>
      <c r="W2745" s="231"/>
      <c r="X2745" s="231"/>
      <c r="Y2745" s="231"/>
      <c r="Z2745" s="231"/>
      <c r="AA2745" s="231"/>
      <c r="AB2745" s="22">
        <f t="shared" si="841"/>
        <v>0</v>
      </c>
      <c r="AC2745" s="23">
        <v>0</v>
      </c>
      <c r="AD2745" s="35"/>
      <c r="AE2745" s="35"/>
      <c r="AF2745" s="35"/>
      <c r="AG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22">
        <f t="shared" si="842"/>
        <v>0</v>
      </c>
      <c r="BC2745" s="23">
        <v>29</v>
      </c>
      <c r="BD2745" s="130">
        <f t="shared" si="843"/>
        <v>0</v>
      </c>
      <c r="BE2745" s="130">
        <f t="shared" si="844"/>
        <v>29</v>
      </c>
      <c r="BF2745" s="195">
        <f t="shared" si="845"/>
        <v>0</v>
      </c>
      <c r="BG2745" s="373">
        <f t="shared" si="847"/>
        <v>29</v>
      </c>
    </row>
    <row r="2746" spans="1:59" s="46" customFormat="1" ht="15.95" customHeight="1">
      <c r="A2746" s="176">
        <v>119</v>
      </c>
      <c r="B2746" s="31" t="s">
        <v>1018</v>
      </c>
      <c r="C2746" s="32" t="s">
        <v>1402</v>
      </c>
      <c r="D2746" s="231"/>
      <c r="E2746" s="231"/>
      <c r="F2746" s="231"/>
      <c r="G2746" s="231"/>
      <c r="H2746" s="231"/>
      <c r="I2746" s="231"/>
      <c r="J2746" s="231"/>
      <c r="K2746" s="231"/>
      <c r="L2746" s="231"/>
      <c r="M2746" s="231"/>
      <c r="N2746" s="231"/>
      <c r="O2746" s="231"/>
      <c r="P2746" s="231"/>
      <c r="Q2746" s="231"/>
      <c r="R2746" s="231"/>
      <c r="S2746" s="231"/>
      <c r="T2746" s="231"/>
      <c r="U2746" s="231"/>
      <c r="V2746" s="231"/>
      <c r="W2746" s="231"/>
      <c r="X2746" s="231"/>
      <c r="Y2746" s="231"/>
      <c r="Z2746" s="231"/>
      <c r="AA2746" s="231"/>
      <c r="AB2746" s="22">
        <f t="shared" si="841"/>
        <v>0</v>
      </c>
      <c r="AC2746" s="23">
        <v>0</v>
      </c>
      <c r="AD2746" s="35"/>
      <c r="AE2746" s="35"/>
      <c r="AF2746" s="35"/>
      <c r="AG2746" s="35"/>
      <c r="AH2746" s="35"/>
      <c r="AI2746" s="35"/>
      <c r="AJ2746" s="35"/>
      <c r="AK2746" s="35"/>
      <c r="AL2746" s="35">
        <v>6</v>
      </c>
      <c r="AM2746" s="35"/>
      <c r="AN2746" s="35"/>
      <c r="AO2746" s="35"/>
      <c r="AP2746" s="35">
        <v>4</v>
      </c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22">
        <f t="shared" si="842"/>
        <v>10</v>
      </c>
      <c r="BC2746" s="23">
        <v>13</v>
      </c>
      <c r="BD2746" s="130">
        <f t="shared" si="843"/>
        <v>10</v>
      </c>
      <c r="BE2746" s="130">
        <f t="shared" si="844"/>
        <v>13</v>
      </c>
      <c r="BF2746" s="195">
        <f t="shared" si="845"/>
        <v>76.923076923076934</v>
      </c>
      <c r="BG2746" s="373">
        <f t="shared" si="847"/>
        <v>3</v>
      </c>
    </row>
    <row r="2747" spans="1:59" s="46" customFormat="1" ht="15.95" customHeight="1">
      <c r="A2747" s="176">
        <v>120</v>
      </c>
      <c r="B2747" s="31" t="s">
        <v>3536</v>
      </c>
      <c r="C2747" s="32" t="s">
        <v>859</v>
      </c>
      <c r="D2747" s="231"/>
      <c r="E2747" s="231"/>
      <c r="F2747" s="231"/>
      <c r="G2747" s="231"/>
      <c r="H2747" s="231"/>
      <c r="I2747" s="231"/>
      <c r="J2747" s="231"/>
      <c r="K2747" s="231"/>
      <c r="L2747" s="231"/>
      <c r="M2747" s="231"/>
      <c r="N2747" s="231"/>
      <c r="O2747" s="231"/>
      <c r="P2747" s="231"/>
      <c r="Q2747" s="231"/>
      <c r="R2747" s="231"/>
      <c r="S2747" s="231"/>
      <c r="T2747" s="231"/>
      <c r="U2747" s="231"/>
      <c r="V2747" s="231"/>
      <c r="W2747" s="231"/>
      <c r="X2747" s="231"/>
      <c r="Y2747" s="231"/>
      <c r="Z2747" s="231"/>
      <c r="AA2747" s="231"/>
      <c r="AB2747" s="22">
        <f t="shared" si="841"/>
        <v>0</v>
      </c>
      <c r="AC2747" s="23">
        <v>0</v>
      </c>
      <c r="AD2747" s="35"/>
      <c r="AE2747" s="35"/>
      <c r="AF2747" s="35"/>
      <c r="AG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22">
        <f t="shared" si="842"/>
        <v>0</v>
      </c>
      <c r="BC2747" s="23">
        <v>1</v>
      </c>
      <c r="BD2747" s="130">
        <f t="shared" si="843"/>
        <v>0</v>
      </c>
      <c r="BE2747" s="130">
        <f t="shared" si="844"/>
        <v>1</v>
      </c>
      <c r="BF2747" s="195">
        <f t="shared" si="845"/>
        <v>0</v>
      </c>
      <c r="BG2747" s="373">
        <f t="shared" si="847"/>
        <v>1</v>
      </c>
    </row>
    <row r="2748" spans="1:59" s="46" customFormat="1" ht="15.95" customHeight="1">
      <c r="A2748" s="176">
        <v>121</v>
      </c>
      <c r="B2748" s="31" t="s">
        <v>1203</v>
      </c>
      <c r="C2748" s="34" t="s">
        <v>1434</v>
      </c>
      <c r="D2748" s="329"/>
      <c r="E2748" s="329"/>
      <c r="F2748" s="329"/>
      <c r="G2748" s="329"/>
      <c r="H2748" s="329"/>
      <c r="I2748" s="329"/>
      <c r="J2748" s="329"/>
      <c r="K2748" s="329"/>
      <c r="L2748" s="329"/>
      <c r="M2748" s="329"/>
      <c r="N2748" s="329"/>
      <c r="O2748" s="329"/>
      <c r="P2748" s="329"/>
      <c r="Q2748" s="329"/>
      <c r="R2748" s="329"/>
      <c r="S2748" s="329"/>
      <c r="T2748" s="329"/>
      <c r="U2748" s="329"/>
      <c r="V2748" s="329"/>
      <c r="W2748" s="329"/>
      <c r="X2748" s="329"/>
      <c r="Y2748" s="329"/>
      <c r="Z2748" s="329"/>
      <c r="AA2748" s="329"/>
      <c r="AB2748" s="22">
        <f t="shared" si="841"/>
        <v>0</v>
      </c>
      <c r="AC2748" s="23">
        <v>0</v>
      </c>
      <c r="AD2748" s="35"/>
      <c r="AE2748" s="35"/>
      <c r="AF2748" s="35"/>
      <c r="AG2748" s="35"/>
      <c r="AH2748" s="35">
        <v>2</v>
      </c>
      <c r="AI2748" s="35"/>
      <c r="AJ2748" s="35"/>
      <c r="AK2748" s="35"/>
      <c r="AL2748" s="35">
        <v>20</v>
      </c>
      <c r="AM2748" s="35"/>
      <c r="AN2748" s="35"/>
      <c r="AO2748" s="35"/>
      <c r="AP2748" s="35">
        <f>18+1</f>
        <v>19</v>
      </c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22">
        <f t="shared" si="842"/>
        <v>41</v>
      </c>
      <c r="BC2748" s="23">
        <v>336</v>
      </c>
      <c r="BD2748" s="130">
        <f t="shared" si="843"/>
        <v>41</v>
      </c>
      <c r="BE2748" s="130">
        <f t="shared" si="844"/>
        <v>336</v>
      </c>
      <c r="BF2748" s="195">
        <f t="shared" si="845"/>
        <v>12.202380952380953</v>
      </c>
      <c r="BG2748" s="373">
        <f t="shared" si="847"/>
        <v>295</v>
      </c>
    </row>
    <row r="2749" spans="1:59" s="46" customFormat="1" ht="15.95" customHeight="1">
      <c r="A2749" s="176">
        <v>122</v>
      </c>
      <c r="B2749" s="31" t="s">
        <v>1051</v>
      </c>
      <c r="C2749" s="34" t="s">
        <v>1434</v>
      </c>
      <c r="D2749" s="231"/>
      <c r="E2749" s="231"/>
      <c r="F2749" s="231"/>
      <c r="G2749" s="231"/>
      <c r="H2749" s="231"/>
      <c r="I2749" s="231"/>
      <c r="J2749" s="231"/>
      <c r="K2749" s="231"/>
      <c r="L2749" s="231"/>
      <c r="M2749" s="231"/>
      <c r="N2749" s="231"/>
      <c r="O2749" s="231"/>
      <c r="P2749" s="231"/>
      <c r="Q2749" s="231"/>
      <c r="R2749" s="231"/>
      <c r="S2749" s="231"/>
      <c r="T2749" s="231"/>
      <c r="U2749" s="231"/>
      <c r="V2749" s="231"/>
      <c r="W2749" s="231"/>
      <c r="X2749" s="231"/>
      <c r="Y2749" s="231"/>
      <c r="Z2749" s="231"/>
      <c r="AA2749" s="231"/>
      <c r="AB2749" s="22">
        <f t="shared" si="841"/>
        <v>0</v>
      </c>
      <c r="AC2749" s="23">
        <v>0</v>
      </c>
      <c r="AD2749" s="35"/>
      <c r="AE2749" s="35"/>
      <c r="AF2749" s="35"/>
      <c r="AG2749" s="35"/>
      <c r="AH2749" s="35">
        <v>3</v>
      </c>
      <c r="AI2749" s="35"/>
      <c r="AJ2749" s="35"/>
      <c r="AK2749" s="35"/>
      <c r="AL2749" s="35">
        <v>8</v>
      </c>
      <c r="AM2749" s="35"/>
      <c r="AN2749" s="35"/>
      <c r="AO2749" s="35"/>
      <c r="AP2749" s="35">
        <f>9+2</f>
        <v>11</v>
      </c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22">
        <f t="shared" si="842"/>
        <v>22</v>
      </c>
      <c r="BC2749" s="23">
        <v>200</v>
      </c>
      <c r="BD2749" s="130">
        <f t="shared" si="843"/>
        <v>22</v>
      </c>
      <c r="BE2749" s="130">
        <f t="shared" si="844"/>
        <v>200</v>
      </c>
      <c r="BF2749" s="195">
        <f t="shared" si="845"/>
        <v>11</v>
      </c>
      <c r="BG2749" s="373">
        <f t="shared" si="847"/>
        <v>178</v>
      </c>
    </row>
    <row r="2750" spans="1:59" s="46" customFormat="1" ht="15.95" customHeight="1">
      <c r="A2750" s="176">
        <v>123</v>
      </c>
      <c r="B2750" s="31" t="s">
        <v>1120</v>
      </c>
      <c r="C2750" s="34" t="s">
        <v>1121</v>
      </c>
      <c r="D2750" s="231"/>
      <c r="E2750" s="231"/>
      <c r="F2750" s="231"/>
      <c r="G2750" s="231"/>
      <c r="H2750" s="231"/>
      <c r="I2750" s="231"/>
      <c r="J2750" s="231"/>
      <c r="K2750" s="231"/>
      <c r="L2750" s="231"/>
      <c r="M2750" s="231"/>
      <c r="N2750" s="231"/>
      <c r="O2750" s="231"/>
      <c r="P2750" s="231"/>
      <c r="Q2750" s="231"/>
      <c r="R2750" s="231"/>
      <c r="S2750" s="231"/>
      <c r="T2750" s="231"/>
      <c r="U2750" s="231"/>
      <c r="V2750" s="231"/>
      <c r="W2750" s="231"/>
      <c r="X2750" s="231"/>
      <c r="Y2750" s="231"/>
      <c r="Z2750" s="231"/>
      <c r="AA2750" s="231"/>
      <c r="AB2750" s="22">
        <f t="shared" si="841"/>
        <v>0</v>
      </c>
      <c r="AC2750" s="23">
        <v>0</v>
      </c>
      <c r="AD2750" s="35"/>
      <c r="AE2750" s="35"/>
      <c r="AF2750" s="35"/>
      <c r="AG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22">
        <f t="shared" si="842"/>
        <v>0</v>
      </c>
      <c r="BC2750" s="23">
        <v>3</v>
      </c>
      <c r="BD2750" s="130">
        <f t="shared" si="843"/>
        <v>0</v>
      </c>
      <c r="BE2750" s="130">
        <f t="shared" si="844"/>
        <v>3</v>
      </c>
      <c r="BF2750" s="195">
        <f t="shared" si="845"/>
        <v>0</v>
      </c>
      <c r="BG2750" s="373">
        <f t="shared" si="847"/>
        <v>3</v>
      </c>
    </row>
    <row r="2751" spans="1:59" s="46" customFormat="1" ht="15.95" customHeight="1">
      <c r="A2751" s="176">
        <v>124</v>
      </c>
      <c r="B2751" s="31" t="s">
        <v>854</v>
      </c>
      <c r="C2751" s="34" t="s">
        <v>1090</v>
      </c>
      <c r="D2751" s="231"/>
      <c r="E2751" s="231"/>
      <c r="F2751" s="231"/>
      <c r="G2751" s="231"/>
      <c r="H2751" s="231"/>
      <c r="I2751" s="231"/>
      <c r="J2751" s="231"/>
      <c r="K2751" s="231"/>
      <c r="L2751" s="231"/>
      <c r="M2751" s="231"/>
      <c r="N2751" s="231"/>
      <c r="O2751" s="231"/>
      <c r="P2751" s="231"/>
      <c r="Q2751" s="231"/>
      <c r="R2751" s="231"/>
      <c r="S2751" s="231"/>
      <c r="T2751" s="231"/>
      <c r="U2751" s="231"/>
      <c r="V2751" s="231"/>
      <c r="W2751" s="231"/>
      <c r="X2751" s="231"/>
      <c r="Y2751" s="231"/>
      <c r="Z2751" s="231"/>
      <c r="AA2751" s="231"/>
      <c r="AB2751" s="22">
        <f t="shared" si="841"/>
        <v>0</v>
      </c>
      <c r="AC2751" s="23">
        <v>0</v>
      </c>
      <c r="AD2751" s="35">
        <v>22</v>
      </c>
      <c r="AE2751" s="35"/>
      <c r="AF2751" s="35"/>
      <c r="AG2751" s="35"/>
      <c r="AH2751" s="35">
        <f>2+75</f>
        <v>77</v>
      </c>
      <c r="AI2751" s="35"/>
      <c r="AJ2751" s="35"/>
      <c r="AK2751" s="35"/>
      <c r="AL2751" s="35">
        <f>9+299</f>
        <v>308</v>
      </c>
      <c r="AM2751" s="35"/>
      <c r="AN2751" s="35"/>
      <c r="AO2751" s="35"/>
      <c r="AP2751" s="35">
        <v>332</v>
      </c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22">
        <f t="shared" si="842"/>
        <v>739</v>
      </c>
      <c r="BC2751" s="23">
        <v>1254</v>
      </c>
      <c r="BD2751" s="130">
        <f t="shared" si="843"/>
        <v>739</v>
      </c>
      <c r="BE2751" s="130">
        <f t="shared" si="844"/>
        <v>1254</v>
      </c>
      <c r="BF2751" s="195">
        <f t="shared" si="845"/>
        <v>58.931419457735245</v>
      </c>
      <c r="BG2751" s="373">
        <f t="shared" si="847"/>
        <v>515</v>
      </c>
    </row>
    <row r="2752" spans="1:59" s="46" customFormat="1" ht="15.95" customHeight="1">
      <c r="A2752" s="176">
        <v>125</v>
      </c>
      <c r="B2752" s="31" t="s">
        <v>856</v>
      </c>
      <c r="C2752" s="34" t="s">
        <v>1435</v>
      </c>
      <c r="D2752" s="231"/>
      <c r="E2752" s="231"/>
      <c r="F2752" s="231"/>
      <c r="G2752" s="231"/>
      <c r="H2752" s="231"/>
      <c r="I2752" s="231"/>
      <c r="J2752" s="231"/>
      <c r="K2752" s="231"/>
      <c r="L2752" s="231"/>
      <c r="M2752" s="231"/>
      <c r="N2752" s="231"/>
      <c r="O2752" s="231"/>
      <c r="P2752" s="231"/>
      <c r="Q2752" s="231"/>
      <c r="R2752" s="231"/>
      <c r="S2752" s="231"/>
      <c r="T2752" s="231"/>
      <c r="U2752" s="231"/>
      <c r="V2752" s="231"/>
      <c r="W2752" s="231"/>
      <c r="X2752" s="231"/>
      <c r="Y2752" s="231"/>
      <c r="Z2752" s="231"/>
      <c r="AA2752" s="231"/>
      <c r="AB2752" s="22">
        <f t="shared" si="841"/>
        <v>0</v>
      </c>
      <c r="AC2752" s="23">
        <v>0</v>
      </c>
      <c r="AD2752" s="35">
        <v>6</v>
      </c>
      <c r="AE2752" s="35"/>
      <c r="AF2752" s="35"/>
      <c r="AG2752" s="35"/>
      <c r="AH2752" s="35">
        <f>4+311</f>
        <v>315</v>
      </c>
      <c r="AI2752" s="35"/>
      <c r="AJ2752" s="35"/>
      <c r="AK2752" s="35"/>
      <c r="AL2752" s="35">
        <v>1946</v>
      </c>
      <c r="AM2752" s="35"/>
      <c r="AN2752" s="35"/>
      <c r="AO2752" s="35"/>
      <c r="AP2752" s="35">
        <v>2287</v>
      </c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22">
        <f t="shared" si="842"/>
        <v>4554</v>
      </c>
      <c r="BC2752" s="23">
        <v>8970</v>
      </c>
      <c r="BD2752" s="130">
        <f t="shared" si="843"/>
        <v>4554</v>
      </c>
      <c r="BE2752" s="130">
        <f t="shared" si="844"/>
        <v>8970</v>
      </c>
      <c r="BF2752" s="195">
        <f t="shared" si="845"/>
        <v>50.769230769230766</v>
      </c>
      <c r="BG2752" s="373">
        <f t="shared" si="847"/>
        <v>4416</v>
      </c>
    </row>
    <row r="2753" spans="1:59" s="46" customFormat="1" ht="15.95" customHeight="1">
      <c r="A2753" s="176">
        <v>126</v>
      </c>
      <c r="B2753" s="31" t="s">
        <v>1022</v>
      </c>
      <c r="C2753" s="34" t="s">
        <v>2061</v>
      </c>
      <c r="D2753" s="231"/>
      <c r="E2753" s="231"/>
      <c r="F2753" s="231"/>
      <c r="G2753" s="231"/>
      <c r="H2753" s="231"/>
      <c r="I2753" s="231"/>
      <c r="J2753" s="231"/>
      <c r="K2753" s="231"/>
      <c r="L2753" s="231"/>
      <c r="M2753" s="231"/>
      <c r="N2753" s="231"/>
      <c r="O2753" s="231"/>
      <c r="P2753" s="231"/>
      <c r="Q2753" s="231"/>
      <c r="R2753" s="231"/>
      <c r="S2753" s="231"/>
      <c r="T2753" s="231"/>
      <c r="U2753" s="231"/>
      <c r="V2753" s="231"/>
      <c r="W2753" s="231"/>
      <c r="X2753" s="231"/>
      <c r="Y2753" s="231"/>
      <c r="Z2753" s="231"/>
      <c r="AA2753" s="231"/>
      <c r="AB2753" s="22">
        <f t="shared" si="841"/>
        <v>0</v>
      </c>
      <c r="AC2753" s="23">
        <v>0</v>
      </c>
      <c r="AD2753" s="35"/>
      <c r="AE2753" s="35"/>
      <c r="AF2753" s="35"/>
      <c r="AG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22">
        <f t="shared" si="842"/>
        <v>0</v>
      </c>
      <c r="BC2753" s="23">
        <v>5</v>
      </c>
      <c r="BD2753" s="130">
        <f t="shared" si="843"/>
        <v>0</v>
      </c>
      <c r="BE2753" s="130">
        <f t="shared" si="844"/>
        <v>5</v>
      </c>
      <c r="BF2753" s="195">
        <f t="shared" si="845"/>
        <v>0</v>
      </c>
      <c r="BG2753" s="373">
        <f t="shared" si="847"/>
        <v>5</v>
      </c>
    </row>
    <row r="2754" spans="1:59" s="46" customFormat="1" ht="15.95" customHeight="1">
      <c r="A2754" s="176">
        <v>127</v>
      </c>
      <c r="B2754" s="31" t="s">
        <v>1024</v>
      </c>
      <c r="C2754" s="34" t="s">
        <v>1644</v>
      </c>
      <c r="D2754" s="231"/>
      <c r="E2754" s="231"/>
      <c r="F2754" s="231"/>
      <c r="G2754" s="231"/>
      <c r="H2754" s="231"/>
      <c r="I2754" s="231"/>
      <c r="J2754" s="231"/>
      <c r="K2754" s="231"/>
      <c r="L2754" s="231"/>
      <c r="M2754" s="231"/>
      <c r="N2754" s="231"/>
      <c r="O2754" s="231"/>
      <c r="P2754" s="231"/>
      <c r="Q2754" s="231"/>
      <c r="R2754" s="231"/>
      <c r="S2754" s="231"/>
      <c r="T2754" s="231"/>
      <c r="U2754" s="231"/>
      <c r="V2754" s="231"/>
      <c r="W2754" s="231"/>
      <c r="X2754" s="231"/>
      <c r="Y2754" s="231"/>
      <c r="Z2754" s="231"/>
      <c r="AA2754" s="231"/>
      <c r="AB2754" s="22">
        <f t="shared" si="841"/>
        <v>0</v>
      </c>
      <c r="AC2754" s="23">
        <v>0</v>
      </c>
      <c r="AD2754" s="35"/>
      <c r="AE2754" s="35"/>
      <c r="AF2754" s="35"/>
      <c r="AG2754" s="35"/>
      <c r="AH2754" s="35">
        <v>8</v>
      </c>
      <c r="AI2754" s="35"/>
      <c r="AJ2754" s="35"/>
      <c r="AK2754" s="35"/>
      <c r="AL2754" s="35">
        <v>62</v>
      </c>
      <c r="AM2754" s="35"/>
      <c r="AN2754" s="35"/>
      <c r="AO2754" s="35"/>
      <c r="AP2754" s="35">
        <v>44</v>
      </c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22">
        <f t="shared" si="842"/>
        <v>114</v>
      </c>
      <c r="BC2754" s="23">
        <v>271</v>
      </c>
      <c r="BD2754" s="130">
        <f t="shared" si="843"/>
        <v>114</v>
      </c>
      <c r="BE2754" s="130">
        <f t="shared" si="844"/>
        <v>271</v>
      </c>
      <c r="BF2754" s="195">
        <f t="shared" si="845"/>
        <v>42.066420664206646</v>
      </c>
      <c r="BG2754" s="373">
        <f t="shared" si="847"/>
        <v>157</v>
      </c>
    </row>
    <row r="2755" spans="1:59" s="46" customFormat="1" ht="15.95" customHeight="1">
      <c r="A2755" s="176">
        <v>128</v>
      </c>
      <c r="B2755" s="31" t="s">
        <v>1059</v>
      </c>
      <c r="C2755" s="34" t="s">
        <v>2062</v>
      </c>
      <c r="D2755" s="231"/>
      <c r="E2755" s="231"/>
      <c r="F2755" s="231"/>
      <c r="G2755" s="231"/>
      <c r="H2755" s="231"/>
      <c r="I2755" s="231"/>
      <c r="J2755" s="231"/>
      <c r="K2755" s="231"/>
      <c r="L2755" s="231"/>
      <c r="M2755" s="231"/>
      <c r="N2755" s="231"/>
      <c r="O2755" s="231"/>
      <c r="P2755" s="231"/>
      <c r="Q2755" s="231"/>
      <c r="R2755" s="231"/>
      <c r="S2755" s="231"/>
      <c r="T2755" s="231"/>
      <c r="U2755" s="231"/>
      <c r="V2755" s="231"/>
      <c r="W2755" s="231"/>
      <c r="X2755" s="231"/>
      <c r="Y2755" s="231"/>
      <c r="Z2755" s="231"/>
      <c r="AA2755" s="231"/>
      <c r="AB2755" s="22">
        <f t="shared" si="841"/>
        <v>0</v>
      </c>
      <c r="AC2755" s="23">
        <v>0</v>
      </c>
      <c r="AD2755" s="35"/>
      <c r="AE2755" s="35"/>
      <c r="AF2755" s="35"/>
      <c r="AG2755" s="35"/>
      <c r="AH2755" s="35">
        <v>8</v>
      </c>
      <c r="AI2755" s="35"/>
      <c r="AJ2755" s="35"/>
      <c r="AK2755" s="35"/>
      <c r="AL2755" s="35">
        <v>63</v>
      </c>
      <c r="AM2755" s="35"/>
      <c r="AN2755" s="35"/>
      <c r="AO2755" s="35"/>
      <c r="AP2755" s="35">
        <v>28</v>
      </c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22">
        <f t="shared" si="842"/>
        <v>99</v>
      </c>
      <c r="BC2755" s="23">
        <v>277</v>
      </c>
      <c r="BD2755" s="130">
        <f t="shared" si="843"/>
        <v>99</v>
      </c>
      <c r="BE2755" s="130">
        <f t="shared" si="844"/>
        <v>277</v>
      </c>
      <c r="BF2755" s="195">
        <f t="shared" si="845"/>
        <v>35.740072202166068</v>
      </c>
      <c r="BG2755" s="373">
        <f t="shared" si="847"/>
        <v>178</v>
      </c>
    </row>
    <row r="2756" spans="1:59" s="46" customFormat="1" ht="15.95" customHeight="1">
      <c r="A2756" s="176">
        <v>129</v>
      </c>
      <c r="B2756" s="31" t="s">
        <v>1209</v>
      </c>
      <c r="C2756" s="34" t="s">
        <v>2063</v>
      </c>
      <c r="D2756" s="231"/>
      <c r="E2756" s="231"/>
      <c r="F2756" s="231"/>
      <c r="G2756" s="231"/>
      <c r="H2756" s="231"/>
      <c r="I2756" s="231"/>
      <c r="J2756" s="231"/>
      <c r="K2756" s="231"/>
      <c r="L2756" s="231"/>
      <c r="M2756" s="231"/>
      <c r="N2756" s="231"/>
      <c r="O2756" s="231"/>
      <c r="P2756" s="231"/>
      <c r="Q2756" s="231"/>
      <c r="R2756" s="231"/>
      <c r="S2756" s="231"/>
      <c r="T2756" s="231"/>
      <c r="U2756" s="231"/>
      <c r="V2756" s="231"/>
      <c r="W2756" s="231"/>
      <c r="X2756" s="231"/>
      <c r="Y2756" s="231"/>
      <c r="Z2756" s="231"/>
      <c r="AA2756" s="231"/>
      <c r="AB2756" s="22">
        <f t="shared" ref="AB2756:AB2778" si="848">SUM(D2756:AA2756)</f>
        <v>0</v>
      </c>
      <c r="AC2756" s="23">
        <v>0</v>
      </c>
      <c r="AD2756" s="35">
        <v>3</v>
      </c>
      <c r="AE2756" s="35"/>
      <c r="AF2756" s="35"/>
      <c r="AG2756" s="35"/>
      <c r="AH2756" s="35"/>
      <c r="AI2756" s="35"/>
      <c r="AJ2756" s="35"/>
      <c r="AK2756" s="35"/>
      <c r="AL2756" s="35">
        <f>2+1</f>
        <v>3</v>
      </c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22">
        <f t="shared" ref="BB2756:BB2778" si="849">SUM(AD2756:BA2756)</f>
        <v>6</v>
      </c>
      <c r="BC2756" s="23">
        <v>4</v>
      </c>
      <c r="BD2756" s="130">
        <f t="shared" ref="BD2756:BD2778" si="850">AB2756+BB2756</f>
        <v>6</v>
      </c>
      <c r="BE2756" s="130">
        <f t="shared" ref="BE2756:BE2778" si="851">AC2756+BC2756</f>
        <v>4</v>
      </c>
      <c r="BF2756" s="195">
        <f t="shared" ref="BF2756:BF2778" si="852">BD2756/BE2756*100</f>
        <v>150</v>
      </c>
      <c r="BG2756" s="373">
        <f t="shared" si="847"/>
        <v>-2</v>
      </c>
    </row>
    <row r="2757" spans="1:59" s="46" customFormat="1" ht="15.95" customHeight="1">
      <c r="A2757" s="176">
        <v>130</v>
      </c>
      <c r="B2757" s="31" t="s">
        <v>858</v>
      </c>
      <c r="C2757" s="32" t="s">
        <v>859</v>
      </c>
      <c r="D2757" s="231"/>
      <c r="E2757" s="231"/>
      <c r="F2757" s="231"/>
      <c r="G2757" s="231"/>
      <c r="H2757" s="231"/>
      <c r="I2757" s="231"/>
      <c r="J2757" s="231"/>
      <c r="K2757" s="231"/>
      <c r="L2757" s="231"/>
      <c r="M2757" s="231"/>
      <c r="N2757" s="231"/>
      <c r="O2757" s="231"/>
      <c r="P2757" s="231"/>
      <c r="Q2757" s="231"/>
      <c r="R2757" s="231"/>
      <c r="S2757" s="231"/>
      <c r="T2757" s="231"/>
      <c r="U2757" s="231"/>
      <c r="V2757" s="231"/>
      <c r="W2757" s="231"/>
      <c r="X2757" s="231"/>
      <c r="Y2757" s="231"/>
      <c r="Z2757" s="231"/>
      <c r="AA2757" s="231"/>
      <c r="AB2757" s="22">
        <f t="shared" si="848"/>
        <v>0</v>
      </c>
      <c r="AC2757" s="23">
        <v>0</v>
      </c>
      <c r="AD2757" s="35">
        <v>2</v>
      </c>
      <c r="AE2757" s="35"/>
      <c r="AF2757" s="35"/>
      <c r="AG2757" s="35"/>
      <c r="AH2757" s="35">
        <f>2+196</f>
        <v>198</v>
      </c>
      <c r="AI2757" s="35"/>
      <c r="AJ2757" s="35"/>
      <c r="AK2757" s="35"/>
      <c r="AL2757" s="35">
        <f>1120+2</f>
        <v>1122</v>
      </c>
      <c r="AM2757" s="35"/>
      <c r="AN2757" s="35"/>
      <c r="AO2757" s="35"/>
      <c r="AP2757" s="35">
        <v>1193</v>
      </c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22">
        <f t="shared" si="849"/>
        <v>2515</v>
      </c>
      <c r="BC2757" s="23">
        <v>5749</v>
      </c>
      <c r="BD2757" s="130">
        <f t="shared" si="850"/>
        <v>2515</v>
      </c>
      <c r="BE2757" s="130">
        <f t="shared" si="851"/>
        <v>5749</v>
      </c>
      <c r="BF2757" s="195">
        <f t="shared" si="852"/>
        <v>43.746738563228391</v>
      </c>
      <c r="BG2757" s="373">
        <f t="shared" si="847"/>
        <v>3234</v>
      </c>
    </row>
    <row r="2758" spans="1:59" s="46" customFormat="1" ht="15.95" customHeight="1">
      <c r="A2758" s="176">
        <v>131</v>
      </c>
      <c r="B2758" s="31" t="s">
        <v>860</v>
      </c>
      <c r="C2758" s="34" t="s">
        <v>1436</v>
      </c>
      <c r="D2758" s="231"/>
      <c r="E2758" s="231"/>
      <c r="F2758" s="231"/>
      <c r="G2758" s="231"/>
      <c r="H2758" s="231"/>
      <c r="I2758" s="231"/>
      <c r="J2758" s="231"/>
      <c r="K2758" s="231"/>
      <c r="L2758" s="231"/>
      <c r="M2758" s="231"/>
      <c r="N2758" s="231"/>
      <c r="O2758" s="231"/>
      <c r="P2758" s="231"/>
      <c r="Q2758" s="231"/>
      <c r="R2758" s="231"/>
      <c r="S2758" s="231"/>
      <c r="T2758" s="231"/>
      <c r="U2758" s="231"/>
      <c r="V2758" s="231"/>
      <c r="W2758" s="231"/>
      <c r="X2758" s="231"/>
      <c r="Y2758" s="231"/>
      <c r="Z2758" s="231"/>
      <c r="AA2758" s="231"/>
      <c r="AB2758" s="22">
        <f t="shared" si="848"/>
        <v>0</v>
      </c>
      <c r="AC2758" s="23">
        <v>0</v>
      </c>
      <c r="AD2758" s="35">
        <v>1385</v>
      </c>
      <c r="AE2758" s="35"/>
      <c r="AF2758" s="35"/>
      <c r="AG2758" s="35"/>
      <c r="AH2758" s="35">
        <f>655+137</f>
        <v>792</v>
      </c>
      <c r="AI2758" s="35"/>
      <c r="AJ2758" s="35"/>
      <c r="AK2758" s="35"/>
      <c r="AL2758" s="35">
        <f>788+1086</f>
        <v>1874</v>
      </c>
      <c r="AM2758" s="35"/>
      <c r="AN2758" s="35"/>
      <c r="AO2758" s="35"/>
      <c r="AP2758" s="35">
        <f>23+993</f>
        <v>1016</v>
      </c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22">
        <f t="shared" si="849"/>
        <v>5067</v>
      </c>
      <c r="BC2758" s="23">
        <v>5926</v>
      </c>
      <c r="BD2758" s="130">
        <f t="shared" si="850"/>
        <v>5067</v>
      </c>
      <c r="BE2758" s="130">
        <f t="shared" si="851"/>
        <v>5926</v>
      </c>
      <c r="BF2758" s="195">
        <f t="shared" si="852"/>
        <v>85.504556193047591</v>
      </c>
      <c r="BG2758" s="373">
        <f t="shared" si="847"/>
        <v>859</v>
      </c>
    </row>
    <row r="2759" spans="1:59" s="46" customFormat="1" ht="15.95" customHeight="1">
      <c r="A2759" s="176">
        <v>132</v>
      </c>
      <c r="B2759" s="31" t="s">
        <v>862</v>
      </c>
      <c r="C2759" s="34" t="s">
        <v>1437</v>
      </c>
      <c r="D2759" s="231"/>
      <c r="E2759" s="231"/>
      <c r="F2759" s="231"/>
      <c r="G2759" s="231"/>
      <c r="H2759" s="231"/>
      <c r="I2759" s="231"/>
      <c r="J2759" s="231"/>
      <c r="K2759" s="231"/>
      <c r="L2759" s="231"/>
      <c r="M2759" s="231"/>
      <c r="N2759" s="231"/>
      <c r="O2759" s="231"/>
      <c r="P2759" s="231"/>
      <c r="Q2759" s="231"/>
      <c r="R2759" s="231"/>
      <c r="S2759" s="231"/>
      <c r="T2759" s="231"/>
      <c r="U2759" s="231"/>
      <c r="V2759" s="231"/>
      <c r="W2759" s="231"/>
      <c r="X2759" s="231"/>
      <c r="Y2759" s="231"/>
      <c r="Z2759" s="231"/>
      <c r="AA2759" s="231"/>
      <c r="AB2759" s="22">
        <f t="shared" si="848"/>
        <v>0</v>
      </c>
      <c r="AC2759" s="23">
        <v>0</v>
      </c>
      <c r="AD2759" s="35">
        <v>1337</v>
      </c>
      <c r="AE2759" s="35"/>
      <c r="AF2759" s="35"/>
      <c r="AG2759" s="35"/>
      <c r="AH2759" s="35">
        <f>641+199</f>
        <v>840</v>
      </c>
      <c r="AI2759" s="35"/>
      <c r="AJ2759" s="35"/>
      <c r="AK2759" s="35"/>
      <c r="AL2759" s="35">
        <f>769+896</f>
        <v>1665</v>
      </c>
      <c r="AM2759" s="35"/>
      <c r="AN2759" s="35"/>
      <c r="AO2759" s="35"/>
      <c r="AP2759" s="35">
        <f>23+785</f>
        <v>808</v>
      </c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22">
        <f t="shared" si="849"/>
        <v>4650</v>
      </c>
      <c r="BC2759" s="23">
        <v>3714</v>
      </c>
      <c r="BD2759" s="130">
        <f t="shared" si="850"/>
        <v>4650</v>
      </c>
      <c r="BE2759" s="130">
        <f t="shared" si="851"/>
        <v>3714</v>
      </c>
      <c r="BF2759" s="195">
        <f t="shared" si="852"/>
        <v>125.20193861066235</v>
      </c>
      <c r="BG2759" s="373">
        <f t="shared" si="847"/>
        <v>-936</v>
      </c>
    </row>
    <row r="2760" spans="1:59" s="46" customFormat="1" ht="15.95" customHeight="1">
      <c r="A2760" s="176">
        <v>133</v>
      </c>
      <c r="B2760" s="31" t="s">
        <v>1254</v>
      </c>
      <c r="C2760" s="32" t="s">
        <v>3537</v>
      </c>
      <c r="D2760" s="231"/>
      <c r="E2760" s="231"/>
      <c r="F2760" s="231"/>
      <c r="G2760" s="231"/>
      <c r="H2760" s="231"/>
      <c r="I2760" s="231"/>
      <c r="J2760" s="231"/>
      <c r="K2760" s="231"/>
      <c r="L2760" s="231"/>
      <c r="M2760" s="231"/>
      <c r="N2760" s="231"/>
      <c r="O2760" s="231"/>
      <c r="P2760" s="231"/>
      <c r="Q2760" s="231"/>
      <c r="R2760" s="231"/>
      <c r="S2760" s="231"/>
      <c r="T2760" s="231"/>
      <c r="U2760" s="231"/>
      <c r="V2760" s="231"/>
      <c r="W2760" s="231"/>
      <c r="X2760" s="231"/>
      <c r="Y2760" s="231"/>
      <c r="Z2760" s="231"/>
      <c r="AA2760" s="231"/>
      <c r="AB2760" s="22">
        <f t="shared" si="848"/>
        <v>0</v>
      </c>
      <c r="AC2760" s="23">
        <v>0</v>
      </c>
      <c r="AD2760" s="35"/>
      <c r="AE2760" s="35"/>
      <c r="AF2760" s="35"/>
      <c r="AG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22">
        <f t="shared" si="849"/>
        <v>0</v>
      </c>
      <c r="BC2760" s="23">
        <v>1</v>
      </c>
      <c r="BD2760" s="130">
        <f t="shared" si="850"/>
        <v>0</v>
      </c>
      <c r="BE2760" s="130">
        <f t="shared" si="851"/>
        <v>1</v>
      </c>
      <c r="BF2760" s="195">
        <f t="shared" si="852"/>
        <v>0</v>
      </c>
      <c r="BG2760" s="373">
        <f t="shared" si="847"/>
        <v>1</v>
      </c>
    </row>
    <row r="2761" spans="1:59" s="46" customFormat="1" ht="15.95" customHeight="1">
      <c r="A2761" s="176">
        <v>134</v>
      </c>
      <c r="B2761" s="31" t="s">
        <v>864</v>
      </c>
      <c r="C2761" s="34" t="s">
        <v>1516</v>
      </c>
      <c r="D2761" s="231"/>
      <c r="E2761" s="231"/>
      <c r="F2761" s="231"/>
      <c r="G2761" s="231"/>
      <c r="H2761" s="231"/>
      <c r="I2761" s="231"/>
      <c r="J2761" s="231"/>
      <c r="K2761" s="231"/>
      <c r="L2761" s="231"/>
      <c r="M2761" s="231"/>
      <c r="N2761" s="231"/>
      <c r="O2761" s="231"/>
      <c r="P2761" s="231"/>
      <c r="Q2761" s="231"/>
      <c r="R2761" s="231"/>
      <c r="S2761" s="231"/>
      <c r="T2761" s="231"/>
      <c r="U2761" s="231"/>
      <c r="V2761" s="231"/>
      <c r="W2761" s="231"/>
      <c r="X2761" s="231"/>
      <c r="Y2761" s="231"/>
      <c r="Z2761" s="231"/>
      <c r="AA2761" s="231"/>
      <c r="AB2761" s="22">
        <f t="shared" si="848"/>
        <v>0</v>
      </c>
      <c r="AC2761" s="23">
        <v>0</v>
      </c>
      <c r="AD2761" s="35">
        <v>60</v>
      </c>
      <c r="AE2761" s="35"/>
      <c r="AF2761" s="35"/>
      <c r="AG2761" s="35"/>
      <c r="AH2761" s="35">
        <f>35+4</f>
        <v>39</v>
      </c>
      <c r="AI2761" s="35"/>
      <c r="AJ2761" s="35"/>
      <c r="AK2761" s="35"/>
      <c r="AL2761" s="35">
        <f>30+20</f>
        <v>50</v>
      </c>
      <c r="AM2761" s="35"/>
      <c r="AN2761" s="35"/>
      <c r="AO2761" s="35"/>
      <c r="AP2761" s="35">
        <v>111</v>
      </c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22">
        <f t="shared" si="849"/>
        <v>260</v>
      </c>
      <c r="BC2761" s="23">
        <v>247</v>
      </c>
      <c r="BD2761" s="130">
        <f t="shared" si="850"/>
        <v>260</v>
      </c>
      <c r="BE2761" s="130">
        <f t="shared" si="851"/>
        <v>247</v>
      </c>
      <c r="BF2761" s="195">
        <f t="shared" si="852"/>
        <v>105.26315789473684</v>
      </c>
      <c r="BG2761" s="373">
        <f t="shared" si="847"/>
        <v>-13</v>
      </c>
    </row>
    <row r="2762" spans="1:59" s="46" customFormat="1" ht="15.95" customHeight="1">
      <c r="A2762" s="176">
        <v>135</v>
      </c>
      <c r="B2762" s="31" t="s">
        <v>865</v>
      </c>
      <c r="C2762" s="34" t="s">
        <v>2321</v>
      </c>
      <c r="D2762" s="231"/>
      <c r="E2762" s="231"/>
      <c r="F2762" s="231"/>
      <c r="G2762" s="231"/>
      <c r="H2762" s="231"/>
      <c r="I2762" s="231"/>
      <c r="J2762" s="231"/>
      <c r="K2762" s="231"/>
      <c r="L2762" s="231"/>
      <c r="M2762" s="231"/>
      <c r="N2762" s="231"/>
      <c r="O2762" s="231"/>
      <c r="P2762" s="231"/>
      <c r="Q2762" s="231"/>
      <c r="R2762" s="231"/>
      <c r="S2762" s="231"/>
      <c r="T2762" s="231"/>
      <c r="U2762" s="231"/>
      <c r="V2762" s="231"/>
      <c r="W2762" s="231"/>
      <c r="X2762" s="231"/>
      <c r="Y2762" s="231"/>
      <c r="Z2762" s="231"/>
      <c r="AA2762" s="231"/>
      <c r="AB2762" s="22">
        <f t="shared" si="848"/>
        <v>0</v>
      </c>
      <c r="AC2762" s="23">
        <v>0</v>
      </c>
      <c r="AD2762" s="35"/>
      <c r="AE2762" s="35"/>
      <c r="AF2762" s="35"/>
      <c r="AG2762" s="35"/>
      <c r="AH2762" s="35">
        <v>7</v>
      </c>
      <c r="AI2762" s="35"/>
      <c r="AJ2762" s="35"/>
      <c r="AK2762" s="35"/>
      <c r="AL2762" s="35">
        <v>3</v>
      </c>
      <c r="AM2762" s="35"/>
      <c r="AN2762" s="35"/>
      <c r="AO2762" s="35"/>
      <c r="AP2762" s="35">
        <v>1</v>
      </c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22">
        <f t="shared" si="849"/>
        <v>11</v>
      </c>
      <c r="BC2762" s="23">
        <v>3</v>
      </c>
      <c r="BD2762" s="130">
        <f t="shared" si="850"/>
        <v>11</v>
      </c>
      <c r="BE2762" s="130">
        <f t="shared" si="851"/>
        <v>3</v>
      </c>
      <c r="BF2762" s="195">
        <f t="shared" si="852"/>
        <v>366.66666666666663</v>
      </c>
      <c r="BG2762" s="373">
        <f t="shared" si="847"/>
        <v>-8</v>
      </c>
    </row>
    <row r="2763" spans="1:59" s="46" customFormat="1" ht="15.95" customHeight="1">
      <c r="A2763" s="176">
        <v>136</v>
      </c>
      <c r="B2763" s="31" t="s">
        <v>1029</v>
      </c>
      <c r="C2763" s="34" t="s">
        <v>1652</v>
      </c>
      <c r="D2763" s="231"/>
      <c r="E2763" s="231"/>
      <c r="F2763" s="231"/>
      <c r="G2763" s="231"/>
      <c r="H2763" s="231"/>
      <c r="I2763" s="231"/>
      <c r="J2763" s="231"/>
      <c r="K2763" s="231"/>
      <c r="L2763" s="231"/>
      <c r="M2763" s="231"/>
      <c r="N2763" s="231"/>
      <c r="O2763" s="231"/>
      <c r="P2763" s="231"/>
      <c r="Q2763" s="231"/>
      <c r="R2763" s="231"/>
      <c r="S2763" s="231"/>
      <c r="T2763" s="231"/>
      <c r="U2763" s="231"/>
      <c r="V2763" s="231"/>
      <c r="W2763" s="231"/>
      <c r="X2763" s="231"/>
      <c r="Y2763" s="231"/>
      <c r="Z2763" s="231"/>
      <c r="AA2763" s="231"/>
      <c r="AB2763" s="22">
        <f t="shared" si="848"/>
        <v>0</v>
      </c>
      <c r="AC2763" s="23">
        <v>0</v>
      </c>
      <c r="AD2763" s="35"/>
      <c r="AE2763" s="35"/>
      <c r="AF2763" s="35"/>
      <c r="AG2763" s="35"/>
      <c r="AH2763" s="35"/>
      <c r="AI2763" s="35"/>
      <c r="AJ2763" s="35"/>
      <c r="AK2763" s="35"/>
      <c r="AL2763" s="35"/>
      <c r="AM2763" s="35"/>
      <c r="AN2763" s="35"/>
      <c r="AO2763" s="35"/>
      <c r="AP2763" s="35">
        <v>1</v>
      </c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22">
        <f t="shared" si="849"/>
        <v>1</v>
      </c>
      <c r="BC2763" s="23">
        <v>3</v>
      </c>
      <c r="BD2763" s="130">
        <f t="shared" si="850"/>
        <v>1</v>
      </c>
      <c r="BE2763" s="130">
        <f t="shared" si="851"/>
        <v>3</v>
      </c>
      <c r="BF2763" s="195">
        <f t="shared" si="852"/>
        <v>33.333333333333329</v>
      </c>
      <c r="BG2763" s="373">
        <f t="shared" si="847"/>
        <v>2</v>
      </c>
    </row>
    <row r="2764" spans="1:59" s="46" customFormat="1" ht="15.95" customHeight="1">
      <c r="A2764" s="176">
        <v>137</v>
      </c>
      <c r="B2764" s="31" t="s">
        <v>1030</v>
      </c>
      <c r="C2764" s="34" t="s">
        <v>1653</v>
      </c>
      <c r="D2764" s="231"/>
      <c r="E2764" s="231"/>
      <c r="F2764" s="231"/>
      <c r="G2764" s="231"/>
      <c r="H2764" s="231"/>
      <c r="I2764" s="231"/>
      <c r="J2764" s="231"/>
      <c r="K2764" s="231"/>
      <c r="L2764" s="231"/>
      <c r="M2764" s="231"/>
      <c r="N2764" s="231"/>
      <c r="O2764" s="231"/>
      <c r="P2764" s="231"/>
      <c r="Q2764" s="231"/>
      <c r="R2764" s="231"/>
      <c r="S2764" s="231"/>
      <c r="T2764" s="231"/>
      <c r="U2764" s="231"/>
      <c r="V2764" s="231"/>
      <c r="W2764" s="231"/>
      <c r="X2764" s="231"/>
      <c r="Y2764" s="231"/>
      <c r="Z2764" s="231"/>
      <c r="AA2764" s="231"/>
      <c r="AB2764" s="22">
        <f t="shared" si="848"/>
        <v>0</v>
      </c>
      <c r="AC2764" s="23">
        <v>0</v>
      </c>
      <c r="AD2764" s="35"/>
      <c r="AE2764" s="35"/>
      <c r="AF2764" s="35"/>
      <c r="AG2764" s="35"/>
      <c r="AH2764" s="35">
        <v>71</v>
      </c>
      <c r="AI2764" s="35"/>
      <c r="AJ2764" s="35"/>
      <c r="AK2764" s="35"/>
      <c r="AL2764" s="35">
        <v>291</v>
      </c>
      <c r="AM2764" s="35"/>
      <c r="AN2764" s="35"/>
      <c r="AO2764" s="35"/>
      <c r="AP2764" s="35">
        <v>324</v>
      </c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22">
        <f t="shared" si="849"/>
        <v>686</v>
      </c>
      <c r="BC2764" s="23">
        <v>1304</v>
      </c>
      <c r="BD2764" s="130">
        <f t="shared" si="850"/>
        <v>686</v>
      </c>
      <c r="BE2764" s="130">
        <f t="shared" si="851"/>
        <v>1304</v>
      </c>
      <c r="BF2764" s="195">
        <f t="shared" si="852"/>
        <v>52.607361963190179</v>
      </c>
      <c r="BG2764" s="373">
        <f t="shared" si="847"/>
        <v>618</v>
      </c>
    </row>
    <row r="2765" spans="1:59" s="46" customFormat="1" ht="15.95" customHeight="1">
      <c r="A2765" s="176">
        <v>138</v>
      </c>
      <c r="B2765" s="31" t="s">
        <v>1654</v>
      </c>
      <c r="C2765" s="32" t="s">
        <v>1983</v>
      </c>
      <c r="D2765" s="231"/>
      <c r="E2765" s="231"/>
      <c r="F2765" s="231"/>
      <c r="G2765" s="231"/>
      <c r="H2765" s="231"/>
      <c r="I2765" s="231"/>
      <c r="J2765" s="231"/>
      <c r="K2765" s="231"/>
      <c r="L2765" s="231"/>
      <c r="M2765" s="231"/>
      <c r="N2765" s="231"/>
      <c r="O2765" s="231"/>
      <c r="P2765" s="231"/>
      <c r="Q2765" s="231"/>
      <c r="R2765" s="231"/>
      <c r="S2765" s="231"/>
      <c r="T2765" s="231"/>
      <c r="U2765" s="231"/>
      <c r="V2765" s="231"/>
      <c r="W2765" s="231"/>
      <c r="X2765" s="231"/>
      <c r="Y2765" s="231"/>
      <c r="Z2765" s="231"/>
      <c r="AA2765" s="231"/>
      <c r="AB2765" s="22">
        <f t="shared" si="848"/>
        <v>0</v>
      </c>
      <c r="AC2765" s="23">
        <v>1</v>
      </c>
      <c r="AD2765" s="35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22">
        <f t="shared" si="849"/>
        <v>0</v>
      </c>
      <c r="BC2765" s="23">
        <v>1</v>
      </c>
      <c r="BD2765" s="130">
        <f t="shared" si="850"/>
        <v>0</v>
      </c>
      <c r="BE2765" s="130">
        <f t="shared" si="851"/>
        <v>2</v>
      </c>
      <c r="BF2765" s="195">
        <f t="shared" si="852"/>
        <v>0</v>
      </c>
      <c r="BG2765" s="373">
        <f t="shared" si="847"/>
        <v>2</v>
      </c>
    </row>
    <row r="2766" spans="1:59" s="46" customFormat="1" ht="15.95" customHeight="1">
      <c r="A2766" s="176">
        <v>139</v>
      </c>
      <c r="B2766" s="31" t="s">
        <v>1656</v>
      </c>
      <c r="C2766" s="34" t="s">
        <v>1657</v>
      </c>
      <c r="D2766" s="231"/>
      <c r="E2766" s="231"/>
      <c r="F2766" s="231"/>
      <c r="G2766" s="231"/>
      <c r="H2766" s="231"/>
      <c r="I2766" s="231"/>
      <c r="J2766" s="231"/>
      <c r="K2766" s="231"/>
      <c r="L2766" s="231"/>
      <c r="M2766" s="231"/>
      <c r="N2766" s="231"/>
      <c r="O2766" s="231"/>
      <c r="P2766" s="231"/>
      <c r="Q2766" s="231"/>
      <c r="R2766" s="231"/>
      <c r="S2766" s="231"/>
      <c r="T2766" s="231"/>
      <c r="U2766" s="231"/>
      <c r="V2766" s="231"/>
      <c r="W2766" s="231"/>
      <c r="X2766" s="231"/>
      <c r="Y2766" s="231"/>
      <c r="Z2766" s="231"/>
      <c r="AA2766" s="231"/>
      <c r="AB2766" s="22">
        <f t="shared" si="848"/>
        <v>0</v>
      </c>
      <c r="AC2766" s="23">
        <v>0</v>
      </c>
      <c r="AD2766" s="35"/>
      <c r="AE2766" s="35"/>
      <c r="AF2766" s="35"/>
      <c r="AG2766" s="35"/>
      <c r="AH2766" s="35"/>
      <c r="AI2766" s="35"/>
      <c r="AJ2766" s="35"/>
      <c r="AK2766" s="35"/>
      <c r="AL2766" s="35">
        <v>2</v>
      </c>
      <c r="AM2766" s="35"/>
      <c r="AN2766" s="35"/>
      <c r="AO2766" s="35"/>
      <c r="AP2766" s="35">
        <v>3</v>
      </c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22">
        <f t="shared" si="849"/>
        <v>5</v>
      </c>
      <c r="BC2766" s="23">
        <v>6</v>
      </c>
      <c r="BD2766" s="130">
        <f t="shared" si="850"/>
        <v>5</v>
      </c>
      <c r="BE2766" s="130">
        <f t="shared" si="851"/>
        <v>6</v>
      </c>
      <c r="BF2766" s="195">
        <f t="shared" si="852"/>
        <v>83.333333333333343</v>
      </c>
      <c r="BG2766" s="373">
        <f t="shared" si="847"/>
        <v>1</v>
      </c>
    </row>
    <row r="2767" spans="1:59" s="46" customFormat="1" ht="15.95" customHeight="1">
      <c r="A2767" s="176">
        <v>140</v>
      </c>
      <c r="B2767" s="31" t="s">
        <v>1034</v>
      </c>
      <c r="C2767" s="34" t="s">
        <v>2064</v>
      </c>
      <c r="D2767" s="231"/>
      <c r="E2767" s="231"/>
      <c r="F2767" s="231"/>
      <c r="G2767" s="231"/>
      <c r="H2767" s="231"/>
      <c r="I2767" s="231"/>
      <c r="J2767" s="231"/>
      <c r="K2767" s="231"/>
      <c r="L2767" s="231"/>
      <c r="M2767" s="231"/>
      <c r="N2767" s="231"/>
      <c r="O2767" s="231"/>
      <c r="P2767" s="231"/>
      <c r="Q2767" s="231"/>
      <c r="R2767" s="231"/>
      <c r="S2767" s="231"/>
      <c r="T2767" s="231"/>
      <c r="U2767" s="231"/>
      <c r="V2767" s="231"/>
      <c r="W2767" s="231"/>
      <c r="X2767" s="231"/>
      <c r="Y2767" s="231"/>
      <c r="Z2767" s="231"/>
      <c r="AA2767" s="231"/>
      <c r="AB2767" s="22">
        <f t="shared" si="848"/>
        <v>0</v>
      </c>
      <c r="AC2767" s="23">
        <v>0</v>
      </c>
      <c r="AD2767" s="35">
        <v>1378</v>
      </c>
      <c r="AE2767" s="35"/>
      <c r="AF2767" s="35"/>
      <c r="AG2767" s="35"/>
      <c r="AH2767" s="35">
        <f>648+14</f>
        <v>662</v>
      </c>
      <c r="AI2767" s="35"/>
      <c r="AJ2767" s="35"/>
      <c r="AK2767" s="35"/>
      <c r="AL2767" s="35">
        <f>789+40</f>
        <v>829</v>
      </c>
      <c r="AM2767" s="35"/>
      <c r="AN2767" s="35"/>
      <c r="AO2767" s="35"/>
      <c r="AP2767" s="35">
        <f>23+69</f>
        <v>92</v>
      </c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22">
        <f t="shared" si="849"/>
        <v>2961</v>
      </c>
      <c r="BC2767" s="23">
        <v>492</v>
      </c>
      <c r="BD2767" s="130">
        <f t="shared" si="850"/>
        <v>2961</v>
      </c>
      <c r="BE2767" s="130">
        <f t="shared" si="851"/>
        <v>492</v>
      </c>
      <c r="BF2767" s="195">
        <f t="shared" si="852"/>
        <v>601.82926829268297</v>
      </c>
      <c r="BG2767" s="373">
        <f t="shared" si="847"/>
        <v>-2469</v>
      </c>
    </row>
    <row r="2768" spans="1:59" s="46" customFormat="1" ht="15.95" customHeight="1">
      <c r="A2768" s="176">
        <v>141</v>
      </c>
      <c r="B2768" s="31" t="s">
        <v>1035</v>
      </c>
      <c r="C2768" s="34" t="s">
        <v>2422</v>
      </c>
      <c r="D2768" s="231"/>
      <c r="E2768" s="231"/>
      <c r="F2768" s="231"/>
      <c r="G2768" s="231"/>
      <c r="H2768" s="231"/>
      <c r="I2768" s="231"/>
      <c r="J2768" s="231"/>
      <c r="K2768" s="231"/>
      <c r="L2768" s="231"/>
      <c r="M2768" s="231"/>
      <c r="N2768" s="231"/>
      <c r="O2768" s="231"/>
      <c r="P2768" s="231"/>
      <c r="Q2768" s="231"/>
      <c r="R2768" s="231"/>
      <c r="S2768" s="231"/>
      <c r="T2768" s="231"/>
      <c r="U2768" s="231"/>
      <c r="V2768" s="231"/>
      <c r="W2768" s="231"/>
      <c r="X2768" s="231"/>
      <c r="Y2768" s="231"/>
      <c r="Z2768" s="231"/>
      <c r="AA2768" s="231"/>
      <c r="AB2768" s="22">
        <f t="shared" si="848"/>
        <v>0</v>
      </c>
      <c r="AC2768" s="23">
        <v>0</v>
      </c>
      <c r="AD2768" s="35"/>
      <c r="AE2768" s="35"/>
      <c r="AF2768" s="35"/>
      <c r="AG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22">
        <f t="shared" si="849"/>
        <v>0</v>
      </c>
      <c r="BC2768" s="23">
        <v>2</v>
      </c>
      <c r="BD2768" s="130">
        <f t="shared" si="850"/>
        <v>0</v>
      </c>
      <c r="BE2768" s="130">
        <f t="shared" si="851"/>
        <v>2</v>
      </c>
      <c r="BF2768" s="195">
        <f t="shared" si="852"/>
        <v>0</v>
      </c>
      <c r="BG2768" s="373">
        <f t="shared" si="847"/>
        <v>2</v>
      </c>
    </row>
    <row r="2769" spans="1:61" s="46" customFormat="1" ht="15.95" customHeight="1">
      <c r="A2769" s="176">
        <v>142</v>
      </c>
      <c r="B2769" s="31" t="s">
        <v>2629</v>
      </c>
      <c r="C2769" s="34" t="s">
        <v>2630</v>
      </c>
      <c r="D2769" s="231"/>
      <c r="E2769" s="231"/>
      <c r="F2769" s="231"/>
      <c r="G2769" s="231"/>
      <c r="H2769" s="231"/>
      <c r="I2769" s="231"/>
      <c r="J2769" s="231"/>
      <c r="K2769" s="231"/>
      <c r="L2769" s="231"/>
      <c r="M2769" s="231"/>
      <c r="N2769" s="231"/>
      <c r="O2769" s="231"/>
      <c r="P2769" s="231"/>
      <c r="Q2769" s="231"/>
      <c r="R2769" s="231"/>
      <c r="S2769" s="231"/>
      <c r="T2769" s="231"/>
      <c r="U2769" s="231"/>
      <c r="V2769" s="231"/>
      <c r="W2769" s="231"/>
      <c r="X2769" s="231"/>
      <c r="Y2769" s="231"/>
      <c r="Z2769" s="231"/>
      <c r="AA2769" s="231"/>
      <c r="AB2769" s="22">
        <f t="shared" si="848"/>
        <v>0</v>
      </c>
      <c r="AC2769" s="23">
        <v>0</v>
      </c>
      <c r="AD2769" s="35"/>
      <c r="AE2769" s="35"/>
      <c r="AF2769" s="35"/>
      <c r="AG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22">
        <f t="shared" si="849"/>
        <v>0</v>
      </c>
      <c r="BC2769" s="23">
        <v>18</v>
      </c>
      <c r="BD2769" s="130">
        <f t="shared" si="850"/>
        <v>0</v>
      </c>
      <c r="BE2769" s="130">
        <f t="shared" si="851"/>
        <v>18</v>
      </c>
      <c r="BF2769" s="195">
        <f t="shared" si="852"/>
        <v>0</v>
      </c>
      <c r="BG2769" s="373">
        <f t="shared" si="847"/>
        <v>18</v>
      </c>
    </row>
    <row r="2770" spans="1:61" s="46" customFormat="1" ht="15.95" customHeight="1">
      <c r="A2770" s="176">
        <v>143</v>
      </c>
      <c r="B2770" s="31" t="s">
        <v>977</v>
      </c>
      <c r="C2770" s="34" t="s">
        <v>2437</v>
      </c>
      <c r="D2770" s="329"/>
      <c r="E2770" s="329"/>
      <c r="F2770" s="329"/>
      <c r="G2770" s="329"/>
      <c r="H2770" s="329"/>
      <c r="I2770" s="329"/>
      <c r="J2770" s="329"/>
      <c r="K2770" s="329"/>
      <c r="L2770" s="329"/>
      <c r="M2770" s="329"/>
      <c r="N2770" s="329"/>
      <c r="O2770" s="329"/>
      <c r="P2770" s="329"/>
      <c r="Q2770" s="329"/>
      <c r="R2770" s="329"/>
      <c r="S2770" s="329"/>
      <c r="T2770" s="329"/>
      <c r="U2770" s="329"/>
      <c r="V2770" s="329"/>
      <c r="W2770" s="329"/>
      <c r="X2770" s="329"/>
      <c r="Y2770" s="329"/>
      <c r="Z2770" s="329"/>
      <c r="AA2770" s="329"/>
      <c r="AB2770" s="22">
        <f t="shared" si="848"/>
        <v>0</v>
      </c>
      <c r="AC2770" s="23">
        <v>0</v>
      </c>
      <c r="AD2770" s="35"/>
      <c r="AE2770" s="35"/>
      <c r="AF2770" s="35"/>
      <c r="AG2770" s="35"/>
      <c r="AH2770" s="35">
        <v>2</v>
      </c>
      <c r="AI2770" s="35"/>
      <c r="AJ2770" s="35"/>
      <c r="AK2770" s="35"/>
      <c r="AL2770" s="35">
        <v>2</v>
      </c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22">
        <f t="shared" si="849"/>
        <v>4</v>
      </c>
      <c r="BC2770" s="23">
        <v>1</v>
      </c>
      <c r="BD2770" s="130">
        <f t="shared" si="850"/>
        <v>4</v>
      </c>
      <c r="BE2770" s="130">
        <f t="shared" si="851"/>
        <v>1</v>
      </c>
      <c r="BF2770" s="195">
        <f t="shared" si="852"/>
        <v>400</v>
      </c>
      <c r="BG2770" s="373">
        <f t="shared" si="847"/>
        <v>-3</v>
      </c>
    </row>
    <row r="2771" spans="1:61" s="46" customFormat="1" ht="15.95" customHeight="1">
      <c r="A2771" s="176">
        <v>144</v>
      </c>
      <c r="B2771" s="31" t="s">
        <v>1661</v>
      </c>
      <c r="C2771" s="34" t="s">
        <v>2611</v>
      </c>
      <c r="D2771" s="231"/>
      <c r="E2771" s="231"/>
      <c r="F2771" s="231"/>
      <c r="G2771" s="231"/>
      <c r="H2771" s="231"/>
      <c r="I2771" s="231"/>
      <c r="J2771" s="231"/>
      <c r="K2771" s="231"/>
      <c r="L2771" s="231"/>
      <c r="M2771" s="231"/>
      <c r="N2771" s="231"/>
      <c r="O2771" s="231"/>
      <c r="P2771" s="231"/>
      <c r="Q2771" s="231"/>
      <c r="R2771" s="231"/>
      <c r="S2771" s="231"/>
      <c r="T2771" s="231"/>
      <c r="U2771" s="231"/>
      <c r="V2771" s="231"/>
      <c r="W2771" s="231"/>
      <c r="X2771" s="231"/>
      <c r="Y2771" s="231"/>
      <c r="Z2771" s="231"/>
      <c r="AA2771" s="231"/>
      <c r="AB2771" s="22">
        <f t="shared" si="848"/>
        <v>0</v>
      </c>
      <c r="AC2771" s="23">
        <v>0</v>
      </c>
      <c r="AD2771" s="35"/>
      <c r="AE2771" s="35"/>
      <c r="AF2771" s="35"/>
      <c r="AG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  <c r="AX2771" s="35"/>
      <c r="AY2771" s="35"/>
      <c r="AZ2771" s="35"/>
      <c r="BA2771" s="35"/>
      <c r="BB2771" s="22">
        <f t="shared" si="849"/>
        <v>0</v>
      </c>
      <c r="BC2771" s="23">
        <v>1</v>
      </c>
      <c r="BD2771" s="130">
        <f t="shared" si="850"/>
        <v>0</v>
      </c>
      <c r="BE2771" s="130">
        <f t="shared" si="851"/>
        <v>1</v>
      </c>
      <c r="BF2771" s="195">
        <f t="shared" si="852"/>
        <v>0</v>
      </c>
      <c r="BG2771" s="373">
        <f t="shared" si="847"/>
        <v>1</v>
      </c>
    </row>
    <row r="2772" spans="1:61" s="46" customFormat="1" ht="15.95" customHeight="1">
      <c r="A2772" s="176">
        <v>145</v>
      </c>
      <c r="B2772" s="31" t="s">
        <v>2570</v>
      </c>
      <c r="C2772" s="34" t="s">
        <v>2839</v>
      </c>
      <c r="D2772" s="231"/>
      <c r="E2772" s="231"/>
      <c r="F2772" s="231"/>
      <c r="G2772" s="231"/>
      <c r="H2772" s="231"/>
      <c r="I2772" s="231"/>
      <c r="J2772" s="231"/>
      <c r="K2772" s="231"/>
      <c r="L2772" s="231"/>
      <c r="M2772" s="231"/>
      <c r="N2772" s="231"/>
      <c r="O2772" s="231"/>
      <c r="P2772" s="231"/>
      <c r="Q2772" s="231"/>
      <c r="R2772" s="231"/>
      <c r="S2772" s="231"/>
      <c r="T2772" s="231"/>
      <c r="U2772" s="231"/>
      <c r="V2772" s="231"/>
      <c r="W2772" s="231"/>
      <c r="X2772" s="231"/>
      <c r="Y2772" s="231"/>
      <c r="Z2772" s="231"/>
      <c r="AA2772" s="231"/>
      <c r="AB2772" s="22">
        <f t="shared" si="848"/>
        <v>0</v>
      </c>
      <c r="AC2772" s="23">
        <v>0</v>
      </c>
      <c r="AD2772" s="35"/>
      <c r="AE2772" s="35"/>
      <c r="AF2772" s="35"/>
      <c r="AG2772" s="35"/>
      <c r="AH2772" s="35">
        <v>1</v>
      </c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  <c r="AX2772" s="35"/>
      <c r="AY2772" s="35"/>
      <c r="AZ2772" s="35"/>
      <c r="BA2772" s="35"/>
      <c r="BB2772" s="22">
        <f t="shared" si="849"/>
        <v>1</v>
      </c>
      <c r="BC2772" s="23">
        <v>26</v>
      </c>
      <c r="BD2772" s="130">
        <f t="shared" si="850"/>
        <v>1</v>
      </c>
      <c r="BE2772" s="130">
        <f t="shared" si="851"/>
        <v>26</v>
      </c>
      <c r="BF2772" s="195">
        <f t="shared" si="852"/>
        <v>3.8461538461538463</v>
      </c>
      <c r="BG2772" s="373">
        <f t="shared" si="847"/>
        <v>25</v>
      </c>
    </row>
    <row r="2773" spans="1:61" s="46" customFormat="1" ht="15.95" customHeight="1">
      <c r="A2773" s="176">
        <v>146</v>
      </c>
      <c r="B2773" s="31" t="s">
        <v>3219</v>
      </c>
      <c r="C2773" s="34" t="s">
        <v>3220</v>
      </c>
      <c r="D2773" s="231"/>
      <c r="E2773" s="231"/>
      <c r="F2773" s="231"/>
      <c r="G2773" s="231"/>
      <c r="H2773" s="231"/>
      <c r="I2773" s="231"/>
      <c r="J2773" s="231"/>
      <c r="K2773" s="231"/>
      <c r="L2773" s="231"/>
      <c r="M2773" s="231"/>
      <c r="N2773" s="231"/>
      <c r="O2773" s="231"/>
      <c r="P2773" s="231"/>
      <c r="Q2773" s="231"/>
      <c r="R2773" s="231"/>
      <c r="S2773" s="231"/>
      <c r="T2773" s="231"/>
      <c r="U2773" s="231"/>
      <c r="V2773" s="231"/>
      <c r="W2773" s="231"/>
      <c r="X2773" s="231"/>
      <c r="Y2773" s="231"/>
      <c r="Z2773" s="231"/>
      <c r="AA2773" s="231"/>
      <c r="AB2773" s="22">
        <f t="shared" si="848"/>
        <v>0</v>
      </c>
      <c r="AC2773" s="23">
        <v>0</v>
      </c>
      <c r="AD2773" s="35"/>
      <c r="AE2773" s="35"/>
      <c r="AF2773" s="35"/>
      <c r="AG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  <c r="AX2773" s="35"/>
      <c r="AY2773" s="35"/>
      <c r="AZ2773" s="35"/>
      <c r="BA2773" s="35"/>
      <c r="BB2773" s="22">
        <f t="shared" si="849"/>
        <v>0</v>
      </c>
      <c r="BC2773" s="23">
        <v>3</v>
      </c>
      <c r="BD2773" s="130">
        <f t="shared" si="850"/>
        <v>0</v>
      </c>
      <c r="BE2773" s="130">
        <f t="shared" si="851"/>
        <v>3</v>
      </c>
      <c r="BF2773" s="195">
        <f t="shared" si="852"/>
        <v>0</v>
      </c>
      <c r="BG2773" s="373">
        <f t="shared" si="847"/>
        <v>3</v>
      </c>
    </row>
    <row r="2774" spans="1:61" s="46" customFormat="1" ht="15.95" customHeight="1">
      <c r="A2774" s="176">
        <v>147</v>
      </c>
      <c r="B2774" s="31" t="s">
        <v>3356</v>
      </c>
      <c r="C2774" s="34" t="s">
        <v>3358</v>
      </c>
      <c r="D2774" s="277"/>
      <c r="E2774" s="277"/>
      <c r="F2774" s="277"/>
      <c r="G2774" s="277"/>
      <c r="H2774" s="277"/>
      <c r="I2774" s="277"/>
      <c r="J2774" s="277"/>
      <c r="K2774" s="277"/>
      <c r="L2774" s="277"/>
      <c r="M2774" s="277"/>
      <c r="N2774" s="277"/>
      <c r="O2774" s="277"/>
      <c r="P2774" s="277"/>
      <c r="Q2774" s="277"/>
      <c r="R2774" s="277"/>
      <c r="S2774" s="277"/>
      <c r="T2774" s="277"/>
      <c r="U2774" s="277"/>
      <c r="V2774" s="277"/>
      <c r="W2774" s="277"/>
      <c r="X2774" s="277"/>
      <c r="Y2774" s="277"/>
      <c r="Z2774" s="277"/>
      <c r="AA2774" s="277"/>
      <c r="AB2774" s="22">
        <f t="shared" si="848"/>
        <v>0</v>
      </c>
      <c r="AC2774" s="23">
        <v>0</v>
      </c>
      <c r="AD2774" s="35"/>
      <c r="AE2774" s="35"/>
      <c r="AF2774" s="35"/>
      <c r="AG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  <c r="AX2774" s="35"/>
      <c r="AY2774" s="35"/>
      <c r="AZ2774" s="35"/>
      <c r="BA2774" s="35"/>
      <c r="BB2774" s="22">
        <f t="shared" si="849"/>
        <v>0</v>
      </c>
      <c r="BC2774" s="23">
        <v>6</v>
      </c>
      <c r="BD2774" s="130">
        <f t="shared" si="850"/>
        <v>0</v>
      </c>
      <c r="BE2774" s="130">
        <f t="shared" si="851"/>
        <v>6</v>
      </c>
      <c r="BF2774" s="195">
        <f t="shared" si="852"/>
        <v>0</v>
      </c>
      <c r="BG2774" s="373">
        <f t="shared" si="847"/>
        <v>6</v>
      </c>
    </row>
    <row r="2775" spans="1:61" s="46" customFormat="1" ht="15.95" customHeight="1">
      <c r="A2775" s="176">
        <v>148</v>
      </c>
      <c r="B2775" s="31" t="s">
        <v>3357</v>
      </c>
      <c r="C2775" s="34" t="s">
        <v>3359</v>
      </c>
      <c r="D2775" s="407"/>
      <c r="E2775" s="407"/>
      <c r="F2775" s="407"/>
      <c r="G2775" s="407"/>
      <c r="H2775" s="407"/>
      <c r="I2775" s="407"/>
      <c r="J2775" s="407"/>
      <c r="K2775" s="407"/>
      <c r="L2775" s="407"/>
      <c r="M2775" s="407"/>
      <c r="N2775" s="407"/>
      <c r="O2775" s="407"/>
      <c r="P2775" s="407"/>
      <c r="Q2775" s="407"/>
      <c r="R2775" s="407"/>
      <c r="S2775" s="407"/>
      <c r="T2775" s="407"/>
      <c r="U2775" s="407"/>
      <c r="V2775" s="407"/>
      <c r="W2775" s="407"/>
      <c r="X2775" s="407"/>
      <c r="Y2775" s="407"/>
      <c r="Z2775" s="407"/>
      <c r="AA2775" s="407"/>
      <c r="AB2775" s="22">
        <f t="shared" si="848"/>
        <v>0</v>
      </c>
      <c r="AC2775" s="23">
        <v>0</v>
      </c>
      <c r="AD2775" s="35"/>
      <c r="AE2775" s="35"/>
      <c r="AF2775" s="35"/>
      <c r="AG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  <c r="AX2775" s="35"/>
      <c r="AY2775" s="35"/>
      <c r="AZ2775" s="35"/>
      <c r="BA2775" s="35"/>
      <c r="BB2775" s="22">
        <f t="shared" si="849"/>
        <v>0</v>
      </c>
      <c r="BC2775" s="23">
        <v>1</v>
      </c>
      <c r="BD2775" s="130">
        <f t="shared" si="850"/>
        <v>0</v>
      </c>
      <c r="BE2775" s="130">
        <f t="shared" si="851"/>
        <v>1</v>
      </c>
      <c r="BF2775" s="195">
        <f t="shared" si="852"/>
        <v>0</v>
      </c>
      <c r="BG2775" s="373">
        <f t="shared" si="847"/>
        <v>1</v>
      </c>
    </row>
    <row r="2776" spans="1:61" s="46" customFormat="1" ht="15.95" customHeight="1">
      <c r="A2776" s="176">
        <v>149</v>
      </c>
      <c r="B2776" s="31" t="s">
        <v>1091</v>
      </c>
      <c r="C2776" s="34" t="s">
        <v>2612</v>
      </c>
      <c r="D2776" s="329"/>
      <c r="E2776" s="329"/>
      <c r="F2776" s="329"/>
      <c r="G2776" s="329"/>
      <c r="H2776" s="329"/>
      <c r="I2776" s="329"/>
      <c r="J2776" s="329"/>
      <c r="K2776" s="329"/>
      <c r="L2776" s="329"/>
      <c r="M2776" s="329"/>
      <c r="N2776" s="329"/>
      <c r="O2776" s="329"/>
      <c r="P2776" s="329"/>
      <c r="Q2776" s="329"/>
      <c r="R2776" s="329"/>
      <c r="S2776" s="329"/>
      <c r="T2776" s="329"/>
      <c r="U2776" s="329"/>
      <c r="V2776" s="329"/>
      <c r="W2776" s="329"/>
      <c r="X2776" s="329"/>
      <c r="Y2776" s="329"/>
      <c r="Z2776" s="329"/>
      <c r="AA2776" s="329"/>
      <c r="AB2776" s="22">
        <f t="shared" si="848"/>
        <v>0</v>
      </c>
      <c r="AC2776" s="23">
        <v>0</v>
      </c>
      <c r="AD2776" s="35"/>
      <c r="AE2776" s="35"/>
      <c r="AF2776" s="35"/>
      <c r="AG2776" s="35"/>
      <c r="AH2776" s="35">
        <v>73</v>
      </c>
      <c r="AI2776" s="35"/>
      <c r="AJ2776" s="35"/>
      <c r="AK2776" s="35"/>
      <c r="AL2776" s="35">
        <v>438</v>
      </c>
      <c r="AM2776" s="35"/>
      <c r="AN2776" s="35"/>
      <c r="AO2776" s="35"/>
      <c r="AP2776" s="35">
        <v>388</v>
      </c>
      <c r="AQ2776" s="35"/>
      <c r="AR2776" s="35"/>
      <c r="AS2776" s="35"/>
      <c r="AT2776" s="35"/>
      <c r="AU2776" s="35"/>
      <c r="AV2776" s="35"/>
      <c r="AW2776" s="35"/>
      <c r="AX2776" s="35"/>
      <c r="AY2776" s="35"/>
      <c r="AZ2776" s="35"/>
      <c r="BA2776" s="35"/>
      <c r="BB2776" s="22">
        <f t="shared" si="849"/>
        <v>899</v>
      </c>
      <c r="BC2776" s="23">
        <v>682</v>
      </c>
      <c r="BD2776" s="130">
        <f t="shared" si="850"/>
        <v>899</v>
      </c>
      <c r="BE2776" s="130">
        <f t="shared" si="851"/>
        <v>682</v>
      </c>
      <c r="BF2776" s="195">
        <f t="shared" si="852"/>
        <v>131.81818181818181</v>
      </c>
      <c r="BG2776" s="373">
        <f t="shared" si="847"/>
        <v>-217</v>
      </c>
    </row>
    <row r="2777" spans="1:61" s="46" customFormat="1" ht="15.95" customHeight="1">
      <c r="A2777" s="176">
        <v>150</v>
      </c>
      <c r="B2777" s="31" t="s">
        <v>1361</v>
      </c>
      <c r="C2777" s="32" t="s">
        <v>1362</v>
      </c>
      <c r="D2777" s="340">
        <v>1</v>
      </c>
      <c r="E2777" s="340"/>
      <c r="F2777" s="340"/>
      <c r="G2777" s="340"/>
      <c r="H2777" s="340"/>
      <c r="I2777" s="340"/>
      <c r="J2777" s="340"/>
      <c r="K2777" s="340"/>
      <c r="L2777" s="340">
        <v>2</v>
      </c>
      <c r="M2777" s="340"/>
      <c r="N2777" s="340"/>
      <c r="O2777" s="340"/>
      <c r="P2777" s="340"/>
      <c r="Q2777" s="340"/>
      <c r="R2777" s="340"/>
      <c r="S2777" s="340"/>
      <c r="T2777" s="340"/>
      <c r="U2777" s="340"/>
      <c r="V2777" s="340"/>
      <c r="W2777" s="340"/>
      <c r="X2777" s="340"/>
      <c r="Y2777" s="340"/>
      <c r="Z2777" s="340"/>
      <c r="AA2777" s="340"/>
      <c r="AB2777" s="22">
        <f t="shared" si="848"/>
        <v>3</v>
      </c>
      <c r="AC2777" s="23">
        <v>0</v>
      </c>
      <c r="AD2777" s="35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  <c r="AX2777" s="35"/>
      <c r="AY2777" s="35"/>
      <c r="AZ2777" s="35"/>
      <c r="BA2777" s="35"/>
      <c r="BB2777" s="22">
        <f t="shared" si="849"/>
        <v>0</v>
      </c>
      <c r="BC2777" s="23">
        <v>0</v>
      </c>
      <c r="BD2777" s="130">
        <f t="shared" si="850"/>
        <v>3</v>
      </c>
      <c r="BE2777" s="130">
        <f t="shared" si="851"/>
        <v>0</v>
      </c>
      <c r="BF2777" s="195" t="e">
        <f t="shared" si="852"/>
        <v>#DIV/0!</v>
      </c>
      <c r="BG2777" s="373"/>
    </row>
    <row r="2778" spans="1:61" s="46" customFormat="1" ht="15.95" customHeight="1">
      <c r="A2778" s="176">
        <v>151</v>
      </c>
      <c r="B2778" s="437" t="s">
        <v>3047</v>
      </c>
      <c r="C2778" s="439" t="s">
        <v>3048</v>
      </c>
      <c r="D2778" s="340"/>
      <c r="E2778" s="340"/>
      <c r="F2778" s="340"/>
      <c r="G2778" s="340"/>
      <c r="H2778" s="340"/>
      <c r="I2778" s="340"/>
      <c r="J2778" s="340"/>
      <c r="K2778" s="340"/>
      <c r="L2778" s="340"/>
      <c r="M2778" s="340"/>
      <c r="N2778" s="340"/>
      <c r="O2778" s="340"/>
      <c r="P2778" s="340"/>
      <c r="Q2778" s="340"/>
      <c r="R2778" s="340"/>
      <c r="S2778" s="340"/>
      <c r="T2778" s="340"/>
      <c r="U2778" s="340"/>
      <c r="V2778" s="340"/>
      <c r="W2778" s="340"/>
      <c r="X2778" s="340"/>
      <c r="Y2778" s="340"/>
      <c r="Z2778" s="340"/>
      <c r="AA2778" s="340"/>
      <c r="AB2778" s="22">
        <f t="shared" si="848"/>
        <v>0</v>
      </c>
      <c r="AC2778" s="23">
        <v>300</v>
      </c>
      <c r="AD2778" s="35"/>
      <c r="AE2778" s="35"/>
      <c r="AF2778" s="35"/>
      <c r="AG2778" s="35"/>
      <c r="AH2778" s="35"/>
      <c r="AI2778" s="35"/>
      <c r="AJ2778" s="35"/>
      <c r="AK2778" s="35"/>
      <c r="AL2778" s="35">
        <v>6</v>
      </c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  <c r="AX2778" s="35"/>
      <c r="AY2778" s="35"/>
      <c r="AZ2778" s="35"/>
      <c r="BA2778" s="35"/>
      <c r="BB2778" s="22">
        <f t="shared" si="849"/>
        <v>6</v>
      </c>
      <c r="BC2778" s="23">
        <v>0</v>
      </c>
      <c r="BD2778" s="130">
        <f t="shared" si="850"/>
        <v>6</v>
      </c>
      <c r="BE2778" s="130">
        <f t="shared" si="851"/>
        <v>300</v>
      </c>
      <c r="BF2778" s="195">
        <f t="shared" si="852"/>
        <v>2</v>
      </c>
      <c r="BG2778" s="373">
        <f>BE2778-BD2778</f>
        <v>294</v>
      </c>
    </row>
    <row r="2779" spans="1:61" s="46" customFormat="1" ht="15.95" customHeight="1">
      <c r="A2779" s="636" t="s">
        <v>1438</v>
      </c>
      <c r="B2779" s="637"/>
      <c r="C2779" s="637"/>
      <c r="D2779" s="98">
        <f t="shared" ref="D2779:AI2779" si="853">SUM(D2780:D2920)</f>
        <v>1</v>
      </c>
      <c r="E2779" s="98">
        <f t="shared" si="853"/>
        <v>0</v>
      </c>
      <c r="F2779" s="98">
        <f t="shared" si="853"/>
        <v>0</v>
      </c>
      <c r="G2779" s="98">
        <f t="shared" si="853"/>
        <v>572</v>
      </c>
      <c r="H2779" s="98">
        <f t="shared" si="853"/>
        <v>1</v>
      </c>
      <c r="I2779" s="98">
        <f t="shared" si="853"/>
        <v>0</v>
      </c>
      <c r="J2779" s="98">
        <f t="shared" si="853"/>
        <v>0</v>
      </c>
      <c r="K2779" s="98">
        <f t="shared" si="853"/>
        <v>661</v>
      </c>
      <c r="L2779" s="98">
        <f t="shared" si="853"/>
        <v>1</v>
      </c>
      <c r="M2779" s="98">
        <f t="shared" si="853"/>
        <v>0</v>
      </c>
      <c r="N2779" s="98">
        <f t="shared" si="853"/>
        <v>0</v>
      </c>
      <c r="O2779" s="98">
        <f t="shared" si="853"/>
        <v>1310</v>
      </c>
      <c r="P2779" s="98">
        <f t="shared" si="853"/>
        <v>4</v>
      </c>
      <c r="Q2779" s="98">
        <f t="shared" si="853"/>
        <v>0</v>
      </c>
      <c r="R2779" s="98">
        <f t="shared" si="853"/>
        <v>0</v>
      </c>
      <c r="S2779" s="98">
        <f t="shared" si="853"/>
        <v>900</v>
      </c>
      <c r="T2779" s="98">
        <f t="shared" si="853"/>
        <v>0</v>
      </c>
      <c r="U2779" s="98">
        <f t="shared" si="853"/>
        <v>0</v>
      </c>
      <c r="V2779" s="98">
        <f t="shared" si="853"/>
        <v>0</v>
      </c>
      <c r="W2779" s="98">
        <f t="shared" si="853"/>
        <v>0</v>
      </c>
      <c r="X2779" s="98">
        <f t="shared" si="853"/>
        <v>0</v>
      </c>
      <c r="Y2779" s="98">
        <f t="shared" si="853"/>
        <v>0</v>
      </c>
      <c r="Z2779" s="98">
        <f t="shared" si="853"/>
        <v>0</v>
      </c>
      <c r="AA2779" s="98">
        <f t="shared" si="853"/>
        <v>0</v>
      </c>
      <c r="AB2779" s="98">
        <f t="shared" si="853"/>
        <v>3450</v>
      </c>
      <c r="AC2779" s="103">
        <f t="shared" si="853"/>
        <v>7136</v>
      </c>
      <c r="AD2779" s="130">
        <f t="shared" si="853"/>
        <v>12768</v>
      </c>
      <c r="AE2779" s="130">
        <f t="shared" si="853"/>
        <v>0</v>
      </c>
      <c r="AF2779" s="130">
        <f t="shared" si="853"/>
        <v>0</v>
      </c>
      <c r="AG2779" s="130">
        <f t="shared" si="853"/>
        <v>0</v>
      </c>
      <c r="AH2779" s="130">
        <f t="shared" si="853"/>
        <v>11835</v>
      </c>
      <c r="AI2779" s="130">
        <f t="shared" si="853"/>
        <v>0</v>
      </c>
      <c r="AJ2779" s="130">
        <f t="shared" ref="AJ2779:BC2779" si="854">SUM(AJ2780:AJ2920)</f>
        <v>0</v>
      </c>
      <c r="AK2779" s="130">
        <f t="shared" si="854"/>
        <v>0</v>
      </c>
      <c r="AL2779" s="130">
        <f t="shared" si="854"/>
        <v>21404</v>
      </c>
      <c r="AM2779" s="130">
        <f t="shared" si="854"/>
        <v>0</v>
      </c>
      <c r="AN2779" s="130">
        <f t="shared" si="854"/>
        <v>0</v>
      </c>
      <c r="AO2779" s="130">
        <f t="shared" si="854"/>
        <v>0</v>
      </c>
      <c r="AP2779" s="130">
        <f t="shared" si="854"/>
        <v>16984</v>
      </c>
      <c r="AQ2779" s="130">
        <f t="shared" si="854"/>
        <v>0</v>
      </c>
      <c r="AR2779" s="130">
        <f t="shared" si="854"/>
        <v>0</v>
      </c>
      <c r="AS2779" s="130">
        <f t="shared" si="854"/>
        <v>0</v>
      </c>
      <c r="AT2779" s="130">
        <f t="shared" si="854"/>
        <v>0</v>
      </c>
      <c r="AU2779" s="130">
        <f t="shared" si="854"/>
        <v>0</v>
      </c>
      <c r="AV2779" s="130">
        <f t="shared" si="854"/>
        <v>0</v>
      </c>
      <c r="AW2779" s="130">
        <f t="shared" si="854"/>
        <v>0</v>
      </c>
      <c r="AX2779" s="130">
        <f t="shared" si="854"/>
        <v>0</v>
      </c>
      <c r="AY2779" s="130">
        <f t="shared" si="854"/>
        <v>0</v>
      </c>
      <c r="AZ2779" s="130">
        <f t="shared" si="854"/>
        <v>0</v>
      </c>
      <c r="BA2779" s="130">
        <f t="shared" si="854"/>
        <v>0</v>
      </c>
      <c r="BB2779" s="130">
        <f t="shared" si="854"/>
        <v>62991</v>
      </c>
      <c r="BC2779" s="103">
        <f t="shared" si="854"/>
        <v>100240</v>
      </c>
      <c r="BD2779" s="130">
        <f t="shared" ref="BD2779" si="855">AB2779+BB2779</f>
        <v>66441</v>
      </c>
      <c r="BE2779" s="130">
        <f t="shared" ref="BE2779" si="856">AC2779+BC2779</f>
        <v>107376</v>
      </c>
      <c r="BF2779" s="195">
        <f t="shared" ref="BF2779" si="857">BD2779/BE2779*100</f>
        <v>61.876955744300396</v>
      </c>
      <c r="BG2779" s="374">
        <f t="shared" ref="BG2779" si="858">BE2779-BD2779</f>
        <v>40935</v>
      </c>
    </row>
    <row r="2780" spans="1:61" s="46" customFormat="1" ht="21" customHeight="1">
      <c r="A2780" s="417">
        <v>1</v>
      </c>
      <c r="B2780" s="418" t="s">
        <v>926</v>
      </c>
      <c r="C2780" s="423" t="s">
        <v>927</v>
      </c>
      <c r="D2780" s="231"/>
      <c r="E2780" s="231"/>
      <c r="F2780" s="231"/>
      <c r="G2780" s="231"/>
      <c r="H2780" s="231"/>
      <c r="I2780" s="231"/>
      <c r="J2780" s="231"/>
      <c r="K2780" s="231">
        <v>4</v>
      </c>
      <c r="L2780" s="231"/>
      <c r="M2780" s="231"/>
      <c r="N2780" s="231"/>
      <c r="O2780" s="231">
        <f>1+15</f>
        <v>16</v>
      </c>
      <c r="P2780" s="231"/>
      <c r="Q2780" s="231"/>
      <c r="R2780" s="231"/>
      <c r="S2780" s="231">
        <f>14+13</f>
        <v>27</v>
      </c>
      <c r="T2780" s="231"/>
      <c r="U2780" s="231"/>
      <c r="V2780" s="231"/>
      <c r="W2780" s="231"/>
      <c r="X2780" s="231"/>
      <c r="Y2780" s="231"/>
      <c r="Z2780" s="231"/>
      <c r="AA2780" s="231"/>
      <c r="AB2780" s="22">
        <f t="shared" ref="AB2780:AB2811" si="859">SUM(D2780:AA2780)</f>
        <v>47</v>
      </c>
      <c r="AC2780" s="23">
        <f>22+100</f>
        <v>122</v>
      </c>
      <c r="AD2780" s="35"/>
      <c r="AE2780" s="35"/>
      <c r="AF2780" s="35"/>
      <c r="AG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/>
      <c r="AY2780" s="35"/>
      <c r="AZ2780" s="35"/>
      <c r="BA2780" s="35"/>
      <c r="BB2780" s="22">
        <f t="shared" ref="BB2780:BB2811" si="860">SUM(AD2780:BA2780)</f>
        <v>0</v>
      </c>
      <c r="BC2780" s="23">
        <v>0</v>
      </c>
      <c r="BD2780" s="130">
        <f t="shared" ref="BD2780:BD2811" si="861">AB2780+BB2780</f>
        <v>47</v>
      </c>
      <c r="BE2780" s="130">
        <f t="shared" ref="BE2780:BE2811" si="862">AC2780+BC2780</f>
        <v>122</v>
      </c>
      <c r="BF2780" s="195">
        <f t="shared" ref="BF2780:BF2811" si="863">BD2780/BE2780*100</f>
        <v>38.524590163934427</v>
      </c>
      <c r="BG2780" s="373">
        <f t="shared" ref="BG2780:BG2791" si="864">BE2780-BD2780</f>
        <v>75</v>
      </c>
      <c r="BH2780" s="426" t="s">
        <v>3675</v>
      </c>
      <c r="BI2780" s="426"/>
    </row>
    <row r="2781" spans="1:61" s="46" customFormat="1" ht="21" customHeight="1">
      <c r="A2781" s="417">
        <v>2</v>
      </c>
      <c r="B2781" s="418" t="s">
        <v>1266</v>
      </c>
      <c r="C2781" s="423" t="s">
        <v>1267</v>
      </c>
      <c r="D2781" s="231"/>
      <c r="E2781" s="231"/>
      <c r="F2781" s="231"/>
      <c r="G2781" s="231">
        <v>28</v>
      </c>
      <c r="H2781" s="231"/>
      <c r="I2781" s="231"/>
      <c r="J2781" s="231"/>
      <c r="K2781" s="231">
        <v>21</v>
      </c>
      <c r="L2781" s="231"/>
      <c r="M2781" s="231"/>
      <c r="N2781" s="231"/>
      <c r="O2781" s="231">
        <f>15+33</f>
        <v>48</v>
      </c>
      <c r="P2781" s="231"/>
      <c r="Q2781" s="231"/>
      <c r="R2781" s="231"/>
      <c r="S2781" s="231">
        <f>38+171</f>
        <v>209</v>
      </c>
      <c r="T2781" s="231"/>
      <c r="U2781" s="231"/>
      <c r="V2781" s="231"/>
      <c r="W2781" s="231"/>
      <c r="X2781" s="231"/>
      <c r="Y2781" s="231"/>
      <c r="Z2781" s="231"/>
      <c r="AA2781" s="231"/>
      <c r="AB2781" s="22">
        <f t="shared" si="859"/>
        <v>306</v>
      </c>
      <c r="AC2781" s="23">
        <f>83+321</f>
        <v>404</v>
      </c>
      <c r="AD2781" s="35"/>
      <c r="AE2781" s="35"/>
      <c r="AF2781" s="35"/>
      <c r="AG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  <c r="AX2781" s="35"/>
      <c r="AY2781" s="35"/>
      <c r="AZ2781" s="35"/>
      <c r="BA2781" s="35"/>
      <c r="BB2781" s="22">
        <f t="shared" si="860"/>
        <v>0</v>
      </c>
      <c r="BC2781" s="23">
        <v>0</v>
      </c>
      <c r="BD2781" s="130">
        <f t="shared" si="861"/>
        <v>306</v>
      </c>
      <c r="BE2781" s="130">
        <f t="shared" si="862"/>
        <v>404</v>
      </c>
      <c r="BF2781" s="195">
        <f t="shared" si="863"/>
        <v>75.742574257425744</v>
      </c>
      <c r="BG2781" s="373">
        <f t="shared" si="864"/>
        <v>98</v>
      </c>
      <c r="BH2781" s="426" t="s">
        <v>3675</v>
      </c>
      <c r="BI2781" s="421"/>
    </row>
    <row r="2782" spans="1:61" s="46" customFormat="1" ht="21" customHeight="1">
      <c r="A2782" s="417">
        <v>3</v>
      </c>
      <c r="B2782" s="418" t="s">
        <v>2218</v>
      </c>
      <c r="C2782" s="423" t="s">
        <v>2222</v>
      </c>
      <c r="D2782" s="231"/>
      <c r="E2782" s="231"/>
      <c r="F2782" s="231"/>
      <c r="G2782" s="231">
        <v>16</v>
      </c>
      <c r="H2782" s="231"/>
      <c r="I2782" s="231"/>
      <c r="J2782" s="231"/>
      <c r="K2782" s="231">
        <v>32</v>
      </c>
      <c r="L2782" s="231"/>
      <c r="M2782" s="231"/>
      <c r="N2782" s="231"/>
      <c r="O2782" s="231">
        <f>14+9</f>
        <v>23</v>
      </c>
      <c r="P2782" s="231"/>
      <c r="Q2782" s="231"/>
      <c r="R2782" s="231"/>
      <c r="S2782" s="231">
        <f>24+9</f>
        <v>33</v>
      </c>
      <c r="T2782" s="231"/>
      <c r="U2782" s="231"/>
      <c r="V2782" s="231"/>
      <c r="W2782" s="231"/>
      <c r="X2782" s="231"/>
      <c r="Y2782" s="231"/>
      <c r="Z2782" s="231"/>
      <c r="AA2782" s="231"/>
      <c r="AB2782" s="22">
        <f t="shared" si="859"/>
        <v>104</v>
      </c>
      <c r="AC2782" s="23">
        <f>423+1632</f>
        <v>2055</v>
      </c>
      <c r="AD2782" s="35"/>
      <c r="AE2782" s="35"/>
      <c r="AF2782" s="35"/>
      <c r="AG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  <c r="AX2782" s="35"/>
      <c r="AY2782" s="35"/>
      <c r="AZ2782" s="35"/>
      <c r="BA2782" s="35"/>
      <c r="BB2782" s="22">
        <f t="shared" si="860"/>
        <v>0</v>
      </c>
      <c r="BC2782" s="23">
        <v>0</v>
      </c>
      <c r="BD2782" s="130">
        <f t="shared" si="861"/>
        <v>104</v>
      </c>
      <c r="BE2782" s="130">
        <f t="shared" si="862"/>
        <v>2055</v>
      </c>
      <c r="BF2782" s="195">
        <f t="shared" si="863"/>
        <v>5.0608272506082725</v>
      </c>
      <c r="BG2782" s="373">
        <f t="shared" si="864"/>
        <v>1951</v>
      </c>
      <c r="BH2782" s="426" t="s">
        <v>3675</v>
      </c>
      <c r="BI2782" s="421"/>
    </row>
    <row r="2783" spans="1:61" s="46" customFormat="1" ht="21" customHeight="1">
      <c r="A2783" s="417">
        <v>4</v>
      </c>
      <c r="B2783" s="418" t="s">
        <v>2246</v>
      </c>
      <c r="C2783" s="423" t="s">
        <v>2222</v>
      </c>
      <c r="D2783" s="231"/>
      <c r="E2783" s="231"/>
      <c r="F2783" s="231"/>
      <c r="G2783" s="231">
        <f>527+1</f>
        <v>528</v>
      </c>
      <c r="H2783" s="231"/>
      <c r="I2783" s="231"/>
      <c r="J2783" s="231"/>
      <c r="K2783" s="231">
        <f>178+426</f>
        <v>604</v>
      </c>
      <c r="L2783" s="231"/>
      <c r="M2783" s="231"/>
      <c r="N2783" s="231"/>
      <c r="O2783" s="231">
        <f>325+11+887</f>
        <v>1223</v>
      </c>
      <c r="P2783" s="231"/>
      <c r="Q2783" s="231"/>
      <c r="R2783" s="231"/>
      <c r="S2783" s="231">
        <f>7+624</f>
        <v>631</v>
      </c>
      <c r="T2783" s="231"/>
      <c r="U2783" s="231"/>
      <c r="V2783" s="231"/>
      <c r="W2783" s="231"/>
      <c r="X2783" s="231"/>
      <c r="Y2783" s="231"/>
      <c r="Z2783" s="231"/>
      <c r="AA2783" s="231"/>
      <c r="AB2783" s="22">
        <f t="shared" si="859"/>
        <v>2986</v>
      </c>
      <c r="AC2783" s="23">
        <f>1696+1561</f>
        <v>3257</v>
      </c>
      <c r="AD2783" s="35"/>
      <c r="AE2783" s="35"/>
      <c r="AF2783" s="35"/>
      <c r="AG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  <c r="AX2783" s="35"/>
      <c r="AY2783" s="35"/>
      <c r="AZ2783" s="35"/>
      <c r="BA2783" s="35"/>
      <c r="BB2783" s="22">
        <f t="shared" si="860"/>
        <v>0</v>
      </c>
      <c r="BC2783" s="23">
        <v>0</v>
      </c>
      <c r="BD2783" s="130">
        <f t="shared" si="861"/>
        <v>2986</v>
      </c>
      <c r="BE2783" s="130">
        <f t="shared" si="862"/>
        <v>3257</v>
      </c>
      <c r="BF2783" s="195">
        <f t="shared" si="863"/>
        <v>91.679459625422169</v>
      </c>
      <c r="BG2783" s="373">
        <f t="shared" si="864"/>
        <v>271</v>
      </c>
      <c r="BH2783" s="426" t="s">
        <v>3675</v>
      </c>
      <c r="BI2783" s="421"/>
    </row>
    <row r="2784" spans="1:61" s="46" customFormat="1" ht="15.95" customHeight="1">
      <c r="A2784" s="176">
        <v>5</v>
      </c>
      <c r="B2784" s="31" t="s">
        <v>736</v>
      </c>
      <c r="C2784" s="32" t="s">
        <v>737</v>
      </c>
      <c r="D2784" s="231"/>
      <c r="E2784" s="231"/>
      <c r="F2784" s="231"/>
      <c r="G2784" s="231"/>
      <c r="H2784" s="231"/>
      <c r="I2784" s="231"/>
      <c r="J2784" s="231"/>
      <c r="K2784" s="231"/>
      <c r="L2784" s="231"/>
      <c r="M2784" s="231"/>
      <c r="N2784" s="231"/>
      <c r="O2784" s="231"/>
      <c r="P2784" s="231"/>
      <c r="Q2784" s="231"/>
      <c r="R2784" s="231"/>
      <c r="S2784" s="231"/>
      <c r="T2784" s="231"/>
      <c r="U2784" s="231"/>
      <c r="V2784" s="231"/>
      <c r="W2784" s="231"/>
      <c r="X2784" s="231"/>
      <c r="Y2784" s="231"/>
      <c r="Z2784" s="231"/>
      <c r="AA2784" s="231"/>
      <c r="AB2784" s="22">
        <f t="shared" si="859"/>
        <v>0</v>
      </c>
      <c r="AC2784" s="23">
        <v>0</v>
      </c>
      <c r="AD2784" s="35"/>
      <c r="AE2784" s="35"/>
      <c r="AF2784" s="35"/>
      <c r="AG2784" s="35"/>
      <c r="AH2784" s="35"/>
      <c r="AI2784" s="35"/>
      <c r="AJ2784" s="35"/>
      <c r="AK2784" s="35"/>
      <c r="AL2784" s="35">
        <f>2+7</f>
        <v>9</v>
      </c>
      <c r="AM2784" s="35"/>
      <c r="AN2784" s="35"/>
      <c r="AO2784" s="35"/>
      <c r="AP2784" s="35">
        <v>10</v>
      </c>
      <c r="AQ2784" s="35"/>
      <c r="AR2784" s="35"/>
      <c r="AS2784" s="35"/>
      <c r="AT2784" s="35"/>
      <c r="AU2784" s="35"/>
      <c r="AV2784" s="35"/>
      <c r="AW2784" s="35"/>
      <c r="AX2784" s="35"/>
      <c r="AY2784" s="35"/>
      <c r="AZ2784" s="35"/>
      <c r="BA2784" s="35"/>
      <c r="BB2784" s="22">
        <f t="shared" si="860"/>
        <v>19</v>
      </c>
      <c r="BC2784" s="23">
        <v>315</v>
      </c>
      <c r="BD2784" s="130">
        <f t="shared" si="861"/>
        <v>19</v>
      </c>
      <c r="BE2784" s="130">
        <f t="shared" si="862"/>
        <v>315</v>
      </c>
      <c r="BF2784" s="195">
        <f t="shared" si="863"/>
        <v>6.0317460317460316</v>
      </c>
      <c r="BG2784" s="373">
        <f t="shared" si="864"/>
        <v>296</v>
      </c>
    </row>
    <row r="2785" spans="1:59" s="46" customFormat="1" ht="15.95" customHeight="1">
      <c r="A2785" s="176">
        <v>6</v>
      </c>
      <c r="B2785" s="31" t="s">
        <v>738</v>
      </c>
      <c r="C2785" s="32" t="s">
        <v>739</v>
      </c>
      <c r="D2785" s="231"/>
      <c r="E2785" s="231"/>
      <c r="F2785" s="231"/>
      <c r="G2785" s="231"/>
      <c r="H2785" s="231"/>
      <c r="I2785" s="231"/>
      <c r="J2785" s="231"/>
      <c r="K2785" s="231"/>
      <c r="L2785" s="231"/>
      <c r="M2785" s="231"/>
      <c r="N2785" s="231"/>
      <c r="O2785" s="231"/>
      <c r="P2785" s="231"/>
      <c r="Q2785" s="231"/>
      <c r="R2785" s="231"/>
      <c r="S2785" s="231"/>
      <c r="T2785" s="231"/>
      <c r="U2785" s="231"/>
      <c r="V2785" s="231"/>
      <c r="W2785" s="231"/>
      <c r="X2785" s="231"/>
      <c r="Y2785" s="231"/>
      <c r="Z2785" s="231"/>
      <c r="AA2785" s="231"/>
      <c r="AB2785" s="22">
        <f t="shared" si="859"/>
        <v>0</v>
      </c>
      <c r="AC2785" s="23">
        <v>0</v>
      </c>
      <c r="AD2785" s="35"/>
      <c r="AE2785" s="35"/>
      <c r="AF2785" s="35"/>
      <c r="AG2785" s="35"/>
      <c r="AH2785" s="35"/>
      <c r="AI2785" s="35"/>
      <c r="AJ2785" s="35"/>
      <c r="AK2785" s="35"/>
      <c r="AL2785" s="35">
        <v>6</v>
      </c>
      <c r="AM2785" s="35"/>
      <c r="AN2785" s="35"/>
      <c r="AO2785" s="35"/>
      <c r="AP2785" s="35">
        <f>1+4</f>
        <v>5</v>
      </c>
      <c r="AQ2785" s="35"/>
      <c r="AR2785" s="35"/>
      <c r="AS2785" s="35"/>
      <c r="AT2785" s="35"/>
      <c r="AU2785" s="35"/>
      <c r="AV2785" s="35"/>
      <c r="AW2785" s="35"/>
      <c r="AX2785" s="35"/>
      <c r="AY2785" s="35"/>
      <c r="AZ2785" s="35"/>
      <c r="BA2785" s="35"/>
      <c r="BB2785" s="22">
        <f t="shared" si="860"/>
        <v>11</v>
      </c>
      <c r="BC2785" s="23">
        <v>7</v>
      </c>
      <c r="BD2785" s="130">
        <f t="shared" si="861"/>
        <v>11</v>
      </c>
      <c r="BE2785" s="130">
        <f t="shared" si="862"/>
        <v>7</v>
      </c>
      <c r="BF2785" s="195">
        <f t="shared" si="863"/>
        <v>157.14285714285714</v>
      </c>
      <c r="BG2785" s="373">
        <f t="shared" si="864"/>
        <v>-4</v>
      </c>
    </row>
    <row r="2786" spans="1:59" s="46" customFormat="1" ht="15.95" customHeight="1">
      <c r="A2786" s="176">
        <v>7</v>
      </c>
      <c r="B2786" s="31" t="s">
        <v>746</v>
      </c>
      <c r="C2786" s="32" t="s">
        <v>747</v>
      </c>
      <c r="D2786" s="231"/>
      <c r="E2786" s="231"/>
      <c r="F2786" s="231"/>
      <c r="G2786" s="231"/>
      <c r="H2786" s="231"/>
      <c r="I2786" s="231"/>
      <c r="J2786" s="231"/>
      <c r="K2786" s="231"/>
      <c r="L2786" s="231"/>
      <c r="M2786" s="231"/>
      <c r="N2786" s="231"/>
      <c r="O2786" s="231"/>
      <c r="P2786" s="231"/>
      <c r="Q2786" s="231"/>
      <c r="R2786" s="231"/>
      <c r="S2786" s="231"/>
      <c r="T2786" s="231"/>
      <c r="U2786" s="231"/>
      <c r="V2786" s="231"/>
      <c r="W2786" s="231"/>
      <c r="X2786" s="231"/>
      <c r="Y2786" s="231"/>
      <c r="Z2786" s="231"/>
      <c r="AA2786" s="231"/>
      <c r="AB2786" s="22">
        <f t="shared" si="859"/>
        <v>0</v>
      </c>
      <c r="AC2786" s="23">
        <v>0</v>
      </c>
      <c r="AD2786" s="35">
        <v>147</v>
      </c>
      <c r="AE2786" s="35"/>
      <c r="AF2786" s="35"/>
      <c r="AG2786" s="35"/>
      <c r="AH2786" s="35">
        <f>117+7</f>
        <v>124</v>
      </c>
      <c r="AI2786" s="35"/>
      <c r="AJ2786" s="35"/>
      <c r="AK2786" s="35"/>
      <c r="AL2786" s="35">
        <f>118+35</f>
        <v>153</v>
      </c>
      <c r="AM2786" s="35"/>
      <c r="AN2786" s="35"/>
      <c r="AO2786" s="35"/>
      <c r="AP2786" s="35">
        <f>6+45</f>
        <v>51</v>
      </c>
      <c r="AQ2786" s="35"/>
      <c r="AR2786" s="35"/>
      <c r="AS2786" s="35"/>
      <c r="AT2786" s="35"/>
      <c r="AU2786" s="35"/>
      <c r="AV2786" s="35"/>
      <c r="AW2786" s="35"/>
      <c r="AX2786" s="35"/>
      <c r="AY2786" s="35"/>
      <c r="AZ2786" s="35"/>
      <c r="BA2786" s="35"/>
      <c r="BB2786" s="22">
        <f t="shared" si="860"/>
        <v>475</v>
      </c>
      <c r="BC2786" s="23">
        <v>373</v>
      </c>
      <c r="BD2786" s="130">
        <f t="shared" si="861"/>
        <v>475</v>
      </c>
      <c r="BE2786" s="130">
        <f t="shared" si="862"/>
        <v>373</v>
      </c>
      <c r="BF2786" s="195">
        <f t="shared" si="863"/>
        <v>127.34584450402144</v>
      </c>
      <c r="BG2786" s="373">
        <f t="shared" si="864"/>
        <v>-102</v>
      </c>
    </row>
    <row r="2787" spans="1:59" s="46" customFormat="1" ht="15.95" customHeight="1">
      <c r="A2787" s="176">
        <v>8</v>
      </c>
      <c r="B2787" s="31" t="s">
        <v>881</v>
      </c>
      <c r="C2787" s="32" t="s">
        <v>1405</v>
      </c>
      <c r="D2787" s="231"/>
      <c r="E2787" s="231"/>
      <c r="F2787" s="231"/>
      <c r="G2787" s="231"/>
      <c r="H2787" s="231"/>
      <c r="I2787" s="231"/>
      <c r="J2787" s="231"/>
      <c r="K2787" s="231"/>
      <c r="L2787" s="231"/>
      <c r="M2787" s="231"/>
      <c r="N2787" s="231"/>
      <c r="O2787" s="231"/>
      <c r="P2787" s="231"/>
      <c r="Q2787" s="231"/>
      <c r="R2787" s="231"/>
      <c r="S2787" s="231"/>
      <c r="T2787" s="231"/>
      <c r="U2787" s="231"/>
      <c r="V2787" s="231"/>
      <c r="W2787" s="231"/>
      <c r="X2787" s="231"/>
      <c r="Y2787" s="231"/>
      <c r="Z2787" s="231"/>
      <c r="AA2787" s="231"/>
      <c r="AB2787" s="22">
        <f t="shared" si="859"/>
        <v>0</v>
      </c>
      <c r="AC2787" s="23">
        <v>0</v>
      </c>
      <c r="AD2787" s="35">
        <v>358</v>
      </c>
      <c r="AE2787" s="35"/>
      <c r="AF2787" s="35"/>
      <c r="AG2787" s="35"/>
      <c r="AH2787" s="35">
        <f>238+130</f>
        <v>368</v>
      </c>
      <c r="AI2787" s="35"/>
      <c r="AJ2787" s="35"/>
      <c r="AK2787" s="35"/>
      <c r="AL2787" s="35">
        <f>225+658</f>
        <v>883</v>
      </c>
      <c r="AM2787" s="35"/>
      <c r="AN2787" s="35"/>
      <c r="AO2787" s="35"/>
      <c r="AP2787" s="35">
        <f>21+946</f>
        <v>967</v>
      </c>
      <c r="AQ2787" s="35"/>
      <c r="AR2787" s="35"/>
      <c r="AS2787" s="35"/>
      <c r="AT2787" s="35"/>
      <c r="AU2787" s="35"/>
      <c r="AV2787" s="35"/>
      <c r="AW2787" s="35"/>
      <c r="AX2787" s="35"/>
      <c r="AY2787" s="35"/>
      <c r="AZ2787" s="35"/>
      <c r="BA2787" s="35"/>
      <c r="BB2787" s="22">
        <f t="shared" si="860"/>
        <v>2576</v>
      </c>
      <c r="BC2787" s="23">
        <v>5495</v>
      </c>
      <c r="BD2787" s="130">
        <f t="shared" si="861"/>
        <v>2576</v>
      </c>
      <c r="BE2787" s="130">
        <f t="shared" si="862"/>
        <v>5495</v>
      </c>
      <c r="BF2787" s="195">
        <f t="shared" si="863"/>
        <v>46.878980891719749</v>
      </c>
      <c r="BG2787" s="373">
        <f t="shared" si="864"/>
        <v>2919</v>
      </c>
    </row>
    <row r="2788" spans="1:59" s="46" customFormat="1" ht="15.95" customHeight="1">
      <c r="A2788" s="176">
        <v>9</v>
      </c>
      <c r="B2788" s="31" t="s">
        <v>748</v>
      </c>
      <c r="C2788" s="32" t="s">
        <v>749</v>
      </c>
      <c r="D2788" s="231"/>
      <c r="E2788" s="231"/>
      <c r="F2788" s="231"/>
      <c r="G2788" s="231"/>
      <c r="H2788" s="231"/>
      <c r="I2788" s="231"/>
      <c r="J2788" s="231"/>
      <c r="K2788" s="231"/>
      <c r="L2788" s="231"/>
      <c r="M2788" s="231"/>
      <c r="N2788" s="231"/>
      <c r="O2788" s="231"/>
      <c r="P2788" s="231"/>
      <c r="Q2788" s="231"/>
      <c r="R2788" s="231"/>
      <c r="S2788" s="231"/>
      <c r="T2788" s="231"/>
      <c r="U2788" s="231"/>
      <c r="V2788" s="231"/>
      <c r="W2788" s="231"/>
      <c r="X2788" s="231"/>
      <c r="Y2788" s="231"/>
      <c r="Z2788" s="231"/>
      <c r="AA2788" s="231"/>
      <c r="AB2788" s="22">
        <f t="shared" si="859"/>
        <v>0</v>
      </c>
      <c r="AC2788" s="23">
        <v>0</v>
      </c>
      <c r="AD2788" s="35">
        <v>11</v>
      </c>
      <c r="AE2788" s="35"/>
      <c r="AF2788" s="35"/>
      <c r="AG2788" s="35"/>
      <c r="AH2788" s="35">
        <v>14</v>
      </c>
      <c r="AI2788" s="35"/>
      <c r="AJ2788" s="35"/>
      <c r="AK2788" s="35"/>
      <c r="AL2788" s="35">
        <f>16+5</f>
        <v>21</v>
      </c>
      <c r="AM2788" s="35"/>
      <c r="AN2788" s="35"/>
      <c r="AO2788" s="35"/>
      <c r="AP2788" s="35">
        <f>1+4</f>
        <v>5</v>
      </c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22">
        <f t="shared" si="860"/>
        <v>51</v>
      </c>
      <c r="BC2788" s="23">
        <v>26</v>
      </c>
      <c r="BD2788" s="130">
        <f t="shared" si="861"/>
        <v>51</v>
      </c>
      <c r="BE2788" s="130">
        <f t="shared" si="862"/>
        <v>26</v>
      </c>
      <c r="BF2788" s="195">
        <f t="shared" si="863"/>
        <v>196.15384615384613</v>
      </c>
      <c r="BG2788" s="373">
        <f t="shared" si="864"/>
        <v>-25</v>
      </c>
    </row>
    <row r="2789" spans="1:59" s="46" customFormat="1" ht="15.95" customHeight="1">
      <c r="A2789" s="176">
        <v>10</v>
      </c>
      <c r="B2789" s="31" t="s">
        <v>1066</v>
      </c>
      <c r="C2789" s="32" t="s">
        <v>1067</v>
      </c>
      <c r="D2789" s="336"/>
      <c r="E2789" s="336"/>
      <c r="F2789" s="336"/>
      <c r="G2789" s="336"/>
      <c r="H2789" s="336"/>
      <c r="I2789" s="336"/>
      <c r="J2789" s="336"/>
      <c r="K2789" s="336"/>
      <c r="L2789" s="336"/>
      <c r="M2789" s="336"/>
      <c r="N2789" s="336"/>
      <c r="O2789" s="336"/>
      <c r="P2789" s="336"/>
      <c r="Q2789" s="336"/>
      <c r="R2789" s="336"/>
      <c r="S2789" s="336"/>
      <c r="T2789" s="336"/>
      <c r="U2789" s="336"/>
      <c r="V2789" s="336"/>
      <c r="W2789" s="336"/>
      <c r="X2789" s="336"/>
      <c r="Y2789" s="336"/>
      <c r="Z2789" s="336"/>
      <c r="AA2789" s="336"/>
      <c r="AB2789" s="22">
        <f t="shared" si="859"/>
        <v>0</v>
      </c>
      <c r="AC2789" s="23">
        <v>0</v>
      </c>
      <c r="AD2789" s="35"/>
      <c r="AE2789" s="35"/>
      <c r="AF2789" s="35"/>
      <c r="AG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  <c r="AX2789" s="35"/>
      <c r="AY2789" s="35"/>
      <c r="AZ2789" s="35"/>
      <c r="BA2789" s="35"/>
      <c r="BB2789" s="22">
        <f t="shared" si="860"/>
        <v>0</v>
      </c>
      <c r="BC2789" s="23">
        <v>1</v>
      </c>
      <c r="BD2789" s="130">
        <f t="shared" si="861"/>
        <v>0</v>
      </c>
      <c r="BE2789" s="130">
        <f t="shared" si="862"/>
        <v>1</v>
      </c>
      <c r="BF2789" s="195">
        <f t="shared" si="863"/>
        <v>0</v>
      </c>
      <c r="BG2789" s="373">
        <f t="shared" si="864"/>
        <v>1</v>
      </c>
    </row>
    <row r="2790" spans="1:59" s="46" customFormat="1" ht="15.95" customHeight="1">
      <c r="A2790" s="176">
        <v>11</v>
      </c>
      <c r="B2790" s="31" t="s">
        <v>750</v>
      </c>
      <c r="C2790" s="32" t="s">
        <v>751</v>
      </c>
      <c r="D2790" s="231"/>
      <c r="E2790" s="231"/>
      <c r="F2790" s="231"/>
      <c r="G2790" s="231"/>
      <c r="H2790" s="231"/>
      <c r="I2790" s="231"/>
      <c r="J2790" s="231"/>
      <c r="K2790" s="231"/>
      <c r="L2790" s="231"/>
      <c r="M2790" s="231"/>
      <c r="N2790" s="231"/>
      <c r="O2790" s="231"/>
      <c r="P2790" s="231"/>
      <c r="Q2790" s="231"/>
      <c r="R2790" s="231"/>
      <c r="S2790" s="231"/>
      <c r="T2790" s="231"/>
      <c r="U2790" s="231"/>
      <c r="V2790" s="231"/>
      <c r="W2790" s="231"/>
      <c r="X2790" s="231"/>
      <c r="Y2790" s="231"/>
      <c r="Z2790" s="231"/>
      <c r="AA2790" s="231"/>
      <c r="AB2790" s="22">
        <f t="shared" si="859"/>
        <v>0</v>
      </c>
      <c r="AC2790" s="23">
        <v>0</v>
      </c>
      <c r="AD2790" s="35">
        <v>17</v>
      </c>
      <c r="AE2790" s="35"/>
      <c r="AF2790" s="35"/>
      <c r="AG2790" s="35"/>
      <c r="AH2790" s="35">
        <f>6+6</f>
        <v>12</v>
      </c>
      <c r="AI2790" s="35"/>
      <c r="AJ2790" s="35"/>
      <c r="AK2790" s="35"/>
      <c r="AL2790" s="35">
        <f>6+55</f>
        <v>61</v>
      </c>
      <c r="AM2790" s="35"/>
      <c r="AN2790" s="35"/>
      <c r="AO2790" s="35"/>
      <c r="AP2790" s="35">
        <v>72</v>
      </c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22">
        <f t="shared" si="860"/>
        <v>162</v>
      </c>
      <c r="BC2790" s="23">
        <v>256</v>
      </c>
      <c r="BD2790" s="130">
        <f t="shared" si="861"/>
        <v>162</v>
      </c>
      <c r="BE2790" s="130">
        <f t="shared" si="862"/>
        <v>256</v>
      </c>
      <c r="BF2790" s="195">
        <f t="shared" si="863"/>
        <v>63.28125</v>
      </c>
      <c r="BG2790" s="373">
        <f t="shared" si="864"/>
        <v>94</v>
      </c>
    </row>
    <row r="2791" spans="1:59" s="46" customFormat="1" ht="15.95" customHeight="1">
      <c r="A2791" s="176">
        <v>12</v>
      </c>
      <c r="B2791" s="31" t="s">
        <v>930</v>
      </c>
      <c r="C2791" s="32" t="s">
        <v>931</v>
      </c>
      <c r="D2791" s="231"/>
      <c r="E2791" s="231"/>
      <c r="F2791" s="231"/>
      <c r="G2791" s="231"/>
      <c r="H2791" s="231"/>
      <c r="I2791" s="231"/>
      <c r="J2791" s="231"/>
      <c r="K2791" s="231"/>
      <c r="L2791" s="231"/>
      <c r="M2791" s="231"/>
      <c r="N2791" s="231"/>
      <c r="O2791" s="231"/>
      <c r="P2791" s="231"/>
      <c r="Q2791" s="231"/>
      <c r="R2791" s="231"/>
      <c r="S2791" s="231"/>
      <c r="T2791" s="231"/>
      <c r="U2791" s="231"/>
      <c r="V2791" s="231"/>
      <c r="W2791" s="231"/>
      <c r="X2791" s="231"/>
      <c r="Y2791" s="231"/>
      <c r="Z2791" s="231"/>
      <c r="AA2791" s="231"/>
      <c r="AB2791" s="22">
        <f t="shared" si="859"/>
        <v>0</v>
      </c>
      <c r="AC2791" s="23">
        <v>0</v>
      </c>
      <c r="AD2791" s="35">
        <v>14</v>
      </c>
      <c r="AE2791" s="35"/>
      <c r="AF2791" s="35"/>
      <c r="AG2791" s="35"/>
      <c r="AH2791" s="35"/>
      <c r="AI2791" s="35"/>
      <c r="AJ2791" s="35"/>
      <c r="AK2791" s="35"/>
      <c r="AL2791" s="35">
        <f>7+33</f>
        <v>40</v>
      </c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/>
      <c r="AY2791" s="35"/>
      <c r="AZ2791" s="35"/>
      <c r="BA2791" s="35"/>
      <c r="BB2791" s="22">
        <f t="shared" si="860"/>
        <v>54</v>
      </c>
      <c r="BC2791" s="23">
        <v>93</v>
      </c>
      <c r="BD2791" s="130">
        <f t="shared" si="861"/>
        <v>54</v>
      </c>
      <c r="BE2791" s="130">
        <f t="shared" si="862"/>
        <v>93</v>
      </c>
      <c r="BF2791" s="195">
        <f t="shared" si="863"/>
        <v>58.064516129032263</v>
      </c>
      <c r="BG2791" s="373">
        <f t="shared" si="864"/>
        <v>39</v>
      </c>
    </row>
    <row r="2792" spans="1:59" s="46" customFormat="1" ht="15.95" customHeight="1">
      <c r="A2792" s="176">
        <v>13</v>
      </c>
      <c r="B2792" s="31" t="s">
        <v>887</v>
      </c>
      <c r="C2792" s="32" t="s">
        <v>888</v>
      </c>
      <c r="D2792" s="574"/>
      <c r="E2792" s="574"/>
      <c r="F2792" s="574"/>
      <c r="G2792" s="574"/>
      <c r="H2792" s="574"/>
      <c r="I2792" s="574"/>
      <c r="J2792" s="574"/>
      <c r="K2792" s="574"/>
      <c r="L2792" s="574"/>
      <c r="M2792" s="574"/>
      <c r="N2792" s="574"/>
      <c r="O2792" s="574"/>
      <c r="P2792" s="574"/>
      <c r="Q2792" s="574"/>
      <c r="R2792" s="574"/>
      <c r="S2792" s="574"/>
      <c r="T2792" s="574"/>
      <c r="U2792" s="574"/>
      <c r="V2792" s="574"/>
      <c r="W2792" s="574"/>
      <c r="X2792" s="574"/>
      <c r="Y2792" s="574"/>
      <c r="Z2792" s="574"/>
      <c r="AA2792" s="574"/>
      <c r="AB2792" s="22">
        <f t="shared" si="859"/>
        <v>0</v>
      </c>
      <c r="AC2792" s="23">
        <v>0</v>
      </c>
      <c r="AD2792" s="35"/>
      <c r="AE2792" s="35"/>
      <c r="AF2792" s="35"/>
      <c r="AG2792" s="35"/>
      <c r="AH2792" s="35"/>
      <c r="AI2792" s="35"/>
      <c r="AJ2792" s="35"/>
      <c r="AK2792" s="35"/>
      <c r="AL2792" s="35"/>
      <c r="AM2792" s="35"/>
      <c r="AN2792" s="35"/>
      <c r="AO2792" s="35"/>
      <c r="AP2792" s="35">
        <v>1</v>
      </c>
      <c r="AQ2792" s="35"/>
      <c r="AR2792" s="35"/>
      <c r="AS2792" s="35"/>
      <c r="AT2792" s="35"/>
      <c r="AU2792" s="35"/>
      <c r="AV2792" s="35"/>
      <c r="AW2792" s="35"/>
      <c r="AX2792" s="35"/>
      <c r="AY2792" s="35"/>
      <c r="AZ2792" s="35"/>
      <c r="BA2792" s="35"/>
      <c r="BB2792" s="22">
        <f t="shared" si="860"/>
        <v>1</v>
      </c>
      <c r="BC2792" s="23">
        <v>0</v>
      </c>
      <c r="BD2792" s="130">
        <f t="shared" si="861"/>
        <v>1</v>
      </c>
      <c r="BE2792" s="130">
        <f t="shared" si="862"/>
        <v>0</v>
      </c>
      <c r="BF2792" s="195" t="e">
        <f t="shared" si="863"/>
        <v>#DIV/0!</v>
      </c>
      <c r="BG2792" s="373"/>
    </row>
    <row r="2793" spans="1:59" s="46" customFormat="1" ht="15.95" customHeight="1">
      <c r="A2793" s="176">
        <v>14</v>
      </c>
      <c r="B2793" s="31" t="s">
        <v>752</v>
      </c>
      <c r="C2793" s="32" t="s">
        <v>753</v>
      </c>
      <c r="D2793" s="254"/>
      <c r="E2793" s="254"/>
      <c r="F2793" s="254"/>
      <c r="G2793" s="254"/>
      <c r="H2793" s="254"/>
      <c r="I2793" s="254"/>
      <c r="J2793" s="254"/>
      <c r="K2793" s="254"/>
      <c r="L2793" s="254"/>
      <c r="M2793" s="254"/>
      <c r="N2793" s="254"/>
      <c r="O2793" s="254"/>
      <c r="P2793" s="254"/>
      <c r="Q2793" s="254"/>
      <c r="R2793" s="254"/>
      <c r="S2793" s="254"/>
      <c r="T2793" s="254"/>
      <c r="U2793" s="254"/>
      <c r="V2793" s="254"/>
      <c r="W2793" s="254"/>
      <c r="X2793" s="254"/>
      <c r="Y2793" s="254"/>
      <c r="Z2793" s="254"/>
      <c r="AA2793" s="254"/>
      <c r="AB2793" s="22">
        <f t="shared" si="859"/>
        <v>0</v>
      </c>
      <c r="AC2793" s="23">
        <v>0</v>
      </c>
      <c r="AD2793" s="35"/>
      <c r="AE2793" s="35"/>
      <c r="AF2793" s="35"/>
      <c r="AG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22">
        <f t="shared" si="860"/>
        <v>0</v>
      </c>
      <c r="BC2793" s="23">
        <v>2</v>
      </c>
      <c r="BD2793" s="130">
        <f t="shared" si="861"/>
        <v>0</v>
      </c>
      <c r="BE2793" s="130">
        <f t="shared" si="862"/>
        <v>2</v>
      </c>
      <c r="BF2793" s="195">
        <f t="shared" si="863"/>
        <v>0</v>
      </c>
      <c r="BG2793" s="373">
        <f>BE2793-BD2793</f>
        <v>2</v>
      </c>
    </row>
    <row r="2794" spans="1:59" s="46" customFormat="1" ht="15.95" customHeight="1">
      <c r="A2794" s="176">
        <v>15</v>
      </c>
      <c r="B2794" s="37" t="s">
        <v>754</v>
      </c>
      <c r="C2794" s="38" t="s">
        <v>889</v>
      </c>
      <c r="D2794" s="231"/>
      <c r="E2794" s="231"/>
      <c r="F2794" s="231"/>
      <c r="G2794" s="231"/>
      <c r="H2794" s="231"/>
      <c r="I2794" s="231"/>
      <c r="J2794" s="231"/>
      <c r="K2794" s="231"/>
      <c r="L2794" s="231"/>
      <c r="M2794" s="231"/>
      <c r="N2794" s="231"/>
      <c r="O2794" s="231"/>
      <c r="P2794" s="231"/>
      <c r="Q2794" s="231"/>
      <c r="R2794" s="231"/>
      <c r="S2794" s="231"/>
      <c r="T2794" s="231"/>
      <c r="U2794" s="231"/>
      <c r="V2794" s="231"/>
      <c r="W2794" s="231"/>
      <c r="X2794" s="231"/>
      <c r="Y2794" s="231"/>
      <c r="Z2794" s="231"/>
      <c r="AA2794" s="231"/>
      <c r="AB2794" s="22">
        <f t="shared" si="859"/>
        <v>0</v>
      </c>
      <c r="AC2794" s="23">
        <v>0</v>
      </c>
      <c r="AD2794" s="35">
        <v>7</v>
      </c>
      <c r="AE2794" s="35"/>
      <c r="AF2794" s="35"/>
      <c r="AG2794" s="35"/>
      <c r="AH2794" s="35">
        <f>1+9</f>
        <v>10</v>
      </c>
      <c r="AI2794" s="35"/>
      <c r="AJ2794" s="35"/>
      <c r="AK2794" s="35"/>
      <c r="AL2794" s="35">
        <f>2+26</f>
        <v>28</v>
      </c>
      <c r="AM2794" s="35"/>
      <c r="AN2794" s="35"/>
      <c r="AO2794" s="35"/>
      <c r="AP2794" s="35">
        <v>39</v>
      </c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22">
        <f t="shared" si="860"/>
        <v>84</v>
      </c>
      <c r="BC2794" s="23">
        <v>157</v>
      </c>
      <c r="BD2794" s="130">
        <f t="shared" si="861"/>
        <v>84</v>
      </c>
      <c r="BE2794" s="130">
        <f t="shared" si="862"/>
        <v>157</v>
      </c>
      <c r="BF2794" s="195">
        <f t="shared" si="863"/>
        <v>53.503184713375795</v>
      </c>
      <c r="BG2794" s="373">
        <f>BE2794-BD2794</f>
        <v>73</v>
      </c>
    </row>
    <row r="2795" spans="1:59" s="46" customFormat="1" ht="15.95" customHeight="1">
      <c r="A2795" s="176">
        <v>16</v>
      </c>
      <c r="B2795" s="31" t="s">
        <v>756</v>
      </c>
      <c r="C2795" s="32" t="s">
        <v>757</v>
      </c>
      <c r="D2795" s="231"/>
      <c r="E2795" s="231"/>
      <c r="F2795" s="231"/>
      <c r="G2795" s="231"/>
      <c r="H2795" s="231"/>
      <c r="I2795" s="231"/>
      <c r="J2795" s="231"/>
      <c r="K2795" s="231"/>
      <c r="L2795" s="231"/>
      <c r="M2795" s="231"/>
      <c r="N2795" s="231"/>
      <c r="O2795" s="231"/>
      <c r="P2795" s="231"/>
      <c r="Q2795" s="231"/>
      <c r="R2795" s="231"/>
      <c r="S2795" s="231"/>
      <c r="T2795" s="231"/>
      <c r="U2795" s="231"/>
      <c r="V2795" s="231"/>
      <c r="W2795" s="231"/>
      <c r="X2795" s="231"/>
      <c r="Y2795" s="231"/>
      <c r="Z2795" s="231"/>
      <c r="AA2795" s="231"/>
      <c r="AB2795" s="22">
        <f t="shared" si="859"/>
        <v>0</v>
      </c>
      <c r="AC2795" s="23">
        <v>0</v>
      </c>
      <c r="AD2795" s="35">
        <v>436</v>
      </c>
      <c r="AE2795" s="35"/>
      <c r="AF2795" s="35"/>
      <c r="AG2795" s="35"/>
      <c r="AH2795" s="35">
        <f>383+185</f>
        <v>568</v>
      </c>
      <c r="AI2795" s="35"/>
      <c r="AJ2795" s="35"/>
      <c r="AK2795" s="35"/>
      <c r="AL2795" s="35">
        <f>345+829</f>
        <v>1174</v>
      </c>
      <c r="AM2795" s="35"/>
      <c r="AN2795" s="35"/>
      <c r="AO2795" s="35"/>
      <c r="AP2795" s="35">
        <f>43+1116</f>
        <v>1159</v>
      </c>
      <c r="AQ2795" s="35"/>
      <c r="AR2795" s="35"/>
      <c r="AS2795" s="35"/>
      <c r="AT2795" s="35"/>
      <c r="AU2795" s="35"/>
      <c r="AV2795" s="35"/>
      <c r="AW2795" s="35"/>
      <c r="AX2795" s="35"/>
      <c r="AY2795" s="35"/>
      <c r="AZ2795" s="35"/>
      <c r="BA2795" s="35"/>
      <c r="BB2795" s="22">
        <f t="shared" si="860"/>
        <v>3337</v>
      </c>
      <c r="BC2795" s="23">
        <v>4795</v>
      </c>
      <c r="BD2795" s="130">
        <f t="shared" si="861"/>
        <v>3337</v>
      </c>
      <c r="BE2795" s="130">
        <f t="shared" si="862"/>
        <v>4795</v>
      </c>
      <c r="BF2795" s="195">
        <f t="shared" si="863"/>
        <v>69.593326381647543</v>
      </c>
      <c r="BG2795" s="373">
        <f>BE2795-BD2795</f>
        <v>1458</v>
      </c>
    </row>
    <row r="2796" spans="1:59" s="46" customFormat="1" ht="15.95" customHeight="1">
      <c r="A2796" s="176">
        <v>17</v>
      </c>
      <c r="B2796" s="31" t="s">
        <v>758</v>
      </c>
      <c r="C2796" s="32" t="s">
        <v>759</v>
      </c>
      <c r="D2796" s="231"/>
      <c r="E2796" s="231"/>
      <c r="F2796" s="231"/>
      <c r="G2796" s="231"/>
      <c r="H2796" s="231"/>
      <c r="I2796" s="231"/>
      <c r="J2796" s="231"/>
      <c r="K2796" s="231"/>
      <c r="L2796" s="231"/>
      <c r="M2796" s="231"/>
      <c r="N2796" s="231"/>
      <c r="O2796" s="231"/>
      <c r="P2796" s="231"/>
      <c r="Q2796" s="231"/>
      <c r="R2796" s="231"/>
      <c r="S2796" s="231"/>
      <c r="T2796" s="231"/>
      <c r="U2796" s="231"/>
      <c r="V2796" s="231"/>
      <c r="W2796" s="231"/>
      <c r="X2796" s="231"/>
      <c r="Y2796" s="231"/>
      <c r="Z2796" s="231"/>
      <c r="AA2796" s="231"/>
      <c r="AB2796" s="22">
        <f t="shared" si="859"/>
        <v>0</v>
      </c>
      <c r="AC2796" s="23">
        <v>0</v>
      </c>
      <c r="AD2796" s="35">
        <v>4</v>
      </c>
      <c r="AE2796" s="35"/>
      <c r="AF2796" s="35"/>
      <c r="AG2796" s="35"/>
      <c r="AH2796" s="35">
        <v>3</v>
      </c>
      <c r="AI2796" s="35"/>
      <c r="AJ2796" s="35"/>
      <c r="AK2796" s="35"/>
      <c r="AL2796" s="35">
        <f>1+5</f>
        <v>6</v>
      </c>
      <c r="AM2796" s="35"/>
      <c r="AN2796" s="35"/>
      <c r="AO2796" s="35"/>
      <c r="AP2796" s="35">
        <v>5</v>
      </c>
      <c r="AQ2796" s="35"/>
      <c r="AR2796" s="35"/>
      <c r="AS2796" s="35"/>
      <c r="AT2796" s="35"/>
      <c r="AU2796" s="35"/>
      <c r="AV2796" s="35"/>
      <c r="AW2796" s="35"/>
      <c r="AX2796" s="35"/>
      <c r="AY2796" s="35"/>
      <c r="AZ2796" s="35"/>
      <c r="BA2796" s="35"/>
      <c r="BB2796" s="22">
        <f t="shared" si="860"/>
        <v>18</v>
      </c>
      <c r="BC2796" s="23">
        <v>245</v>
      </c>
      <c r="BD2796" s="130">
        <f t="shared" si="861"/>
        <v>18</v>
      </c>
      <c r="BE2796" s="130">
        <f t="shared" si="862"/>
        <v>245</v>
      </c>
      <c r="BF2796" s="195">
        <f t="shared" si="863"/>
        <v>7.3469387755102051</v>
      </c>
      <c r="BG2796" s="373">
        <f>BE2796-BD2796</f>
        <v>227</v>
      </c>
    </row>
    <row r="2797" spans="1:59" s="46" customFormat="1" ht="15.95" customHeight="1">
      <c r="A2797" s="176">
        <v>18</v>
      </c>
      <c r="B2797" s="31" t="s">
        <v>760</v>
      </c>
      <c r="C2797" s="32" t="s">
        <v>986</v>
      </c>
      <c r="D2797" s="231"/>
      <c r="E2797" s="231"/>
      <c r="F2797" s="231"/>
      <c r="G2797" s="231"/>
      <c r="H2797" s="231"/>
      <c r="I2797" s="231"/>
      <c r="J2797" s="231"/>
      <c r="K2797" s="231"/>
      <c r="L2797" s="231"/>
      <c r="M2797" s="231"/>
      <c r="N2797" s="231"/>
      <c r="O2797" s="231"/>
      <c r="P2797" s="231"/>
      <c r="Q2797" s="231"/>
      <c r="R2797" s="231"/>
      <c r="S2797" s="231"/>
      <c r="T2797" s="231"/>
      <c r="U2797" s="231"/>
      <c r="V2797" s="231"/>
      <c r="W2797" s="231"/>
      <c r="X2797" s="231"/>
      <c r="Y2797" s="231"/>
      <c r="Z2797" s="231"/>
      <c r="AA2797" s="231"/>
      <c r="AB2797" s="22">
        <f t="shared" si="859"/>
        <v>0</v>
      </c>
      <c r="AC2797" s="23">
        <v>0</v>
      </c>
      <c r="AD2797" s="35">
        <v>1</v>
      </c>
      <c r="AE2797" s="35"/>
      <c r="AF2797" s="35"/>
      <c r="AG2797" s="35"/>
      <c r="AH2797" s="35">
        <f>1+41</f>
        <v>42</v>
      </c>
      <c r="AI2797" s="35"/>
      <c r="AJ2797" s="35"/>
      <c r="AK2797" s="35"/>
      <c r="AL2797" s="35">
        <f>1+86</f>
        <v>87</v>
      </c>
      <c r="AM2797" s="35"/>
      <c r="AN2797" s="35"/>
      <c r="AO2797" s="35"/>
      <c r="AP2797" s="35">
        <v>187</v>
      </c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22">
        <f t="shared" si="860"/>
        <v>317</v>
      </c>
      <c r="BC2797" s="23">
        <v>182</v>
      </c>
      <c r="BD2797" s="130">
        <f t="shared" si="861"/>
        <v>317</v>
      </c>
      <c r="BE2797" s="130">
        <f t="shared" si="862"/>
        <v>182</v>
      </c>
      <c r="BF2797" s="195">
        <f t="shared" si="863"/>
        <v>174.17582417582418</v>
      </c>
      <c r="BG2797" s="373">
        <f>BE2797-BD2797</f>
        <v>-135</v>
      </c>
    </row>
    <row r="2798" spans="1:59" s="46" customFormat="1" ht="15.95" customHeight="1">
      <c r="A2798" s="176">
        <v>19</v>
      </c>
      <c r="B2798" s="31" t="s">
        <v>762</v>
      </c>
      <c r="C2798" s="32" t="s">
        <v>2811</v>
      </c>
      <c r="D2798" s="551"/>
      <c r="E2798" s="551"/>
      <c r="F2798" s="551"/>
      <c r="G2798" s="551"/>
      <c r="H2798" s="551"/>
      <c r="I2798" s="551"/>
      <c r="J2798" s="551"/>
      <c r="K2798" s="551"/>
      <c r="L2798" s="551"/>
      <c r="M2798" s="551"/>
      <c r="N2798" s="551"/>
      <c r="O2798" s="551"/>
      <c r="P2798" s="551"/>
      <c r="Q2798" s="551"/>
      <c r="R2798" s="551"/>
      <c r="S2798" s="551"/>
      <c r="T2798" s="551"/>
      <c r="U2798" s="551"/>
      <c r="V2798" s="551"/>
      <c r="W2798" s="551"/>
      <c r="X2798" s="551"/>
      <c r="Y2798" s="551"/>
      <c r="Z2798" s="551"/>
      <c r="AA2798" s="551"/>
      <c r="AB2798" s="22">
        <f t="shared" si="859"/>
        <v>0</v>
      </c>
      <c r="AC2798" s="23">
        <v>0</v>
      </c>
      <c r="AD2798" s="35"/>
      <c r="AE2798" s="35"/>
      <c r="AF2798" s="35"/>
      <c r="AG2798" s="35"/>
      <c r="AH2798" s="35"/>
      <c r="AI2798" s="35"/>
      <c r="AJ2798" s="35"/>
      <c r="AK2798" s="35"/>
      <c r="AL2798" s="35">
        <v>1</v>
      </c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  <c r="AX2798" s="35"/>
      <c r="AY2798" s="35"/>
      <c r="AZ2798" s="35"/>
      <c r="BA2798" s="35"/>
      <c r="BB2798" s="22">
        <f t="shared" si="860"/>
        <v>1</v>
      </c>
      <c r="BC2798" s="23">
        <v>0</v>
      </c>
      <c r="BD2798" s="130">
        <f t="shared" si="861"/>
        <v>1</v>
      </c>
      <c r="BE2798" s="130">
        <f t="shared" si="862"/>
        <v>0</v>
      </c>
      <c r="BF2798" s="195" t="e">
        <f t="shared" si="863"/>
        <v>#DIV/0!</v>
      </c>
      <c r="BG2798" s="373"/>
    </row>
    <row r="2799" spans="1:59" s="46" customFormat="1" ht="15.95" customHeight="1">
      <c r="A2799" s="176">
        <v>20</v>
      </c>
      <c r="B2799" s="31" t="s">
        <v>763</v>
      </c>
      <c r="C2799" s="32" t="s">
        <v>2519</v>
      </c>
      <c r="D2799" s="231"/>
      <c r="E2799" s="231"/>
      <c r="F2799" s="231"/>
      <c r="G2799" s="231"/>
      <c r="H2799" s="231"/>
      <c r="I2799" s="231"/>
      <c r="J2799" s="231"/>
      <c r="K2799" s="231"/>
      <c r="L2799" s="231"/>
      <c r="M2799" s="231"/>
      <c r="N2799" s="231"/>
      <c r="O2799" s="231"/>
      <c r="P2799" s="231"/>
      <c r="Q2799" s="231"/>
      <c r="R2799" s="231"/>
      <c r="S2799" s="231"/>
      <c r="T2799" s="231"/>
      <c r="U2799" s="231"/>
      <c r="V2799" s="231"/>
      <c r="W2799" s="231"/>
      <c r="X2799" s="231"/>
      <c r="Y2799" s="231"/>
      <c r="Z2799" s="231"/>
      <c r="AA2799" s="231"/>
      <c r="AB2799" s="22">
        <f t="shared" si="859"/>
        <v>0</v>
      </c>
      <c r="AC2799" s="23">
        <v>0</v>
      </c>
      <c r="AD2799" s="35"/>
      <c r="AE2799" s="35"/>
      <c r="AF2799" s="35"/>
      <c r="AG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22">
        <f t="shared" si="860"/>
        <v>0</v>
      </c>
      <c r="BC2799" s="23">
        <v>1</v>
      </c>
      <c r="BD2799" s="130">
        <f t="shared" si="861"/>
        <v>0</v>
      </c>
      <c r="BE2799" s="130">
        <f t="shared" si="862"/>
        <v>1</v>
      </c>
      <c r="BF2799" s="195">
        <f t="shared" si="863"/>
        <v>0</v>
      </c>
      <c r="BG2799" s="373">
        <f t="shared" ref="BG2799:BG2807" si="865">BE2799-BD2799</f>
        <v>1</v>
      </c>
    </row>
    <row r="2800" spans="1:59" s="46" customFormat="1" ht="15.95" customHeight="1">
      <c r="A2800" s="176">
        <v>21</v>
      </c>
      <c r="B2800" s="31" t="s">
        <v>764</v>
      </c>
      <c r="C2800" s="32" t="s">
        <v>765</v>
      </c>
      <c r="D2800" s="339"/>
      <c r="E2800" s="339"/>
      <c r="F2800" s="339"/>
      <c r="G2800" s="339"/>
      <c r="H2800" s="339"/>
      <c r="I2800" s="339"/>
      <c r="J2800" s="339"/>
      <c r="K2800" s="339"/>
      <c r="L2800" s="339"/>
      <c r="M2800" s="339"/>
      <c r="N2800" s="339"/>
      <c r="O2800" s="339"/>
      <c r="P2800" s="339"/>
      <c r="Q2800" s="339"/>
      <c r="R2800" s="339"/>
      <c r="S2800" s="339"/>
      <c r="T2800" s="339"/>
      <c r="U2800" s="339"/>
      <c r="V2800" s="339"/>
      <c r="W2800" s="339"/>
      <c r="X2800" s="339"/>
      <c r="Y2800" s="339"/>
      <c r="Z2800" s="339"/>
      <c r="AA2800" s="339"/>
      <c r="AB2800" s="22">
        <f t="shared" si="859"/>
        <v>0</v>
      </c>
      <c r="AC2800" s="23">
        <v>0</v>
      </c>
      <c r="AD2800" s="35"/>
      <c r="AE2800" s="35"/>
      <c r="AF2800" s="35"/>
      <c r="AG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  <c r="AX2800" s="35"/>
      <c r="AY2800" s="35"/>
      <c r="AZ2800" s="35"/>
      <c r="BA2800" s="35"/>
      <c r="BB2800" s="22">
        <f t="shared" si="860"/>
        <v>0</v>
      </c>
      <c r="BC2800" s="23">
        <v>1</v>
      </c>
      <c r="BD2800" s="130">
        <f t="shared" si="861"/>
        <v>0</v>
      </c>
      <c r="BE2800" s="130">
        <f t="shared" si="862"/>
        <v>1</v>
      </c>
      <c r="BF2800" s="195">
        <f t="shared" si="863"/>
        <v>0</v>
      </c>
      <c r="BG2800" s="373">
        <f t="shared" si="865"/>
        <v>1</v>
      </c>
    </row>
    <row r="2801" spans="1:59" s="46" customFormat="1" ht="15.95" customHeight="1">
      <c r="A2801" s="176">
        <v>22</v>
      </c>
      <c r="B2801" s="31" t="s">
        <v>2510</v>
      </c>
      <c r="C2801" s="32" t="s">
        <v>2511</v>
      </c>
      <c r="D2801" s="231"/>
      <c r="E2801" s="231"/>
      <c r="F2801" s="231"/>
      <c r="G2801" s="231"/>
      <c r="H2801" s="231"/>
      <c r="I2801" s="231"/>
      <c r="J2801" s="231"/>
      <c r="K2801" s="231"/>
      <c r="L2801" s="231"/>
      <c r="M2801" s="231"/>
      <c r="N2801" s="231"/>
      <c r="O2801" s="231"/>
      <c r="P2801" s="231"/>
      <c r="Q2801" s="231"/>
      <c r="R2801" s="231"/>
      <c r="S2801" s="231"/>
      <c r="T2801" s="231"/>
      <c r="U2801" s="231"/>
      <c r="V2801" s="231"/>
      <c r="W2801" s="231"/>
      <c r="X2801" s="231"/>
      <c r="Y2801" s="231"/>
      <c r="Z2801" s="231"/>
      <c r="AA2801" s="231"/>
      <c r="AB2801" s="22">
        <f t="shared" si="859"/>
        <v>0</v>
      </c>
      <c r="AC2801" s="23">
        <v>0</v>
      </c>
      <c r="AD2801" s="35"/>
      <c r="AE2801" s="35"/>
      <c r="AF2801" s="35"/>
      <c r="AG2801" s="35"/>
      <c r="AH2801" s="35">
        <f>2+1</f>
        <v>3</v>
      </c>
      <c r="AI2801" s="35"/>
      <c r="AJ2801" s="35"/>
      <c r="AK2801" s="35"/>
      <c r="AL2801" s="35"/>
      <c r="AM2801" s="35"/>
      <c r="AN2801" s="35"/>
      <c r="AO2801" s="35"/>
      <c r="AP2801" s="35">
        <f>2+1</f>
        <v>3</v>
      </c>
      <c r="AQ2801" s="35"/>
      <c r="AR2801" s="35"/>
      <c r="AS2801" s="35"/>
      <c r="AT2801" s="35"/>
      <c r="AU2801" s="35"/>
      <c r="AV2801" s="35"/>
      <c r="AW2801" s="35"/>
      <c r="AX2801" s="35"/>
      <c r="AY2801" s="35"/>
      <c r="AZ2801" s="35"/>
      <c r="BA2801" s="35"/>
      <c r="BB2801" s="22">
        <f t="shared" si="860"/>
        <v>6</v>
      </c>
      <c r="BC2801" s="23">
        <v>7</v>
      </c>
      <c r="BD2801" s="130">
        <f t="shared" si="861"/>
        <v>6</v>
      </c>
      <c r="BE2801" s="130">
        <f t="shared" si="862"/>
        <v>7</v>
      </c>
      <c r="BF2801" s="195">
        <f t="shared" si="863"/>
        <v>85.714285714285708</v>
      </c>
      <c r="BG2801" s="373">
        <f t="shared" si="865"/>
        <v>1</v>
      </c>
    </row>
    <row r="2802" spans="1:59" s="46" customFormat="1" ht="15.95" customHeight="1">
      <c r="A2802" s="176">
        <v>23</v>
      </c>
      <c r="B2802" s="31" t="s">
        <v>2473</v>
      </c>
      <c r="C2802" s="32" t="s">
        <v>2474</v>
      </c>
      <c r="D2802" s="231"/>
      <c r="E2802" s="231"/>
      <c r="F2802" s="231"/>
      <c r="G2802" s="231"/>
      <c r="H2802" s="231"/>
      <c r="I2802" s="231"/>
      <c r="J2802" s="231"/>
      <c r="K2802" s="231"/>
      <c r="L2802" s="231"/>
      <c r="M2802" s="231"/>
      <c r="N2802" s="231"/>
      <c r="O2802" s="231"/>
      <c r="P2802" s="231"/>
      <c r="Q2802" s="231"/>
      <c r="R2802" s="231"/>
      <c r="S2802" s="231"/>
      <c r="T2802" s="231"/>
      <c r="U2802" s="231"/>
      <c r="V2802" s="231"/>
      <c r="W2802" s="231"/>
      <c r="X2802" s="231"/>
      <c r="Y2802" s="231"/>
      <c r="Z2802" s="231"/>
      <c r="AA2802" s="231"/>
      <c r="AB2802" s="22">
        <f t="shared" si="859"/>
        <v>0</v>
      </c>
      <c r="AC2802" s="23">
        <v>0</v>
      </c>
      <c r="AD2802" s="35"/>
      <c r="AE2802" s="35"/>
      <c r="AF2802" s="35"/>
      <c r="AG2802" s="35"/>
      <c r="AH2802" s="35">
        <f>10+2</f>
        <v>12</v>
      </c>
      <c r="AI2802" s="35"/>
      <c r="AJ2802" s="35"/>
      <c r="AK2802" s="35"/>
      <c r="AL2802" s="35">
        <f>30+6</f>
        <v>36</v>
      </c>
      <c r="AM2802" s="35"/>
      <c r="AN2802" s="35"/>
      <c r="AO2802" s="35"/>
      <c r="AP2802" s="35">
        <v>2</v>
      </c>
      <c r="AQ2802" s="35"/>
      <c r="AR2802" s="35"/>
      <c r="AS2802" s="35"/>
      <c r="AT2802" s="35"/>
      <c r="AU2802" s="35"/>
      <c r="AV2802" s="35"/>
      <c r="AW2802" s="35"/>
      <c r="AX2802" s="35"/>
      <c r="AY2802" s="35"/>
      <c r="AZ2802" s="35"/>
      <c r="BA2802" s="35"/>
      <c r="BB2802" s="22">
        <f t="shared" si="860"/>
        <v>50</v>
      </c>
      <c r="BC2802" s="23">
        <v>53</v>
      </c>
      <c r="BD2802" s="130">
        <f t="shared" si="861"/>
        <v>50</v>
      </c>
      <c r="BE2802" s="130">
        <f t="shared" si="862"/>
        <v>53</v>
      </c>
      <c r="BF2802" s="195">
        <f t="shared" si="863"/>
        <v>94.339622641509436</v>
      </c>
      <c r="BG2802" s="373">
        <f t="shared" si="865"/>
        <v>3</v>
      </c>
    </row>
    <row r="2803" spans="1:59" s="46" customFormat="1" ht="15.95" customHeight="1">
      <c r="A2803" s="176">
        <v>24</v>
      </c>
      <c r="B2803" s="31" t="s">
        <v>3538</v>
      </c>
      <c r="C2803" s="32" t="s">
        <v>3539</v>
      </c>
      <c r="D2803" s="390"/>
      <c r="E2803" s="390"/>
      <c r="F2803" s="390"/>
      <c r="G2803" s="390"/>
      <c r="H2803" s="390"/>
      <c r="I2803" s="390"/>
      <c r="J2803" s="390"/>
      <c r="K2803" s="390"/>
      <c r="L2803" s="390"/>
      <c r="M2803" s="390"/>
      <c r="N2803" s="390"/>
      <c r="O2803" s="390"/>
      <c r="P2803" s="390"/>
      <c r="Q2803" s="390"/>
      <c r="R2803" s="390"/>
      <c r="S2803" s="390"/>
      <c r="T2803" s="390"/>
      <c r="U2803" s="390"/>
      <c r="V2803" s="390"/>
      <c r="W2803" s="390"/>
      <c r="X2803" s="390"/>
      <c r="Y2803" s="390"/>
      <c r="Z2803" s="390"/>
      <c r="AA2803" s="390"/>
      <c r="AB2803" s="22">
        <f t="shared" si="859"/>
        <v>0</v>
      </c>
      <c r="AC2803" s="23">
        <v>0</v>
      </c>
      <c r="AD2803" s="35"/>
      <c r="AE2803" s="35"/>
      <c r="AF2803" s="35"/>
      <c r="AG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  <c r="AX2803" s="35"/>
      <c r="AY2803" s="35"/>
      <c r="AZ2803" s="35"/>
      <c r="BA2803" s="35"/>
      <c r="BB2803" s="22">
        <f t="shared" si="860"/>
        <v>0</v>
      </c>
      <c r="BC2803" s="23">
        <v>1</v>
      </c>
      <c r="BD2803" s="130">
        <f t="shared" si="861"/>
        <v>0</v>
      </c>
      <c r="BE2803" s="130">
        <f t="shared" si="862"/>
        <v>1</v>
      </c>
      <c r="BF2803" s="195">
        <f t="shared" si="863"/>
        <v>0</v>
      </c>
      <c r="BG2803" s="373">
        <f t="shared" si="865"/>
        <v>1</v>
      </c>
    </row>
    <row r="2804" spans="1:59" s="46" customFormat="1" ht="15.95" customHeight="1">
      <c r="A2804" s="176">
        <v>25</v>
      </c>
      <c r="B2804" s="31" t="s">
        <v>1366</v>
      </c>
      <c r="C2804" s="34" t="s">
        <v>1367</v>
      </c>
      <c r="D2804" s="231"/>
      <c r="E2804" s="231"/>
      <c r="F2804" s="231"/>
      <c r="G2804" s="231"/>
      <c r="H2804" s="231"/>
      <c r="I2804" s="231"/>
      <c r="J2804" s="231"/>
      <c r="K2804" s="231"/>
      <c r="L2804" s="231"/>
      <c r="M2804" s="231"/>
      <c r="N2804" s="231"/>
      <c r="O2804" s="231"/>
      <c r="P2804" s="231"/>
      <c r="Q2804" s="231"/>
      <c r="R2804" s="231"/>
      <c r="S2804" s="231"/>
      <c r="T2804" s="231"/>
      <c r="U2804" s="231"/>
      <c r="V2804" s="231"/>
      <c r="W2804" s="231"/>
      <c r="X2804" s="231"/>
      <c r="Y2804" s="231"/>
      <c r="Z2804" s="231"/>
      <c r="AA2804" s="231"/>
      <c r="AB2804" s="22">
        <f t="shared" si="859"/>
        <v>0</v>
      </c>
      <c r="AC2804" s="23">
        <v>0</v>
      </c>
      <c r="AD2804" s="35"/>
      <c r="AE2804" s="35"/>
      <c r="AF2804" s="35"/>
      <c r="AG2804" s="35"/>
      <c r="AH2804" s="35">
        <f>14+4</f>
        <v>18</v>
      </c>
      <c r="AI2804" s="35"/>
      <c r="AJ2804" s="35"/>
      <c r="AK2804" s="35"/>
      <c r="AL2804" s="35">
        <f>36+9</f>
        <v>45</v>
      </c>
      <c r="AM2804" s="35"/>
      <c r="AN2804" s="35"/>
      <c r="AO2804" s="35"/>
      <c r="AP2804" s="35">
        <f>5+2</f>
        <v>7</v>
      </c>
      <c r="AQ2804" s="35"/>
      <c r="AR2804" s="35"/>
      <c r="AS2804" s="35"/>
      <c r="AT2804" s="35"/>
      <c r="AU2804" s="35"/>
      <c r="AV2804" s="35"/>
      <c r="AW2804" s="35"/>
      <c r="AX2804" s="35"/>
      <c r="AY2804" s="35"/>
      <c r="AZ2804" s="35"/>
      <c r="BA2804" s="35"/>
      <c r="BB2804" s="22">
        <f t="shared" si="860"/>
        <v>70</v>
      </c>
      <c r="BC2804" s="23">
        <v>72</v>
      </c>
      <c r="BD2804" s="130">
        <f t="shared" si="861"/>
        <v>70</v>
      </c>
      <c r="BE2804" s="130">
        <f t="shared" si="862"/>
        <v>72</v>
      </c>
      <c r="BF2804" s="195">
        <f t="shared" si="863"/>
        <v>97.222222222222214</v>
      </c>
      <c r="BG2804" s="373">
        <f t="shared" si="865"/>
        <v>2</v>
      </c>
    </row>
    <row r="2805" spans="1:59" s="46" customFormat="1" ht="15.95" customHeight="1">
      <c r="A2805" s="176">
        <v>26</v>
      </c>
      <c r="B2805" s="31" t="s">
        <v>3540</v>
      </c>
      <c r="C2805" s="34" t="s">
        <v>3541</v>
      </c>
      <c r="D2805" s="390"/>
      <c r="E2805" s="390"/>
      <c r="F2805" s="390"/>
      <c r="G2805" s="390"/>
      <c r="H2805" s="390"/>
      <c r="I2805" s="390"/>
      <c r="J2805" s="390"/>
      <c r="K2805" s="390"/>
      <c r="L2805" s="390"/>
      <c r="M2805" s="390"/>
      <c r="N2805" s="390"/>
      <c r="O2805" s="390"/>
      <c r="P2805" s="390"/>
      <c r="Q2805" s="390"/>
      <c r="R2805" s="390"/>
      <c r="S2805" s="390"/>
      <c r="T2805" s="390"/>
      <c r="U2805" s="390"/>
      <c r="V2805" s="390"/>
      <c r="W2805" s="390"/>
      <c r="X2805" s="390"/>
      <c r="Y2805" s="390"/>
      <c r="Z2805" s="390"/>
      <c r="AA2805" s="390"/>
      <c r="AB2805" s="22">
        <f t="shared" si="859"/>
        <v>0</v>
      </c>
      <c r="AC2805" s="23">
        <v>0</v>
      </c>
      <c r="AD2805" s="35"/>
      <c r="AE2805" s="35"/>
      <c r="AF2805" s="35"/>
      <c r="AG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  <c r="AX2805" s="35"/>
      <c r="AY2805" s="35"/>
      <c r="AZ2805" s="35"/>
      <c r="BA2805" s="35"/>
      <c r="BB2805" s="22">
        <f t="shared" si="860"/>
        <v>0</v>
      </c>
      <c r="BC2805" s="23">
        <v>4</v>
      </c>
      <c r="BD2805" s="130">
        <f t="shared" si="861"/>
        <v>0</v>
      </c>
      <c r="BE2805" s="130">
        <f t="shared" si="862"/>
        <v>4</v>
      </c>
      <c r="BF2805" s="195">
        <f t="shared" si="863"/>
        <v>0</v>
      </c>
      <c r="BG2805" s="373">
        <f t="shared" si="865"/>
        <v>4</v>
      </c>
    </row>
    <row r="2806" spans="1:59" s="46" customFormat="1" ht="15.95" customHeight="1">
      <c r="A2806" s="176">
        <v>27</v>
      </c>
      <c r="B2806" s="31" t="s">
        <v>3190</v>
      </c>
      <c r="C2806" s="34" t="s">
        <v>3191</v>
      </c>
      <c r="D2806" s="324"/>
      <c r="E2806" s="324"/>
      <c r="F2806" s="324"/>
      <c r="G2806" s="324"/>
      <c r="H2806" s="324"/>
      <c r="I2806" s="324"/>
      <c r="J2806" s="324"/>
      <c r="K2806" s="324"/>
      <c r="L2806" s="324"/>
      <c r="M2806" s="324"/>
      <c r="N2806" s="324"/>
      <c r="O2806" s="324"/>
      <c r="P2806" s="324"/>
      <c r="Q2806" s="324"/>
      <c r="R2806" s="324"/>
      <c r="S2806" s="324"/>
      <c r="T2806" s="324"/>
      <c r="U2806" s="324"/>
      <c r="V2806" s="324"/>
      <c r="W2806" s="324"/>
      <c r="X2806" s="324"/>
      <c r="Y2806" s="324"/>
      <c r="Z2806" s="324"/>
      <c r="AA2806" s="324"/>
      <c r="AB2806" s="22">
        <f t="shared" si="859"/>
        <v>0</v>
      </c>
      <c r="AC2806" s="23">
        <v>0</v>
      </c>
      <c r="AD2806" s="35"/>
      <c r="AE2806" s="35"/>
      <c r="AF2806" s="35"/>
      <c r="AG2806" s="35"/>
      <c r="AH2806" s="35">
        <v>4</v>
      </c>
      <c r="AI2806" s="35"/>
      <c r="AJ2806" s="35"/>
      <c r="AK2806" s="35"/>
      <c r="AL2806" s="35">
        <f>16+1</f>
        <v>17</v>
      </c>
      <c r="AM2806" s="35"/>
      <c r="AN2806" s="35"/>
      <c r="AO2806" s="35"/>
      <c r="AP2806" s="35">
        <v>1</v>
      </c>
      <c r="AQ2806" s="35"/>
      <c r="AR2806" s="35"/>
      <c r="AS2806" s="35"/>
      <c r="AT2806" s="35"/>
      <c r="AU2806" s="35"/>
      <c r="AV2806" s="35"/>
      <c r="AW2806" s="35"/>
      <c r="AX2806" s="35"/>
      <c r="AY2806" s="35"/>
      <c r="AZ2806" s="35"/>
      <c r="BA2806" s="35"/>
      <c r="BB2806" s="22">
        <f t="shared" si="860"/>
        <v>22</v>
      </c>
      <c r="BC2806" s="23">
        <v>13</v>
      </c>
      <c r="BD2806" s="130">
        <f t="shared" si="861"/>
        <v>22</v>
      </c>
      <c r="BE2806" s="130">
        <f t="shared" si="862"/>
        <v>13</v>
      </c>
      <c r="BF2806" s="195">
        <f t="shared" si="863"/>
        <v>169.23076923076923</v>
      </c>
      <c r="BG2806" s="373">
        <f t="shared" si="865"/>
        <v>-9</v>
      </c>
    </row>
    <row r="2807" spans="1:59" s="46" customFormat="1" ht="15.95" customHeight="1">
      <c r="A2807" s="176">
        <v>28</v>
      </c>
      <c r="B2807" s="31" t="s">
        <v>3348</v>
      </c>
      <c r="C2807" s="34" t="s">
        <v>3349</v>
      </c>
      <c r="D2807" s="339"/>
      <c r="E2807" s="339"/>
      <c r="F2807" s="339"/>
      <c r="G2807" s="339"/>
      <c r="H2807" s="339"/>
      <c r="I2807" s="339"/>
      <c r="J2807" s="339"/>
      <c r="K2807" s="339"/>
      <c r="L2807" s="339"/>
      <c r="M2807" s="339"/>
      <c r="N2807" s="339"/>
      <c r="O2807" s="339"/>
      <c r="P2807" s="339"/>
      <c r="Q2807" s="339"/>
      <c r="R2807" s="339"/>
      <c r="S2807" s="339"/>
      <c r="T2807" s="339"/>
      <c r="U2807" s="339"/>
      <c r="V2807" s="339"/>
      <c r="W2807" s="339"/>
      <c r="X2807" s="339"/>
      <c r="Y2807" s="339"/>
      <c r="Z2807" s="339"/>
      <c r="AA2807" s="339"/>
      <c r="AB2807" s="22">
        <f t="shared" si="859"/>
        <v>0</v>
      </c>
      <c r="AC2807" s="23">
        <v>0</v>
      </c>
      <c r="AD2807" s="35"/>
      <c r="AE2807" s="35"/>
      <c r="AF2807" s="35"/>
      <c r="AG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  <c r="AX2807" s="35"/>
      <c r="AY2807" s="35"/>
      <c r="AZ2807" s="35"/>
      <c r="BA2807" s="35"/>
      <c r="BB2807" s="22">
        <f t="shared" si="860"/>
        <v>0</v>
      </c>
      <c r="BC2807" s="23">
        <v>1</v>
      </c>
      <c r="BD2807" s="130">
        <f t="shared" si="861"/>
        <v>0</v>
      </c>
      <c r="BE2807" s="130">
        <f t="shared" si="862"/>
        <v>1</v>
      </c>
      <c r="BF2807" s="195">
        <f t="shared" si="863"/>
        <v>0</v>
      </c>
      <c r="BG2807" s="373">
        <f t="shared" si="865"/>
        <v>1</v>
      </c>
    </row>
    <row r="2808" spans="1:59" s="46" customFormat="1" ht="15.95" customHeight="1">
      <c r="A2808" s="176">
        <v>29</v>
      </c>
      <c r="B2808" s="31" t="s">
        <v>3816</v>
      </c>
      <c r="C2808" s="34" t="s">
        <v>3817</v>
      </c>
      <c r="D2808" s="524"/>
      <c r="E2808" s="524"/>
      <c r="F2808" s="524"/>
      <c r="G2808" s="524"/>
      <c r="H2808" s="524"/>
      <c r="I2808" s="524"/>
      <c r="J2808" s="524"/>
      <c r="K2808" s="524"/>
      <c r="L2808" s="524"/>
      <c r="M2808" s="524"/>
      <c r="N2808" s="524"/>
      <c r="O2808" s="524"/>
      <c r="P2808" s="524"/>
      <c r="Q2808" s="524"/>
      <c r="R2808" s="524"/>
      <c r="S2808" s="524"/>
      <c r="T2808" s="524"/>
      <c r="U2808" s="524"/>
      <c r="V2808" s="524"/>
      <c r="W2808" s="524"/>
      <c r="X2808" s="524"/>
      <c r="Y2808" s="524"/>
      <c r="Z2808" s="524"/>
      <c r="AA2808" s="524"/>
      <c r="AB2808" s="22">
        <f t="shared" si="859"/>
        <v>0</v>
      </c>
      <c r="AC2808" s="23">
        <v>0</v>
      </c>
      <c r="AD2808" s="35"/>
      <c r="AE2808" s="35"/>
      <c r="AF2808" s="35"/>
      <c r="AG2808" s="35"/>
      <c r="AH2808" s="35">
        <v>1</v>
      </c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  <c r="AX2808" s="35"/>
      <c r="AY2808" s="35"/>
      <c r="AZ2808" s="35"/>
      <c r="BA2808" s="35"/>
      <c r="BB2808" s="22">
        <f t="shared" si="860"/>
        <v>1</v>
      </c>
      <c r="BC2808" s="23">
        <v>0</v>
      </c>
      <c r="BD2808" s="130">
        <f t="shared" si="861"/>
        <v>1</v>
      </c>
      <c r="BE2808" s="130">
        <f t="shared" si="862"/>
        <v>0</v>
      </c>
      <c r="BF2808" s="195" t="e">
        <f t="shared" si="863"/>
        <v>#DIV/0!</v>
      </c>
      <c r="BG2808" s="373"/>
    </row>
    <row r="2809" spans="1:59" s="46" customFormat="1" ht="15.95" customHeight="1">
      <c r="A2809" s="176">
        <v>30</v>
      </c>
      <c r="B2809" s="31" t="s">
        <v>768</v>
      </c>
      <c r="C2809" s="32" t="s">
        <v>769</v>
      </c>
      <c r="D2809" s="231"/>
      <c r="E2809" s="231"/>
      <c r="F2809" s="231"/>
      <c r="G2809" s="231"/>
      <c r="H2809" s="231"/>
      <c r="I2809" s="231"/>
      <c r="J2809" s="231"/>
      <c r="K2809" s="231"/>
      <c r="L2809" s="231"/>
      <c r="M2809" s="231"/>
      <c r="N2809" s="231"/>
      <c r="O2809" s="231"/>
      <c r="P2809" s="231"/>
      <c r="Q2809" s="231"/>
      <c r="R2809" s="231"/>
      <c r="S2809" s="231"/>
      <c r="T2809" s="231"/>
      <c r="U2809" s="231"/>
      <c r="V2809" s="231"/>
      <c r="W2809" s="231"/>
      <c r="X2809" s="231"/>
      <c r="Y2809" s="231"/>
      <c r="Z2809" s="231"/>
      <c r="AA2809" s="231"/>
      <c r="AB2809" s="22">
        <f t="shared" si="859"/>
        <v>0</v>
      </c>
      <c r="AC2809" s="23">
        <v>0</v>
      </c>
      <c r="AD2809" s="35"/>
      <c r="AE2809" s="35"/>
      <c r="AF2809" s="35"/>
      <c r="AG2809" s="35"/>
      <c r="AH2809" s="35">
        <f>2+16</f>
        <v>18</v>
      </c>
      <c r="AI2809" s="35"/>
      <c r="AJ2809" s="35"/>
      <c r="AK2809" s="35"/>
      <c r="AL2809" s="35">
        <f>2+82</f>
        <v>84</v>
      </c>
      <c r="AM2809" s="35"/>
      <c r="AN2809" s="35"/>
      <c r="AO2809" s="35"/>
      <c r="AP2809" s="35">
        <f>1+63</f>
        <v>64</v>
      </c>
      <c r="AQ2809" s="35"/>
      <c r="AR2809" s="35"/>
      <c r="AS2809" s="35"/>
      <c r="AT2809" s="35"/>
      <c r="AU2809" s="35"/>
      <c r="AV2809" s="35"/>
      <c r="AW2809" s="35"/>
      <c r="AX2809" s="35"/>
      <c r="AY2809" s="35"/>
      <c r="AZ2809" s="35"/>
      <c r="BA2809" s="35"/>
      <c r="BB2809" s="22">
        <f t="shared" si="860"/>
        <v>166</v>
      </c>
      <c r="BC2809" s="23">
        <v>398</v>
      </c>
      <c r="BD2809" s="130">
        <f t="shared" si="861"/>
        <v>166</v>
      </c>
      <c r="BE2809" s="130">
        <f t="shared" si="862"/>
        <v>398</v>
      </c>
      <c r="BF2809" s="195">
        <f t="shared" si="863"/>
        <v>41.708542713567837</v>
      </c>
      <c r="BG2809" s="373">
        <f t="shared" ref="BG2809:BG2817" si="866">BE2809-BD2809</f>
        <v>232</v>
      </c>
    </row>
    <row r="2810" spans="1:59" s="46" customFormat="1" ht="15.95" customHeight="1">
      <c r="A2810" s="176">
        <v>31</v>
      </c>
      <c r="B2810" s="31" t="s">
        <v>770</v>
      </c>
      <c r="C2810" s="34" t="s">
        <v>771</v>
      </c>
      <c r="D2810" s="231"/>
      <c r="E2810" s="231"/>
      <c r="F2810" s="231"/>
      <c r="G2810" s="231"/>
      <c r="H2810" s="231"/>
      <c r="I2810" s="231"/>
      <c r="J2810" s="231"/>
      <c r="K2810" s="231"/>
      <c r="L2810" s="231"/>
      <c r="M2810" s="231"/>
      <c r="N2810" s="231"/>
      <c r="O2810" s="231"/>
      <c r="P2810" s="231"/>
      <c r="Q2810" s="231"/>
      <c r="R2810" s="231"/>
      <c r="S2810" s="231"/>
      <c r="T2810" s="231"/>
      <c r="U2810" s="231"/>
      <c r="V2810" s="231"/>
      <c r="W2810" s="231"/>
      <c r="X2810" s="231"/>
      <c r="Y2810" s="231"/>
      <c r="Z2810" s="231"/>
      <c r="AA2810" s="231"/>
      <c r="AB2810" s="22">
        <f t="shared" si="859"/>
        <v>0</v>
      </c>
      <c r="AC2810" s="23">
        <v>0</v>
      </c>
      <c r="AD2810" s="35"/>
      <c r="AE2810" s="35"/>
      <c r="AF2810" s="35"/>
      <c r="AG2810" s="35"/>
      <c r="AH2810" s="35">
        <f>1+49</f>
        <v>50</v>
      </c>
      <c r="AI2810" s="35"/>
      <c r="AJ2810" s="35"/>
      <c r="AK2810" s="35"/>
      <c r="AL2810" s="35">
        <f>1+148</f>
        <v>149</v>
      </c>
      <c r="AM2810" s="35"/>
      <c r="AN2810" s="35"/>
      <c r="AO2810" s="35"/>
      <c r="AP2810" s="35">
        <f>1+213</f>
        <v>214</v>
      </c>
      <c r="AQ2810" s="35"/>
      <c r="AR2810" s="35"/>
      <c r="AS2810" s="35"/>
      <c r="AT2810" s="35"/>
      <c r="AU2810" s="35"/>
      <c r="AV2810" s="35"/>
      <c r="AW2810" s="35"/>
      <c r="AX2810" s="35"/>
      <c r="AY2810" s="35"/>
      <c r="AZ2810" s="35"/>
      <c r="BA2810" s="35"/>
      <c r="BB2810" s="22">
        <f t="shared" si="860"/>
        <v>413</v>
      </c>
      <c r="BC2810" s="23">
        <v>934</v>
      </c>
      <c r="BD2810" s="130">
        <f t="shared" si="861"/>
        <v>413</v>
      </c>
      <c r="BE2810" s="130">
        <f t="shared" si="862"/>
        <v>934</v>
      </c>
      <c r="BF2810" s="195">
        <f t="shared" si="863"/>
        <v>44.218415417558887</v>
      </c>
      <c r="BG2810" s="373">
        <f t="shared" si="866"/>
        <v>521</v>
      </c>
    </row>
    <row r="2811" spans="1:59" s="46" customFormat="1" ht="15.95" customHeight="1">
      <c r="A2811" s="176">
        <v>32</v>
      </c>
      <c r="B2811" s="31" t="s">
        <v>1140</v>
      </c>
      <c r="C2811" s="34" t="s">
        <v>1281</v>
      </c>
      <c r="D2811" s="231"/>
      <c r="E2811" s="231"/>
      <c r="F2811" s="231"/>
      <c r="G2811" s="231"/>
      <c r="H2811" s="231"/>
      <c r="I2811" s="231"/>
      <c r="J2811" s="231"/>
      <c r="K2811" s="231"/>
      <c r="L2811" s="231"/>
      <c r="M2811" s="231"/>
      <c r="N2811" s="231"/>
      <c r="O2811" s="231"/>
      <c r="P2811" s="231"/>
      <c r="Q2811" s="231"/>
      <c r="R2811" s="231"/>
      <c r="S2811" s="231"/>
      <c r="T2811" s="231"/>
      <c r="U2811" s="231"/>
      <c r="V2811" s="231"/>
      <c r="W2811" s="231"/>
      <c r="X2811" s="231"/>
      <c r="Y2811" s="231"/>
      <c r="Z2811" s="231"/>
      <c r="AA2811" s="231"/>
      <c r="AB2811" s="22">
        <f t="shared" si="859"/>
        <v>0</v>
      </c>
      <c r="AC2811" s="23">
        <v>0</v>
      </c>
      <c r="AD2811" s="35">
        <v>1</v>
      </c>
      <c r="AE2811" s="35"/>
      <c r="AF2811" s="35"/>
      <c r="AG2811" s="35"/>
      <c r="AH2811" s="35">
        <f>1+1</f>
        <v>2</v>
      </c>
      <c r="AI2811" s="35"/>
      <c r="AJ2811" s="35"/>
      <c r="AK2811" s="35"/>
      <c r="AL2811" s="35">
        <v>5</v>
      </c>
      <c r="AM2811" s="35"/>
      <c r="AN2811" s="35"/>
      <c r="AO2811" s="35"/>
      <c r="AP2811" s="35">
        <v>2</v>
      </c>
      <c r="AQ2811" s="35"/>
      <c r="AR2811" s="35"/>
      <c r="AS2811" s="35"/>
      <c r="AT2811" s="35"/>
      <c r="AU2811" s="35"/>
      <c r="AV2811" s="35"/>
      <c r="AW2811" s="35"/>
      <c r="AX2811" s="35"/>
      <c r="AY2811" s="35"/>
      <c r="AZ2811" s="35"/>
      <c r="BA2811" s="35"/>
      <c r="BB2811" s="22">
        <f t="shared" si="860"/>
        <v>10</v>
      </c>
      <c r="BC2811" s="23">
        <v>36</v>
      </c>
      <c r="BD2811" s="130">
        <f t="shared" si="861"/>
        <v>10</v>
      </c>
      <c r="BE2811" s="130">
        <f t="shared" si="862"/>
        <v>36</v>
      </c>
      <c r="BF2811" s="195">
        <f t="shared" si="863"/>
        <v>27.777777777777779</v>
      </c>
      <c r="BG2811" s="373">
        <f t="shared" si="866"/>
        <v>26</v>
      </c>
    </row>
    <row r="2812" spans="1:59" s="46" customFormat="1" ht="15.95" customHeight="1">
      <c r="A2812" s="176">
        <v>33</v>
      </c>
      <c r="B2812" s="31" t="s">
        <v>772</v>
      </c>
      <c r="C2812" s="32" t="s">
        <v>773</v>
      </c>
      <c r="D2812" s="231"/>
      <c r="E2812" s="231"/>
      <c r="F2812" s="231"/>
      <c r="G2812" s="231"/>
      <c r="H2812" s="231"/>
      <c r="I2812" s="231"/>
      <c r="J2812" s="231"/>
      <c r="K2812" s="231"/>
      <c r="L2812" s="231">
        <v>1</v>
      </c>
      <c r="M2812" s="231"/>
      <c r="N2812" s="231"/>
      <c r="O2812" s="231"/>
      <c r="P2812" s="231">
        <v>1</v>
      </c>
      <c r="Q2812" s="231"/>
      <c r="R2812" s="231"/>
      <c r="S2812" s="231"/>
      <c r="T2812" s="231"/>
      <c r="U2812" s="231"/>
      <c r="V2812" s="231"/>
      <c r="W2812" s="231"/>
      <c r="X2812" s="231"/>
      <c r="Y2812" s="231"/>
      <c r="Z2812" s="231"/>
      <c r="AA2812" s="231"/>
      <c r="AB2812" s="22">
        <f t="shared" ref="AB2812:AB2843" si="867">SUM(D2812:AA2812)</f>
        <v>2</v>
      </c>
      <c r="AC2812" s="23">
        <v>8</v>
      </c>
      <c r="AD2812" s="35">
        <v>37</v>
      </c>
      <c r="AE2812" s="35"/>
      <c r="AF2812" s="35"/>
      <c r="AG2812" s="35"/>
      <c r="AH2812" s="35">
        <f>38+53</f>
        <v>91</v>
      </c>
      <c r="AI2812" s="35"/>
      <c r="AJ2812" s="35"/>
      <c r="AK2812" s="35"/>
      <c r="AL2812" s="35">
        <f>39+326</f>
        <v>365</v>
      </c>
      <c r="AM2812" s="35"/>
      <c r="AN2812" s="35"/>
      <c r="AO2812" s="35"/>
      <c r="AP2812" s="35">
        <v>235</v>
      </c>
      <c r="AQ2812" s="35"/>
      <c r="AR2812" s="35"/>
      <c r="AS2812" s="35"/>
      <c r="AT2812" s="35"/>
      <c r="AU2812" s="35"/>
      <c r="AV2812" s="35"/>
      <c r="AW2812" s="35"/>
      <c r="AX2812" s="35"/>
      <c r="AY2812" s="35"/>
      <c r="AZ2812" s="35"/>
      <c r="BA2812" s="35"/>
      <c r="BB2812" s="22">
        <f t="shared" ref="BB2812:BB2843" si="868">SUM(AD2812:BA2812)</f>
        <v>728</v>
      </c>
      <c r="BC2812" s="23">
        <v>2545</v>
      </c>
      <c r="BD2812" s="130">
        <f t="shared" ref="BD2812:BD2843" si="869">AB2812+BB2812</f>
        <v>730</v>
      </c>
      <c r="BE2812" s="130">
        <f t="shared" ref="BE2812:BE2843" si="870">AC2812+BC2812</f>
        <v>2553</v>
      </c>
      <c r="BF2812" s="195">
        <f t="shared" ref="BF2812:BF2843" si="871">BD2812/BE2812*100</f>
        <v>28.593811202506853</v>
      </c>
      <c r="BG2812" s="373">
        <f t="shared" si="866"/>
        <v>1823</v>
      </c>
    </row>
    <row r="2813" spans="1:59" s="46" customFormat="1" ht="15.95" customHeight="1">
      <c r="A2813" s="176">
        <v>34</v>
      </c>
      <c r="B2813" s="31" t="s">
        <v>3241</v>
      </c>
      <c r="C2813" s="32" t="s">
        <v>3242</v>
      </c>
      <c r="D2813" s="332"/>
      <c r="E2813" s="332"/>
      <c r="F2813" s="332"/>
      <c r="G2813" s="332"/>
      <c r="H2813" s="332"/>
      <c r="I2813" s="332"/>
      <c r="J2813" s="332"/>
      <c r="K2813" s="332"/>
      <c r="L2813" s="332"/>
      <c r="M2813" s="332"/>
      <c r="N2813" s="332"/>
      <c r="O2813" s="332"/>
      <c r="P2813" s="332"/>
      <c r="Q2813" s="332"/>
      <c r="R2813" s="332"/>
      <c r="S2813" s="332"/>
      <c r="T2813" s="332"/>
      <c r="U2813" s="332"/>
      <c r="V2813" s="332"/>
      <c r="W2813" s="332"/>
      <c r="X2813" s="332"/>
      <c r="Y2813" s="332"/>
      <c r="Z2813" s="332"/>
      <c r="AA2813" s="332"/>
      <c r="AB2813" s="22">
        <f t="shared" si="867"/>
        <v>0</v>
      </c>
      <c r="AC2813" s="23">
        <v>0</v>
      </c>
      <c r="AD2813" s="35"/>
      <c r="AE2813" s="35"/>
      <c r="AF2813" s="35"/>
      <c r="AG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  <c r="AX2813" s="35"/>
      <c r="AY2813" s="35"/>
      <c r="AZ2813" s="35"/>
      <c r="BA2813" s="35"/>
      <c r="BB2813" s="22">
        <f t="shared" si="868"/>
        <v>0</v>
      </c>
      <c r="BC2813" s="23">
        <v>2</v>
      </c>
      <c r="BD2813" s="130">
        <f t="shared" si="869"/>
        <v>0</v>
      </c>
      <c r="BE2813" s="130">
        <f t="shared" si="870"/>
        <v>2</v>
      </c>
      <c r="BF2813" s="195">
        <f t="shared" si="871"/>
        <v>0</v>
      </c>
      <c r="BG2813" s="373">
        <f t="shared" si="866"/>
        <v>2</v>
      </c>
    </row>
    <row r="2814" spans="1:59" s="46" customFormat="1" ht="15.95" customHeight="1">
      <c r="A2814" s="176">
        <v>35</v>
      </c>
      <c r="B2814" s="31" t="s">
        <v>1094</v>
      </c>
      <c r="C2814" s="32" t="s">
        <v>1095</v>
      </c>
      <c r="D2814" s="231"/>
      <c r="E2814" s="231"/>
      <c r="F2814" s="231"/>
      <c r="G2814" s="231"/>
      <c r="H2814" s="231"/>
      <c r="I2814" s="231"/>
      <c r="J2814" s="231"/>
      <c r="K2814" s="231"/>
      <c r="L2814" s="231"/>
      <c r="M2814" s="231"/>
      <c r="N2814" s="231"/>
      <c r="O2814" s="231"/>
      <c r="P2814" s="231"/>
      <c r="Q2814" s="231"/>
      <c r="R2814" s="231"/>
      <c r="S2814" s="231"/>
      <c r="T2814" s="231"/>
      <c r="U2814" s="231"/>
      <c r="V2814" s="231"/>
      <c r="W2814" s="231"/>
      <c r="X2814" s="231"/>
      <c r="Y2814" s="231"/>
      <c r="Z2814" s="231"/>
      <c r="AA2814" s="231"/>
      <c r="AB2814" s="22">
        <f t="shared" si="867"/>
        <v>0</v>
      </c>
      <c r="AC2814" s="23">
        <v>0</v>
      </c>
      <c r="AD2814" s="35">
        <v>2</v>
      </c>
      <c r="AE2814" s="35"/>
      <c r="AF2814" s="35"/>
      <c r="AG2814" s="35"/>
      <c r="AH2814" s="35">
        <f>2+3</f>
        <v>5</v>
      </c>
      <c r="AI2814" s="35"/>
      <c r="AJ2814" s="35"/>
      <c r="AK2814" s="35"/>
      <c r="AL2814" s="35">
        <f>2+4</f>
        <v>6</v>
      </c>
      <c r="AM2814" s="35"/>
      <c r="AN2814" s="35"/>
      <c r="AO2814" s="35"/>
      <c r="AP2814" s="35">
        <v>8</v>
      </c>
      <c r="AQ2814" s="35"/>
      <c r="AR2814" s="35"/>
      <c r="AS2814" s="35"/>
      <c r="AT2814" s="35"/>
      <c r="AU2814" s="35"/>
      <c r="AV2814" s="35"/>
      <c r="AW2814" s="35"/>
      <c r="AX2814" s="35"/>
      <c r="AY2814" s="35"/>
      <c r="AZ2814" s="35"/>
      <c r="BA2814" s="35"/>
      <c r="BB2814" s="22">
        <f t="shared" si="868"/>
        <v>21</v>
      </c>
      <c r="BC2814" s="23">
        <v>60</v>
      </c>
      <c r="BD2814" s="130">
        <f t="shared" si="869"/>
        <v>21</v>
      </c>
      <c r="BE2814" s="130">
        <f t="shared" si="870"/>
        <v>60</v>
      </c>
      <c r="BF2814" s="195">
        <f t="shared" si="871"/>
        <v>35</v>
      </c>
      <c r="BG2814" s="373">
        <f t="shared" si="866"/>
        <v>39</v>
      </c>
    </row>
    <row r="2815" spans="1:59" s="46" customFormat="1" ht="15.95" customHeight="1">
      <c r="A2815" s="176">
        <v>36</v>
      </c>
      <c r="B2815" s="37" t="s">
        <v>1439</v>
      </c>
      <c r="C2815" s="38" t="s">
        <v>1440</v>
      </c>
      <c r="D2815" s="231"/>
      <c r="E2815" s="231"/>
      <c r="F2815" s="231"/>
      <c r="G2815" s="231"/>
      <c r="H2815" s="231"/>
      <c r="I2815" s="231"/>
      <c r="J2815" s="231"/>
      <c r="K2815" s="231"/>
      <c r="L2815" s="231"/>
      <c r="M2815" s="231"/>
      <c r="N2815" s="231"/>
      <c r="O2815" s="231"/>
      <c r="P2815" s="231"/>
      <c r="Q2815" s="231"/>
      <c r="R2815" s="231"/>
      <c r="S2815" s="231"/>
      <c r="T2815" s="231"/>
      <c r="U2815" s="231"/>
      <c r="V2815" s="231"/>
      <c r="W2815" s="231"/>
      <c r="X2815" s="231"/>
      <c r="Y2815" s="231"/>
      <c r="Z2815" s="231"/>
      <c r="AA2815" s="231"/>
      <c r="AB2815" s="22">
        <f t="shared" si="867"/>
        <v>0</v>
      </c>
      <c r="AC2815" s="23">
        <v>0</v>
      </c>
      <c r="AD2815" s="35"/>
      <c r="AE2815" s="35"/>
      <c r="AF2815" s="35"/>
      <c r="AG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  <c r="AX2815" s="35"/>
      <c r="AY2815" s="35"/>
      <c r="AZ2815" s="35"/>
      <c r="BA2815" s="35"/>
      <c r="BB2815" s="22">
        <f t="shared" si="868"/>
        <v>0</v>
      </c>
      <c r="BC2815" s="23">
        <v>0</v>
      </c>
      <c r="BD2815" s="130">
        <f t="shared" si="869"/>
        <v>0</v>
      </c>
      <c r="BE2815" s="130">
        <f t="shared" si="870"/>
        <v>0</v>
      </c>
      <c r="BF2815" s="195" t="e">
        <f t="shared" si="871"/>
        <v>#DIV/0!</v>
      </c>
      <c r="BG2815" s="373">
        <f t="shared" si="866"/>
        <v>0</v>
      </c>
    </row>
    <row r="2816" spans="1:59" s="46" customFormat="1" ht="15.95" customHeight="1">
      <c r="A2816" s="176">
        <v>37</v>
      </c>
      <c r="B2816" s="37" t="s">
        <v>1441</v>
      </c>
      <c r="C2816" s="38" t="s">
        <v>1442</v>
      </c>
      <c r="D2816" s="231"/>
      <c r="E2816" s="231"/>
      <c r="F2816" s="231"/>
      <c r="G2816" s="231"/>
      <c r="H2816" s="231"/>
      <c r="I2816" s="231"/>
      <c r="J2816" s="231"/>
      <c r="K2816" s="231"/>
      <c r="L2816" s="231"/>
      <c r="M2816" s="231"/>
      <c r="N2816" s="231"/>
      <c r="O2816" s="231"/>
      <c r="P2816" s="231"/>
      <c r="Q2816" s="231"/>
      <c r="R2816" s="231"/>
      <c r="S2816" s="231"/>
      <c r="T2816" s="231"/>
      <c r="U2816" s="231"/>
      <c r="V2816" s="231"/>
      <c r="W2816" s="231"/>
      <c r="X2816" s="231"/>
      <c r="Y2816" s="231"/>
      <c r="Z2816" s="231"/>
      <c r="AA2816" s="231"/>
      <c r="AB2816" s="22">
        <f t="shared" si="867"/>
        <v>0</v>
      </c>
      <c r="AC2816" s="23">
        <v>0</v>
      </c>
      <c r="AD2816" s="35"/>
      <c r="AE2816" s="35"/>
      <c r="AF2816" s="35"/>
      <c r="AG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  <c r="AX2816" s="35"/>
      <c r="AY2816" s="35"/>
      <c r="AZ2816" s="35"/>
      <c r="BA2816" s="35"/>
      <c r="BB2816" s="22">
        <f t="shared" si="868"/>
        <v>0</v>
      </c>
      <c r="BC2816" s="23">
        <v>0</v>
      </c>
      <c r="BD2816" s="130">
        <f t="shared" si="869"/>
        <v>0</v>
      </c>
      <c r="BE2816" s="130">
        <f t="shared" si="870"/>
        <v>0</v>
      </c>
      <c r="BF2816" s="195" t="e">
        <f t="shared" si="871"/>
        <v>#DIV/0!</v>
      </c>
      <c r="BG2816" s="373">
        <f t="shared" si="866"/>
        <v>0</v>
      </c>
    </row>
    <row r="2817" spans="1:59" s="46" customFormat="1" ht="15.95" customHeight="1">
      <c r="A2817" s="176">
        <v>38</v>
      </c>
      <c r="B2817" s="31" t="s">
        <v>783</v>
      </c>
      <c r="C2817" s="32" t="s">
        <v>1443</v>
      </c>
      <c r="D2817" s="231"/>
      <c r="E2817" s="231"/>
      <c r="F2817" s="231"/>
      <c r="G2817" s="231"/>
      <c r="H2817" s="231"/>
      <c r="I2817" s="231"/>
      <c r="J2817" s="231"/>
      <c r="K2817" s="231"/>
      <c r="L2817" s="231"/>
      <c r="M2817" s="231"/>
      <c r="N2817" s="231"/>
      <c r="O2817" s="231"/>
      <c r="P2817" s="231"/>
      <c r="Q2817" s="231"/>
      <c r="R2817" s="231"/>
      <c r="S2817" s="231"/>
      <c r="T2817" s="231"/>
      <c r="U2817" s="231"/>
      <c r="V2817" s="231"/>
      <c r="W2817" s="231"/>
      <c r="X2817" s="231"/>
      <c r="Y2817" s="231"/>
      <c r="Z2817" s="231"/>
      <c r="AA2817" s="231"/>
      <c r="AB2817" s="22">
        <f t="shared" si="867"/>
        <v>0</v>
      </c>
      <c r="AC2817" s="23">
        <v>0</v>
      </c>
      <c r="AD2817" s="35">
        <v>38</v>
      </c>
      <c r="AE2817" s="35"/>
      <c r="AF2817" s="35"/>
      <c r="AG2817" s="35"/>
      <c r="AH2817" s="35">
        <f>35+1</f>
        <v>36</v>
      </c>
      <c r="AI2817" s="35"/>
      <c r="AJ2817" s="35"/>
      <c r="AK2817" s="35"/>
      <c r="AL2817" s="35">
        <f>32+35</f>
        <v>67</v>
      </c>
      <c r="AM2817" s="35"/>
      <c r="AN2817" s="35"/>
      <c r="AO2817" s="35"/>
      <c r="AP2817" s="35">
        <f>5+39</f>
        <v>44</v>
      </c>
      <c r="AQ2817" s="35"/>
      <c r="AR2817" s="35"/>
      <c r="AS2817" s="35"/>
      <c r="AT2817" s="35"/>
      <c r="AU2817" s="35"/>
      <c r="AV2817" s="35"/>
      <c r="AW2817" s="35"/>
      <c r="AX2817" s="35"/>
      <c r="AY2817" s="35"/>
      <c r="AZ2817" s="35"/>
      <c r="BA2817" s="35"/>
      <c r="BB2817" s="22">
        <f t="shared" si="868"/>
        <v>185</v>
      </c>
      <c r="BC2817" s="23">
        <v>194</v>
      </c>
      <c r="BD2817" s="130">
        <f t="shared" si="869"/>
        <v>185</v>
      </c>
      <c r="BE2817" s="130">
        <f t="shared" si="870"/>
        <v>194</v>
      </c>
      <c r="BF2817" s="195">
        <f t="shared" si="871"/>
        <v>95.360824742268051</v>
      </c>
      <c r="BG2817" s="373">
        <f t="shared" si="866"/>
        <v>9</v>
      </c>
    </row>
    <row r="2818" spans="1:59" s="46" customFormat="1" ht="15.95" customHeight="1">
      <c r="A2818" s="176">
        <v>39</v>
      </c>
      <c r="B2818" s="31" t="s">
        <v>1158</v>
      </c>
      <c r="C2818" s="32" t="s">
        <v>1159</v>
      </c>
      <c r="D2818" s="552"/>
      <c r="E2818" s="552"/>
      <c r="F2818" s="552"/>
      <c r="G2818" s="552"/>
      <c r="H2818" s="552"/>
      <c r="I2818" s="552"/>
      <c r="J2818" s="552"/>
      <c r="K2818" s="552"/>
      <c r="L2818" s="552"/>
      <c r="M2818" s="552"/>
      <c r="N2818" s="552"/>
      <c r="O2818" s="552"/>
      <c r="P2818" s="552"/>
      <c r="Q2818" s="552"/>
      <c r="R2818" s="552"/>
      <c r="S2818" s="552"/>
      <c r="T2818" s="552"/>
      <c r="U2818" s="552"/>
      <c r="V2818" s="552"/>
      <c r="W2818" s="552"/>
      <c r="X2818" s="552"/>
      <c r="Y2818" s="552"/>
      <c r="Z2818" s="552"/>
      <c r="AA2818" s="552"/>
      <c r="AB2818" s="22">
        <f t="shared" si="867"/>
        <v>0</v>
      </c>
      <c r="AC2818" s="23">
        <v>0</v>
      </c>
      <c r="AD2818" s="35"/>
      <c r="AE2818" s="35"/>
      <c r="AF2818" s="35"/>
      <c r="AG2818" s="35"/>
      <c r="AH2818" s="35"/>
      <c r="AI2818" s="35"/>
      <c r="AJ2818" s="35"/>
      <c r="AK2818" s="35"/>
      <c r="AL2818" s="35">
        <v>2</v>
      </c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  <c r="AX2818" s="35"/>
      <c r="AY2818" s="35"/>
      <c r="AZ2818" s="35"/>
      <c r="BA2818" s="35"/>
      <c r="BB2818" s="22">
        <f t="shared" si="868"/>
        <v>2</v>
      </c>
      <c r="BC2818" s="23">
        <v>0</v>
      </c>
      <c r="BD2818" s="130">
        <f t="shared" si="869"/>
        <v>2</v>
      </c>
      <c r="BE2818" s="130">
        <f t="shared" si="870"/>
        <v>0</v>
      </c>
      <c r="BF2818" s="195" t="e">
        <f t="shared" si="871"/>
        <v>#DIV/0!</v>
      </c>
      <c r="BG2818" s="373"/>
    </row>
    <row r="2819" spans="1:59" s="46" customFormat="1" ht="15.95" customHeight="1">
      <c r="A2819" s="176">
        <v>40</v>
      </c>
      <c r="B2819" s="31" t="s">
        <v>1420</v>
      </c>
      <c r="C2819" s="32" t="s">
        <v>3995</v>
      </c>
      <c r="D2819" s="552"/>
      <c r="E2819" s="552"/>
      <c r="F2819" s="552"/>
      <c r="G2819" s="552"/>
      <c r="H2819" s="552"/>
      <c r="I2819" s="552"/>
      <c r="J2819" s="552"/>
      <c r="K2819" s="552"/>
      <c r="L2819" s="552"/>
      <c r="M2819" s="552"/>
      <c r="N2819" s="552"/>
      <c r="O2819" s="552"/>
      <c r="P2819" s="552"/>
      <c r="Q2819" s="552"/>
      <c r="R2819" s="552"/>
      <c r="S2819" s="552"/>
      <c r="T2819" s="552"/>
      <c r="U2819" s="552"/>
      <c r="V2819" s="552"/>
      <c r="W2819" s="552"/>
      <c r="X2819" s="552"/>
      <c r="Y2819" s="552"/>
      <c r="Z2819" s="552"/>
      <c r="AA2819" s="552"/>
      <c r="AB2819" s="22">
        <f t="shared" si="867"/>
        <v>0</v>
      </c>
      <c r="AC2819" s="23">
        <v>0</v>
      </c>
      <c r="AD2819" s="35"/>
      <c r="AE2819" s="35"/>
      <c r="AF2819" s="35"/>
      <c r="AG2819" s="35"/>
      <c r="AH2819" s="35"/>
      <c r="AI2819" s="35"/>
      <c r="AJ2819" s="35"/>
      <c r="AK2819" s="35"/>
      <c r="AL2819" s="35">
        <v>2</v>
      </c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  <c r="AX2819" s="35"/>
      <c r="AY2819" s="35"/>
      <c r="AZ2819" s="35"/>
      <c r="BA2819" s="35"/>
      <c r="BB2819" s="22">
        <f t="shared" si="868"/>
        <v>2</v>
      </c>
      <c r="BC2819" s="23">
        <v>0</v>
      </c>
      <c r="BD2819" s="130">
        <f t="shared" si="869"/>
        <v>2</v>
      </c>
      <c r="BE2819" s="130">
        <f t="shared" si="870"/>
        <v>0</v>
      </c>
      <c r="BF2819" s="195" t="e">
        <f t="shared" si="871"/>
        <v>#DIV/0!</v>
      </c>
      <c r="BG2819" s="373"/>
    </row>
    <row r="2820" spans="1:59" s="46" customFormat="1" ht="15.95" customHeight="1">
      <c r="A2820" s="176">
        <v>41</v>
      </c>
      <c r="B2820" s="505" t="s">
        <v>995</v>
      </c>
      <c r="C2820" s="506" t="s">
        <v>996</v>
      </c>
      <c r="D2820" s="231"/>
      <c r="E2820" s="231"/>
      <c r="F2820" s="231"/>
      <c r="G2820" s="231"/>
      <c r="H2820" s="231"/>
      <c r="I2820" s="231"/>
      <c r="J2820" s="231"/>
      <c r="K2820" s="231"/>
      <c r="L2820" s="231"/>
      <c r="M2820" s="231"/>
      <c r="N2820" s="231"/>
      <c r="O2820" s="231"/>
      <c r="P2820" s="231"/>
      <c r="Q2820" s="231"/>
      <c r="R2820" s="231"/>
      <c r="S2820" s="231"/>
      <c r="T2820" s="231"/>
      <c r="U2820" s="231"/>
      <c r="V2820" s="231"/>
      <c r="W2820" s="231"/>
      <c r="X2820" s="231"/>
      <c r="Y2820" s="231"/>
      <c r="Z2820" s="231"/>
      <c r="AA2820" s="231"/>
      <c r="AB2820" s="22">
        <f t="shared" si="867"/>
        <v>0</v>
      </c>
      <c r="AC2820" s="23">
        <v>0</v>
      </c>
      <c r="AD2820" s="35"/>
      <c r="AE2820" s="35"/>
      <c r="AF2820" s="35"/>
      <c r="AG2820" s="35"/>
      <c r="AH2820" s="35">
        <v>1</v>
      </c>
      <c r="AI2820" s="35"/>
      <c r="AJ2820" s="35"/>
      <c r="AK2820" s="35"/>
      <c r="AL2820" s="35">
        <v>1</v>
      </c>
      <c r="AM2820" s="35"/>
      <c r="AN2820" s="35"/>
      <c r="AO2820" s="35"/>
      <c r="AP2820" s="35">
        <v>2</v>
      </c>
      <c r="AQ2820" s="35"/>
      <c r="AR2820" s="35"/>
      <c r="AS2820" s="35"/>
      <c r="AT2820" s="35"/>
      <c r="AU2820" s="35"/>
      <c r="AV2820" s="35"/>
      <c r="AW2820" s="35"/>
      <c r="AX2820" s="35"/>
      <c r="AY2820" s="35"/>
      <c r="AZ2820" s="35"/>
      <c r="BA2820" s="35"/>
      <c r="BB2820" s="22">
        <f t="shared" si="868"/>
        <v>4</v>
      </c>
      <c r="BC2820" s="23">
        <v>31</v>
      </c>
      <c r="BD2820" s="130">
        <f t="shared" si="869"/>
        <v>4</v>
      </c>
      <c r="BE2820" s="130">
        <f t="shared" si="870"/>
        <v>31</v>
      </c>
      <c r="BF2820" s="195">
        <f t="shared" si="871"/>
        <v>12.903225806451612</v>
      </c>
      <c r="BG2820" s="373">
        <f t="shared" ref="BG2820:BG2830" si="872">BE2820-BD2820</f>
        <v>27</v>
      </c>
    </row>
    <row r="2821" spans="1:59" s="46" customFormat="1" ht="15.95" customHeight="1">
      <c r="A2821" s="176">
        <v>42</v>
      </c>
      <c r="B2821" s="31" t="s">
        <v>3239</v>
      </c>
      <c r="C2821" s="32" t="s">
        <v>3240</v>
      </c>
      <c r="D2821" s="332"/>
      <c r="E2821" s="332"/>
      <c r="F2821" s="332"/>
      <c r="G2821" s="332"/>
      <c r="H2821" s="332"/>
      <c r="I2821" s="332"/>
      <c r="J2821" s="332"/>
      <c r="K2821" s="332"/>
      <c r="L2821" s="332"/>
      <c r="M2821" s="332"/>
      <c r="N2821" s="332"/>
      <c r="O2821" s="332"/>
      <c r="P2821" s="332"/>
      <c r="Q2821" s="332"/>
      <c r="R2821" s="332"/>
      <c r="S2821" s="332"/>
      <c r="T2821" s="332"/>
      <c r="U2821" s="332"/>
      <c r="V2821" s="332"/>
      <c r="W2821" s="332"/>
      <c r="X2821" s="332"/>
      <c r="Y2821" s="332"/>
      <c r="Z2821" s="332"/>
      <c r="AA2821" s="332"/>
      <c r="AB2821" s="22">
        <f t="shared" si="867"/>
        <v>0</v>
      </c>
      <c r="AC2821" s="23">
        <v>0</v>
      </c>
      <c r="AD2821" s="35"/>
      <c r="AE2821" s="35"/>
      <c r="AF2821" s="35"/>
      <c r="AG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  <c r="AX2821" s="35"/>
      <c r="AY2821" s="35"/>
      <c r="AZ2821" s="35"/>
      <c r="BA2821" s="35"/>
      <c r="BB2821" s="22">
        <f t="shared" si="868"/>
        <v>0</v>
      </c>
      <c r="BC2821" s="23">
        <v>1</v>
      </c>
      <c r="BD2821" s="130">
        <f t="shared" si="869"/>
        <v>0</v>
      </c>
      <c r="BE2821" s="130">
        <f t="shared" si="870"/>
        <v>1</v>
      </c>
      <c r="BF2821" s="195">
        <f t="shared" si="871"/>
        <v>0</v>
      </c>
      <c r="BG2821" s="373">
        <f t="shared" si="872"/>
        <v>1</v>
      </c>
    </row>
    <row r="2822" spans="1:59" s="46" customFormat="1" ht="15.95" customHeight="1">
      <c r="A2822" s="176">
        <v>43</v>
      </c>
      <c r="B2822" s="31" t="s">
        <v>999</v>
      </c>
      <c r="C2822" s="32" t="s">
        <v>1969</v>
      </c>
      <c r="D2822" s="231"/>
      <c r="E2822" s="231"/>
      <c r="F2822" s="231"/>
      <c r="G2822" s="231"/>
      <c r="H2822" s="231"/>
      <c r="I2822" s="231"/>
      <c r="J2822" s="231"/>
      <c r="K2822" s="231"/>
      <c r="L2822" s="231"/>
      <c r="M2822" s="231"/>
      <c r="N2822" s="231"/>
      <c r="O2822" s="231"/>
      <c r="P2822" s="231"/>
      <c r="Q2822" s="231"/>
      <c r="R2822" s="231"/>
      <c r="S2822" s="231"/>
      <c r="T2822" s="231"/>
      <c r="U2822" s="231"/>
      <c r="V2822" s="231"/>
      <c r="W2822" s="231"/>
      <c r="X2822" s="231"/>
      <c r="Y2822" s="231"/>
      <c r="Z2822" s="231"/>
      <c r="AA2822" s="231"/>
      <c r="AB2822" s="22">
        <f t="shared" si="867"/>
        <v>0</v>
      </c>
      <c r="AC2822" s="23">
        <v>0</v>
      </c>
      <c r="AD2822" s="35"/>
      <c r="AE2822" s="35"/>
      <c r="AF2822" s="35"/>
      <c r="AG2822" s="35"/>
      <c r="AH2822" s="35">
        <v>1</v>
      </c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  <c r="AX2822" s="35"/>
      <c r="AY2822" s="35"/>
      <c r="AZ2822" s="35"/>
      <c r="BA2822" s="35"/>
      <c r="BB2822" s="22">
        <f t="shared" si="868"/>
        <v>1</v>
      </c>
      <c r="BC2822" s="23">
        <v>2</v>
      </c>
      <c r="BD2822" s="130">
        <f t="shared" si="869"/>
        <v>1</v>
      </c>
      <c r="BE2822" s="130">
        <f t="shared" si="870"/>
        <v>2</v>
      </c>
      <c r="BF2822" s="195">
        <f t="shared" si="871"/>
        <v>50</v>
      </c>
      <c r="BG2822" s="373">
        <f t="shared" si="872"/>
        <v>1</v>
      </c>
    </row>
    <row r="2823" spans="1:59" s="46" customFormat="1" ht="15.95" customHeight="1">
      <c r="A2823" s="176">
        <v>44</v>
      </c>
      <c r="B2823" s="31" t="s">
        <v>1541</v>
      </c>
      <c r="C2823" s="32" t="s">
        <v>2922</v>
      </c>
      <c r="D2823" s="288"/>
      <c r="E2823" s="288"/>
      <c r="F2823" s="288"/>
      <c r="G2823" s="288"/>
      <c r="H2823" s="288"/>
      <c r="I2823" s="288"/>
      <c r="J2823" s="288"/>
      <c r="K2823" s="288"/>
      <c r="L2823" s="288"/>
      <c r="M2823" s="288"/>
      <c r="N2823" s="288"/>
      <c r="O2823" s="288"/>
      <c r="P2823" s="288"/>
      <c r="Q2823" s="288"/>
      <c r="R2823" s="288"/>
      <c r="S2823" s="288"/>
      <c r="T2823" s="288"/>
      <c r="U2823" s="288"/>
      <c r="V2823" s="288"/>
      <c r="W2823" s="288"/>
      <c r="X2823" s="288"/>
      <c r="Y2823" s="288"/>
      <c r="Z2823" s="288"/>
      <c r="AA2823" s="288"/>
      <c r="AB2823" s="22">
        <f t="shared" si="867"/>
        <v>0</v>
      </c>
      <c r="AC2823" s="23">
        <v>0</v>
      </c>
      <c r="AD2823" s="35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  <c r="AX2823" s="35"/>
      <c r="AY2823" s="35"/>
      <c r="AZ2823" s="35"/>
      <c r="BA2823" s="35"/>
      <c r="BB2823" s="22">
        <f t="shared" si="868"/>
        <v>0</v>
      </c>
      <c r="BC2823" s="23">
        <v>1</v>
      </c>
      <c r="BD2823" s="130">
        <f t="shared" si="869"/>
        <v>0</v>
      </c>
      <c r="BE2823" s="130">
        <f t="shared" si="870"/>
        <v>1</v>
      </c>
      <c r="BF2823" s="195">
        <f t="shared" si="871"/>
        <v>0</v>
      </c>
      <c r="BG2823" s="373">
        <f t="shared" si="872"/>
        <v>1</v>
      </c>
    </row>
    <row r="2824" spans="1:59" s="46" customFormat="1" ht="15.95" customHeight="1">
      <c r="A2824" s="176">
        <v>45</v>
      </c>
      <c r="B2824" s="31" t="s">
        <v>1479</v>
      </c>
      <c r="C2824" s="32" t="s">
        <v>2520</v>
      </c>
      <c r="D2824" s="390"/>
      <c r="E2824" s="390"/>
      <c r="F2824" s="390"/>
      <c r="G2824" s="390"/>
      <c r="H2824" s="390"/>
      <c r="I2824" s="390"/>
      <c r="J2824" s="390"/>
      <c r="K2824" s="390"/>
      <c r="L2824" s="390"/>
      <c r="M2824" s="390"/>
      <c r="N2824" s="390"/>
      <c r="O2824" s="390"/>
      <c r="P2824" s="390"/>
      <c r="Q2824" s="390"/>
      <c r="R2824" s="390"/>
      <c r="S2824" s="390"/>
      <c r="T2824" s="390"/>
      <c r="U2824" s="390"/>
      <c r="V2824" s="390"/>
      <c r="W2824" s="390"/>
      <c r="X2824" s="390"/>
      <c r="Y2824" s="390"/>
      <c r="Z2824" s="390"/>
      <c r="AA2824" s="390"/>
      <c r="AB2824" s="22">
        <f t="shared" si="867"/>
        <v>0</v>
      </c>
      <c r="AC2824" s="23">
        <v>0</v>
      </c>
      <c r="AD2824" s="35"/>
      <c r="AE2824" s="35"/>
      <c r="AF2824" s="35"/>
      <c r="AG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  <c r="AX2824" s="35"/>
      <c r="AY2824" s="35"/>
      <c r="AZ2824" s="35"/>
      <c r="BA2824" s="35"/>
      <c r="BB2824" s="22">
        <f t="shared" si="868"/>
        <v>0</v>
      </c>
      <c r="BC2824" s="23">
        <v>1</v>
      </c>
      <c r="BD2824" s="130">
        <f t="shared" si="869"/>
        <v>0</v>
      </c>
      <c r="BE2824" s="130">
        <f t="shared" si="870"/>
        <v>1</v>
      </c>
      <c r="BF2824" s="195">
        <f t="shared" si="871"/>
        <v>0</v>
      </c>
      <c r="BG2824" s="373">
        <f t="shared" si="872"/>
        <v>1</v>
      </c>
    </row>
    <row r="2825" spans="1:59" s="46" customFormat="1" ht="22.5" customHeight="1">
      <c r="A2825" s="176">
        <v>46</v>
      </c>
      <c r="B2825" s="31" t="s">
        <v>814</v>
      </c>
      <c r="C2825" s="34" t="s">
        <v>1317</v>
      </c>
      <c r="D2825" s="390"/>
      <c r="E2825" s="390"/>
      <c r="F2825" s="390"/>
      <c r="G2825" s="390"/>
      <c r="H2825" s="390"/>
      <c r="I2825" s="390"/>
      <c r="J2825" s="390"/>
      <c r="K2825" s="390"/>
      <c r="L2825" s="390"/>
      <c r="M2825" s="390"/>
      <c r="N2825" s="390"/>
      <c r="O2825" s="390"/>
      <c r="P2825" s="390"/>
      <c r="Q2825" s="390"/>
      <c r="R2825" s="390"/>
      <c r="S2825" s="390"/>
      <c r="T2825" s="390"/>
      <c r="U2825" s="390"/>
      <c r="V2825" s="390"/>
      <c r="W2825" s="390"/>
      <c r="X2825" s="390"/>
      <c r="Y2825" s="390"/>
      <c r="Z2825" s="390"/>
      <c r="AA2825" s="390"/>
      <c r="AB2825" s="22">
        <f t="shared" si="867"/>
        <v>0</v>
      </c>
      <c r="AC2825" s="23">
        <v>0</v>
      </c>
      <c r="AD2825" s="35">
        <v>62</v>
      </c>
      <c r="AE2825" s="35"/>
      <c r="AF2825" s="35"/>
      <c r="AG2825" s="35"/>
      <c r="AH2825" s="35">
        <v>67</v>
      </c>
      <c r="AI2825" s="35"/>
      <c r="AJ2825" s="35"/>
      <c r="AK2825" s="35"/>
      <c r="AL2825" s="35">
        <f>33+181</f>
        <v>214</v>
      </c>
      <c r="AM2825" s="35"/>
      <c r="AN2825" s="35"/>
      <c r="AO2825" s="35"/>
      <c r="AP2825" s="35">
        <f>3+116</f>
        <v>119</v>
      </c>
      <c r="AQ2825" s="35"/>
      <c r="AR2825" s="35"/>
      <c r="AS2825" s="35"/>
      <c r="AT2825" s="35"/>
      <c r="AU2825" s="35"/>
      <c r="AV2825" s="35"/>
      <c r="AW2825" s="35"/>
      <c r="AX2825" s="35"/>
      <c r="AY2825" s="35"/>
      <c r="AZ2825" s="35"/>
      <c r="BA2825" s="35"/>
      <c r="BB2825" s="22">
        <f t="shared" si="868"/>
        <v>462</v>
      </c>
      <c r="BC2825" s="23">
        <v>1191</v>
      </c>
      <c r="BD2825" s="130">
        <f t="shared" si="869"/>
        <v>462</v>
      </c>
      <c r="BE2825" s="130">
        <f t="shared" si="870"/>
        <v>1191</v>
      </c>
      <c r="BF2825" s="195">
        <f t="shared" si="871"/>
        <v>38.790931989924431</v>
      </c>
      <c r="BG2825" s="373">
        <f t="shared" si="872"/>
        <v>729</v>
      </c>
    </row>
    <row r="2826" spans="1:59" s="46" customFormat="1" ht="15.95" customHeight="1">
      <c r="A2826" s="176">
        <v>47</v>
      </c>
      <c r="B2826" s="31" t="s">
        <v>1444</v>
      </c>
      <c r="C2826" s="32" t="s">
        <v>1445</v>
      </c>
      <c r="D2826" s="390"/>
      <c r="E2826" s="390"/>
      <c r="F2826" s="390"/>
      <c r="G2826" s="390"/>
      <c r="H2826" s="390"/>
      <c r="I2826" s="390"/>
      <c r="J2826" s="390"/>
      <c r="K2826" s="390"/>
      <c r="L2826" s="390"/>
      <c r="M2826" s="390"/>
      <c r="N2826" s="390"/>
      <c r="O2826" s="390"/>
      <c r="P2826" s="390"/>
      <c r="Q2826" s="390"/>
      <c r="R2826" s="390"/>
      <c r="S2826" s="390"/>
      <c r="T2826" s="390"/>
      <c r="U2826" s="390"/>
      <c r="V2826" s="390"/>
      <c r="W2826" s="390"/>
      <c r="X2826" s="390"/>
      <c r="Y2826" s="390"/>
      <c r="Z2826" s="390"/>
      <c r="AA2826" s="390"/>
      <c r="AB2826" s="22">
        <f t="shared" si="867"/>
        <v>0</v>
      </c>
      <c r="AC2826" s="23">
        <v>0</v>
      </c>
      <c r="AD2826" s="35"/>
      <c r="AE2826" s="35"/>
      <c r="AF2826" s="35"/>
      <c r="AG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  <c r="AX2826" s="35"/>
      <c r="AY2826" s="35"/>
      <c r="AZ2826" s="35"/>
      <c r="BA2826" s="35"/>
      <c r="BB2826" s="22">
        <f t="shared" si="868"/>
        <v>0</v>
      </c>
      <c r="BC2826" s="23">
        <v>3</v>
      </c>
      <c r="BD2826" s="130">
        <f t="shared" si="869"/>
        <v>0</v>
      </c>
      <c r="BE2826" s="130">
        <f t="shared" si="870"/>
        <v>3</v>
      </c>
      <c r="BF2826" s="195">
        <f t="shared" si="871"/>
        <v>0</v>
      </c>
      <c r="BG2826" s="373">
        <f t="shared" si="872"/>
        <v>3</v>
      </c>
    </row>
    <row r="2827" spans="1:59" s="46" customFormat="1" ht="21" customHeight="1">
      <c r="A2827" s="176">
        <v>48</v>
      </c>
      <c r="B2827" s="31" t="s">
        <v>1446</v>
      </c>
      <c r="C2827" s="34" t="s">
        <v>1447</v>
      </c>
      <c r="D2827" s="390"/>
      <c r="E2827" s="390"/>
      <c r="F2827" s="390"/>
      <c r="G2827" s="390"/>
      <c r="H2827" s="390"/>
      <c r="I2827" s="390"/>
      <c r="J2827" s="390"/>
      <c r="K2827" s="390"/>
      <c r="L2827" s="390"/>
      <c r="M2827" s="390"/>
      <c r="N2827" s="390"/>
      <c r="O2827" s="390"/>
      <c r="P2827" s="390"/>
      <c r="Q2827" s="390"/>
      <c r="R2827" s="390"/>
      <c r="S2827" s="390"/>
      <c r="T2827" s="390"/>
      <c r="U2827" s="390"/>
      <c r="V2827" s="390"/>
      <c r="W2827" s="390"/>
      <c r="X2827" s="390"/>
      <c r="Y2827" s="390"/>
      <c r="Z2827" s="390"/>
      <c r="AA2827" s="390"/>
      <c r="AB2827" s="22">
        <f t="shared" si="867"/>
        <v>0</v>
      </c>
      <c r="AC2827" s="23">
        <v>0</v>
      </c>
      <c r="AD2827" s="35"/>
      <c r="AE2827" s="35"/>
      <c r="AF2827" s="35"/>
      <c r="AG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  <c r="AX2827" s="35"/>
      <c r="AY2827" s="35"/>
      <c r="AZ2827" s="35"/>
      <c r="BA2827" s="35"/>
      <c r="BB2827" s="22">
        <f t="shared" si="868"/>
        <v>0</v>
      </c>
      <c r="BC2827" s="23">
        <v>1</v>
      </c>
      <c r="BD2827" s="130">
        <f t="shared" si="869"/>
        <v>0</v>
      </c>
      <c r="BE2827" s="130">
        <f t="shared" si="870"/>
        <v>1</v>
      </c>
      <c r="BF2827" s="195">
        <f t="shared" si="871"/>
        <v>0</v>
      </c>
      <c r="BG2827" s="373">
        <f t="shared" si="872"/>
        <v>1</v>
      </c>
    </row>
    <row r="2828" spans="1:59" s="46" customFormat="1" ht="15.95" customHeight="1">
      <c r="A2828" s="176">
        <v>49</v>
      </c>
      <c r="B2828" s="31" t="s">
        <v>3542</v>
      </c>
      <c r="C2828" s="32" t="s">
        <v>3543</v>
      </c>
      <c r="D2828" s="390"/>
      <c r="E2828" s="390"/>
      <c r="F2828" s="390"/>
      <c r="G2828" s="390"/>
      <c r="H2828" s="390"/>
      <c r="I2828" s="390"/>
      <c r="J2828" s="390"/>
      <c r="K2828" s="390"/>
      <c r="L2828" s="390"/>
      <c r="M2828" s="390"/>
      <c r="N2828" s="390"/>
      <c r="O2828" s="390"/>
      <c r="P2828" s="390"/>
      <c r="Q2828" s="390"/>
      <c r="R2828" s="390"/>
      <c r="S2828" s="390"/>
      <c r="T2828" s="390"/>
      <c r="U2828" s="390"/>
      <c r="V2828" s="390"/>
      <c r="W2828" s="390"/>
      <c r="X2828" s="390"/>
      <c r="Y2828" s="390"/>
      <c r="Z2828" s="390"/>
      <c r="AA2828" s="390"/>
      <c r="AB2828" s="22">
        <f t="shared" si="867"/>
        <v>0</v>
      </c>
      <c r="AC2828" s="23">
        <v>0</v>
      </c>
      <c r="AD2828" s="35"/>
      <c r="AE2828" s="35"/>
      <c r="AF2828" s="35"/>
      <c r="AG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  <c r="AX2828" s="35"/>
      <c r="AY2828" s="35"/>
      <c r="AZ2828" s="35"/>
      <c r="BA2828" s="35"/>
      <c r="BB2828" s="22">
        <f t="shared" si="868"/>
        <v>0</v>
      </c>
      <c r="BC2828" s="23">
        <v>2</v>
      </c>
      <c r="BD2828" s="130">
        <f t="shared" si="869"/>
        <v>0</v>
      </c>
      <c r="BE2828" s="130">
        <f t="shared" si="870"/>
        <v>2</v>
      </c>
      <c r="BF2828" s="195">
        <f t="shared" si="871"/>
        <v>0</v>
      </c>
      <c r="BG2828" s="373">
        <f t="shared" si="872"/>
        <v>2</v>
      </c>
    </row>
    <row r="2829" spans="1:59" s="46" customFormat="1" ht="15.95" customHeight="1">
      <c r="A2829" s="176">
        <v>50</v>
      </c>
      <c r="B2829" s="31" t="s">
        <v>1072</v>
      </c>
      <c r="C2829" s="32" t="s">
        <v>1073</v>
      </c>
      <c r="D2829" s="390"/>
      <c r="E2829" s="390"/>
      <c r="F2829" s="390"/>
      <c r="G2829" s="390"/>
      <c r="H2829" s="390"/>
      <c r="I2829" s="390"/>
      <c r="J2829" s="390"/>
      <c r="K2829" s="390"/>
      <c r="L2829" s="390"/>
      <c r="M2829" s="390"/>
      <c r="N2829" s="390"/>
      <c r="O2829" s="390"/>
      <c r="P2829" s="390"/>
      <c r="Q2829" s="390"/>
      <c r="R2829" s="390"/>
      <c r="S2829" s="390"/>
      <c r="T2829" s="390"/>
      <c r="U2829" s="390"/>
      <c r="V2829" s="390"/>
      <c r="W2829" s="390"/>
      <c r="X2829" s="390"/>
      <c r="Y2829" s="390"/>
      <c r="Z2829" s="390"/>
      <c r="AA2829" s="390"/>
      <c r="AB2829" s="22">
        <f t="shared" si="867"/>
        <v>0</v>
      </c>
      <c r="AC2829" s="23">
        <v>0</v>
      </c>
      <c r="AD2829" s="35"/>
      <c r="AE2829" s="35"/>
      <c r="AF2829" s="35"/>
      <c r="AG2829" s="35"/>
      <c r="AH2829" s="35">
        <v>1</v>
      </c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  <c r="AX2829" s="35"/>
      <c r="AY2829" s="35"/>
      <c r="AZ2829" s="35"/>
      <c r="BA2829" s="35"/>
      <c r="BB2829" s="22">
        <f t="shared" si="868"/>
        <v>1</v>
      </c>
      <c r="BC2829" s="23">
        <v>1</v>
      </c>
      <c r="BD2829" s="130">
        <f t="shared" si="869"/>
        <v>1</v>
      </c>
      <c r="BE2829" s="130">
        <f t="shared" si="870"/>
        <v>1</v>
      </c>
      <c r="BF2829" s="195">
        <f t="shared" si="871"/>
        <v>100</v>
      </c>
      <c r="BG2829" s="373">
        <f t="shared" si="872"/>
        <v>0</v>
      </c>
    </row>
    <row r="2830" spans="1:59" s="46" customFormat="1" ht="15.95" customHeight="1">
      <c r="A2830" s="176">
        <v>51</v>
      </c>
      <c r="B2830" s="31" t="s">
        <v>819</v>
      </c>
      <c r="C2830" s="32" t="s">
        <v>1450</v>
      </c>
      <c r="D2830" s="390"/>
      <c r="E2830" s="390"/>
      <c r="F2830" s="390"/>
      <c r="G2830" s="390"/>
      <c r="H2830" s="390"/>
      <c r="I2830" s="390"/>
      <c r="J2830" s="390"/>
      <c r="K2830" s="390"/>
      <c r="L2830" s="390"/>
      <c r="M2830" s="390"/>
      <c r="N2830" s="390"/>
      <c r="O2830" s="390"/>
      <c r="P2830" s="390"/>
      <c r="Q2830" s="390"/>
      <c r="R2830" s="390"/>
      <c r="S2830" s="390"/>
      <c r="T2830" s="390"/>
      <c r="U2830" s="390"/>
      <c r="V2830" s="390"/>
      <c r="W2830" s="390"/>
      <c r="X2830" s="390"/>
      <c r="Y2830" s="390"/>
      <c r="Z2830" s="390"/>
      <c r="AA2830" s="390"/>
      <c r="AB2830" s="22">
        <f t="shared" si="867"/>
        <v>0</v>
      </c>
      <c r="AC2830" s="23">
        <v>0</v>
      </c>
      <c r="AD2830" s="35">
        <v>377</v>
      </c>
      <c r="AE2830" s="35"/>
      <c r="AF2830" s="35"/>
      <c r="AG2830" s="35"/>
      <c r="AH2830" s="35">
        <f>465+2+58</f>
        <v>525</v>
      </c>
      <c r="AI2830" s="35"/>
      <c r="AJ2830" s="35"/>
      <c r="AK2830" s="35"/>
      <c r="AL2830" s="35">
        <f>324+34+268</f>
        <v>626</v>
      </c>
      <c r="AM2830" s="35"/>
      <c r="AN2830" s="35"/>
      <c r="AO2830" s="35"/>
      <c r="AP2830" s="35">
        <f>56+2+271</f>
        <v>329</v>
      </c>
      <c r="AQ2830" s="35"/>
      <c r="AR2830" s="35"/>
      <c r="AS2830" s="35"/>
      <c r="AT2830" s="35"/>
      <c r="AU2830" s="35"/>
      <c r="AV2830" s="35"/>
      <c r="AW2830" s="35"/>
      <c r="AX2830" s="35"/>
      <c r="AY2830" s="35"/>
      <c r="AZ2830" s="35"/>
      <c r="BA2830" s="35"/>
      <c r="BB2830" s="22">
        <f t="shared" si="868"/>
        <v>1857</v>
      </c>
      <c r="BC2830" s="23">
        <v>1144</v>
      </c>
      <c r="BD2830" s="130">
        <f t="shared" si="869"/>
        <v>1857</v>
      </c>
      <c r="BE2830" s="130">
        <f t="shared" si="870"/>
        <v>1144</v>
      </c>
      <c r="BF2830" s="195">
        <f t="shared" si="871"/>
        <v>162.32517482517483</v>
      </c>
      <c r="BG2830" s="373">
        <f t="shared" si="872"/>
        <v>-713</v>
      </c>
    </row>
    <row r="2831" spans="1:59" s="46" customFormat="1" ht="15.95" customHeight="1">
      <c r="A2831" s="176">
        <v>52</v>
      </c>
      <c r="B2831" s="31" t="s">
        <v>1008</v>
      </c>
      <c r="C2831" s="32" t="s">
        <v>1009</v>
      </c>
      <c r="D2831" s="552"/>
      <c r="E2831" s="552"/>
      <c r="F2831" s="552"/>
      <c r="G2831" s="552"/>
      <c r="H2831" s="552"/>
      <c r="I2831" s="552"/>
      <c r="J2831" s="552"/>
      <c r="K2831" s="552"/>
      <c r="L2831" s="552"/>
      <c r="M2831" s="552"/>
      <c r="N2831" s="552"/>
      <c r="O2831" s="552"/>
      <c r="P2831" s="552"/>
      <c r="Q2831" s="552"/>
      <c r="R2831" s="552"/>
      <c r="S2831" s="552"/>
      <c r="T2831" s="552"/>
      <c r="U2831" s="552"/>
      <c r="V2831" s="552"/>
      <c r="W2831" s="552"/>
      <c r="X2831" s="552"/>
      <c r="Y2831" s="552"/>
      <c r="Z2831" s="552"/>
      <c r="AA2831" s="552"/>
      <c r="AB2831" s="22">
        <f t="shared" si="867"/>
        <v>0</v>
      </c>
      <c r="AC2831" s="23">
        <v>0</v>
      </c>
      <c r="AD2831" s="35"/>
      <c r="AE2831" s="35"/>
      <c r="AF2831" s="35"/>
      <c r="AG2831" s="35"/>
      <c r="AH2831" s="35"/>
      <c r="AI2831" s="35"/>
      <c r="AJ2831" s="35"/>
      <c r="AK2831" s="35"/>
      <c r="AL2831" s="35">
        <v>1</v>
      </c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  <c r="AX2831" s="35"/>
      <c r="AY2831" s="35"/>
      <c r="AZ2831" s="35"/>
      <c r="BA2831" s="35"/>
      <c r="BB2831" s="22">
        <f t="shared" si="868"/>
        <v>1</v>
      </c>
      <c r="BC2831" s="23">
        <v>0</v>
      </c>
      <c r="BD2831" s="130">
        <f t="shared" si="869"/>
        <v>1</v>
      </c>
      <c r="BE2831" s="130">
        <f t="shared" si="870"/>
        <v>0</v>
      </c>
      <c r="BF2831" s="195" t="e">
        <f t="shared" si="871"/>
        <v>#DIV/0!</v>
      </c>
      <c r="BG2831" s="373"/>
    </row>
    <row r="2832" spans="1:59" s="46" customFormat="1" ht="15.95" customHeight="1">
      <c r="A2832" s="176">
        <v>53</v>
      </c>
      <c r="B2832" s="31" t="s">
        <v>821</v>
      </c>
      <c r="C2832" s="32" t="s">
        <v>822</v>
      </c>
      <c r="D2832" s="390"/>
      <c r="E2832" s="390"/>
      <c r="F2832" s="390"/>
      <c r="G2832" s="390"/>
      <c r="H2832" s="390"/>
      <c r="I2832" s="390"/>
      <c r="J2832" s="390"/>
      <c r="K2832" s="390"/>
      <c r="L2832" s="390"/>
      <c r="M2832" s="390"/>
      <c r="N2832" s="390"/>
      <c r="O2832" s="390"/>
      <c r="P2832" s="390"/>
      <c r="Q2832" s="390"/>
      <c r="R2832" s="390"/>
      <c r="S2832" s="390"/>
      <c r="T2832" s="390"/>
      <c r="U2832" s="390"/>
      <c r="V2832" s="390"/>
      <c r="W2832" s="390"/>
      <c r="X2832" s="390"/>
      <c r="Y2832" s="390"/>
      <c r="Z2832" s="390"/>
      <c r="AA2832" s="390"/>
      <c r="AB2832" s="22">
        <f t="shared" si="867"/>
        <v>0</v>
      </c>
      <c r="AC2832" s="23">
        <v>0</v>
      </c>
      <c r="AD2832" s="35">
        <v>5</v>
      </c>
      <c r="AE2832" s="35"/>
      <c r="AF2832" s="35"/>
      <c r="AG2832" s="35"/>
      <c r="AH2832" s="35">
        <f>1+5</f>
        <v>6</v>
      </c>
      <c r="AI2832" s="35"/>
      <c r="AJ2832" s="35"/>
      <c r="AK2832" s="35"/>
      <c r="AL2832" s="35">
        <f>3+30</f>
        <v>33</v>
      </c>
      <c r="AM2832" s="35"/>
      <c r="AN2832" s="35"/>
      <c r="AO2832" s="35"/>
      <c r="AP2832" s="35">
        <f>1+33</f>
        <v>34</v>
      </c>
      <c r="AQ2832" s="35"/>
      <c r="AR2832" s="35"/>
      <c r="AS2832" s="35"/>
      <c r="AT2832" s="35"/>
      <c r="AU2832" s="35"/>
      <c r="AV2832" s="35"/>
      <c r="AW2832" s="35"/>
      <c r="AX2832" s="35"/>
      <c r="AY2832" s="35"/>
      <c r="AZ2832" s="35"/>
      <c r="BA2832" s="35"/>
      <c r="BB2832" s="22">
        <f t="shared" si="868"/>
        <v>78</v>
      </c>
      <c r="BC2832" s="23">
        <v>79</v>
      </c>
      <c r="BD2832" s="130">
        <f t="shared" si="869"/>
        <v>78</v>
      </c>
      <c r="BE2832" s="130">
        <f t="shared" si="870"/>
        <v>79</v>
      </c>
      <c r="BF2832" s="195">
        <f t="shared" si="871"/>
        <v>98.734177215189874</v>
      </c>
      <c r="BG2832" s="373">
        <f>BE2832-BD2832</f>
        <v>1</v>
      </c>
    </row>
    <row r="2833" spans="1:59" s="46" customFormat="1" ht="15.95" customHeight="1">
      <c r="A2833" s="176">
        <v>54</v>
      </c>
      <c r="B2833" s="31" t="s">
        <v>823</v>
      </c>
      <c r="C2833" s="32" t="s">
        <v>824</v>
      </c>
      <c r="D2833" s="574"/>
      <c r="E2833" s="574"/>
      <c r="F2833" s="574"/>
      <c r="G2833" s="574"/>
      <c r="H2833" s="574"/>
      <c r="I2833" s="574"/>
      <c r="J2833" s="574"/>
      <c r="K2833" s="574"/>
      <c r="L2833" s="574"/>
      <c r="M2833" s="574"/>
      <c r="N2833" s="574"/>
      <c r="O2833" s="574"/>
      <c r="P2833" s="574"/>
      <c r="Q2833" s="574"/>
      <c r="R2833" s="574"/>
      <c r="S2833" s="574"/>
      <c r="T2833" s="574"/>
      <c r="U2833" s="574"/>
      <c r="V2833" s="574"/>
      <c r="W2833" s="574"/>
      <c r="X2833" s="574"/>
      <c r="Y2833" s="574"/>
      <c r="Z2833" s="574"/>
      <c r="AA2833" s="574"/>
      <c r="AB2833" s="22">
        <f t="shared" si="867"/>
        <v>0</v>
      </c>
      <c r="AC2833" s="23">
        <v>0</v>
      </c>
      <c r="AD2833" s="35"/>
      <c r="AE2833" s="35"/>
      <c r="AF2833" s="35"/>
      <c r="AG2833" s="35"/>
      <c r="AH2833" s="35"/>
      <c r="AI2833" s="35"/>
      <c r="AJ2833" s="35"/>
      <c r="AK2833" s="35"/>
      <c r="AL2833" s="35">
        <v>2</v>
      </c>
      <c r="AM2833" s="35"/>
      <c r="AN2833" s="35"/>
      <c r="AO2833" s="35"/>
      <c r="AP2833" s="35">
        <v>5</v>
      </c>
      <c r="AQ2833" s="35"/>
      <c r="AR2833" s="35"/>
      <c r="AS2833" s="35"/>
      <c r="AT2833" s="35"/>
      <c r="AU2833" s="35"/>
      <c r="AV2833" s="35"/>
      <c r="AW2833" s="35"/>
      <c r="AX2833" s="35"/>
      <c r="AY2833" s="35"/>
      <c r="AZ2833" s="35"/>
      <c r="BA2833" s="35"/>
      <c r="BB2833" s="22">
        <f t="shared" si="868"/>
        <v>7</v>
      </c>
      <c r="BC2833" s="23">
        <v>8</v>
      </c>
      <c r="BD2833" s="130">
        <f t="shared" si="869"/>
        <v>7</v>
      </c>
      <c r="BE2833" s="130">
        <f t="shared" si="870"/>
        <v>8</v>
      </c>
      <c r="BF2833" s="195">
        <f t="shared" si="871"/>
        <v>87.5</v>
      </c>
      <c r="BG2833" s="373">
        <f>BE2833-BD2833</f>
        <v>1</v>
      </c>
    </row>
    <row r="2834" spans="1:59" s="46" customFormat="1" ht="15.95" customHeight="1">
      <c r="A2834" s="176">
        <v>55</v>
      </c>
      <c r="B2834" s="31" t="s">
        <v>4170</v>
      </c>
      <c r="C2834" s="32" t="s">
        <v>2112</v>
      </c>
      <c r="D2834" s="390"/>
      <c r="E2834" s="390"/>
      <c r="F2834" s="390"/>
      <c r="G2834" s="390"/>
      <c r="H2834" s="390"/>
      <c r="I2834" s="390"/>
      <c r="J2834" s="390"/>
      <c r="K2834" s="390"/>
      <c r="L2834" s="390"/>
      <c r="M2834" s="390"/>
      <c r="N2834" s="390"/>
      <c r="O2834" s="390"/>
      <c r="P2834" s="390"/>
      <c r="Q2834" s="390"/>
      <c r="R2834" s="390"/>
      <c r="S2834" s="390"/>
      <c r="T2834" s="390"/>
      <c r="U2834" s="390"/>
      <c r="V2834" s="390"/>
      <c r="W2834" s="390"/>
      <c r="X2834" s="390"/>
      <c r="Y2834" s="390"/>
      <c r="Z2834" s="390"/>
      <c r="AA2834" s="390"/>
      <c r="AB2834" s="22">
        <f t="shared" si="867"/>
        <v>0</v>
      </c>
      <c r="AC2834" s="23">
        <v>0</v>
      </c>
      <c r="AD2834" s="35"/>
      <c r="AE2834" s="35"/>
      <c r="AF2834" s="35"/>
      <c r="AG2834" s="35"/>
      <c r="AH2834" s="35"/>
      <c r="AI2834" s="35"/>
      <c r="AJ2834" s="35"/>
      <c r="AK2834" s="35"/>
      <c r="AL2834" s="35"/>
      <c r="AM2834" s="35"/>
      <c r="AN2834" s="35"/>
      <c r="AO2834" s="35"/>
      <c r="AP2834" s="35">
        <v>1</v>
      </c>
      <c r="AQ2834" s="35"/>
      <c r="AR2834" s="35"/>
      <c r="AS2834" s="35"/>
      <c r="AT2834" s="35"/>
      <c r="AU2834" s="35"/>
      <c r="AV2834" s="35"/>
      <c r="AW2834" s="35"/>
      <c r="AX2834" s="35"/>
      <c r="AY2834" s="35"/>
      <c r="AZ2834" s="35"/>
      <c r="BA2834" s="35"/>
      <c r="BB2834" s="22">
        <f t="shared" si="868"/>
        <v>1</v>
      </c>
      <c r="BC2834" s="23">
        <v>0</v>
      </c>
      <c r="BD2834" s="130">
        <f t="shared" si="869"/>
        <v>1</v>
      </c>
      <c r="BE2834" s="130">
        <f t="shared" si="870"/>
        <v>0</v>
      </c>
      <c r="BF2834" s="195" t="e">
        <f t="shared" si="871"/>
        <v>#DIV/0!</v>
      </c>
      <c r="BG2834" s="373"/>
    </row>
    <row r="2835" spans="1:59" s="46" customFormat="1" ht="15.95" customHeight="1">
      <c r="A2835" s="176">
        <v>56</v>
      </c>
      <c r="B2835" s="31" t="s">
        <v>825</v>
      </c>
      <c r="C2835" s="32" t="s">
        <v>907</v>
      </c>
      <c r="D2835" s="231"/>
      <c r="E2835" s="231"/>
      <c r="F2835" s="231"/>
      <c r="G2835" s="231"/>
      <c r="H2835" s="231"/>
      <c r="I2835" s="231"/>
      <c r="J2835" s="231"/>
      <c r="K2835" s="231"/>
      <c r="L2835" s="231"/>
      <c r="M2835" s="231"/>
      <c r="N2835" s="231"/>
      <c r="O2835" s="231"/>
      <c r="P2835" s="231"/>
      <c r="Q2835" s="231"/>
      <c r="R2835" s="231"/>
      <c r="S2835" s="231"/>
      <c r="T2835" s="231"/>
      <c r="U2835" s="231"/>
      <c r="V2835" s="231"/>
      <c r="W2835" s="231"/>
      <c r="X2835" s="231"/>
      <c r="Y2835" s="231"/>
      <c r="Z2835" s="231"/>
      <c r="AA2835" s="231"/>
      <c r="AB2835" s="22">
        <f t="shared" si="867"/>
        <v>0</v>
      </c>
      <c r="AC2835" s="23">
        <v>0</v>
      </c>
      <c r="AD2835" s="35">
        <v>1742</v>
      </c>
      <c r="AE2835" s="35"/>
      <c r="AF2835" s="35"/>
      <c r="AG2835" s="35"/>
      <c r="AH2835" s="35">
        <f>1262+64</f>
        <v>1326</v>
      </c>
      <c r="AI2835" s="35"/>
      <c r="AJ2835" s="35"/>
      <c r="AK2835" s="35"/>
      <c r="AL2835" s="35">
        <f>1228+272</f>
        <v>1500</v>
      </c>
      <c r="AM2835" s="35"/>
      <c r="AN2835" s="35"/>
      <c r="AO2835" s="35"/>
      <c r="AP2835" s="35">
        <f>129+399</f>
        <v>528</v>
      </c>
      <c r="AQ2835" s="35"/>
      <c r="AR2835" s="35"/>
      <c r="AS2835" s="35"/>
      <c r="AT2835" s="35"/>
      <c r="AU2835" s="35"/>
      <c r="AV2835" s="35"/>
      <c r="AW2835" s="35"/>
      <c r="AX2835" s="35"/>
      <c r="AY2835" s="35"/>
      <c r="AZ2835" s="35"/>
      <c r="BA2835" s="35"/>
      <c r="BB2835" s="22">
        <f t="shared" si="868"/>
        <v>5096</v>
      </c>
      <c r="BC2835" s="23">
        <v>1999</v>
      </c>
      <c r="BD2835" s="130">
        <f t="shared" si="869"/>
        <v>5096</v>
      </c>
      <c r="BE2835" s="130">
        <f t="shared" si="870"/>
        <v>1999</v>
      </c>
      <c r="BF2835" s="195">
        <f t="shared" si="871"/>
        <v>254.92746373186591</v>
      </c>
      <c r="BG2835" s="373">
        <f>BE2835-BD2835</f>
        <v>-3097</v>
      </c>
    </row>
    <row r="2836" spans="1:59" s="46" customFormat="1" ht="15.95" customHeight="1">
      <c r="A2836" s="176">
        <v>57</v>
      </c>
      <c r="B2836" s="31" t="s">
        <v>1451</v>
      </c>
      <c r="C2836" s="32" t="s">
        <v>1452</v>
      </c>
      <c r="D2836" s="366"/>
      <c r="E2836" s="366"/>
      <c r="F2836" s="366"/>
      <c r="G2836" s="366"/>
      <c r="H2836" s="366"/>
      <c r="I2836" s="366"/>
      <c r="J2836" s="366"/>
      <c r="K2836" s="366"/>
      <c r="L2836" s="366"/>
      <c r="M2836" s="366"/>
      <c r="N2836" s="366"/>
      <c r="O2836" s="366"/>
      <c r="P2836" s="366"/>
      <c r="Q2836" s="366"/>
      <c r="R2836" s="366"/>
      <c r="S2836" s="366"/>
      <c r="T2836" s="366"/>
      <c r="U2836" s="366"/>
      <c r="V2836" s="366"/>
      <c r="W2836" s="366"/>
      <c r="X2836" s="366"/>
      <c r="Y2836" s="366"/>
      <c r="Z2836" s="366"/>
      <c r="AA2836" s="366"/>
      <c r="AB2836" s="22">
        <f t="shared" si="867"/>
        <v>0</v>
      </c>
      <c r="AC2836" s="23">
        <v>0</v>
      </c>
      <c r="AD2836" s="35"/>
      <c r="AE2836" s="35"/>
      <c r="AF2836" s="35"/>
      <c r="AG2836" s="35"/>
      <c r="AH2836" s="35">
        <v>3</v>
      </c>
      <c r="AI2836" s="35"/>
      <c r="AJ2836" s="35"/>
      <c r="AK2836" s="35"/>
      <c r="AL2836" s="35">
        <v>5</v>
      </c>
      <c r="AM2836" s="35"/>
      <c r="AN2836" s="35"/>
      <c r="AO2836" s="35"/>
      <c r="AP2836" s="35">
        <v>7</v>
      </c>
      <c r="AQ2836" s="35"/>
      <c r="AR2836" s="35"/>
      <c r="AS2836" s="35"/>
      <c r="AT2836" s="35"/>
      <c r="AU2836" s="35"/>
      <c r="AV2836" s="35"/>
      <c r="AW2836" s="35"/>
      <c r="AX2836" s="35"/>
      <c r="AY2836" s="35"/>
      <c r="AZ2836" s="35"/>
      <c r="BA2836" s="35"/>
      <c r="BB2836" s="22">
        <f t="shared" si="868"/>
        <v>15</v>
      </c>
      <c r="BC2836" s="23">
        <v>121</v>
      </c>
      <c r="BD2836" s="130">
        <f t="shared" si="869"/>
        <v>15</v>
      </c>
      <c r="BE2836" s="130">
        <f t="shared" si="870"/>
        <v>121</v>
      </c>
      <c r="BF2836" s="195">
        <f t="shared" si="871"/>
        <v>12.396694214876034</v>
      </c>
      <c r="BG2836" s="373">
        <f>BE2836-BD2836</f>
        <v>106</v>
      </c>
    </row>
    <row r="2837" spans="1:59" s="46" customFormat="1" ht="15.95" customHeight="1">
      <c r="A2837" s="176">
        <v>58</v>
      </c>
      <c r="B2837" s="31" t="s">
        <v>827</v>
      </c>
      <c r="C2837" s="32" t="s">
        <v>1453</v>
      </c>
      <c r="D2837" s="231"/>
      <c r="E2837" s="231"/>
      <c r="F2837" s="231"/>
      <c r="G2837" s="231"/>
      <c r="H2837" s="231"/>
      <c r="I2837" s="231"/>
      <c r="J2837" s="231"/>
      <c r="K2837" s="231"/>
      <c r="L2837" s="231"/>
      <c r="M2837" s="231"/>
      <c r="N2837" s="231"/>
      <c r="O2837" s="231"/>
      <c r="P2837" s="231"/>
      <c r="Q2837" s="231"/>
      <c r="R2837" s="231"/>
      <c r="S2837" s="231"/>
      <c r="T2837" s="231"/>
      <c r="U2837" s="231"/>
      <c r="V2837" s="231"/>
      <c r="W2837" s="231"/>
      <c r="X2837" s="231"/>
      <c r="Y2837" s="231"/>
      <c r="Z2837" s="231"/>
      <c r="AA2837" s="231"/>
      <c r="AB2837" s="22">
        <f t="shared" si="867"/>
        <v>0</v>
      </c>
      <c r="AC2837" s="23">
        <v>0</v>
      </c>
      <c r="AD2837" s="35">
        <v>13</v>
      </c>
      <c r="AE2837" s="35"/>
      <c r="AF2837" s="35"/>
      <c r="AG2837" s="35"/>
      <c r="AH2837" s="35">
        <v>15</v>
      </c>
      <c r="AI2837" s="35"/>
      <c r="AJ2837" s="35"/>
      <c r="AK2837" s="35"/>
      <c r="AL2837" s="35">
        <f>18+5</f>
        <v>23</v>
      </c>
      <c r="AM2837" s="35"/>
      <c r="AN2837" s="35"/>
      <c r="AO2837" s="35"/>
      <c r="AP2837" s="35">
        <f>1+4</f>
        <v>5</v>
      </c>
      <c r="AQ2837" s="35"/>
      <c r="AR2837" s="35"/>
      <c r="AS2837" s="35"/>
      <c r="AT2837" s="35"/>
      <c r="AU2837" s="35"/>
      <c r="AV2837" s="35"/>
      <c r="AW2837" s="35"/>
      <c r="AX2837" s="35"/>
      <c r="AY2837" s="35"/>
      <c r="AZ2837" s="35"/>
      <c r="BA2837" s="35"/>
      <c r="BB2837" s="22">
        <f t="shared" si="868"/>
        <v>56</v>
      </c>
      <c r="BC2837" s="23">
        <v>27</v>
      </c>
      <c r="BD2837" s="130">
        <f t="shared" si="869"/>
        <v>56</v>
      </c>
      <c r="BE2837" s="130">
        <f t="shared" si="870"/>
        <v>27</v>
      </c>
      <c r="BF2837" s="195">
        <f t="shared" si="871"/>
        <v>207.40740740740739</v>
      </c>
      <c r="BG2837" s="373">
        <f>BE2837-BD2837</f>
        <v>-29</v>
      </c>
    </row>
    <row r="2838" spans="1:59" s="46" customFormat="1" ht="15.95" customHeight="1">
      <c r="A2838" s="176">
        <v>59</v>
      </c>
      <c r="B2838" s="31" t="s">
        <v>829</v>
      </c>
      <c r="C2838" s="32" t="s">
        <v>830</v>
      </c>
      <c r="D2838" s="407"/>
      <c r="E2838" s="407"/>
      <c r="F2838" s="407"/>
      <c r="G2838" s="407"/>
      <c r="H2838" s="407"/>
      <c r="I2838" s="407"/>
      <c r="J2838" s="407"/>
      <c r="K2838" s="407"/>
      <c r="L2838" s="407"/>
      <c r="M2838" s="407"/>
      <c r="N2838" s="407"/>
      <c r="O2838" s="407"/>
      <c r="P2838" s="407"/>
      <c r="Q2838" s="407"/>
      <c r="R2838" s="407"/>
      <c r="S2838" s="407"/>
      <c r="T2838" s="407"/>
      <c r="U2838" s="407"/>
      <c r="V2838" s="407"/>
      <c r="W2838" s="407"/>
      <c r="X2838" s="407"/>
      <c r="Y2838" s="407"/>
      <c r="Z2838" s="407"/>
      <c r="AA2838" s="407"/>
      <c r="AB2838" s="22">
        <f t="shared" si="867"/>
        <v>0</v>
      </c>
      <c r="AC2838" s="23">
        <v>0</v>
      </c>
      <c r="AD2838" s="35">
        <v>2</v>
      </c>
      <c r="AE2838" s="35"/>
      <c r="AF2838" s="35"/>
      <c r="AG2838" s="35"/>
      <c r="AH2838" s="35">
        <v>1</v>
      </c>
      <c r="AI2838" s="35"/>
      <c r="AJ2838" s="35"/>
      <c r="AK2838" s="35"/>
      <c r="AL2838" s="35">
        <v>2</v>
      </c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  <c r="AX2838" s="35"/>
      <c r="AY2838" s="35"/>
      <c r="AZ2838" s="35"/>
      <c r="BA2838" s="35"/>
      <c r="BB2838" s="22">
        <f t="shared" si="868"/>
        <v>5</v>
      </c>
      <c r="BC2838" s="23">
        <v>0</v>
      </c>
      <c r="BD2838" s="130">
        <f t="shared" si="869"/>
        <v>5</v>
      </c>
      <c r="BE2838" s="130">
        <f t="shared" si="870"/>
        <v>0</v>
      </c>
      <c r="BF2838" s="195" t="e">
        <f t="shared" si="871"/>
        <v>#DIV/0!</v>
      </c>
      <c r="BG2838" s="373"/>
    </row>
    <row r="2839" spans="1:59" s="46" customFormat="1" ht="15.75" customHeight="1">
      <c r="A2839" s="176">
        <v>60</v>
      </c>
      <c r="B2839" s="31" t="s">
        <v>835</v>
      </c>
      <c r="C2839" s="32" t="s">
        <v>947</v>
      </c>
      <c r="D2839" s="231"/>
      <c r="E2839" s="231"/>
      <c r="F2839" s="231"/>
      <c r="G2839" s="231"/>
      <c r="H2839" s="231"/>
      <c r="I2839" s="231"/>
      <c r="J2839" s="231"/>
      <c r="K2839" s="231"/>
      <c r="L2839" s="231"/>
      <c r="M2839" s="231"/>
      <c r="N2839" s="231"/>
      <c r="O2839" s="231"/>
      <c r="P2839" s="231"/>
      <c r="Q2839" s="231"/>
      <c r="R2839" s="231"/>
      <c r="S2839" s="231"/>
      <c r="T2839" s="231"/>
      <c r="U2839" s="231"/>
      <c r="V2839" s="231"/>
      <c r="W2839" s="231"/>
      <c r="X2839" s="231"/>
      <c r="Y2839" s="231"/>
      <c r="Z2839" s="231"/>
      <c r="AA2839" s="231"/>
      <c r="AB2839" s="22">
        <f t="shared" si="867"/>
        <v>0</v>
      </c>
      <c r="AC2839" s="23">
        <v>0</v>
      </c>
      <c r="AD2839" s="35">
        <v>52</v>
      </c>
      <c r="AE2839" s="35"/>
      <c r="AF2839" s="35"/>
      <c r="AG2839" s="35"/>
      <c r="AH2839" s="35">
        <f>21+44</f>
        <v>65</v>
      </c>
      <c r="AI2839" s="35"/>
      <c r="AJ2839" s="35"/>
      <c r="AK2839" s="35"/>
      <c r="AL2839" s="35">
        <f>9+215</f>
        <v>224</v>
      </c>
      <c r="AM2839" s="35"/>
      <c r="AN2839" s="35"/>
      <c r="AO2839" s="35"/>
      <c r="AP2839" s="35">
        <v>306</v>
      </c>
      <c r="AQ2839" s="35"/>
      <c r="AR2839" s="35"/>
      <c r="AS2839" s="35"/>
      <c r="AT2839" s="35"/>
      <c r="AU2839" s="35"/>
      <c r="AV2839" s="35"/>
      <c r="AW2839" s="35"/>
      <c r="AX2839" s="35"/>
      <c r="AY2839" s="35"/>
      <c r="AZ2839" s="35"/>
      <c r="BA2839" s="35"/>
      <c r="BB2839" s="22">
        <f t="shared" si="868"/>
        <v>647</v>
      </c>
      <c r="BC2839" s="23">
        <v>1895</v>
      </c>
      <c r="BD2839" s="130">
        <f t="shared" si="869"/>
        <v>647</v>
      </c>
      <c r="BE2839" s="130">
        <f t="shared" si="870"/>
        <v>1895</v>
      </c>
      <c r="BF2839" s="195">
        <f t="shared" si="871"/>
        <v>34.142480211081796</v>
      </c>
      <c r="BG2839" s="373">
        <f>BE2839-BD2839</f>
        <v>1248</v>
      </c>
    </row>
    <row r="2840" spans="1:59" s="46" customFormat="1" ht="15.75" customHeight="1">
      <c r="A2840" s="176">
        <v>61</v>
      </c>
      <c r="B2840" s="31" t="s">
        <v>1379</v>
      </c>
      <c r="C2840" s="32" t="s">
        <v>1996</v>
      </c>
      <c r="D2840" s="574"/>
      <c r="E2840" s="574"/>
      <c r="F2840" s="574"/>
      <c r="G2840" s="574"/>
      <c r="H2840" s="574"/>
      <c r="I2840" s="574"/>
      <c r="J2840" s="574"/>
      <c r="K2840" s="574"/>
      <c r="L2840" s="574"/>
      <c r="M2840" s="574"/>
      <c r="N2840" s="574"/>
      <c r="O2840" s="574"/>
      <c r="P2840" s="574"/>
      <c r="Q2840" s="574"/>
      <c r="R2840" s="574"/>
      <c r="S2840" s="574"/>
      <c r="T2840" s="574"/>
      <c r="U2840" s="574"/>
      <c r="V2840" s="574"/>
      <c r="W2840" s="574"/>
      <c r="X2840" s="574"/>
      <c r="Y2840" s="574"/>
      <c r="Z2840" s="574"/>
      <c r="AA2840" s="574"/>
      <c r="AB2840" s="22">
        <f t="shared" si="867"/>
        <v>0</v>
      </c>
      <c r="AC2840" s="23">
        <v>0</v>
      </c>
      <c r="AD2840" s="35"/>
      <c r="AE2840" s="35"/>
      <c r="AF2840" s="35"/>
      <c r="AG2840" s="35"/>
      <c r="AH2840" s="35"/>
      <c r="AI2840" s="35"/>
      <c r="AJ2840" s="35"/>
      <c r="AK2840" s="35"/>
      <c r="AL2840" s="35"/>
      <c r="AM2840" s="35"/>
      <c r="AN2840" s="35"/>
      <c r="AO2840" s="35"/>
      <c r="AP2840" s="35">
        <v>1</v>
      </c>
      <c r="AQ2840" s="35"/>
      <c r="AR2840" s="35"/>
      <c r="AS2840" s="35"/>
      <c r="AT2840" s="35"/>
      <c r="AU2840" s="35"/>
      <c r="AV2840" s="35"/>
      <c r="AW2840" s="35"/>
      <c r="AX2840" s="35"/>
      <c r="AY2840" s="35"/>
      <c r="AZ2840" s="35"/>
      <c r="BA2840" s="35"/>
      <c r="BB2840" s="22">
        <f t="shared" si="868"/>
        <v>1</v>
      </c>
      <c r="BC2840" s="23">
        <v>0</v>
      </c>
      <c r="BD2840" s="130">
        <f t="shared" si="869"/>
        <v>1</v>
      </c>
      <c r="BE2840" s="130">
        <f t="shared" si="870"/>
        <v>0</v>
      </c>
      <c r="BF2840" s="195" t="e">
        <f t="shared" si="871"/>
        <v>#DIV/0!</v>
      </c>
      <c r="BG2840" s="373"/>
    </row>
    <row r="2841" spans="1:59" s="46" customFormat="1" ht="15.95" customHeight="1">
      <c r="A2841" s="176">
        <v>62</v>
      </c>
      <c r="B2841" s="31" t="s">
        <v>1013</v>
      </c>
      <c r="C2841" s="32" t="s">
        <v>2260</v>
      </c>
      <c r="D2841" s="288"/>
      <c r="E2841" s="288"/>
      <c r="F2841" s="288"/>
      <c r="G2841" s="288"/>
      <c r="H2841" s="288"/>
      <c r="I2841" s="288"/>
      <c r="J2841" s="288"/>
      <c r="K2841" s="288"/>
      <c r="L2841" s="288"/>
      <c r="M2841" s="288"/>
      <c r="N2841" s="288"/>
      <c r="O2841" s="288"/>
      <c r="P2841" s="288"/>
      <c r="Q2841" s="288"/>
      <c r="R2841" s="288"/>
      <c r="S2841" s="288"/>
      <c r="T2841" s="288"/>
      <c r="U2841" s="288"/>
      <c r="V2841" s="288"/>
      <c r="W2841" s="288"/>
      <c r="X2841" s="288"/>
      <c r="Y2841" s="288"/>
      <c r="Z2841" s="288"/>
      <c r="AA2841" s="288"/>
      <c r="AB2841" s="22">
        <f t="shared" si="867"/>
        <v>0</v>
      </c>
      <c r="AC2841" s="23">
        <v>0</v>
      </c>
      <c r="AD2841" s="35"/>
      <c r="AE2841" s="35"/>
      <c r="AF2841" s="35"/>
      <c r="AG2841" s="35"/>
      <c r="AH2841" s="35"/>
      <c r="AI2841" s="35"/>
      <c r="AJ2841" s="35"/>
      <c r="AK2841" s="35"/>
      <c r="AL2841" s="35">
        <v>7</v>
      </c>
      <c r="AM2841" s="35"/>
      <c r="AN2841" s="35"/>
      <c r="AO2841" s="35"/>
      <c r="AP2841" s="35">
        <v>1</v>
      </c>
      <c r="AQ2841" s="35"/>
      <c r="AR2841" s="35"/>
      <c r="AS2841" s="35"/>
      <c r="AT2841" s="35"/>
      <c r="AU2841" s="35"/>
      <c r="AV2841" s="35"/>
      <c r="AW2841" s="35"/>
      <c r="AX2841" s="35"/>
      <c r="AY2841" s="35"/>
      <c r="AZ2841" s="35"/>
      <c r="BA2841" s="35"/>
      <c r="BB2841" s="22">
        <f t="shared" si="868"/>
        <v>8</v>
      </c>
      <c r="BC2841" s="23">
        <v>54</v>
      </c>
      <c r="BD2841" s="130">
        <f t="shared" si="869"/>
        <v>8</v>
      </c>
      <c r="BE2841" s="130">
        <f t="shared" si="870"/>
        <v>54</v>
      </c>
      <c r="BF2841" s="195">
        <f t="shared" si="871"/>
        <v>14.814814814814813</v>
      </c>
      <c r="BG2841" s="373">
        <f t="shared" ref="BG2841:BG2850" si="873">BE2841-BD2841</f>
        <v>46</v>
      </c>
    </row>
    <row r="2842" spans="1:59" s="46" customFormat="1" ht="15.95" customHeight="1">
      <c r="A2842" s="176">
        <v>63</v>
      </c>
      <c r="B2842" s="31" t="s">
        <v>837</v>
      </c>
      <c r="C2842" s="32" t="s">
        <v>908</v>
      </c>
      <c r="D2842" s="231"/>
      <c r="E2842" s="231"/>
      <c r="F2842" s="231"/>
      <c r="G2842" s="231"/>
      <c r="H2842" s="231"/>
      <c r="I2842" s="231"/>
      <c r="J2842" s="231"/>
      <c r="K2842" s="231"/>
      <c r="L2842" s="231"/>
      <c r="M2842" s="231"/>
      <c r="N2842" s="231"/>
      <c r="O2842" s="231"/>
      <c r="P2842" s="231"/>
      <c r="Q2842" s="231"/>
      <c r="R2842" s="231"/>
      <c r="S2842" s="231"/>
      <c r="T2842" s="231"/>
      <c r="U2842" s="231"/>
      <c r="V2842" s="231"/>
      <c r="W2842" s="231"/>
      <c r="X2842" s="231"/>
      <c r="Y2842" s="231"/>
      <c r="Z2842" s="231"/>
      <c r="AA2842" s="231"/>
      <c r="AB2842" s="22">
        <f t="shared" si="867"/>
        <v>0</v>
      </c>
      <c r="AC2842" s="23">
        <v>0</v>
      </c>
      <c r="AD2842" s="35">
        <v>2</v>
      </c>
      <c r="AE2842" s="35"/>
      <c r="AF2842" s="35"/>
      <c r="AG2842" s="35"/>
      <c r="AH2842" s="35">
        <f>8+9</f>
        <v>17</v>
      </c>
      <c r="AI2842" s="35"/>
      <c r="AJ2842" s="35"/>
      <c r="AK2842" s="35"/>
      <c r="AL2842" s="35">
        <f>5+44</f>
        <v>49</v>
      </c>
      <c r="AM2842" s="35"/>
      <c r="AN2842" s="35"/>
      <c r="AO2842" s="35"/>
      <c r="AP2842" s="35">
        <f>2+40</f>
        <v>42</v>
      </c>
      <c r="AQ2842" s="35"/>
      <c r="AR2842" s="35"/>
      <c r="AS2842" s="35"/>
      <c r="AT2842" s="35"/>
      <c r="AU2842" s="35"/>
      <c r="AV2842" s="35"/>
      <c r="AW2842" s="35"/>
      <c r="AX2842" s="35"/>
      <c r="AY2842" s="35"/>
      <c r="AZ2842" s="35"/>
      <c r="BA2842" s="35"/>
      <c r="BB2842" s="22">
        <f t="shared" si="868"/>
        <v>110</v>
      </c>
      <c r="BC2842" s="23">
        <v>136</v>
      </c>
      <c r="BD2842" s="130">
        <f t="shared" si="869"/>
        <v>110</v>
      </c>
      <c r="BE2842" s="130">
        <f t="shared" si="870"/>
        <v>136</v>
      </c>
      <c r="BF2842" s="195">
        <f t="shared" si="871"/>
        <v>80.882352941176478</v>
      </c>
      <c r="BG2842" s="373">
        <f t="shared" si="873"/>
        <v>26</v>
      </c>
    </row>
    <row r="2843" spans="1:59" s="46" customFormat="1" ht="15.95" customHeight="1">
      <c r="A2843" s="176">
        <v>64</v>
      </c>
      <c r="B2843" s="31" t="s">
        <v>839</v>
      </c>
      <c r="C2843" s="32" t="s">
        <v>840</v>
      </c>
      <c r="D2843" s="231"/>
      <c r="E2843" s="231"/>
      <c r="F2843" s="231"/>
      <c r="G2843" s="231"/>
      <c r="H2843" s="231"/>
      <c r="I2843" s="231"/>
      <c r="J2843" s="231"/>
      <c r="K2843" s="231"/>
      <c r="L2843" s="231"/>
      <c r="M2843" s="231"/>
      <c r="N2843" s="231"/>
      <c r="O2843" s="231"/>
      <c r="P2843" s="231"/>
      <c r="Q2843" s="231"/>
      <c r="R2843" s="231"/>
      <c r="S2843" s="231"/>
      <c r="T2843" s="231"/>
      <c r="U2843" s="231"/>
      <c r="V2843" s="231"/>
      <c r="W2843" s="231"/>
      <c r="X2843" s="231"/>
      <c r="Y2843" s="231"/>
      <c r="Z2843" s="231"/>
      <c r="AA2843" s="231"/>
      <c r="AB2843" s="22">
        <f t="shared" si="867"/>
        <v>0</v>
      </c>
      <c r="AC2843" s="23">
        <v>0</v>
      </c>
      <c r="AD2843" s="35">
        <v>7</v>
      </c>
      <c r="AE2843" s="35"/>
      <c r="AF2843" s="35"/>
      <c r="AG2843" s="35"/>
      <c r="AH2843" s="35">
        <f>6+19</f>
        <v>25</v>
      </c>
      <c r="AI2843" s="35"/>
      <c r="AJ2843" s="35"/>
      <c r="AK2843" s="35"/>
      <c r="AL2843" s="35">
        <f>12+49</f>
        <v>61</v>
      </c>
      <c r="AM2843" s="35"/>
      <c r="AN2843" s="35"/>
      <c r="AO2843" s="35"/>
      <c r="AP2843" s="35">
        <f>2+73</f>
        <v>75</v>
      </c>
      <c r="AQ2843" s="35"/>
      <c r="AR2843" s="35"/>
      <c r="AS2843" s="35"/>
      <c r="AT2843" s="35"/>
      <c r="AU2843" s="35"/>
      <c r="AV2843" s="35"/>
      <c r="AW2843" s="35"/>
      <c r="AX2843" s="35"/>
      <c r="AY2843" s="35"/>
      <c r="AZ2843" s="35"/>
      <c r="BA2843" s="35"/>
      <c r="BB2843" s="22">
        <f t="shared" si="868"/>
        <v>168</v>
      </c>
      <c r="BC2843" s="23">
        <v>273</v>
      </c>
      <c r="BD2843" s="130">
        <f t="shared" si="869"/>
        <v>168</v>
      </c>
      <c r="BE2843" s="130">
        <f t="shared" si="870"/>
        <v>273</v>
      </c>
      <c r="BF2843" s="195">
        <f t="shared" si="871"/>
        <v>61.53846153846154</v>
      </c>
      <c r="BG2843" s="373">
        <f t="shared" si="873"/>
        <v>105</v>
      </c>
    </row>
    <row r="2844" spans="1:59" s="46" customFormat="1" ht="15.95" customHeight="1">
      <c r="A2844" s="176">
        <v>65</v>
      </c>
      <c r="B2844" s="31" t="s">
        <v>909</v>
      </c>
      <c r="C2844" s="32" t="s">
        <v>910</v>
      </c>
      <c r="D2844" s="231"/>
      <c r="E2844" s="231"/>
      <c r="F2844" s="231"/>
      <c r="G2844" s="231"/>
      <c r="H2844" s="231"/>
      <c r="I2844" s="231"/>
      <c r="J2844" s="231"/>
      <c r="K2844" s="231"/>
      <c r="L2844" s="231"/>
      <c r="M2844" s="231"/>
      <c r="N2844" s="231"/>
      <c r="O2844" s="231"/>
      <c r="P2844" s="231"/>
      <c r="Q2844" s="231"/>
      <c r="R2844" s="231"/>
      <c r="S2844" s="231"/>
      <c r="T2844" s="231"/>
      <c r="U2844" s="231"/>
      <c r="V2844" s="231"/>
      <c r="W2844" s="231"/>
      <c r="X2844" s="231"/>
      <c r="Y2844" s="231"/>
      <c r="Z2844" s="231"/>
      <c r="AA2844" s="231"/>
      <c r="AB2844" s="22">
        <f t="shared" ref="AB2844:AB2875" si="874">SUM(D2844:AA2844)</f>
        <v>0</v>
      </c>
      <c r="AC2844" s="23">
        <v>0</v>
      </c>
      <c r="AD2844" s="35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>
        <v>2</v>
      </c>
      <c r="AQ2844" s="35"/>
      <c r="AR2844" s="35"/>
      <c r="AS2844" s="35"/>
      <c r="AT2844" s="35"/>
      <c r="AU2844" s="35"/>
      <c r="AV2844" s="35"/>
      <c r="AW2844" s="35"/>
      <c r="AX2844" s="35"/>
      <c r="AY2844" s="35"/>
      <c r="AZ2844" s="35"/>
      <c r="BA2844" s="35"/>
      <c r="BB2844" s="22">
        <f t="shared" ref="BB2844:BB2875" si="875">SUM(AD2844:BA2844)</f>
        <v>2</v>
      </c>
      <c r="BC2844" s="23">
        <v>12</v>
      </c>
      <c r="BD2844" s="130">
        <f t="shared" ref="BD2844:BD2875" si="876">AB2844+BB2844</f>
        <v>2</v>
      </c>
      <c r="BE2844" s="130">
        <f t="shared" ref="BE2844:BE2875" si="877">AC2844+BC2844</f>
        <v>12</v>
      </c>
      <c r="BF2844" s="195">
        <f t="shared" ref="BF2844:BF2875" si="878">BD2844/BE2844*100</f>
        <v>16.666666666666664</v>
      </c>
      <c r="BG2844" s="373">
        <f t="shared" si="873"/>
        <v>10</v>
      </c>
    </row>
    <row r="2845" spans="1:59" s="46" customFormat="1" ht="15.95" customHeight="1">
      <c r="A2845" s="176">
        <v>66</v>
      </c>
      <c r="B2845" s="31" t="s">
        <v>1112</v>
      </c>
      <c r="C2845" s="32" t="s">
        <v>1638</v>
      </c>
      <c r="D2845" s="231"/>
      <c r="E2845" s="231"/>
      <c r="F2845" s="231"/>
      <c r="G2845" s="231"/>
      <c r="H2845" s="231"/>
      <c r="I2845" s="231"/>
      <c r="J2845" s="231"/>
      <c r="K2845" s="231"/>
      <c r="L2845" s="231"/>
      <c r="M2845" s="231"/>
      <c r="N2845" s="231"/>
      <c r="O2845" s="231"/>
      <c r="P2845" s="231"/>
      <c r="Q2845" s="231"/>
      <c r="R2845" s="231"/>
      <c r="S2845" s="231"/>
      <c r="T2845" s="231"/>
      <c r="U2845" s="231"/>
      <c r="V2845" s="231"/>
      <c r="W2845" s="231"/>
      <c r="X2845" s="231"/>
      <c r="Y2845" s="231"/>
      <c r="Z2845" s="231"/>
      <c r="AA2845" s="231"/>
      <c r="AB2845" s="22">
        <f t="shared" si="874"/>
        <v>0</v>
      </c>
      <c r="AC2845" s="23">
        <v>0</v>
      </c>
      <c r="AD2845" s="35">
        <v>3</v>
      </c>
      <c r="AE2845" s="35"/>
      <c r="AF2845" s="35"/>
      <c r="AG2845" s="35"/>
      <c r="AH2845" s="35">
        <f>5+3</f>
        <v>8</v>
      </c>
      <c r="AI2845" s="35"/>
      <c r="AJ2845" s="35"/>
      <c r="AK2845" s="35"/>
      <c r="AL2845" s="35">
        <f>5+14</f>
        <v>19</v>
      </c>
      <c r="AM2845" s="35"/>
      <c r="AN2845" s="35"/>
      <c r="AO2845" s="35"/>
      <c r="AP2845" s="35">
        <v>8</v>
      </c>
      <c r="AQ2845" s="35"/>
      <c r="AR2845" s="35"/>
      <c r="AS2845" s="35"/>
      <c r="AT2845" s="35"/>
      <c r="AU2845" s="35"/>
      <c r="AV2845" s="35"/>
      <c r="AW2845" s="35"/>
      <c r="AX2845" s="35"/>
      <c r="AY2845" s="35"/>
      <c r="AZ2845" s="35"/>
      <c r="BA2845" s="35"/>
      <c r="BB2845" s="22">
        <f t="shared" si="875"/>
        <v>38</v>
      </c>
      <c r="BC2845" s="23">
        <v>88</v>
      </c>
      <c r="BD2845" s="130">
        <f t="shared" si="876"/>
        <v>38</v>
      </c>
      <c r="BE2845" s="130">
        <f t="shared" si="877"/>
        <v>88</v>
      </c>
      <c r="BF2845" s="195">
        <f t="shared" si="878"/>
        <v>43.18181818181818</v>
      </c>
      <c r="BG2845" s="373">
        <f t="shared" si="873"/>
        <v>50</v>
      </c>
    </row>
    <row r="2846" spans="1:59" s="46" customFormat="1" ht="15.95" customHeight="1">
      <c r="A2846" s="176">
        <v>67</v>
      </c>
      <c r="B2846" s="31" t="s">
        <v>1332</v>
      </c>
      <c r="C2846" s="34" t="s">
        <v>1333</v>
      </c>
      <c r="D2846" s="231"/>
      <c r="E2846" s="231"/>
      <c r="F2846" s="231"/>
      <c r="G2846" s="231"/>
      <c r="H2846" s="231"/>
      <c r="I2846" s="231"/>
      <c r="J2846" s="231"/>
      <c r="K2846" s="231"/>
      <c r="L2846" s="231"/>
      <c r="M2846" s="231"/>
      <c r="N2846" s="231"/>
      <c r="O2846" s="231"/>
      <c r="P2846" s="231"/>
      <c r="Q2846" s="231"/>
      <c r="R2846" s="231"/>
      <c r="S2846" s="231"/>
      <c r="T2846" s="231"/>
      <c r="U2846" s="231"/>
      <c r="V2846" s="231"/>
      <c r="W2846" s="231"/>
      <c r="X2846" s="231"/>
      <c r="Y2846" s="231"/>
      <c r="Z2846" s="231"/>
      <c r="AA2846" s="231"/>
      <c r="AB2846" s="22">
        <f t="shared" si="874"/>
        <v>0</v>
      </c>
      <c r="AC2846" s="23">
        <v>0</v>
      </c>
      <c r="AD2846" s="35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  <c r="AX2846" s="35"/>
      <c r="AY2846" s="35"/>
      <c r="AZ2846" s="35"/>
      <c r="BA2846" s="35"/>
      <c r="BB2846" s="22">
        <f t="shared" si="875"/>
        <v>0</v>
      </c>
      <c r="BC2846" s="23">
        <v>16</v>
      </c>
      <c r="BD2846" s="130">
        <f t="shared" si="876"/>
        <v>0</v>
      </c>
      <c r="BE2846" s="130">
        <f t="shared" si="877"/>
        <v>16</v>
      </c>
      <c r="BF2846" s="195">
        <f t="shared" si="878"/>
        <v>0</v>
      </c>
      <c r="BG2846" s="373">
        <f t="shared" si="873"/>
        <v>16</v>
      </c>
    </row>
    <row r="2847" spans="1:59" s="46" customFormat="1" ht="15.95" customHeight="1">
      <c r="A2847" s="176">
        <v>68</v>
      </c>
      <c r="B2847" s="31" t="s">
        <v>2065</v>
      </c>
      <c r="C2847" s="34" t="s">
        <v>2083</v>
      </c>
      <c r="D2847" s="231"/>
      <c r="E2847" s="231"/>
      <c r="F2847" s="231"/>
      <c r="G2847" s="231"/>
      <c r="H2847" s="231"/>
      <c r="I2847" s="231"/>
      <c r="J2847" s="231"/>
      <c r="K2847" s="231"/>
      <c r="L2847" s="231"/>
      <c r="M2847" s="231"/>
      <c r="N2847" s="231"/>
      <c r="O2847" s="231"/>
      <c r="P2847" s="231"/>
      <c r="Q2847" s="231"/>
      <c r="R2847" s="231"/>
      <c r="S2847" s="231"/>
      <c r="T2847" s="231"/>
      <c r="U2847" s="231"/>
      <c r="V2847" s="231"/>
      <c r="W2847" s="231"/>
      <c r="X2847" s="231"/>
      <c r="Y2847" s="231"/>
      <c r="Z2847" s="231"/>
      <c r="AA2847" s="231"/>
      <c r="AB2847" s="22">
        <f t="shared" si="874"/>
        <v>0</v>
      </c>
      <c r="AC2847" s="23">
        <v>0</v>
      </c>
      <c r="AD2847" s="35"/>
      <c r="AE2847" s="35"/>
      <c r="AF2847" s="35"/>
      <c r="AG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  <c r="AX2847" s="35"/>
      <c r="AY2847" s="35"/>
      <c r="AZ2847" s="35"/>
      <c r="BA2847" s="35"/>
      <c r="BB2847" s="22">
        <f t="shared" si="875"/>
        <v>0</v>
      </c>
      <c r="BC2847" s="23">
        <v>15</v>
      </c>
      <c r="BD2847" s="130">
        <f t="shared" si="876"/>
        <v>0</v>
      </c>
      <c r="BE2847" s="130">
        <f t="shared" si="877"/>
        <v>15</v>
      </c>
      <c r="BF2847" s="195">
        <f t="shared" si="878"/>
        <v>0</v>
      </c>
      <c r="BG2847" s="373">
        <f t="shared" si="873"/>
        <v>15</v>
      </c>
    </row>
    <row r="2848" spans="1:59" s="46" customFormat="1" ht="15.95" customHeight="1">
      <c r="A2848" s="176">
        <v>69</v>
      </c>
      <c r="B2848" s="31" t="s">
        <v>1187</v>
      </c>
      <c r="C2848" s="34" t="s">
        <v>1188</v>
      </c>
      <c r="D2848" s="231"/>
      <c r="E2848" s="231"/>
      <c r="F2848" s="231"/>
      <c r="G2848" s="231"/>
      <c r="H2848" s="231"/>
      <c r="I2848" s="231"/>
      <c r="J2848" s="231"/>
      <c r="K2848" s="231"/>
      <c r="L2848" s="231"/>
      <c r="M2848" s="231"/>
      <c r="N2848" s="231"/>
      <c r="O2848" s="231"/>
      <c r="P2848" s="231"/>
      <c r="Q2848" s="231"/>
      <c r="R2848" s="231"/>
      <c r="S2848" s="231"/>
      <c r="T2848" s="231"/>
      <c r="U2848" s="231"/>
      <c r="V2848" s="231"/>
      <c r="W2848" s="231"/>
      <c r="X2848" s="231"/>
      <c r="Y2848" s="231"/>
      <c r="Z2848" s="231"/>
      <c r="AA2848" s="231"/>
      <c r="AB2848" s="22">
        <f t="shared" si="874"/>
        <v>0</v>
      </c>
      <c r="AC2848" s="23">
        <v>0</v>
      </c>
      <c r="AD2848" s="35"/>
      <c r="AE2848" s="35"/>
      <c r="AF2848" s="35"/>
      <c r="AG2848" s="35"/>
      <c r="AH2848" s="35">
        <v>3</v>
      </c>
      <c r="AI2848" s="35"/>
      <c r="AJ2848" s="35"/>
      <c r="AK2848" s="35"/>
      <c r="AL2848" s="35">
        <v>21</v>
      </c>
      <c r="AM2848" s="35"/>
      <c r="AN2848" s="35"/>
      <c r="AO2848" s="35"/>
      <c r="AP2848" s="35">
        <f>1+24</f>
        <v>25</v>
      </c>
      <c r="AQ2848" s="35"/>
      <c r="AR2848" s="35"/>
      <c r="AS2848" s="35"/>
      <c r="AT2848" s="35"/>
      <c r="AU2848" s="35"/>
      <c r="AV2848" s="35"/>
      <c r="AW2848" s="35"/>
      <c r="AX2848" s="35"/>
      <c r="AY2848" s="35"/>
      <c r="AZ2848" s="35"/>
      <c r="BA2848" s="35"/>
      <c r="BB2848" s="22">
        <f t="shared" si="875"/>
        <v>49</v>
      </c>
      <c r="BC2848" s="23">
        <v>97</v>
      </c>
      <c r="BD2848" s="130">
        <f t="shared" si="876"/>
        <v>49</v>
      </c>
      <c r="BE2848" s="130">
        <f t="shared" si="877"/>
        <v>97</v>
      </c>
      <c r="BF2848" s="195">
        <f t="shared" si="878"/>
        <v>50.515463917525771</v>
      </c>
      <c r="BG2848" s="373">
        <f t="shared" si="873"/>
        <v>48</v>
      </c>
    </row>
    <row r="2849" spans="1:59" s="46" customFormat="1" ht="15.95" customHeight="1">
      <c r="A2849" s="176">
        <v>70</v>
      </c>
      <c r="B2849" s="31" t="s">
        <v>845</v>
      </c>
      <c r="C2849" s="34" t="s">
        <v>948</v>
      </c>
      <c r="D2849" s="231"/>
      <c r="E2849" s="231"/>
      <c r="F2849" s="231"/>
      <c r="G2849" s="231"/>
      <c r="H2849" s="231"/>
      <c r="I2849" s="231"/>
      <c r="J2849" s="231"/>
      <c r="K2849" s="231"/>
      <c r="L2849" s="231"/>
      <c r="M2849" s="231"/>
      <c r="N2849" s="231"/>
      <c r="O2849" s="231"/>
      <c r="P2849" s="231"/>
      <c r="Q2849" s="231"/>
      <c r="R2849" s="231"/>
      <c r="S2849" s="231"/>
      <c r="T2849" s="231"/>
      <c r="U2849" s="231"/>
      <c r="V2849" s="231"/>
      <c r="W2849" s="231"/>
      <c r="X2849" s="231"/>
      <c r="Y2849" s="231"/>
      <c r="Z2849" s="231"/>
      <c r="AA2849" s="231"/>
      <c r="AB2849" s="22">
        <f t="shared" si="874"/>
        <v>0</v>
      </c>
      <c r="AC2849" s="23">
        <v>0</v>
      </c>
      <c r="AD2849" s="35"/>
      <c r="AE2849" s="35"/>
      <c r="AF2849" s="35"/>
      <c r="AG2849" s="35"/>
      <c r="AH2849" s="35">
        <v>10</v>
      </c>
      <c r="AI2849" s="35"/>
      <c r="AJ2849" s="35"/>
      <c r="AK2849" s="35"/>
      <c r="AL2849" s="35">
        <v>56</v>
      </c>
      <c r="AM2849" s="35"/>
      <c r="AN2849" s="35"/>
      <c r="AO2849" s="35"/>
      <c r="AP2849" s="35">
        <v>31</v>
      </c>
      <c r="AQ2849" s="35"/>
      <c r="AR2849" s="35"/>
      <c r="AS2849" s="35"/>
      <c r="AT2849" s="35"/>
      <c r="AU2849" s="35"/>
      <c r="AV2849" s="35"/>
      <c r="AW2849" s="35"/>
      <c r="AX2849" s="35"/>
      <c r="AY2849" s="35"/>
      <c r="AZ2849" s="35"/>
      <c r="BA2849" s="35"/>
      <c r="BB2849" s="22">
        <f t="shared" si="875"/>
        <v>97</v>
      </c>
      <c r="BC2849" s="23">
        <v>250</v>
      </c>
      <c r="BD2849" s="130">
        <f t="shared" si="876"/>
        <v>97</v>
      </c>
      <c r="BE2849" s="130">
        <f t="shared" si="877"/>
        <v>250</v>
      </c>
      <c r="BF2849" s="195">
        <f t="shared" si="878"/>
        <v>38.800000000000004</v>
      </c>
      <c r="BG2849" s="373">
        <f t="shared" si="873"/>
        <v>153</v>
      </c>
    </row>
    <row r="2850" spans="1:59" s="46" customFormat="1" ht="15.95" customHeight="1">
      <c r="A2850" s="176">
        <v>71</v>
      </c>
      <c r="B2850" s="31" t="s">
        <v>1075</v>
      </c>
      <c r="C2850" s="34" t="s">
        <v>1076</v>
      </c>
      <c r="D2850" s="231"/>
      <c r="E2850" s="231"/>
      <c r="F2850" s="231"/>
      <c r="G2850" s="231"/>
      <c r="H2850" s="231"/>
      <c r="I2850" s="231"/>
      <c r="J2850" s="231"/>
      <c r="K2850" s="231"/>
      <c r="L2850" s="231"/>
      <c r="M2850" s="231"/>
      <c r="N2850" s="231"/>
      <c r="O2850" s="231"/>
      <c r="P2850" s="231"/>
      <c r="Q2850" s="231"/>
      <c r="R2850" s="231"/>
      <c r="S2850" s="231"/>
      <c r="T2850" s="231"/>
      <c r="U2850" s="231"/>
      <c r="V2850" s="231"/>
      <c r="W2850" s="231"/>
      <c r="X2850" s="231"/>
      <c r="Y2850" s="231"/>
      <c r="Z2850" s="231"/>
      <c r="AA2850" s="231"/>
      <c r="AB2850" s="22">
        <f t="shared" si="874"/>
        <v>0</v>
      </c>
      <c r="AC2850" s="23">
        <v>0</v>
      </c>
      <c r="AD2850" s="35"/>
      <c r="AE2850" s="35"/>
      <c r="AF2850" s="35"/>
      <c r="AG2850" s="35"/>
      <c r="AH2850" s="35">
        <v>5</v>
      </c>
      <c r="AI2850" s="35"/>
      <c r="AJ2850" s="35"/>
      <c r="AK2850" s="35"/>
      <c r="AL2850" s="35">
        <v>15</v>
      </c>
      <c r="AM2850" s="35"/>
      <c r="AN2850" s="35"/>
      <c r="AO2850" s="35"/>
      <c r="AP2850" s="35">
        <f>1+16</f>
        <v>17</v>
      </c>
      <c r="AQ2850" s="35"/>
      <c r="AR2850" s="35"/>
      <c r="AS2850" s="35"/>
      <c r="AT2850" s="35"/>
      <c r="AU2850" s="35"/>
      <c r="AV2850" s="35"/>
      <c r="AW2850" s="35"/>
      <c r="AX2850" s="35"/>
      <c r="AY2850" s="35"/>
      <c r="AZ2850" s="35"/>
      <c r="BA2850" s="35"/>
      <c r="BB2850" s="22">
        <f t="shared" si="875"/>
        <v>37</v>
      </c>
      <c r="BC2850" s="23">
        <v>91</v>
      </c>
      <c r="BD2850" s="130">
        <f t="shared" si="876"/>
        <v>37</v>
      </c>
      <c r="BE2850" s="130">
        <f t="shared" si="877"/>
        <v>91</v>
      </c>
      <c r="BF2850" s="195">
        <f t="shared" si="878"/>
        <v>40.659340659340657</v>
      </c>
      <c r="BG2850" s="373">
        <f t="shared" si="873"/>
        <v>54</v>
      </c>
    </row>
    <row r="2851" spans="1:59" s="46" customFormat="1" ht="15.95" customHeight="1">
      <c r="A2851" s="176">
        <v>72</v>
      </c>
      <c r="B2851" s="31" t="s">
        <v>1382</v>
      </c>
      <c r="C2851" s="32" t="s">
        <v>3818</v>
      </c>
      <c r="D2851" s="524"/>
      <c r="E2851" s="524"/>
      <c r="F2851" s="524"/>
      <c r="G2851" s="524"/>
      <c r="H2851" s="524"/>
      <c r="I2851" s="524"/>
      <c r="J2851" s="524"/>
      <c r="K2851" s="524"/>
      <c r="L2851" s="524"/>
      <c r="M2851" s="524"/>
      <c r="N2851" s="524"/>
      <c r="O2851" s="524"/>
      <c r="P2851" s="524"/>
      <c r="Q2851" s="524"/>
      <c r="R2851" s="524"/>
      <c r="S2851" s="524"/>
      <c r="T2851" s="524"/>
      <c r="U2851" s="524"/>
      <c r="V2851" s="524"/>
      <c r="W2851" s="524"/>
      <c r="X2851" s="524"/>
      <c r="Y2851" s="524"/>
      <c r="Z2851" s="524"/>
      <c r="AA2851" s="524"/>
      <c r="AB2851" s="22">
        <f t="shared" si="874"/>
        <v>0</v>
      </c>
      <c r="AC2851" s="23">
        <v>0</v>
      </c>
      <c r="AD2851" s="35"/>
      <c r="AE2851" s="35"/>
      <c r="AF2851" s="35"/>
      <c r="AG2851" s="35"/>
      <c r="AH2851" s="35">
        <v>1</v>
      </c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  <c r="AX2851" s="35"/>
      <c r="AY2851" s="35"/>
      <c r="AZ2851" s="35"/>
      <c r="BA2851" s="35"/>
      <c r="BB2851" s="22">
        <f t="shared" si="875"/>
        <v>1</v>
      </c>
      <c r="BC2851" s="23">
        <v>0</v>
      </c>
      <c r="BD2851" s="130">
        <f t="shared" si="876"/>
        <v>1</v>
      </c>
      <c r="BE2851" s="130">
        <f t="shared" si="877"/>
        <v>0</v>
      </c>
      <c r="BF2851" s="195" t="e">
        <f t="shared" si="878"/>
        <v>#DIV/0!</v>
      </c>
      <c r="BG2851" s="373"/>
    </row>
    <row r="2852" spans="1:59" s="46" customFormat="1" ht="15.95" customHeight="1">
      <c r="A2852" s="176">
        <v>73</v>
      </c>
      <c r="B2852" s="31" t="s">
        <v>2070</v>
      </c>
      <c r="C2852" s="32" t="s">
        <v>3819</v>
      </c>
      <c r="D2852" s="524"/>
      <c r="E2852" s="524"/>
      <c r="F2852" s="524"/>
      <c r="G2852" s="524"/>
      <c r="H2852" s="524"/>
      <c r="I2852" s="524"/>
      <c r="J2852" s="524"/>
      <c r="K2852" s="524"/>
      <c r="L2852" s="524"/>
      <c r="M2852" s="524"/>
      <c r="N2852" s="524"/>
      <c r="O2852" s="524"/>
      <c r="P2852" s="524"/>
      <c r="Q2852" s="524"/>
      <c r="R2852" s="524"/>
      <c r="S2852" s="524"/>
      <c r="T2852" s="524"/>
      <c r="U2852" s="524"/>
      <c r="V2852" s="524"/>
      <c r="W2852" s="524"/>
      <c r="X2852" s="524"/>
      <c r="Y2852" s="524"/>
      <c r="Z2852" s="524"/>
      <c r="AA2852" s="524"/>
      <c r="AB2852" s="22">
        <f t="shared" si="874"/>
        <v>0</v>
      </c>
      <c r="AC2852" s="23">
        <v>0</v>
      </c>
      <c r="AD2852" s="35"/>
      <c r="AE2852" s="35"/>
      <c r="AF2852" s="35"/>
      <c r="AG2852" s="35"/>
      <c r="AH2852" s="35">
        <v>1</v>
      </c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  <c r="AX2852" s="35"/>
      <c r="AY2852" s="35"/>
      <c r="AZ2852" s="35"/>
      <c r="BA2852" s="35"/>
      <c r="BB2852" s="22">
        <f t="shared" si="875"/>
        <v>1</v>
      </c>
      <c r="BC2852" s="23">
        <v>0</v>
      </c>
      <c r="BD2852" s="130">
        <f t="shared" si="876"/>
        <v>1</v>
      </c>
      <c r="BE2852" s="130">
        <f t="shared" si="877"/>
        <v>0</v>
      </c>
      <c r="BF2852" s="195" t="e">
        <f t="shared" si="878"/>
        <v>#DIV/0!</v>
      </c>
      <c r="BG2852" s="373"/>
    </row>
    <row r="2853" spans="1:59" s="46" customFormat="1" ht="15.95" customHeight="1">
      <c r="A2853" s="176">
        <v>74</v>
      </c>
      <c r="B2853" s="31" t="s">
        <v>1384</v>
      </c>
      <c r="C2853" s="32" t="s">
        <v>1972</v>
      </c>
      <c r="D2853" s="231"/>
      <c r="E2853" s="231"/>
      <c r="F2853" s="231"/>
      <c r="G2853" s="231"/>
      <c r="H2853" s="231"/>
      <c r="I2853" s="231"/>
      <c r="J2853" s="231"/>
      <c r="K2853" s="231"/>
      <c r="L2853" s="231"/>
      <c r="M2853" s="231"/>
      <c r="N2853" s="231"/>
      <c r="O2853" s="231"/>
      <c r="P2853" s="231"/>
      <c r="Q2853" s="231"/>
      <c r="R2853" s="231"/>
      <c r="S2853" s="231"/>
      <c r="T2853" s="231"/>
      <c r="U2853" s="231"/>
      <c r="V2853" s="231"/>
      <c r="W2853" s="231"/>
      <c r="X2853" s="231"/>
      <c r="Y2853" s="231"/>
      <c r="Z2853" s="231"/>
      <c r="AA2853" s="231"/>
      <c r="AB2853" s="22">
        <f t="shared" si="874"/>
        <v>0</v>
      </c>
      <c r="AC2853" s="23">
        <v>0</v>
      </c>
      <c r="AD2853" s="35"/>
      <c r="AE2853" s="35"/>
      <c r="AF2853" s="35"/>
      <c r="AG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  <c r="AX2853" s="35"/>
      <c r="AY2853" s="35"/>
      <c r="AZ2853" s="35"/>
      <c r="BA2853" s="35"/>
      <c r="BB2853" s="22">
        <f t="shared" si="875"/>
        <v>0</v>
      </c>
      <c r="BC2853" s="23">
        <v>1</v>
      </c>
      <c r="BD2853" s="130">
        <f t="shared" si="876"/>
        <v>0</v>
      </c>
      <c r="BE2853" s="130">
        <f t="shared" si="877"/>
        <v>1</v>
      </c>
      <c r="BF2853" s="195">
        <f t="shared" si="878"/>
        <v>0</v>
      </c>
      <c r="BG2853" s="373">
        <f t="shared" ref="BG2853:BG2862" si="879">BE2853-BD2853</f>
        <v>1</v>
      </c>
    </row>
    <row r="2854" spans="1:59" s="46" customFormat="1" ht="15.95" customHeight="1">
      <c r="A2854" s="176">
        <v>75</v>
      </c>
      <c r="B2854" s="31" t="s">
        <v>1246</v>
      </c>
      <c r="C2854" s="32" t="s">
        <v>2604</v>
      </c>
      <c r="D2854" s="231"/>
      <c r="E2854" s="231"/>
      <c r="F2854" s="231"/>
      <c r="G2854" s="231"/>
      <c r="H2854" s="231"/>
      <c r="I2854" s="231"/>
      <c r="J2854" s="231"/>
      <c r="K2854" s="231"/>
      <c r="L2854" s="231"/>
      <c r="M2854" s="231"/>
      <c r="N2854" s="231"/>
      <c r="O2854" s="231"/>
      <c r="P2854" s="231"/>
      <c r="Q2854" s="231"/>
      <c r="R2854" s="231"/>
      <c r="S2854" s="231"/>
      <c r="T2854" s="231"/>
      <c r="U2854" s="231"/>
      <c r="V2854" s="231"/>
      <c r="W2854" s="231"/>
      <c r="X2854" s="231"/>
      <c r="Y2854" s="231"/>
      <c r="Z2854" s="231"/>
      <c r="AA2854" s="231"/>
      <c r="AB2854" s="22">
        <f t="shared" si="874"/>
        <v>0</v>
      </c>
      <c r="AC2854" s="23">
        <v>0</v>
      </c>
      <c r="AD2854" s="35"/>
      <c r="AE2854" s="35"/>
      <c r="AF2854" s="35"/>
      <c r="AG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  <c r="AX2854" s="35"/>
      <c r="AY2854" s="35"/>
      <c r="AZ2854" s="35"/>
      <c r="BA2854" s="35"/>
      <c r="BB2854" s="22">
        <f t="shared" si="875"/>
        <v>0</v>
      </c>
      <c r="BC2854" s="23">
        <v>2</v>
      </c>
      <c r="BD2854" s="130">
        <f t="shared" si="876"/>
        <v>0</v>
      </c>
      <c r="BE2854" s="130">
        <f t="shared" si="877"/>
        <v>2</v>
      </c>
      <c r="BF2854" s="195">
        <f t="shared" si="878"/>
        <v>0</v>
      </c>
      <c r="BG2854" s="373">
        <f t="shared" si="879"/>
        <v>2</v>
      </c>
    </row>
    <row r="2855" spans="1:59" s="46" customFormat="1" ht="15.95" customHeight="1">
      <c r="A2855" s="176">
        <v>76</v>
      </c>
      <c r="B2855" s="31" t="s">
        <v>1248</v>
      </c>
      <c r="C2855" s="32" t="s">
        <v>2173</v>
      </c>
      <c r="D2855" s="231"/>
      <c r="E2855" s="231"/>
      <c r="F2855" s="231"/>
      <c r="G2855" s="231"/>
      <c r="H2855" s="231"/>
      <c r="I2855" s="231"/>
      <c r="J2855" s="231"/>
      <c r="K2855" s="231"/>
      <c r="L2855" s="231"/>
      <c r="M2855" s="231"/>
      <c r="N2855" s="231"/>
      <c r="O2855" s="231"/>
      <c r="P2855" s="231"/>
      <c r="Q2855" s="231"/>
      <c r="R2855" s="231"/>
      <c r="S2855" s="231"/>
      <c r="T2855" s="231"/>
      <c r="U2855" s="231"/>
      <c r="V2855" s="231"/>
      <c r="W2855" s="231"/>
      <c r="X2855" s="231"/>
      <c r="Y2855" s="231"/>
      <c r="Z2855" s="231"/>
      <c r="AA2855" s="231"/>
      <c r="AB2855" s="22">
        <f t="shared" si="874"/>
        <v>0</v>
      </c>
      <c r="AC2855" s="23">
        <v>0</v>
      </c>
      <c r="AD2855" s="35"/>
      <c r="AE2855" s="35"/>
      <c r="AF2855" s="35"/>
      <c r="AG2855" s="35"/>
      <c r="AH2855" s="35">
        <v>2</v>
      </c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  <c r="AX2855" s="35"/>
      <c r="AY2855" s="35"/>
      <c r="AZ2855" s="35"/>
      <c r="BA2855" s="35"/>
      <c r="BB2855" s="22">
        <f t="shared" si="875"/>
        <v>2</v>
      </c>
      <c r="BC2855" s="23">
        <v>3</v>
      </c>
      <c r="BD2855" s="130">
        <f t="shared" si="876"/>
        <v>2</v>
      </c>
      <c r="BE2855" s="130">
        <f t="shared" si="877"/>
        <v>3</v>
      </c>
      <c r="BF2855" s="195">
        <f t="shared" si="878"/>
        <v>66.666666666666657</v>
      </c>
      <c r="BG2855" s="373">
        <f t="shared" si="879"/>
        <v>1</v>
      </c>
    </row>
    <row r="2856" spans="1:59" s="46" customFormat="1" ht="15.95" customHeight="1">
      <c r="A2856" s="176">
        <v>77</v>
      </c>
      <c r="B2856" s="31" t="s">
        <v>1385</v>
      </c>
      <c r="C2856" s="32" t="s">
        <v>2216</v>
      </c>
      <c r="D2856" s="231"/>
      <c r="E2856" s="231"/>
      <c r="F2856" s="231"/>
      <c r="G2856" s="231"/>
      <c r="H2856" s="231"/>
      <c r="I2856" s="231"/>
      <c r="J2856" s="231"/>
      <c r="K2856" s="231"/>
      <c r="L2856" s="231"/>
      <c r="M2856" s="231"/>
      <c r="N2856" s="231"/>
      <c r="O2856" s="231"/>
      <c r="P2856" s="231"/>
      <c r="Q2856" s="231"/>
      <c r="R2856" s="231"/>
      <c r="S2856" s="231"/>
      <c r="T2856" s="231"/>
      <c r="U2856" s="231"/>
      <c r="V2856" s="231"/>
      <c r="W2856" s="231"/>
      <c r="X2856" s="231"/>
      <c r="Y2856" s="231"/>
      <c r="Z2856" s="231"/>
      <c r="AA2856" s="231"/>
      <c r="AB2856" s="22">
        <f t="shared" si="874"/>
        <v>0</v>
      </c>
      <c r="AC2856" s="23">
        <v>0</v>
      </c>
      <c r="AD2856" s="35"/>
      <c r="AE2856" s="35"/>
      <c r="AF2856" s="35"/>
      <c r="AG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  <c r="AX2856" s="35"/>
      <c r="AY2856" s="35"/>
      <c r="AZ2856" s="35"/>
      <c r="BA2856" s="35"/>
      <c r="BB2856" s="22">
        <f t="shared" si="875"/>
        <v>0</v>
      </c>
      <c r="BC2856" s="23">
        <v>1</v>
      </c>
      <c r="BD2856" s="130">
        <f t="shared" si="876"/>
        <v>0</v>
      </c>
      <c r="BE2856" s="130">
        <f t="shared" si="877"/>
        <v>1</v>
      </c>
      <c r="BF2856" s="195">
        <f t="shared" si="878"/>
        <v>0</v>
      </c>
      <c r="BG2856" s="373">
        <f t="shared" si="879"/>
        <v>1</v>
      </c>
    </row>
    <row r="2857" spans="1:59" s="46" customFormat="1" ht="15.95" customHeight="1">
      <c r="A2857" s="176">
        <v>78</v>
      </c>
      <c r="B2857" s="31" t="s">
        <v>1391</v>
      </c>
      <c r="C2857" s="34" t="s">
        <v>3350</v>
      </c>
      <c r="D2857" s="231"/>
      <c r="E2857" s="231"/>
      <c r="F2857" s="231"/>
      <c r="G2857" s="231"/>
      <c r="H2857" s="231"/>
      <c r="I2857" s="231"/>
      <c r="J2857" s="231"/>
      <c r="K2857" s="231"/>
      <c r="L2857" s="231"/>
      <c r="M2857" s="231"/>
      <c r="N2857" s="231"/>
      <c r="O2857" s="231"/>
      <c r="P2857" s="231"/>
      <c r="Q2857" s="231"/>
      <c r="R2857" s="231"/>
      <c r="S2857" s="231"/>
      <c r="T2857" s="231"/>
      <c r="U2857" s="231"/>
      <c r="V2857" s="231"/>
      <c r="W2857" s="231"/>
      <c r="X2857" s="231"/>
      <c r="Y2857" s="231"/>
      <c r="Z2857" s="231"/>
      <c r="AA2857" s="231"/>
      <c r="AB2857" s="22">
        <f t="shared" si="874"/>
        <v>0</v>
      </c>
      <c r="AC2857" s="23">
        <v>0</v>
      </c>
      <c r="AD2857" s="35"/>
      <c r="AE2857" s="35"/>
      <c r="AF2857" s="35"/>
      <c r="AG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  <c r="AX2857" s="35"/>
      <c r="AY2857" s="35"/>
      <c r="AZ2857" s="35"/>
      <c r="BA2857" s="35"/>
      <c r="BB2857" s="22">
        <f t="shared" si="875"/>
        <v>0</v>
      </c>
      <c r="BC2857" s="23">
        <v>1</v>
      </c>
      <c r="BD2857" s="130">
        <f t="shared" si="876"/>
        <v>0</v>
      </c>
      <c r="BE2857" s="130">
        <f t="shared" si="877"/>
        <v>1</v>
      </c>
      <c r="BF2857" s="195">
        <f t="shared" si="878"/>
        <v>0</v>
      </c>
      <c r="BG2857" s="373">
        <f t="shared" si="879"/>
        <v>1</v>
      </c>
    </row>
    <row r="2858" spans="1:59" s="46" customFormat="1" ht="15.95" customHeight="1">
      <c r="A2858" s="176">
        <v>79</v>
      </c>
      <c r="B2858" s="31" t="s">
        <v>1393</v>
      </c>
      <c r="C2858" s="32" t="s">
        <v>3544</v>
      </c>
      <c r="D2858" s="272"/>
      <c r="E2858" s="272"/>
      <c r="F2858" s="272"/>
      <c r="G2858" s="272"/>
      <c r="H2858" s="272"/>
      <c r="I2858" s="272"/>
      <c r="J2858" s="272"/>
      <c r="K2858" s="272"/>
      <c r="L2858" s="272"/>
      <c r="M2858" s="272"/>
      <c r="N2858" s="272"/>
      <c r="O2858" s="272"/>
      <c r="P2858" s="272"/>
      <c r="Q2858" s="272"/>
      <c r="R2858" s="272"/>
      <c r="S2858" s="272"/>
      <c r="T2858" s="272"/>
      <c r="U2858" s="272"/>
      <c r="V2858" s="272"/>
      <c r="W2858" s="272"/>
      <c r="X2858" s="272"/>
      <c r="Y2858" s="272"/>
      <c r="Z2858" s="272"/>
      <c r="AA2858" s="272"/>
      <c r="AB2858" s="22">
        <f t="shared" si="874"/>
        <v>0</v>
      </c>
      <c r="AC2858" s="23">
        <v>0</v>
      </c>
      <c r="AD2858" s="35"/>
      <c r="AE2858" s="35"/>
      <c r="AF2858" s="35"/>
      <c r="AG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  <c r="AX2858" s="35"/>
      <c r="AY2858" s="35"/>
      <c r="AZ2858" s="35"/>
      <c r="BA2858" s="35"/>
      <c r="BB2858" s="22">
        <f t="shared" si="875"/>
        <v>0</v>
      </c>
      <c r="BC2858" s="23">
        <v>1</v>
      </c>
      <c r="BD2858" s="130">
        <f t="shared" si="876"/>
        <v>0</v>
      </c>
      <c r="BE2858" s="130">
        <f t="shared" si="877"/>
        <v>1</v>
      </c>
      <c r="BF2858" s="195">
        <f t="shared" si="878"/>
        <v>0</v>
      </c>
      <c r="BG2858" s="373">
        <f t="shared" si="879"/>
        <v>1</v>
      </c>
    </row>
    <row r="2859" spans="1:59" s="46" customFormat="1" ht="15.95" customHeight="1">
      <c r="A2859" s="176">
        <v>80</v>
      </c>
      <c r="B2859" s="31" t="s">
        <v>915</v>
      </c>
      <c r="C2859" s="34" t="s">
        <v>1015</v>
      </c>
      <c r="D2859" s="231"/>
      <c r="E2859" s="231"/>
      <c r="F2859" s="231"/>
      <c r="G2859" s="231"/>
      <c r="H2859" s="231"/>
      <c r="I2859" s="231"/>
      <c r="J2859" s="231"/>
      <c r="K2859" s="231"/>
      <c r="L2859" s="231"/>
      <c r="M2859" s="231"/>
      <c r="N2859" s="231"/>
      <c r="O2859" s="231"/>
      <c r="P2859" s="231"/>
      <c r="Q2859" s="231"/>
      <c r="R2859" s="231"/>
      <c r="S2859" s="231"/>
      <c r="T2859" s="231"/>
      <c r="U2859" s="231"/>
      <c r="V2859" s="231"/>
      <c r="W2859" s="231"/>
      <c r="X2859" s="231"/>
      <c r="Y2859" s="231"/>
      <c r="Z2859" s="231"/>
      <c r="AA2859" s="231"/>
      <c r="AB2859" s="22">
        <f t="shared" si="874"/>
        <v>0</v>
      </c>
      <c r="AC2859" s="23">
        <v>0</v>
      </c>
      <c r="AD2859" s="35"/>
      <c r="AE2859" s="35"/>
      <c r="AF2859" s="35"/>
      <c r="AG2859" s="35"/>
      <c r="AH2859" s="35">
        <v>9</v>
      </c>
      <c r="AI2859" s="35"/>
      <c r="AJ2859" s="35"/>
      <c r="AK2859" s="35"/>
      <c r="AL2859" s="35">
        <f>26+2</f>
        <v>28</v>
      </c>
      <c r="AM2859" s="35"/>
      <c r="AN2859" s="35"/>
      <c r="AO2859" s="35"/>
      <c r="AP2859" s="35">
        <f>5+2</f>
        <v>7</v>
      </c>
      <c r="AQ2859" s="35"/>
      <c r="AR2859" s="35"/>
      <c r="AS2859" s="35"/>
      <c r="AT2859" s="35"/>
      <c r="AU2859" s="35"/>
      <c r="AV2859" s="35"/>
      <c r="AW2859" s="35"/>
      <c r="AX2859" s="35"/>
      <c r="AY2859" s="35"/>
      <c r="AZ2859" s="35"/>
      <c r="BA2859" s="35"/>
      <c r="BB2859" s="22">
        <f t="shared" si="875"/>
        <v>44</v>
      </c>
      <c r="BC2859" s="23">
        <v>190</v>
      </c>
      <c r="BD2859" s="130">
        <f t="shared" si="876"/>
        <v>44</v>
      </c>
      <c r="BE2859" s="130">
        <f t="shared" si="877"/>
        <v>190</v>
      </c>
      <c r="BF2859" s="195">
        <f t="shared" si="878"/>
        <v>23.157894736842106</v>
      </c>
      <c r="BG2859" s="373">
        <f t="shared" si="879"/>
        <v>146</v>
      </c>
    </row>
    <row r="2860" spans="1:59" s="46" customFormat="1" ht="15.95" customHeight="1">
      <c r="A2860" s="176">
        <v>81</v>
      </c>
      <c r="B2860" s="31" t="s">
        <v>1191</v>
      </c>
      <c r="C2860" s="32" t="s">
        <v>1345</v>
      </c>
      <c r="D2860" s="231"/>
      <c r="E2860" s="231"/>
      <c r="F2860" s="231"/>
      <c r="G2860" s="231"/>
      <c r="H2860" s="231"/>
      <c r="I2860" s="231"/>
      <c r="J2860" s="231"/>
      <c r="K2860" s="231"/>
      <c r="L2860" s="231"/>
      <c r="M2860" s="231"/>
      <c r="N2860" s="231"/>
      <c r="O2860" s="231"/>
      <c r="P2860" s="231"/>
      <c r="Q2860" s="231"/>
      <c r="R2860" s="231"/>
      <c r="S2860" s="231"/>
      <c r="T2860" s="231"/>
      <c r="U2860" s="231"/>
      <c r="V2860" s="231"/>
      <c r="W2860" s="231"/>
      <c r="X2860" s="231"/>
      <c r="Y2860" s="231"/>
      <c r="Z2860" s="231"/>
      <c r="AA2860" s="231"/>
      <c r="AB2860" s="22">
        <f t="shared" si="874"/>
        <v>0</v>
      </c>
      <c r="AC2860" s="23">
        <v>0</v>
      </c>
      <c r="AD2860" s="35"/>
      <c r="AE2860" s="35"/>
      <c r="AF2860" s="35"/>
      <c r="AG2860" s="35"/>
      <c r="AH2860" s="35"/>
      <c r="AI2860" s="35"/>
      <c r="AJ2860" s="35"/>
      <c r="AK2860" s="35"/>
      <c r="AL2860" s="35">
        <v>11</v>
      </c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  <c r="AX2860" s="35"/>
      <c r="AY2860" s="35"/>
      <c r="AZ2860" s="35"/>
      <c r="BA2860" s="35"/>
      <c r="BB2860" s="22">
        <f t="shared" si="875"/>
        <v>11</v>
      </c>
      <c r="BC2860" s="23">
        <v>1</v>
      </c>
      <c r="BD2860" s="130">
        <f t="shared" si="876"/>
        <v>11</v>
      </c>
      <c r="BE2860" s="130">
        <f t="shared" si="877"/>
        <v>1</v>
      </c>
      <c r="BF2860" s="195">
        <f t="shared" si="878"/>
        <v>1100</v>
      </c>
      <c r="BG2860" s="373">
        <f t="shared" si="879"/>
        <v>-10</v>
      </c>
    </row>
    <row r="2861" spans="1:59" s="46" customFormat="1" ht="15.95" customHeight="1">
      <c r="A2861" s="176">
        <v>82</v>
      </c>
      <c r="B2861" s="31" t="s">
        <v>1082</v>
      </c>
      <c r="C2861" s="32" t="s">
        <v>2299</v>
      </c>
      <c r="D2861" s="231"/>
      <c r="E2861" s="231"/>
      <c r="F2861" s="231"/>
      <c r="G2861" s="231"/>
      <c r="H2861" s="231"/>
      <c r="I2861" s="231"/>
      <c r="J2861" s="231"/>
      <c r="K2861" s="231"/>
      <c r="L2861" s="231"/>
      <c r="M2861" s="231"/>
      <c r="N2861" s="231"/>
      <c r="O2861" s="231"/>
      <c r="P2861" s="231"/>
      <c r="Q2861" s="231"/>
      <c r="R2861" s="231"/>
      <c r="S2861" s="231"/>
      <c r="T2861" s="231"/>
      <c r="U2861" s="231"/>
      <c r="V2861" s="231"/>
      <c r="W2861" s="231"/>
      <c r="X2861" s="231"/>
      <c r="Y2861" s="231"/>
      <c r="Z2861" s="231"/>
      <c r="AA2861" s="231"/>
      <c r="AB2861" s="22">
        <f t="shared" si="874"/>
        <v>0</v>
      </c>
      <c r="AC2861" s="23">
        <v>0</v>
      </c>
      <c r="AD2861" s="35"/>
      <c r="AE2861" s="35"/>
      <c r="AF2861" s="35"/>
      <c r="AG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  <c r="AX2861" s="35"/>
      <c r="AY2861" s="35"/>
      <c r="AZ2861" s="35"/>
      <c r="BA2861" s="35"/>
      <c r="BB2861" s="22">
        <f t="shared" si="875"/>
        <v>0</v>
      </c>
      <c r="BC2861" s="23">
        <v>1</v>
      </c>
      <c r="BD2861" s="130">
        <f t="shared" si="876"/>
        <v>0</v>
      </c>
      <c r="BE2861" s="130">
        <f t="shared" si="877"/>
        <v>1</v>
      </c>
      <c r="BF2861" s="195">
        <f t="shared" si="878"/>
        <v>0</v>
      </c>
      <c r="BG2861" s="373">
        <f t="shared" si="879"/>
        <v>1</v>
      </c>
    </row>
    <row r="2862" spans="1:59" s="46" customFormat="1" ht="15.95" customHeight="1">
      <c r="A2862" s="176">
        <v>83</v>
      </c>
      <c r="B2862" s="31" t="s">
        <v>2298</v>
      </c>
      <c r="C2862" s="32" t="s">
        <v>2299</v>
      </c>
      <c r="D2862" s="231"/>
      <c r="E2862" s="231"/>
      <c r="F2862" s="231"/>
      <c r="G2862" s="231"/>
      <c r="H2862" s="231"/>
      <c r="I2862" s="231"/>
      <c r="J2862" s="231"/>
      <c r="K2862" s="231"/>
      <c r="L2862" s="231"/>
      <c r="M2862" s="231"/>
      <c r="N2862" s="231"/>
      <c r="O2862" s="231"/>
      <c r="P2862" s="231"/>
      <c r="Q2862" s="231"/>
      <c r="R2862" s="231"/>
      <c r="S2862" s="231"/>
      <c r="T2862" s="231"/>
      <c r="U2862" s="231"/>
      <c r="V2862" s="231"/>
      <c r="W2862" s="231"/>
      <c r="X2862" s="231"/>
      <c r="Y2862" s="231"/>
      <c r="Z2862" s="231"/>
      <c r="AA2862" s="231"/>
      <c r="AB2862" s="22">
        <f t="shared" si="874"/>
        <v>0</v>
      </c>
      <c r="AC2862" s="23">
        <v>0</v>
      </c>
      <c r="AD2862" s="35"/>
      <c r="AE2862" s="35"/>
      <c r="AF2862" s="35"/>
      <c r="AG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  <c r="AX2862" s="35"/>
      <c r="AY2862" s="35"/>
      <c r="AZ2862" s="35"/>
      <c r="BA2862" s="35"/>
      <c r="BB2862" s="22">
        <f t="shared" si="875"/>
        <v>0</v>
      </c>
      <c r="BC2862" s="23">
        <v>9</v>
      </c>
      <c r="BD2862" s="130">
        <f t="shared" si="876"/>
        <v>0</v>
      </c>
      <c r="BE2862" s="130">
        <f t="shared" si="877"/>
        <v>9</v>
      </c>
      <c r="BF2862" s="195">
        <f t="shared" si="878"/>
        <v>0</v>
      </c>
      <c r="BG2862" s="373">
        <f t="shared" si="879"/>
        <v>9</v>
      </c>
    </row>
    <row r="2863" spans="1:59" s="46" customFormat="1" ht="15.95" customHeight="1">
      <c r="A2863" s="176">
        <v>84</v>
      </c>
      <c r="B2863" s="31" t="s">
        <v>949</v>
      </c>
      <c r="C2863" s="32" t="s">
        <v>1196</v>
      </c>
      <c r="D2863" s="574"/>
      <c r="E2863" s="574"/>
      <c r="F2863" s="574"/>
      <c r="G2863" s="574"/>
      <c r="H2863" s="574"/>
      <c r="I2863" s="574"/>
      <c r="J2863" s="574"/>
      <c r="K2863" s="574"/>
      <c r="L2863" s="574"/>
      <c r="M2863" s="574"/>
      <c r="N2863" s="574"/>
      <c r="O2863" s="574"/>
      <c r="P2863" s="574"/>
      <c r="Q2863" s="574"/>
      <c r="R2863" s="574"/>
      <c r="S2863" s="574"/>
      <c r="T2863" s="574"/>
      <c r="U2863" s="574"/>
      <c r="V2863" s="574"/>
      <c r="W2863" s="574"/>
      <c r="X2863" s="574"/>
      <c r="Y2863" s="574"/>
      <c r="Z2863" s="574"/>
      <c r="AA2863" s="574"/>
      <c r="AB2863" s="22">
        <f t="shared" si="874"/>
        <v>0</v>
      </c>
      <c r="AC2863" s="23">
        <v>0</v>
      </c>
      <c r="AD2863" s="35"/>
      <c r="AE2863" s="35"/>
      <c r="AF2863" s="35"/>
      <c r="AG2863" s="35"/>
      <c r="AH2863" s="35"/>
      <c r="AI2863" s="35"/>
      <c r="AJ2863" s="35"/>
      <c r="AK2863" s="35"/>
      <c r="AL2863" s="35"/>
      <c r="AM2863" s="35"/>
      <c r="AN2863" s="35"/>
      <c r="AO2863" s="35"/>
      <c r="AP2863" s="35">
        <v>1</v>
      </c>
      <c r="AQ2863" s="35"/>
      <c r="AR2863" s="35"/>
      <c r="AS2863" s="35"/>
      <c r="AT2863" s="35"/>
      <c r="AU2863" s="35"/>
      <c r="AV2863" s="35"/>
      <c r="AW2863" s="35"/>
      <c r="AX2863" s="35"/>
      <c r="AY2863" s="35"/>
      <c r="AZ2863" s="35"/>
      <c r="BA2863" s="35"/>
      <c r="BB2863" s="22">
        <f t="shared" si="875"/>
        <v>1</v>
      </c>
      <c r="BC2863" s="23">
        <v>0</v>
      </c>
      <c r="BD2863" s="130">
        <f t="shared" si="876"/>
        <v>1</v>
      </c>
      <c r="BE2863" s="130">
        <f t="shared" si="877"/>
        <v>0</v>
      </c>
      <c r="BF2863" s="195" t="e">
        <f t="shared" si="878"/>
        <v>#DIV/0!</v>
      </c>
      <c r="BG2863" s="373"/>
    </row>
    <row r="2864" spans="1:59" s="46" customFormat="1" ht="15.95" customHeight="1">
      <c r="A2864" s="176">
        <v>85</v>
      </c>
      <c r="B2864" s="31" t="s">
        <v>1197</v>
      </c>
      <c r="C2864" s="32" t="s">
        <v>1198</v>
      </c>
      <c r="D2864" s="324"/>
      <c r="E2864" s="324"/>
      <c r="F2864" s="324"/>
      <c r="G2864" s="324"/>
      <c r="H2864" s="324"/>
      <c r="I2864" s="324"/>
      <c r="J2864" s="324"/>
      <c r="K2864" s="324"/>
      <c r="L2864" s="324"/>
      <c r="M2864" s="324"/>
      <c r="N2864" s="324"/>
      <c r="O2864" s="324"/>
      <c r="P2864" s="324"/>
      <c r="Q2864" s="324"/>
      <c r="R2864" s="324"/>
      <c r="S2864" s="324"/>
      <c r="T2864" s="324"/>
      <c r="U2864" s="324"/>
      <c r="V2864" s="324"/>
      <c r="W2864" s="324"/>
      <c r="X2864" s="324"/>
      <c r="Y2864" s="324"/>
      <c r="Z2864" s="324"/>
      <c r="AA2864" s="324"/>
      <c r="AB2864" s="22">
        <f t="shared" si="874"/>
        <v>0</v>
      </c>
      <c r="AC2864" s="23">
        <v>0</v>
      </c>
      <c r="AD2864" s="35"/>
      <c r="AE2864" s="35"/>
      <c r="AF2864" s="35"/>
      <c r="AG2864" s="35"/>
      <c r="AH2864" s="35">
        <v>2</v>
      </c>
      <c r="AI2864" s="35"/>
      <c r="AJ2864" s="35"/>
      <c r="AK2864" s="35"/>
      <c r="AL2864" s="35"/>
      <c r="AM2864" s="35"/>
      <c r="AN2864" s="35"/>
      <c r="AO2864" s="35"/>
      <c r="AP2864" s="35">
        <v>4</v>
      </c>
      <c r="AQ2864" s="35"/>
      <c r="AR2864" s="35"/>
      <c r="AS2864" s="35"/>
      <c r="AT2864" s="35"/>
      <c r="AU2864" s="35"/>
      <c r="AV2864" s="35"/>
      <c r="AW2864" s="35"/>
      <c r="AX2864" s="35"/>
      <c r="AY2864" s="35"/>
      <c r="AZ2864" s="35"/>
      <c r="BA2864" s="35"/>
      <c r="BB2864" s="22">
        <f t="shared" si="875"/>
        <v>6</v>
      </c>
      <c r="BC2864" s="23">
        <v>36</v>
      </c>
      <c r="BD2864" s="130">
        <f t="shared" si="876"/>
        <v>6</v>
      </c>
      <c r="BE2864" s="130">
        <f t="shared" si="877"/>
        <v>36</v>
      </c>
      <c r="BF2864" s="195">
        <f t="shared" si="878"/>
        <v>16.666666666666664</v>
      </c>
      <c r="BG2864" s="373">
        <f t="shared" ref="BG2864:BG2886" si="880">BE2864-BD2864</f>
        <v>30</v>
      </c>
    </row>
    <row r="2865" spans="1:59" s="46" customFormat="1" ht="15.95" customHeight="1">
      <c r="A2865" s="176">
        <v>86</v>
      </c>
      <c r="B2865" s="31" t="s">
        <v>1251</v>
      </c>
      <c r="C2865" s="32" t="s">
        <v>1252</v>
      </c>
      <c r="D2865" s="339"/>
      <c r="E2865" s="339"/>
      <c r="F2865" s="339"/>
      <c r="G2865" s="339"/>
      <c r="H2865" s="339"/>
      <c r="I2865" s="339"/>
      <c r="J2865" s="339"/>
      <c r="K2865" s="339"/>
      <c r="L2865" s="339"/>
      <c r="M2865" s="339"/>
      <c r="N2865" s="339"/>
      <c r="O2865" s="339"/>
      <c r="P2865" s="339"/>
      <c r="Q2865" s="339"/>
      <c r="R2865" s="339"/>
      <c r="S2865" s="339"/>
      <c r="T2865" s="339"/>
      <c r="U2865" s="339"/>
      <c r="V2865" s="339"/>
      <c r="W2865" s="339"/>
      <c r="X2865" s="339"/>
      <c r="Y2865" s="339"/>
      <c r="Z2865" s="339"/>
      <c r="AA2865" s="339"/>
      <c r="AB2865" s="22">
        <f t="shared" si="874"/>
        <v>0</v>
      </c>
      <c r="AC2865" s="23">
        <v>0</v>
      </c>
      <c r="AD2865" s="35"/>
      <c r="AE2865" s="35"/>
      <c r="AF2865" s="35"/>
      <c r="AG2865" s="35"/>
      <c r="AH2865" s="35"/>
      <c r="AI2865" s="35"/>
      <c r="AJ2865" s="35"/>
      <c r="AK2865" s="35"/>
      <c r="AL2865" s="35">
        <v>1</v>
      </c>
      <c r="AM2865" s="35"/>
      <c r="AN2865" s="35"/>
      <c r="AO2865" s="35"/>
      <c r="AP2865" s="35">
        <v>1</v>
      </c>
      <c r="AQ2865" s="35"/>
      <c r="AR2865" s="35"/>
      <c r="AS2865" s="35"/>
      <c r="AT2865" s="35"/>
      <c r="AU2865" s="35"/>
      <c r="AV2865" s="35"/>
      <c r="AW2865" s="35"/>
      <c r="AX2865" s="35"/>
      <c r="AY2865" s="35"/>
      <c r="AZ2865" s="35"/>
      <c r="BA2865" s="35"/>
      <c r="BB2865" s="22">
        <f t="shared" si="875"/>
        <v>2</v>
      </c>
      <c r="BC2865" s="23">
        <v>8</v>
      </c>
      <c r="BD2865" s="130">
        <f t="shared" si="876"/>
        <v>2</v>
      </c>
      <c r="BE2865" s="130">
        <f t="shared" si="877"/>
        <v>8</v>
      </c>
      <c r="BF2865" s="195">
        <f t="shared" si="878"/>
        <v>25</v>
      </c>
      <c r="BG2865" s="373">
        <f t="shared" si="880"/>
        <v>6</v>
      </c>
    </row>
    <row r="2866" spans="1:59" s="46" customFormat="1" ht="15.95" customHeight="1">
      <c r="A2866" s="176">
        <v>87</v>
      </c>
      <c r="B2866" s="31" t="s">
        <v>1016</v>
      </c>
      <c r="C2866" s="32" t="s">
        <v>1017</v>
      </c>
      <c r="D2866" s="231"/>
      <c r="E2866" s="231"/>
      <c r="F2866" s="231"/>
      <c r="G2866" s="231"/>
      <c r="H2866" s="231"/>
      <c r="I2866" s="231"/>
      <c r="J2866" s="231"/>
      <c r="K2866" s="231"/>
      <c r="L2866" s="231"/>
      <c r="M2866" s="231"/>
      <c r="N2866" s="231"/>
      <c r="O2866" s="231"/>
      <c r="P2866" s="231"/>
      <c r="Q2866" s="231"/>
      <c r="R2866" s="231"/>
      <c r="S2866" s="231"/>
      <c r="T2866" s="231"/>
      <c r="U2866" s="231"/>
      <c r="V2866" s="231"/>
      <c r="W2866" s="231"/>
      <c r="X2866" s="231"/>
      <c r="Y2866" s="231"/>
      <c r="Z2866" s="231"/>
      <c r="AA2866" s="231"/>
      <c r="AB2866" s="22">
        <f t="shared" si="874"/>
        <v>0</v>
      </c>
      <c r="AC2866" s="23">
        <v>0</v>
      </c>
      <c r="AD2866" s="35"/>
      <c r="AE2866" s="35"/>
      <c r="AF2866" s="35"/>
      <c r="AG2866" s="35"/>
      <c r="AH2866" s="35">
        <v>4</v>
      </c>
      <c r="AI2866" s="35"/>
      <c r="AJ2866" s="35"/>
      <c r="AK2866" s="35"/>
      <c r="AL2866" s="35">
        <v>28</v>
      </c>
      <c r="AM2866" s="35"/>
      <c r="AN2866" s="35"/>
      <c r="AO2866" s="35"/>
      <c r="AP2866" s="35">
        <v>17</v>
      </c>
      <c r="AQ2866" s="35"/>
      <c r="AR2866" s="35"/>
      <c r="AS2866" s="35"/>
      <c r="AT2866" s="35"/>
      <c r="AU2866" s="35"/>
      <c r="AV2866" s="35"/>
      <c r="AW2866" s="35"/>
      <c r="AX2866" s="35"/>
      <c r="AY2866" s="35"/>
      <c r="AZ2866" s="35"/>
      <c r="BA2866" s="35"/>
      <c r="BB2866" s="22">
        <f t="shared" si="875"/>
        <v>49</v>
      </c>
      <c r="BC2866" s="23">
        <v>131</v>
      </c>
      <c r="BD2866" s="130">
        <f t="shared" si="876"/>
        <v>49</v>
      </c>
      <c r="BE2866" s="130">
        <f t="shared" si="877"/>
        <v>131</v>
      </c>
      <c r="BF2866" s="195">
        <f t="shared" si="878"/>
        <v>37.404580152671755</v>
      </c>
      <c r="BG2866" s="373">
        <f t="shared" si="880"/>
        <v>82</v>
      </c>
    </row>
    <row r="2867" spans="1:59" s="46" customFormat="1" ht="15.95" customHeight="1">
      <c r="A2867" s="176">
        <v>88</v>
      </c>
      <c r="B2867" s="31" t="s">
        <v>1347</v>
      </c>
      <c r="C2867" s="32" t="s">
        <v>1348</v>
      </c>
      <c r="D2867" s="231"/>
      <c r="E2867" s="231"/>
      <c r="F2867" s="231"/>
      <c r="G2867" s="231"/>
      <c r="H2867" s="231"/>
      <c r="I2867" s="231"/>
      <c r="J2867" s="231"/>
      <c r="K2867" s="231"/>
      <c r="L2867" s="231"/>
      <c r="M2867" s="231"/>
      <c r="N2867" s="231"/>
      <c r="O2867" s="231"/>
      <c r="P2867" s="231"/>
      <c r="Q2867" s="231"/>
      <c r="R2867" s="231"/>
      <c r="S2867" s="231"/>
      <c r="T2867" s="231"/>
      <c r="U2867" s="231"/>
      <c r="V2867" s="231"/>
      <c r="W2867" s="231"/>
      <c r="X2867" s="231"/>
      <c r="Y2867" s="231"/>
      <c r="Z2867" s="231"/>
      <c r="AA2867" s="231"/>
      <c r="AB2867" s="22">
        <f t="shared" si="874"/>
        <v>0</v>
      </c>
      <c r="AC2867" s="23">
        <v>0</v>
      </c>
      <c r="AD2867" s="35"/>
      <c r="AE2867" s="35"/>
      <c r="AF2867" s="35"/>
      <c r="AG2867" s="35"/>
      <c r="AH2867" s="35">
        <v>1</v>
      </c>
      <c r="AI2867" s="35"/>
      <c r="AJ2867" s="35"/>
      <c r="AK2867" s="35"/>
      <c r="AL2867" s="35"/>
      <c r="AM2867" s="35"/>
      <c r="AN2867" s="35"/>
      <c r="AO2867" s="35"/>
      <c r="AP2867" s="35">
        <v>5</v>
      </c>
      <c r="AQ2867" s="35"/>
      <c r="AR2867" s="35"/>
      <c r="AS2867" s="35"/>
      <c r="AT2867" s="35"/>
      <c r="AU2867" s="35"/>
      <c r="AV2867" s="35"/>
      <c r="AW2867" s="35"/>
      <c r="AX2867" s="35"/>
      <c r="AY2867" s="35"/>
      <c r="AZ2867" s="35"/>
      <c r="BA2867" s="35"/>
      <c r="BB2867" s="22">
        <f t="shared" si="875"/>
        <v>6</v>
      </c>
      <c r="BC2867" s="23">
        <v>20</v>
      </c>
      <c r="BD2867" s="130">
        <f t="shared" si="876"/>
        <v>6</v>
      </c>
      <c r="BE2867" s="130">
        <f t="shared" si="877"/>
        <v>20</v>
      </c>
      <c r="BF2867" s="195">
        <f t="shared" si="878"/>
        <v>30</v>
      </c>
      <c r="BG2867" s="373">
        <f t="shared" si="880"/>
        <v>14</v>
      </c>
    </row>
    <row r="2868" spans="1:59" s="46" customFormat="1" ht="15.95" customHeight="1">
      <c r="A2868" s="176">
        <v>89</v>
      </c>
      <c r="B2868" s="31" t="s">
        <v>950</v>
      </c>
      <c r="C2868" s="32" t="s">
        <v>951</v>
      </c>
      <c r="D2868" s="231"/>
      <c r="E2868" s="231"/>
      <c r="F2868" s="231"/>
      <c r="G2868" s="231"/>
      <c r="H2868" s="231"/>
      <c r="I2868" s="231"/>
      <c r="J2868" s="231"/>
      <c r="K2868" s="231"/>
      <c r="L2868" s="231"/>
      <c r="M2868" s="231"/>
      <c r="N2868" s="231"/>
      <c r="O2868" s="231"/>
      <c r="P2868" s="231"/>
      <c r="Q2868" s="231"/>
      <c r="R2868" s="231"/>
      <c r="S2868" s="231"/>
      <c r="T2868" s="231"/>
      <c r="U2868" s="231"/>
      <c r="V2868" s="231"/>
      <c r="W2868" s="231"/>
      <c r="X2868" s="231"/>
      <c r="Y2868" s="231"/>
      <c r="Z2868" s="231"/>
      <c r="AA2868" s="231"/>
      <c r="AB2868" s="22">
        <f t="shared" si="874"/>
        <v>0</v>
      </c>
      <c r="AC2868" s="23">
        <v>0</v>
      </c>
      <c r="AD2868" s="35"/>
      <c r="AE2868" s="35"/>
      <c r="AF2868" s="35"/>
      <c r="AG2868" s="35"/>
      <c r="AH2868" s="35"/>
      <c r="AI2868" s="35"/>
      <c r="AJ2868" s="35"/>
      <c r="AK2868" s="35"/>
      <c r="AL2868" s="35">
        <v>14</v>
      </c>
      <c r="AM2868" s="35"/>
      <c r="AN2868" s="35"/>
      <c r="AO2868" s="35"/>
      <c r="AP2868" s="35">
        <v>5</v>
      </c>
      <c r="AQ2868" s="35"/>
      <c r="AR2868" s="35"/>
      <c r="AS2868" s="35"/>
      <c r="AT2868" s="35"/>
      <c r="AU2868" s="35"/>
      <c r="AV2868" s="35"/>
      <c r="AW2868" s="35"/>
      <c r="AX2868" s="35"/>
      <c r="AY2868" s="35"/>
      <c r="AZ2868" s="35"/>
      <c r="BA2868" s="35"/>
      <c r="BB2868" s="22">
        <f t="shared" si="875"/>
        <v>19</v>
      </c>
      <c r="BC2868" s="23">
        <v>57</v>
      </c>
      <c r="BD2868" s="130">
        <f t="shared" si="876"/>
        <v>19</v>
      </c>
      <c r="BE2868" s="130">
        <f t="shared" si="877"/>
        <v>57</v>
      </c>
      <c r="BF2868" s="195">
        <f t="shared" si="878"/>
        <v>33.333333333333329</v>
      </c>
      <c r="BG2868" s="373">
        <f t="shared" si="880"/>
        <v>38</v>
      </c>
    </row>
    <row r="2869" spans="1:59" s="46" customFormat="1" ht="15.95" customHeight="1">
      <c r="A2869" s="176">
        <v>90</v>
      </c>
      <c r="B2869" s="31" t="s">
        <v>952</v>
      </c>
      <c r="C2869" s="32" t="s">
        <v>953</v>
      </c>
      <c r="D2869" s="231"/>
      <c r="E2869" s="231"/>
      <c r="F2869" s="231"/>
      <c r="G2869" s="231"/>
      <c r="H2869" s="231"/>
      <c r="I2869" s="231"/>
      <c r="J2869" s="231"/>
      <c r="K2869" s="231"/>
      <c r="L2869" s="231"/>
      <c r="M2869" s="231"/>
      <c r="N2869" s="231"/>
      <c r="O2869" s="231"/>
      <c r="P2869" s="231"/>
      <c r="Q2869" s="231"/>
      <c r="R2869" s="231"/>
      <c r="S2869" s="231"/>
      <c r="T2869" s="231"/>
      <c r="U2869" s="231"/>
      <c r="V2869" s="231"/>
      <c r="W2869" s="231"/>
      <c r="X2869" s="231"/>
      <c r="Y2869" s="231"/>
      <c r="Z2869" s="231"/>
      <c r="AA2869" s="231"/>
      <c r="AB2869" s="22">
        <f t="shared" si="874"/>
        <v>0</v>
      </c>
      <c r="AC2869" s="23">
        <v>0</v>
      </c>
      <c r="AD2869" s="35"/>
      <c r="AE2869" s="35"/>
      <c r="AF2869" s="35"/>
      <c r="AG2869" s="35"/>
      <c r="AH2869" s="35">
        <v>2</v>
      </c>
      <c r="AI2869" s="35"/>
      <c r="AJ2869" s="35"/>
      <c r="AK2869" s="35"/>
      <c r="AL2869" s="35">
        <v>7</v>
      </c>
      <c r="AM2869" s="35"/>
      <c r="AN2869" s="35"/>
      <c r="AO2869" s="35"/>
      <c r="AP2869" s="35">
        <v>5</v>
      </c>
      <c r="AQ2869" s="35"/>
      <c r="AR2869" s="35"/>
      <c r="AS2869" s="35"/>
      <c r="AT2869" s="35"/>
      <c r="AU2869" s="35"/>
      <c r="AV2869" s="35"/>
      <c r="AW2869" s="35"/>
      <c r="AX2869" s="35"/>
      <c r="AY2869" s="35"/>
      <c r="AZ2869" s="35"/>
      <c r="BA2869" s="35"/>
      <c r="BB2869" s="22">
        <f t="shared" si="875"/>
        <v>14</v>
      </c>
      <c r="BC2869" s="23">
        <v>33</v>
      </c>
      <c r="BD2869" s="130">
        <f t="shared" si="876"/>
        <v>14</v>
      </c>
      <c r="BE2869" s="130">
        <f t="shared" si="877"/>
        <v>33</v>
      </c>
      <c r="BF2869" s="195">
        <f t="shared" si="878"/>
        <v>42.424242424242422</v>
      </c>
      <c r="BG2869" s="373">
        <f t="shared" si="880"/>
        <v>19</v>
      </c>
    </row>
    <row r="2870" spans="1:59" s="46" customFormat="1" ht="15.95" customHeight="1">
      <c r="A2870" s="176">
        <v>91</v>
      </c>
      <c r="B2870" s="31" t="s">
        <v>954</v>
      </c>
      <c r="C2870" s="32" t="s">
        <v>955</v>
      </c>
      <c r="D2870" s="231"/>
      <c r="E2870" s="231"/>
      <c r="F2870" s="231"/>
      <c r="G2870" s="231"/>
      <c r="H2870" s="231"/>
      <c r="I2870" s="231"/>
      <c r="J2870" s="231"/>
      <c r="K2870" s="231"/>
      <c r="L2870" s="231"/>
      <c r="M2870" s="231"/>
      <c r="N2870" s="231"/>
      <c r="O2870" s="231"/>
      <c r="P2870" s="231"/>
      <c r="Q2870" s="231"/>
      <c r="R2870" s="231"/>
      <c r="S2870" s="231"/>
      <c r="T2870" s="231"/>
      <c r="U2870" s="231"/>
      <c r="V2870" s="231"/>
      <c r="W2870" s="231"/>
      <c r="X2870" s="231"/>
      <c r="Y2870" s="231"/>
      <c r="Z2870" s="231"/>
      <c r="AA2870" s="231"/>
      <c r="AB2870" s="22">
        <f t="shared" si="874"/>
        <v>0</v>
      </c>
      <c r="AC2870" s="23">
        <v>0</v>
      </c>
      <c r="AD2870" s="35"/>
      <c r="AE2870" s="35"/>
      <c r="AF2870" s="35"/>
      <c r="AG2870" s="35"/>
      <c r="AH2870" s="35">
        <v>1</v>
      </c>
      <c r="AI2870" s="35"/>
      <c r="AJ2870" s="35"/>
      <c r="AK2870" s="35"/>
      <c r="AL2870" s="35">
        <v>3</v>
      </c>
      <c r="AM2870" s="35"/>
      <c r="AN2870" s="35"/>
      <c r="AO2870" s="35"/>
      <c r="AP2870" s="35">
        <v>3</v>
      </c>
      <c r="AQ2870" s="35"/>
      <c r="AR2870" s="35"/>
      <c r="AS2870" s="35"/>
      <c r="AT2870" s="35"/>
      <c r="AU2870" s="35"/>
      <c r="AV2870" s="35"/>
      <c r="AW2870" s="35"/>
      <c r="AX2870" s="35"/>
      <c r="AY2870" s="35"/>
      <c r="AZ2870" s="35"/>
      <c r="BA2870" s="35"/>
      <c r="BB2870" s="22">
        <f t="shared" si="875"/>
        <v>7</v>
      </c>
      <c r="BC2870" s="23">
        <v>19</v>
      </c>
      <c r="BD2870" s="130">
        <f t="shared" si="876"/>
        <v>7</v>
      </c>
      <c r="BE2870" s="130">
        <f t="shared" si="877"/>
        <v>19</v>
      </c>
      <c r="BF2870" s="195">
        <f t="shared" si="878"/>
        <v>36.84210526315789</v>
      </c>
      <c r="BG2870" s="373">
        <f t="shared" si="880"/>
        <v>12</v>
      </c>
    </row>
    <row r="2871" spans="1:59" s="46" customFormat="1" ht="15.95" customHeight="1">
      <c r="A2871" s="176">
        <v>92</v>
      </c>
      <c r="B2871" s="31" t="s">
        <v>1349</v>
      </c>
      <c r="C2871" s="32" t="s">
        <v>1397</v>
      </c>
      <c r="D2871" s="231"/>
      <c r="E2871" s="231"/>
      <c r="F2871" s="231"/>
      <c r="G2871" s="231"/>
      <c r="H2871" s="231"/>
      <c r="I2871" s="231"/>
      <c r="J2871" s="231"/>
      <c r="K2871" s="231"/>
      <c r="L2871" s="231"/>
      <c r="M2871" s="231"/>
      <c r="N2871" s="231"/>
      <c r="O2871" s="231"/>
      <c r="P2871" s="231"/>
      <c r="Q2871" s="231"/>
      <c r="R2871" s="231"/>
      <c r="S2871" s="231"/>
      <c r="T2871" s="231"/>
      <c r="U2871" s="231"/>
      <c r="V2871" s="231"/>
      <c r="W2871" s="231"/>
      <c r="X2871" s="231"/>
      <c r="Y2871" s="231"/>
      <c r="Z2871" s="231"/>
      <c r="AA2871" s="231"/>
      <c r="AB2871" s="22">
        <f t="shared" si="874"/>
        <v>0</v>
      </c>
      <c r="AC2871" s="23">
        <v>0</v>
      </c>
      <c r="AD2871" s="35"/>
      <c r="AE2871" s="35"/>
      <c r="AF2871" s="35"/>
      <c r="AG2871" s="35"/>
      <c r="AH2871" s="35"/>
      <c r="AI2871" s="35"/>
      <c r="AJ2871" s="35"/>
      <c r="AK2871" s="35"/>
      <c r="AL2871" s="35">
        <v>5</v>
      </c>
      <c r="AM2871" s="35"/>
      <c r="AN2871" s="35"/>
      <c r="AO2871" s="35"/>
      <c r="AP2871" s="35">
        <f>1+4</f>
        <v>5</v>
      </c>
      <c r="AQ2871" s="35"/>
      <c r="AR2871" s="35"/>
      <c r="AS2871" s="35"/>
      <c r="AT2871" s="35"/>
      <c r="AU2871" s="35"/>
      <c r="AV2871" s="35"/>
      <c r="AW2871" s="35"/>
      <c r="AX2871" s="35"/>
      <c r="AY2871" s="35"/>
      <c r="AZ2871" s="35"/>
      <c r="BA2871" s="35"/>
      <c r="BB2871" s="22">
        <f t="shared" si="875"/>
        <v>10</v>
      </c>
      <c r="BC2871" s="23">
        <v>18</v>
      </c>
      <c r="BD2871" s="130">
        <f t="shared" si="876"/>
        <v>10</v>
      </c>
      <c r="BE2871" s="130">
        <f t="shared" si="877"/>
        <v>18</v>
      </c>
      <c r="BF2871" s="195">
        <f t="shared" si="878"/>
        <v>55.555555555555557</v>
      </c>
      <c r="BG2871" s="373">
        <f t="shared" si="880"/>
        <v>8</v>
      </c>
    </row>
    <row r="2872" spans="1:59" s="46" customFormat="1" ht="15.95" customHeight="1">
      <c r="A2872" s="176">
        <v>93</v>
      </c>
      <c r="B2872" s="31" t="s">
        <v>1398</v>
      </c>
      <c r="C2872" s="32" t="s">
        <v>1399</v>
      </c>
      <c r="D2872" s="231"/>
      <c r="E2872" s="231"/>
      <c r="F2872" s="231"/>
      <c r="G2872" s="231"/>
      <c r="H2872" s="231"/>
      <c r="I2872" s="231"/>
      <c r="J2872" s="231"/>
      <c r="K2872" s="231"/>
      <c r="L2872" s="231"/>
      <c r="M2872" s="231"/>
      <c r="N2872" s="231"/>
      <c r="O2872" s="231"/>
      <c r="P2872" s="231"/>
      <c r="Q2872" s="231"/>
      <c r="R2872" s="231"/>
      <c r="S2872" s="231"/>
      <c r="T2872" s="231"/>
      <c r="U2872" s="231"/>
      <c r="V2872" s="231"/>
      <c r="W2872" s="231"/>
      <c r="X2872" s="231"/>
      <c r="Y2872" s="231"/>
      <c r="Z2872" s="231"/>
      <c r="AA2872" s="231"/>
      <c r="AB2872" s="22">
        <f t="shared" si="874"/>
        <v>0</v>
      </c>
      <c r="AC2872" s="23">
        <v>0</v>
      </c>
      <c r="AD2872" s="35"/>
      <c r="AE2872" s="35"/>
      <c r="AF2872" s="35"/>
      <c r="AG2872" s="35"/>
      <c r="AH2872" s="35"/>
      <c r="AI2872" s="35"/>
      <c r="AJ2872" s="35"/>
      <c r="AK2872" s="35"/>
      <c r="AL2872" s="35"/>
      <c r="AM2872" s="35"/>
      <c r="AN2872" s="35"/>
      <c r="AO2872" s="35"/>
      <c r="AP2872" s="35">
        <v>2</v>
      </c>
      <c r="AQ2872" s="35"/>
      <c r="AR2872" s="35"/>
      <c r="AS2872" s="35"/>
      <c r="AT2872" s="35"/>
      <c r="AU2872" s="35"/>
      <c r="AV2872" s="35"/>
      <c r="AW2872" s="35"/>
      <c r="AX2872" s="35"/>
      <c r="AY2872" s="35"/>
      <c r="AZ2872" s="35"/>
      <c r="BA2872" s="35"/>
      <c r="BB2872" s="22">
        <f t="shared" si="875"/>
        <v>2</v>
      </c>
      <c r="BC2872" s="23">
        <v>2</v>
      </c>
      <c r="BD2872" s="130">
        <f t="shared" si="876"/>
        <v>2</v>
      </c>
      <c r="BE2872" s="130">
        <f t="shared" si="877"/>
        <v>2</v>
      </c>
      <c r="BF2872" s="195">
        <f t="shared" si="878"/>
        <v>100</v>
      </c>
      <c r="BG2872" s="373">
        <f t="shared" si="880"/>
        <v>0</v>
      </c>
    </row>
    <row r="2873" spans="1:59" s="46" customFormat="1" ht="15.95" customHeight="1">
      <c r="A2873" s="176">
        <v>94</v>
      </c>
      <c r="B2873" s="31" t="s">
        <v>959</v>
      </c>
      <c r="C2873" s="32" t="s">
        <v>1252</v>
      </c>
      <c r="D2873" s="231"/>
      <c r="E2873" s="231"/>
      <c r="F2873" s="231"/>
      <c r="G2873" s="231"/>
      <c r="H2873" s="231"/>
      <c r="I2873" s="231"/>
      <c r="J2873" s="231"/>
      <c r="K2873" s="231"/>
      <c r="L2873" s="231"/>
      <c r="M2873" s="231"/>
      <c r="N2873" s="231"/>
      <c r="O2873" s="231"/>
      <c r="P2873" s="231"/>
      <c r="Q2873" s="231"/>
      <c r="R2873" s="231"/>
      <c r="S2873" s="231"/>
      <c r="T2873" s="231"/>
      <c r="U2873" s="231"/>
      <c r="V2873" s="231"/>
      <c r="W2873" s="231"/>
      <c r="X2873" s="231"/>
      <c r="Y2873" s="231"/>
      <c r="Z2873" s="231"/>
      <c r="AA2873" s="231"/>
      <c r="AB2873" s="22">
        <f t="shared" si="874"/>
        <v>0</v>
      </c>
      <c r="AC2873" s="23">
        <v>0</v>
      </c>
      <c r="AD2873" s="35"/>
      <c r="AE2873" s="35"/>
      <c r="AF2873" s="35"/>
      <c r="AG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  <c r="AX2873" s="35"/>
      <c r="AY2873" s="35"/>
      <c r="AZ2873" s="35"/>
      <c r="BA2873" s="35"/>
      <c r="BB2873" s="22">
        <f t="shared" si="875"/>
        <v>0</v>
      </c>
      <c r="BC2873" s="23">
        <v>2</v>
      </c>
      <c r="BD2873" s="130">
        <f t="shared" si="876"/>
        <v>0</v>
      </c>
      <c r="BE2873" s="130">
        <f t="shared" si="877"/>
        <v>2</v>
      </c>
      <c r="BF2873" s="195">
        <f t="shared" si="878"/>
        <v>0</v>
      </c>
      <c r="BG2873" s="373">
        <f t="shared" si="880"/>
        <v>2</v>
      </c>
    </row>
    <row r="2874" spans="1:59" s="46" customFormat="1" ht="15.95" customHeight="1">
      <c r="A2874" s="176">
        <v>95</v>
      </c>
      <c r="B2874" s="31" t="s">
        <v>961</v>
      </c>
      <c r="C2874" s="32" t="s">
        <v>1017</v>
      </c>
      <c r="D2874" s="231"/>
      <c r="E2874" s="231"/>
      <c r="F2874" s="231"/>
      <c r="G2874" s="231"/>
      <c r="H2874" s="231"/>
      <c r="I2874" s="231"/>
      <c r="J2874" s="231"/>
      <c r="K2874" s="231"/>
      <c r="L2874" s="231"/>
      <c r="M2874" s="231"/>
      <c r="N2874" s="231"/>
      <c r="O2874" s="231"/>
      <c r="P2874" s="231"/>
      <c r="Q2874" s="231"/>
      <c r="R2874" s="231"/>
      <c r="S2874" s="231"/>
      <c r="T2874" s="231"/>
      <c r="U2874" s="231"/>
      <c r="V2874" s="231"/>
      <c r="W2874" s="231"/>
      <c r="X2874" s="231"/>
      <c r="Y2874" s="231"/>
      <c r="Z2874" s="231"/>
      <c r="AA2874" s="231"/>
      <c r="AB2874" s="22">
        <f t="shared" si="874"/>
        <v>0</v>
      </c>
      <c r="AC2874" s="23">
        <v>0</v>
      </c>
      <c r="AD2874" s="35"/>
      <c r="AE2874" s="35"/>
      <c r="AF2874" s="35"/>
      <c r="AG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  <c r="AX2874" s="35"/>
      <c r="AY2874" s="35"/>
      <c r="AZ2874" s="35"/>
      <c r="BA2874" s="35"/>
      <c r="BB2874" s="22">
        <f t="shared" si="875"/>
        <v>0</v>
      </c>
      <c r="BC2874" s="23">
        <v>1</v>
      </c>
      <c r="BD2874" s="130">
        <f t="shared" si="876"/>
        <v>0</v>
      </c>
      <c r="BE2874" s="130">
        <f t="shared" si="877"/>
        <v>1</v>
      </c>
      <c r="BF2874" s="195">
        <f t="shared" si="878"/>
        <v>0</v>
      </c>
      <c r="BG2874" s="373">
        <f t="shared" si="880"/>
        <v>1</v>
      </c>
    </row>
    <row r="2875" spans="1:59" s="46" customFormat="1" ht="15.95" customHeight="1">
      <c r="A2875" s="176">
        <v>96</v>
      </c>
      <c r="B2875" s="31" t="s">
        <v>1355</v>
      </c>
      <c r="C2875" s="32" t="s">
        <v>1505</v>
      </c>
      <c r="D2875" s="231"/>
      <c r="E2875" s="231"/>
      <c r="F2875" s="231"/>
      <c r="G2875" s="231"/>
      <c r="H2875" s="231"/>
      <c r="I2875" s="231"/>
      <c r="J2875" s="231"/>
      <c r="K2875" s="231"/>
      <c r="L2875" s="231"/>
      <c r="M2875" s="231"/>
      <c r="N2875" s="231"/>
      <c r="O2875" s="231"/>
      <c r="P2875" s="231"/>
      <c r="Q2875" s="231"/>
      <c r="R2875" s="231"/>
      <c r="S2875" s="231"/>
      <c r="T2875" s="231"/>
      <c r="U2875" s="231"/>
      <c r="V2875" s="231"/>
      <c r="W2875" s="231"/>
      <c r="X2875" s="231"/>
      <c r="Y2875" s="231"/>
      <c r="Z2875" s="231"/>
      <c r="AA2875" s="231"/>
      <c r="AB2875" s="22">
        <f t="shared" si="874"/>
        <v>0</v>
      </c>
      <c r="AC2875" s="23">
        <v>0</v>
      </c>
      <c r="AD2875" s="35"/>
      <c r="AE2875" s="35"/>
      <c r="AF2875" s="35"/>
      <c r="AG2875" s="35"/>
      <c r="AH2875" s="35">
        <v>1</v>
      </c>
      <c r="AI2875" s="35"/>
      <c r="AJ2875" s="35"/>
      <c r="AK2875" s="35"/>
      <c r="AL2875" s="35">
        <v>1</v>
      </c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  <c r="AX2875" s="35"/>
      <c r="AY2875" s="35"/>
      <c r="AZ2875" s="35"/>
      <c r="BA2875" s="35"/>
      <c r="BB2875" s="22">
        <f t="shared" si="875"/>
        <v>2</v>
      </c>
      <c r="BC2875" s="23">
        <v>5</v>
      </c>
      <c r="BD2875" s="130">
        <f t="shared" si="876"/>
        <v>2</v>
      </c>
      <c r="BE2875" s="130">
        <f t="shared" si="877"/>
        <v>5</v>
      </c>
      <c r="BF2875" s="195">
        <f t="shared" si="878"/>
        <v>40</v>
      </c>
      <c r="BG2875" s="373">
        <f t="shared" si="880"/>
        <v>3</v>
      </c>
    </row>
    <row r="2876" spans="1:59" s="46" customFormat="1" ht="15.95" customHeight="1">
      <c r="A2876" s="176">
        <v>97</v>
      </c>
      <c r="B2876" s="31" t="s">
        <v>965</v>
      </c>
      <c r="C2876" s="32" t="s">
        <v>966</v>
      </c>
      <c r="D2876" s="231"/>
      <c r="E2876" s="231"/>
      <c r="F2876" s="231"/>
      <c r="G2876" s="231"/>
      <c r="H2876" s="231"/>
      <c r="I2876" s="231"/>
      <c r="J2876" s="231"/>
      <c r="K2876" s="231"/>
      <c r="L2876" s="231"/>
      <c r="M2876" s="231"/>
      <c r="N2876" s="231"/>
      <c r="O2876" s="231"/>
      <c r="P2876" s="231"/>
      <c r="Q2876" s="231"/>
      <c r="R2876" s="231"/>
      <c r="S2876" s="231"/>
      <c r="T2876" s="231"/>
      <c r="U2876" s="231"/>
      <c r="V2876" s="231"/>
      <c r="W2876" s="231"/>
      <c r="X2876" s="231"/>
      <c r="Y2876" s="231"/>
      <c r="Z2876" s="231"/>
      <c r="AA2876" s="231"/>
      <c r="AB2876" s="22">
        <f t="shared" ref="AB2876:AB2907" si="881">SUM(D2876:AA2876)</f>
        <v>0</v>
      </c>
      <c r="AC2876" s="23">
        <v>0</v>
      </c>
      <c r="AD2876" s="35"/>
      <c r="AE2876" s="35"/>
      <c r="AF2876" s="35"/>
      <c r="AG2876" s="35"/>
      <c r="AH2876" s="35">
        <v>1</v>
      </c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  <c r="AX2876" s="35"/>
      <c r="AY2876" s="35"/>
      <c r="AZ2876" s="35"/>
      <c r="BA2876" s="35"/>
      <c r="BB2876" s="22">
        <f t="shared" ref="BB2876:BB2907" si="882">SUM(AD2876:BA2876)</f>
        <v>1</v>
      </c>
      <c r="BC2876" s="23">
        <v>5</v>
      </c>
      <c r="BD2876" s="130">
        <f t="shared" ref="BD2876:BD2907" si="883">AB2876+BB2876</f>
        <v>1</v>
      </c>
      <c r="BE2876" s="130">
        <f t="shared" ref="BE2876:BE2907" si="884">AC2876+BC2876</f>
        <v>5</v>
      </c>
      <c r="BF2876" s="195">
        <f t="shared" ref="BF2876:BF2907" si="885">BD2876/BE2876*100</f>
        <v>20</v>
      </c>
      <c r="BG2876" s="373">
        <f t="shared" si="880"/>
        <v>4</v>
      </c>
    </row>
    <row r="2877" spans="1:59" s="46" customFormat="1" ht="15.95" customHeight="1">
      <c r="A2877" s="176">
        <v>98</v>
      </c>
      <c r="B2877" s="31" t="s">
        <v>967</v>
      </c>
      <c r="C2877" s="32" t="s">
        <v>968</v>
      </c>
      <c r="D2877" s="231"/>
      <c r="E2877" s="231"/>
      <c r="F2877" s="231"/>
      <c r="G2877" s="231"/>
      <c r="H2877" s="231"/>
      <c r="I2877" s="231"/>
      <c r="J2877" s="231"/>
      <c r="K2877" s="231"/>
      <c r="L2877" s="231"/>
      <c r="M2877" s="231"/>
      <c r="N2877" s="231"/>
      <c r="O2877" s="231"/>
      <c r="P2877" s="231"/>
      <c r="Q2877" s="231"/>
      <c r="R2877" s="231"/>
      <c r="S2877" s="231"/>
      <c r="T2877" s="231"/>
      <c r="U2877" s="231"/>
      <c r="V2877" s="231"/>
      <c r="W2877" s="231"/>
      <c r="X2877" s="231"/>
      <c r="Y2877" s="231"/>
      <c r="Z2877" s="231"/>
      <c r="AA2877" s="231"/>
      <c r="AB2877" s="22">
        <f t="shared" si="881"/>
        <v>0</v>
      </c>
      <c r="AC2877" s="23">
        <v>0</v>
      </c>
      <c r="AD2877" s="35"/>
      <c r="AE2877" s="35"/>
      <c r="AF2877" s="35"/>
      <c r="AG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  <c r="AX2877" s="35"/>
      <c r="AY2877" s="35"/>
      <c r="AZ2877" s="35"/>
      <c r="BA2877" s="35"/>
      <c r="BB2877" s="22">
        <f t="shared" si="882"/>
        <v>0</v>
      </c>
      <c r="BC2877" s="23">
        <v>1</v>
      </c>
      <c r="BD2877" s="130">
        <f t="shared" si="883"/>
        <v>0</v>
      </c>
      <c r="BE2877" s="130">
        <f t="shared" si="884"/>
        <v>1</v>
      </c>
      <c r="BF2877" s="195">
        <f t="shared" si="885"/>
        <v>0</v>
      </c>
      <c r="BG2877" s="373">
        <f t="shared" si="880"/>
        <v>1</v>
      </c>
    </row>
    <row r="2878" spans="1:59" s="46" customFormat="1" ht="15.95" customHeight="1">
      <c r="A2878" s="176">
        <v>99</v>
      </c>
      <c r="B2878" s="31" t="s">
        <v>3322</v>
      </c>
      <c r="C2878" s="32" t="s">
        <v>2609</v>
      </c>
      <c r="D2878" s="254"/>
      <c r="E2878" s="254"/>
      <c r="F2878" s="254"/>
      <c r="G2878" s="254"/>
      <c r="H2878" s="254"/>
      <c r="I2878" s="254"/>
      <c r="J2878" s="254"/>
      <c r="K2878" s="254"/>
      <c r="L2878" s="254"/>
      <c r="M2878" s="254"/>
      <c r="N2878" s="254"/>
      <c r="O2878" s="254"/>
      <c r="P2878" s="254"/>
      <c r="Q2878" s="254"/>
      <c r="R2878" s="254"/>
      <c r="S2878" s="254"/>
      <c r="T2878" s="254"/>
      <c r="U2878" s="254"/>
      <c r="V2878" s="254"/>
      <c r="W2878" s="254"/>
      <c r="X2878" s="254"/>
      <c r="Y2878" s="254"/>
      <c r="Z2878" s="254"/>
      <c r="AA2878" s="254"/>
      <c r="AB2878" s="22">
        <f t="shared" si="881"/>
        <v>0</v>
      </c>
      <c r="AC2878" s="23">
        <v>0</v>
      </c>
      <c r="AD2878" s="35"/>
      <c r="AE2878" s="35"/>
      <c r="AF2878" s="35"/>
      <c r="AG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  <c r="AX2878" s="35"/>
      <c r="AY2878" s="35"/>
      <c r="AZ2878" s="35"/>
      <c r="BA2878" s="35"/>
      <c r="BB2878" s="22">
        <f t="shared" si="882"/>
        <v>0</v>
      </c>
      <c r="BC2878" s="23">
        <v>1</v>
      </c>
      <c r="BD2878" s="130">
        <f t="shared" si="883"/>
        <v>0</v>
      </c>
      <c r="BE2878" s="130">
        <f t="shared" si="884"/>
        <v>1</v>
      </c>
      <c r="BF2878" s="195">
        <f t="shared" si="885"/>
        <v>0</v>
      </c>
      <c r="BG2878" s="373">
        <f t="shared" si="880"/>
        <v>1</v>
      </c>
    </row>
    <row r="2879" spans="1:59" s="46" customFormat="1" ht="15.95" customHeight="1">
      <c r="A2879" s="176">
        <v>100</v>
      </c>
      <c r="B2879" s="31" t="s">
        <v>969</v>
      </c>
      <c r="C2879" s="32" t="s">
        <v>1086</v>
      </c>
      <c r="D2879" s="231"/>
      <c r="E2879" s="231"/>
      <c r="F2879" s="231"/>
      <c r="G2879" s="231"/>
      <c r="H2879" s="231"/>
      <c r="I2879" s="231"/>
      <c r="J2879" s="231"/>
      <c r="K2879" s="231"/>
      <c r="L2879" s="231"/>
      <c r="M2879" s="231"/>
      <c r="N2879" s="231"/>
      <c r="O2879" s="231"/>
      <c r="P2879" s="231"/>
      <c r="Q2879" s="231"/>
      <c r="R2879" s="231"/>
      <c r="S2879" s="231"/>
      <c r="T2879" s="231"/>
      <c r="U2879" s="231"/>
      <c r="V2879" s="231"/>
      <c r="W2879" s="231"/>
      <c r="X2879" s="231"/>
      <c r="Y2879" s="231"/>
      <c r="Z2879" s="231"/>
      <c r="AA2879" s="231"/>
      <c r="AB2879" s="22">
        <f t="shared" si="881"/>
        <v>0</v>
      </c>
      <c r="AC2879" s="23">
        <v>0</v>
      </c>
      <c r="AD2879" s="35">
        <v>20</v>
      </c>
      <c r="AE2879" s="35"/>
      <c r="AF2879" s="35"/>
      <c r="AG2879" s="35"/>
      <c r="AH2879" s="35">
        <f>2+16</f>
        <v>18</v>
      </c>
      <c r="AI2879" s="35"/>
      <c r="AJ2879" s="35"/>
      <c r="AK2879" s="35"/>
      <c r="AL2879" s="35">
        <v>88</v>
      </c>
      <c r="AM2879" s="35"/>
      <c r="AN2879" s="35"/>
      <c r="AO2879" s="35"/>
      <c r="AP2879" s="35">
        <v>91</v>
      </c>
      <c r="AQ2879" s="35"/>
      <c r="AR2879" s="35"/>
      <c r="AS2879" s="35"/>
      <c r="AT2879" s="35"/>
      <c r="AU2879" s="35"/>
      <c r="AV2879" s="35"/>
      <c r="AW2879" s="35"/>
      <c r="AX2879" s="35"/>
      <c r="AY2879" s="35"/>
      <c r="AZ2879" s="35"/>
      <c r="BA2879" s="35"/>
      <c r="BB2879" s="22">
        <f t="shared" si="882"/>
        <v>217</v>
      </c>
      <c r="BC2879" s="23">
        <v>658</v>
      </c>
      <c r="BD2879" s="130">
        <f t="shared" si="883"/>
        <v>217</v>
      </c>
      <c r="BE2879" s="130">
        <f t="shared" si="884"/>
        <v>658</v>
      </c>
      <c r="BF2879" s="195">
        <f t="shared" si="885"/>
        <v>32.978723404255319</v>
      </c>
      <c r="BG2879" s="373">
        <f t="shared" si="880"/>
        <v>441</v>
      </c>
    </row>
    <row r="2880" spans="1:59" s="46" customFormat="1" ht="15.95" customHeight="1">
      <c r="A2880" s="176">
        <v>101</v>
      </c>
      <c r="B2880" s="31" t="s">
        <v>2184</v>
      </c>
      <c r="C2880" s="34" t="s">
        <v>2923</v>
      </c>
      <c r="D2880" s="231"/>
      <c r="E2880" s="231"/>
      <c r="F2880" s="231"/>
      <c r="G2880" s="231"/>
      <c r="H2880" s="231"/>
      <c r="I2880" s="231"/>
      <c r="J2880" s="231"/>
      <c r="K2880" s="231"/>
      <c r="L2880" s="231"/>
      <c r="M2880" s="231"/>
      <c r="N2880" s="231"/>
      <c r="O2880" s="231"/>
      <c r="P2880" s="231"/>
      <c r="Q2880" s="231"/>
      <c r="R2880" s="231"/>
      <c r="S2880" s="231"/>
      <c r="T2880" s="231"/>
      <c r="U2880" s="231"/>
      <c r="V2880" s="231"/>
      <c r="W2880" s="231"/>
      <c r="X2880" s="231"/>
      <c r="Y2880" s="231"/>
      <c r="Z2880" s="231"/>
      <c r="AA2880" s="231"/>
      <c r="AB2880" s="22">
        <f t="shared" si="881"/>
        <v>0</v>
      </c>
      <c r="AC2880" s="23">
        <v>0</v>
      </c>
      <c r="AD2880" s="35"/>
      <c r="AE2880" s="35"/>
      <c r="AF2880" s="35"/>
      <c r="AG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  <c r="AX2880" s="35"/>
      <c r="AY2880" s="35"/>
      <c r="AZ2880" s="35"/>
      <c r="BA2880" s="35"/>
      <c r="BB2880" s="22">
        <f t="shared" si="882"/>
        <v>0</v>
      </c>
      <c r="BC2880" s="23">
        <v>1</v>
      </c>
      <c r="BD2880" s="130">
        <f t="shared" si="883"/>
        <v>0</v>
      </c>
      <c r="BE2880" s="130">
        <f t="shared" si="884"/>
        <v>1</v>
      </c>
      <c r="BF2880" s="195">
        <f t="shared" si="885"/>
        <v>0</v>
      </c>
      <c r="BG2880" s="373">
        <f t="shared" si="880"/>
        <v>1</v>
      </c>
    </row>
    <row r="2881" spans="1:59" s="46" customFormat="1" ht="15.95" customHeight="1">
      <c r="A2881" s="176">
        <v>102</v>
      </c>
      <c r="B2881" s="31" t="s">
        <v>1049</v>
      </c>
      <c r="C2881" s="34" t="s">
        <v>2177</v>
      </c>
      <c r="D2881" s="231"/>
      <c r="E2881" s="231"/>
      <c r="F2881" s="231"/>
      <c r="G2881" s="231"/>
      <c r="H2881" s="231"/>
      <c r="I2881" s="231"/>
      <c r="J2881" s="231"/>
      <c r="K2881" s="231"/>
      <c r="L2881" s="231"/>
      <c r="M2881" s="231"/>
      <c r="N2881" s="231"/>
      <c r="O2881" s="231"/>
      <c r="P2881" s="231"/>
      <c r="Q2881" s="231"/>
      <c r="R2881" s="231"/>
      <c r="S2881" s="231"/>
      <c r="T2881" s="231"/>
      <c r="U2881" s="231"/>
      <c r="V2881" s="231"/>
      <c r="W2881" s="231"/>
      <c r="X2881" s="231"/>
      <c r="Y2881" s="231"/>
      <c r="Z2881" s="231"/>
      <c r="AA2881" s="231"/>
      <c r="AB2881" s="22">
        <f t="shared" si="881"/>
        <v>0</v>
      </c>
      <c r="AC2881" s="23">
        <v>0</v>
      </c>
      <c r="AD2881" s="35">
        <v>10</v>
      </c>
      <c r="AE2881" s="35"/>
      <c r="AF2881" s="35"/>
      <c r="AG2881" s="35"/>
      <c r="AH2881" s="35">
        <f>6+1</f>
        <v>7</v>
      </c>
      <c r="AI2881" s="35"/>
      <c r="AJ2881" s="35"/>
      <c r="AK2881" s="35"/>
      <c r="AL2881" s="35">
        <f>1+1</f>
        <v>2</v>
      </c>
      <c r="AM2881" s="35"/>
      <c r="AN2881" s="35"/>
      <c r="AO2881" s="35"/>
      <c r="AP2881" s="35">
        <v>1</v>
      </c>
      <c r="AQ2881" s="35"/>
      <c r="AR2881" s="35"/>
      <c r="AS2881" s="35"/>
      <c r="AT2881" s="35"/>
      <c r="AU2881" s="35"/>
      <c r="AV2881" s="35"/>
      <c r="AW2881" s="35"/>
      <c r="AX2881" s="35"/>
      <c r="AY2881" s="35"/>
      <c r="AZ2881" s="35"/>
      <c r="BA2881" s="35"/>
      <c r="BB2881" s="22">
        <f t="shared" si="882"/>
        <v>20</v>
      </c>
      <c r="BC2881" s="23">
        <v>57</v>
      </c>
      <c r="BD2881" s="130">
        <f t="shared" si="883"/>
        <v>20</v>
      </c>
      <c r="BE2881" s="130">
        <f t="shared" si="884"/>
        <v>57</v>
      </c>
      <c r="BF2881" s="195">
        <f t="shared" si="885"/>
        <v>35.087719298245609</v>
      </c>
      <c r="BG2881" s="373">
        <f t="shared" si="880"/>
        <v>37</v>
      </c>
    </row>
    <row r="2882" spans="1:59" s="46" customFormat="1" ht="15.95" customHeight="1">
      <c r="A2882" s="176">
        <v>103</v>
      </c>
      <c r="B2882" s="31" t="s">
        <v>2336</v>
      </c>
      <c r="C2882" s="34" t="s">
        <v>2824</v>
      </c>
      <c r="D2882" s="231"/>
      <c r="E2882" s="231"/>
      <c r="F2882" s="231"/>
      <c r="G2882" s="231"/>
      <c r="H2882" s="231"/>
      <c r="I2882" s="231"/>
      <c r="J2882" s="231"/>
      <c r="K2882" s="231"/>
      <c r="L2882" s="231"/>
      <c r="M2882" s="231"/>
      <c r="N2882" s="231"/>
      <c r="O2882" s="231"/>
      <c r="P2882" s="231"/>
      <c r="Q2882" s="231"/>
      <c r="R2882" s="231"/>
      <c r="S2882" s="231"/>
      <c r="T2882" s="231"/>
      <c r="U2882" s="231"/>
      <c r="V2882" s="231"/>
      <c r="W2882" s="231"/>
      <c r="X2882" s="231"/>
      <c r="Y2882" s="231"/>
      <c r="Z2882" s="231"/>
      <c r="AA2882" s="231"/>
      <c r="AB2882" s="22">
        <f t="shared" si="881"/>
        <v>0</v>
      </c>
      <c r="AC2882" s="23">
        <v>0</v>
      </c>
      <c r="AD2882" s="35"/>
      <c r="AE2882" s="35"/>
      <c r="AF2882" s="35"/>
      <c r="AG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  <c r="AX2882" s="35"/>
      <c r="AY2882" s="35"/>
      <c r="AZ2882" s="35"/>
      <c r="BA2882" s="35"/>
      <c r="BB2882" s="22">
        <f t="shared" si="882"/>
        <v>0</v>
      </c>
      <c r="BC2882" s="23">
        <v>1</v>
      </c>
      <c r="BD2882" s="130">
        <f t="shared" si="883"/>
        <v>0</v>
      </c>
      <c r="BE2882" s="130">
        <f t="shared" si="884"/>
        <v>1</v>
      </c>
      <c r="BF2882" s="195">
        <f t="shared" si="885"/>
        <v>0</v>
      </c>
      <c r="BG2882" s="373">
        <f t="shared" si="880"/>
        <v>1</v>
      </c>
    </row>
    <row r="2883" spans="1:59" s="46" customFormat="1" ht="15.95" customHeight="1">
      <c r="A2883" s="176">
        <v>104</v>
      </c>
      <c r="B2883" s="31" t="s">
        <v>851</v>
      </c>
      <c r="C2883" s="36" t="s">
        <v>1359</v>
      </c>
      <c r="D2883" s="336"/>
      <c r="E2883" s="336"/>
      <c r="F2883" s="336"/>
      <c r="G2883" s="336"/>
      <c r="H2883" s="336"/>
      <c r="I2883" s="336"/>
      <c r="J2883" s="336"/>
      <c r="K2883" s="336"/>
      <c r="L2883" s="336"/>
      <c r="M2883" s="336"/>
      <c r="N2883" s="336"/>
      <c r="O2883" s="336"/>
      <c r="P2883" s="336"/>
      <c r="Q2883" s="336"/>
      <c r="R2883" s="336"/>
      <c r="S2883" s="336"/>
      <c r="T2883" s="336"/>
      <c r="U2883" s="336"/>
      <c r="V2883" s="336"/>
      <c r="W2883" s="336"/>
      <c r="X2883" s="336"/>
      <c r="Y2883" s="336"/>
      <c r="Z2883" s="336"/>
      <c r="AA2883" s="336"/>
      <c r="AB2883" s="22">
        <f t="shared" si="881"/>
        <v>0</v>
      </c>
      <c r="AC2883" s="23">
        <v>0</v>
      </c>
      <c r="AD2883" s="35">
        <v>12</v>
      </c>
      <c r="AE2883" s="35"/>
      <c r="AF2883" s="35"/>
      <c r="AG2883" s="35"/>
      <c r="AH2883" s="35">
        <f>13+9</f>
        <v>22</v>
      </c>
      <c r="AI2883" s="35"/>
      <c r="AJ2883" s="35"/>
      <c r="AK2883" s="35"/>
      <c r="AL2883" s="35">
        <f>10+10</f>
        <v>20</v>
      </c>
      <c r="AM2883" s="35"/>
      <c r="AN2883" s="35"/>
      <c r="AO2883" s="35"/>
      <c r="AP2883" s="35">
        <v>1</v>
      </c>
      <c r="AQ2883" s="35"/>
      <c r="AR2883" s="35"/>
      <c r="AS2883" s="35"/>
      <c r="AT2883" s="35"/>
      <c r="AU2883" s="35"/>
      <c r="AV2883" s="35"/>
      <c r="AW2883" s="35"/>
      <c r="AX2883" s="35"/>
      <c r="AY2883" s="35"/>
      <c r="AZ2883" s="35"/>
      <c r="BA2883" s="35"/>
      <c r="BB2883" s="22">
        <f t="shared" si="882"/>
        <v>55</v>
      </c>
      <c r="BC2883" s="23">
        <v>588</v>
      </c>
      <c r="BD2883" s="130">
        <f t="shared" si="883"/>
        <v>55</v>
      </c>
      <c r="BE2883" s="130">
        <f t="shared" si="884"/>
        <v>588</v>
      </c>
      <c r="BF2883" s="195">
        <f t="shared" si="885"/>
        <v>9.3537414965986407</v>
      </c>
      <c r="BG2883" s="373">
        <f t="shared" si="880"/>
        <v>533</v>
      </c>
    </row>
    <row r="2884" spans="1:59" s="46" customFormat="1" ht="15.95" customHeight="1">
      <c r="A2884" s="176">
        <v>105</v>
      </c>
      <c r="B2884" s="31" t="s">
        <v>3245</v>
      </c>
      <c r="C2884" s="36" t="s">
        <v>3246</v>
      </c>
      <c r="D2884" s="231"/>
      <c r="E2884" s="231"/>
      <c r="F2884" s="231"/>
      <c r="G2884" s="231"/>
      <c r="H2884" s="231"/>
      <c r="I2884" s="231"/>
      <c r="J2884" s="231"/>
      <c r="K2884" s="231"/>
      <c r="L2884" s="231"/>
      <c r="M2884" s="231"/>
      <c r="N2884" s="231"/>
      <c r="O2884" s="231"/>
      <c r="P2884" s="231"/>
      <c r="Q2884" s="231"/>
      <c r="R2884" s="231"/>
      <c r="S2884" s="231"/>
      <c r="T2884" s="231"/>
      <c r="U2884" s="231"/>
      <c r="V2884" s="231"/>
      <c r="W2884" s="231"/>
      <c r="X2884" s="231"/>
      <c r="Y2884" s="231"/>
      <c r="Z2884" s="231"/>
      <c r="AA2884" s="231"/>
      <c r="AB2884" s="22">
        <f t="shared" si="881"/>
        <v>0</v>
      </c>
      <c r="AC2884" s="23">
        <v>0</v>
      </c>
      <c r="AD2884" s="35"/>
      <c r="AE2884" s="35"/>
      <c r="AF2884" s="35"/>
      <c r="AG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  <c r="AX2884" s="35"/>
      <c r="AY2884" s="35"/>
      <c r="AZ2884" s="35"/>
      <c r="BA2884" s="35"/>
      <c r="BB2884" s="22">
        <f t="shared" si="882"/>
        <v>0</v>
      </c>
      <c r="BC2884" s="23">
        <v>1</v>
      </c>
      <c r="BD2884" s="130">
        <f t="shared" si="883"/>
        <v>0</v>
      </c>
      <c r="BE2884" s="130">
        <f t="shared" si="884"/>
        <v>1</v>
      </c>
      <c r="BF2884" s="195">
        <f t="shared" si="885"/>
        <v>0</v>
      </c>
      <c r="BG2884" s="373">
        <f t="shared" si="880"/>
        <v>1</v>
      </c>
    </row>
    <row r="2885" spans="1:59" s="46" customFormat="1" ht="15.95" customHeight="1">
      <c r="A2885" s="176">
        <v>106</v>
      </c>
      <c r="B2885" s="31" t="s">
        <v>1103</v>
      </c>
      <c r="C2885" s="36" t="s">
        <v>2507</v>
      </c>
      <c r="D2885" s="288"/>
      <c r="E2885" s="288"/>
      <c r="F2885" s="288"/>
      <c r="G2885" s="288"/>
      <c r="H2885" s="288"/>
      <c r="I2885" s="288"/>
      <c r="J2885" s="288"/>
      <c r="K2885" s="288"/>
      <c r="L2885" s="288"/>
      <c r="M2885" s="288"/>
      <c r="N2885" s="288"/>
      <c r="O2885" s="288"/>
      <c r="P2885" s="288"/>
      <c r="Q2885" s="288"/>
      <c r="R2885" s="288"/>
      <c r="S2885" s="288"/>
      <c r="T2885" s="288"/>
      <c r="U2885" s="288"/>
      <c r="V2885" s="288"/>
      <c r="W2885" s="288"/>
      <c r="X2885" s="288"/>
      <c r="Y2885" s="288"/>
      <c r="Z2885" s="288"/>
      <c r="AA2885" s="288"/>
      <c r="AB2885" s="22">
        <f t="shared" si="881"/>
        <v>0</v>
      </c>
      <c r="AC2885" s="23">
        <v>0</v>
      </c>
      <c r="AD2885" s="35"/>
      <c r="AE2885" s="35"/>
      <c r="AF2885" s="35"/>
      <c r="AG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  <c r="AX2885" s="35"/>
      <c r="AY2885" s="35"/>
      <c r="AZ2885" s="35"/>
      <c r="BA2885" s="35"/>
      <c r="BB2885" s="22">
        <f t="shared" si="882"/>
        <v>0</v>
      </c>
      <c r="BC2885" s="23">
        <v>1</v>
      </c>
      <c r="BD2885" s="130">
        <f t="shared" si="883"/>
        <v>0</v>
      </c>
      <c r="BE2885" s="130">
        <f t="shared" si="884"/>
        <v>1</v>
      </c>
      <c r="BF2885" s="195">
        <f t="shared" si="885"/>
        <v>0</v>
      </c>
      <c r="BG2885" s="373">
        <f t="shared" si="880"/>
        <v>1</v>
      </c>
    </row>
    <row r="2886" spans="1:59" s="46" customFormat="1" ht="15.95" customHeight="1">
      <c r="A2886" s="176">
        <v>107</v>
      </c>
      <c r="B2886" s="31" t="s">
        <v>2825</v>
      </c>
      <c r="C2886" s="36" t="s">
        <v>2826</v>
      </c>
      <c r="D2886" s="231"/>
      <c r="E2886" s="231"/>
      <c r="F2886" s="231"/>
      <c r="G2886" s="231"/>
      <c r="H2886" s="231"/>
      <c r="I2886" s="231"/>
      <c r="J2886" s="231"/>
      <c r="K2886" s="231"/>
      <c r="L2886" s="231"/>
      <c r="M2886" s="231"/>
      <c r="N2886" s="231"/>
      <c r="O2886" s="231"/>
      <c r="P2886" s="231"/>
      <c r="Q2886" s="231"/>
      <c r="R2886" s="231"/>
      <c r="S2886" s="231"/>
      <c r="T2886" s="231"/>
      <c r="U2886" s="231"/>
      <c r="V2886" s="231"/>
      <c r="W2886" s="231"/>
      <c r="X2886" s="231"/>
      <c r="Y2886" s="231"/>
      <c r="Z2886" s="231"/>
      <c r="AA2886" s="231"/>
      <c r="AB2886" s="22">
        <f t="shared" si="881"/>
        <v>0</v>
      </c>
      <c r="AC2886" s="23">
        <v>0</v>
      </c>
      <c r="AD2886" s="35"/>
      <c r="AE2886" s="35"/>
      <c r="AF2886" s="35"/>
      <c r="AG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  <c r="AX2886" s="35"/>
      <c r="AY2886" s="35"/>
      <c r="AZ2886" s="35"/>
      <c r="BA2886" s="35"/>
      <c r="BB2886" s="22">
        <f t="shared" si="882"/>
        <v>0</v>
      </c>
      <c r="BC2886" s="23">
        <v>1</v>
      </c>
      <c r="BD2886" s="130">
        <f t="shared" si="883"/>
        <v>0</v>
      </c>
      <c r="BE2886" s="130">
        <f t="shared" si="884"/>
        <v>1</v>
      </c>
      <c r="BF2886" s="195">
        <f t="shared" si="885"/>
        <v>0</v>
      </c>
      <c r="BG2886" s="373">
        <f t="shared" si="880"/>
        <v>1</v>
      </c>
    </row>
    <row r="2887" spans="1:59" s="46" customFormat="1" ht="15.95" customHeight="1">
      <c r="A2887" s="176">
        <v>108</v>
      </c>
      <c r="B2887" s="31" t="s">
        <v>853</v>
      </c>
      <c r="C2887" s="36" t="s">
        <v>3993</v>
      </c>
      <c r="D2887" s="551"/>
      <c r="E2887" s="551"/>
      <c r="F2887" s="551"/>
      <c r="G2887" s="551"/>
      <c r="H2887" s="551"/>
      <c r="I2887" s="551"/>
      <c r="J2887" s="551"/>
      <c r="K2887" s="551"/>
      <c r="L2887" s="551"/>
      <c r="M2887" s="551"/>
      <c r="N2887" s="551"/>
      <c r="O2887" s="551"/>
      <c r="P2887" s="551"/>
      <c r="Q2887" s="551"/>
      <c r="R2887" s="551"/>
      <c r="S2887" s="551"/>
      <c r="T2887" s="551"/>
      <c r="U2887" s="551"/>
      <c r="V2887" s="551"/>
      <c r="W2887" s="551"/>
      <c r="X2887" s="551"/>
      <c r="Y2887" s="551"/>
      <c r="Z2887" s="551"/>
      <c r="AA2887" s="551"/>
      <c r="AB2887" s="22">
        <f t="shared" si="881"/>
        <v>0</v>
      </c>
      <c r="AC2887" s="23">
        <v>0</v>
      </c>
      <c r="AD2887" s="35"/>
      <c r="AE2887" s="35"/>
      <c r="AF2887" s="35"/>
      <c r="AG2887" s="35"/>
      <c r="AH2887" s="35"/>
      <c r="AI2887" s="35"/>
      <c r="AJ2887" s="35"/>
      <c r="AK2887" s="35"/>
      <c r="AL2887" s="35">
        <v>1</v>
      </c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  <c r="AX2887" s="35"/>
      <c r="AY2887" s="35"/>
      <c r="AZ2887" s="35"/>
      <c r="BA2887" s="35"/>
      <c r="BB2887" s="22">
        <f t="shared" si="882"/>
        <v>1</v>
      </c>
      <c r="BC2887" s="23">
        <v>0</v>
      </c>
      <c r="BD2887" s="130">
        <f t="shared" si="883"/>
        <v>1</v>
      </c>
      <c r="BE2887" s="130">
        <f t="shared" si="884"/>
        <v>0</v>
      </c>
      <c r="BF2887" s="195" t="e">
        <f t="shared" si="885"/>
        <v>#DIV/0!</v>
      </c>
      <c r="BG2887" s="373"/>
    </row>
    <row r="2888" spans="1:59" s="46" customFormat="1" ht="15.95" customHeight="1">
      <c r="A2888" s="176">
        <v>109</v>
      </c>
      <c r="B2888" s="31" t="s">
        <v>1088</v>
      </c>
      <c r="C2888" s="34" t="s">
        <v>1454</v>
      </c>
      <c r="D2888" s="272"/>
      <c r="E2888" s="272"/>
      <c r="F2888" s="272"/>
      <c r="G2888" s="272"/>
      <c r="H2888" s="272"/>
      <c r="I2888" s="272"/>
      <c r="J2888" s="272"/>
      <c r="K2888" s="272"/>
      <c r="L2888" s="272"/>
      <c r="M2888" s="272"/>
      <c r="N2888" s="272"/>
      <c r="O2888" s="272"/>
      <c r="P2888" s="272"/>
      <c r="Q2888" s="272"/>
      <c r="R2888" s="272"/>
      <c r="S2888" s="272"/>
      <c r="T2888" s="272"/>
      <c r="U2888" s="272"/>
      <c r="V2888" s="272"/>
      <c r="W2888" s="272"/>
      <c r="X2888" s="272"/>
      <c r="Y2888" s="272"/>
      <c r="Z2888" s="272"/>
      <c r="AA2888" s="272"/>
      <c r="AB2888" s="22">
        <f t="shared" si="881"/>
        <v>0</v>
      </c>
      <c r="AC2888" s="23">
        <v>0</v>
      </c>
      <c r="AD2888" s="35"/>
      <c r="AE2888" s="35"/>
      <c r="AF2888" s="35"/>
      <c r="AG2888" s="35"/>
      <c r="AH2888" s="35">
        <f>1+188</f>
        <v>189</v>
      </c>
      <c r="AI2888" s="35"/>
      <c r="AJ2888" s="35"/>
      <c r="AK2888" s="35"/>
      <c r="AL2888" s="35">
        <f>1+513</f>
        <v>514</v>
      </c>
      <c r="AM2888" s="35"/>
      <c r="AN2888" s="35"/>
      <c r="AO2888" s="35"/>
      <c r="AP2888" s="35">
        <f>1+1072</f>
        <v>1073</v>
      </c>
      <c r="AQ2888" s="35"/>
      <c r="AR2888" s="35"/>
      <c r="AS2888" s="35"/>
      <c r="AT2888" s="35"/>
      <c r="AU2888" s="35"/>
      <c r="AV2888" s="35"/>
      <c r="AW2888" s="35"/>
      <c r="AX2888" s="35"/>
      <c r="AY2888" s="35"/>
      <c r="AZ2888" s="35"/>
      <c r="BA2888" s="35"/>
      <c r="BB2888" s="22">
        <f t="shared" si="882"/>
        <v>1776</v>
      </c>
      <c r="BC2888" s="23">
        <v>7415</v>
      </c>
      <c r="BD2888" s="130">
        <f t="shared" si="883"/>
        <v>1776</v>
      </c>
      <c r="BE2888" s="130">
        <f t="shared" si="884"/>
        <v>7415</v>
      </c>
      <c r="BF2888" s="195">
        <f t="shared" si="885"/>
        <v>23.95144976399191</v>
      </c>
      <c r="BG2888" s="373">
        <f t="shared" ref="BG2888:BG2916" si="886">BE2888-BD2888</f>
        <v>5639</v>
      </c>
    </row>
    <row r="2889" spans="1:59" s="46" customFormat="1" ht="15.95" customHeight="1">
      <c r="A2889" s="176">
        <v>110</v>
      </c>
      <c r="B2889" s="31" t="s">
        <v>1773</v>
      </c>
      <c r="C2889" s="34" t="s">
        <v>2150</v>
      </c>
      <c r="D2889" s="231"/>
      <c r="E2889" s="231"/>
      <c r="F2889" s="231"/>
      <c r="G2889" s="231"/>
      <c r="H2889" s="231"/>
      <c r="I2889" s="231"/>
      <c r="J2889" s="231"/>
      <c r="K2889" s="231"/>
      <c r="L2889" s="231"/>
      <c r="M2889" s="231"/>
      <c r="N2889" s="231"/>
      <c r="O2889" s="231"/>
      <c r="P2889" s="231"/>
      <c r="Q2889" s="231"/>
      <c r="R2889" s="231"/>
      <c r="S2889" s="231"/>
      <c r="T2889" s="231"/>
      <c r="U2889" s="231"/>
      <c r="V2889" s="231"/>
      <c r="W2889" s="231"/>
      <c r="X2889" s="231"/>
      <c r="Y2889" s="231"/>
      <c r="Z2889" s="231"/>
      <c r="AA2889" s="231"/>
      <c r="AB2889" s="22">
        <f t="shared" si="881"/>
        <v>0</v>
      </c>
      <c r="AC2889" s="23">
        <v>0</v>
      </c>
      <c r="AD2889" s="35"/>
      <c r="AE2889" s="35"/>
      <c r="AF2889" s="35"/>
      <c r="AG2889" s="35"/>
      <c r="AH2889" s="35">
        <v>11</v>
      </c>
      <c r="AI2889" s="35"/>
      <c r="AJ2889" s="35"/>
      <c r="AK2889" s="35"/>
      <c r="AL2889" s="35">
        <v>70</v>
      </c>
      <c r="AM2889" s="35"/>
      <c r="AN2889" s="35"/>
      <c r="AO2889" s="35"/>
      <c r="AP2889" s="35">
        <v>12</v>
      </c>
      <c r="AQ2889" s="35"/>
      <c r="AR2889" s="35"/>
      <c r="AS2889" s="35"/>
      <c r="AT2889" s="35"/>
      <c r="AU2889" s="35"/>
      <c r="AV2889" s="35"/>
      <c r="AW2889" s="35"/>
      <c r="AX2889" s="35"/>
      <c r="AY2889" s="35"/>
      <c r="AZ2889" s="35"/>
      <c r="BA2889" s="35"/>
      <c r="BB2889" s="22">
        <f t="shared" si="882"/>
        <v>93</v>
      </c>
      <c r="BC2889" s="23">
        <v>706</v>
      </c>
      <c r="BD2889" s="130">
        <f t="shared" si="883"/>
        <v>93</v>
      </c>
      <c r="BE2889" s="130">
        <f t="shared" si="884"/>
        <v>706</v>
      </c>
      <c r="BF2889" s="195">
        <f t="shared" si="885"/>
        <v>13.172804532577903</v>
      </c>
      <c r="BG2889" s="373">
        <f t="shared" si="886"/>
        <v>613</v>
      </c>
    </row>
    <row r="2890" spans="1:59" s="46" customFormat="1" ht="15.95" customHeight="1">
      <c r="A2890" s="176">
        <v>111</v>
      </c>
      <c r="B2890" s="31" t="s">
        <v>1018</v>
      </c>
      <c r="C2890" s="34" t="s">
        <v>1019</v>
      </c>
      <c r="D2890" s="332"/>
      <c r="E2890" s="332"/>
      <c r="F2890" s="332"/>
      <c r="G2890" s="332"/>
      <c r="H2890" s="332"/>
      <c r="I2890" s="332"/>
      <c r="J2890" s="332"/>
      <c r="K2890" s="332"/>
      <c r="L2890" s="332"/>
      <c r="M2890" s="332"/>
      <c r="N2890" s="332"/>
      <c r="O2890" s="332"/>
      <c r="P2890" s="332"/>
      <c r="Q2890" s="332"/>
      <c r="R2890" s="332"/>
      <c r="S2890" s="332"/>
      <c r="T2890" s="332"/>
      <c r="U2890" s="332"/>
      <c r="V2890" s="332"/>
      <c r="W2890" s="332"/>
      <c r="X2890" s="332"/>
      <c r="Y2890" s="332"/>
      <c r="Z2890" s="332"/>
      <c r="AA2890" s="332"/>
      <c r="AB2890" s="22">
        <f t="shared" si="881"/>
        <v>0</v>
      </c>
      <c r="AC2890" s="23">
        <v>0</v>
      </c>
      <c r="AD2890" s="35"/>
      <c r="AE2890" s="35"/>
      <c r="AF2890" s="35"/>
      <c r="AG2890" s="35"/>
      <c r="AH2890" s="35">
        <v>2</v>
      </c>
      <c r="AI2890" s="35"/>
      <c r="AJ2890" s="35"/>
      <c r="AK2890" s="35"/>
      <c r="AL2890" s="35">
        <v>17</v>
      </c>
      <c r="AM2890" s="35"/>
      <c r="AN2890" s="35"/>
      <c r="AO2890" s="35"/>
      <c r="AP2890" s="35">
        <f>1+15</f>
        <v>16</v>
      </c>
      <c r="AQ2890" s="35"/>
      <c r="AR2890" s="35"/>
      <c r="AS2890" s="35"/>
      <c r="AT2890" s="35"/>
      <c r="AU2890" s="35"/>
      <c r="AV2890" s="35"/>
      <c r="AW2890" s="35"/>
      <c r="AX2890" s="35"/>
      <c r="AY2890" s="35"/>
      <c r="AZ2890" s="35"/>
      <c r="BA2890" s="35"/>
      <c r="BB2890" s="22">
        <f t="shared" si="882"/>
        <v>35</v>
      </c>
      <c r="BC2890" s="23">
        <v>43</v>
      </c>
      <c r="BD2890" s="130">
        <f t="shared" si="883"/>
        <v>35</v>
      </c>
      <c r="BE2890" s="130">
        <f t="shared" si="884"/>
        <v>43</v>
      </c>
      <c r="BF2890" s="195">
        <f t="shared" si="885"/>
        <v>81.395348837209298</v>
      </c>
      <c r="BG2890" s="373">
        <f t="shared" si="886"/>
        <v>8</v>
      </c>
    </row>
    <row r="2891" spans="1:59" s="46" customFormat="1" ht="15.95" customHeight="1">
      <c r="A2891" s="176">
        <v>112</v>
      </c>
      <c r="B2891" s="31" t="s">
        <v>1970</v>
      </c>
      <c r="C2891" s="34" t="s">
        <v>2924</v>
      </c>
      <c r="D2891" s="288"/>
      <c r="E2891" s="288"/>
      <c r="F2891" s="288"/>
      <c r="G2891" s="288"/>
      <c r="H2891" s="288"/>
      <c r="I2891" s="288"/>
      <c r="J2891" s="288"/>
      <c r="K2891" s="288"/>
      <c r="L2891" s="288"/>
      <c r="M2891" s="288"/>
      <c r="N2891" s="288"/>
      <c r="O2891" s="288"/>
      <c r="P2891" s="288"/>
      <c r="Q2891" s="288"/>
      <c r="R2891" s="288"/>
      <c r="S2891" s="288"/>
      <c r="T2891" s="288"/>
      <c r="U2891" s="288"/>
      <c r="V2891" s="288"/>
      <c r="W2891" s="288"/>
      <c r="X2891" s="288"/>
      <c r="Y2891" s="288"/>
      <c r="Z2891" s="288"/>
      <c r="AA2891" s="288"/>
      <c r="AB2891" s="22">
        <f t="shared" si="881"/>
        <v>0</v>
      </c>
      <c r="AC2891" s="23">
        <v>0</v>
      </c>
      <c r="AD2891" s="35"/>
      <c r="AE2891" s="35"/>
      <c r="AF2891" s="35"/>
      <c r="AG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  <c r="AX2891" s="35"/>
      <c r="AY2891" s="35"/>
      <c r="AZ2891" s="35"/>
      <c r="BA2891" s="35"/>
      <c r="BB2891" s="22">
        <f t="shared" si="882"/>
        <v>0</v>
      </c>
      <c r="BC2891" s="23">
        <v>5</v>
      </c>
      <c r="BD2891" s="130">
        <f t="shared" si="883"/>
        <v>0</v>
      </c>
      <c r="BE2891" s="130">
        <f t="shared" si="884"/>
        <v>5</v>
      </c>
      <c r="BF2891" s="195">
        <f t="shared" si="885"/>
        <v>0</v>
      </c>
      <c r="BG2891" s="373">
        <f t="shared" si="886"/>
        <v>5</v>
      </c>
    </row>
    <row r="2892" spans="1:59" s="46" customFormat="1" ht="15.95" customHeight="1">
      <c r="A2892" s="176">
        <v>113</v>
      </c>
      <c r="B2892" s="31" t="s">
        <v>854</v>
      </c>
      <c r="C2892" s="34" t="s">
        <v>855</v>
      </c>
      <c r="D2892" s="272"/>
      <c r="E2892" s="272"/>
      <c r="F2892" s="272"/>
      <c r="G2892" s="272"/>
      <c r="H2892" s="272"/>
      <c r="I2892" s="272"/>
      <c r="J2892" s="272"/>
      <c r="K2892" s="272"/>
      <c r="L2892" s="272"/>
      <c r="M2892" s="272"/>
      <c r="N2892" s="272"/>
      <c r="O2892" s="272"/>
      <c r="P2892" s="272"/>
      <c r="Q2892" s="272"/>
      <c r="R2892" s="272"/>
      <c r="S2892" s="272"/>
      <c r="T2892" s="272"/>
      <c r="U2892" s="272"/>
      <c r="V2892" s="272"/>
      <c r="W2892" s="272"/>
      <c r="X2892" s="272"/>
      <c r="Y2892" s="272"/>
      <c r="Z2892" s="272"/>
      <c r="AA2892" s="272"/>
      <c r="AB2892" s="22">
        <f t="shared" si="881"/>
        <v>0</v>
      </c>
      <c r="AC2892" s="23">
        <v>0</v>
      </c>
      <c r="AD2892" s="35">
        <v>118</v>
      </c>
      <c r="AE2892" s="35"/>
      <c r="AF2892" s="35"/>
      <c r="AG2892" s="35"/>
      <c r="AH2892" s="35">
        <f>45+54</f>
        <v>99</v>
      </c>
      <c r="AI2892" s="35"/>
      <c r="AJ2892" s="35"/>
      <c r="AK2892" s="35"/>
      <c r="AL2892" s="35">
        <f>53+2+255</f>
        <v>310</v>
      </c>
      <c r="AM2892" s="35"/>
      <c r="AN2892" s="35"/>
      <c r="AO2892" s="35"/>
      <c r="AP2892" s="35">
        <f>5+222</f>
        <v>227</v>
      </c>
      <c r="AQ2892" s="35"/>
      <c r="AR2892" s="35"/>
      <c r="AS2892" s="35"/>
      <c r="AT2892" s="35"/>
      <c r="AU2892" s="35"/>
      <c r="AV2892" s="35"/>
      <c r="AW2892" s="35"/>
      <c r="AX2892" s="35"/>
      <c r="AY2892" s="35"/>
      <c r="AZ2892" s="35"/>
      <c r="BA2892" s="35"/>
      <c r="BB2892" s="22">
        <f t="shared" si="882"/>
        <v>754</v>
      </c>
      <c r="BC2892" s="23">
        <v>1554</v>
      </c>
      <c r="BD2892" s="130">
        <f t="shared" si="883"/>
        <v>754</v>
      </c>
      <c r="BE2892" s="130">
        <f t="shared" si="884"/>
        <v>1554</v>
      </c>
      <c r="BF2892" s="195">
        <f t="shared" si="885"/>
        <v>48.519948519948521</v>
      </c>
      <c r="BG2892" s="373">
        <f t="shared" si="886"/>
        <v>800</v>
      </c>
    </row>
    <row r="2893" spans="1:59" s="46" customFormat="1" ht="15.95" customHeight="1">
      <c r="A2893" s="176">
        <v>114</v>
      </c>
      <c r="B2893" s="31" t="s">
        <v>2300</v>
      </c>
      <c r="C2893" s="34" t="s">
        <v>2925</v>
      </c>
      <c r="D2893" s="231"/>
      <c r="E2893" s="231"/>
      <c r="F2893" s="231"/>
      <c r="G2893" s="231"/>
      <c r="H2893" s="231"/>
      <c r="I2893" s="231"/>
      <c r="J2893" s="231"/>
      <c r="K2893" s="231"/>
      <c r="L2893" s="231"/>
      <c r="M2893" s="231"/>
      <c r="N2893" s="231"/>
      <c r="O2893" s="231"/>
      <c r="P2893" s="231"/>
      <c r="Q2893" s="231"/>
      <c r="R2893" s="231"/>
      <c r="S2893" s="231"/>
      <c r="T2893" s="231"/>
      <c r="U2893" s="231"/>
      <c r="V2893" s="231"/>
      <c r="W2893" s="231"/>
      <c r="X2893" s="231"/>
      <c r="Y2893" s="231"/>
      <c r="Z2893" s="231"/>
      <c r="AA2893" s="231"/>
      <c r="AB2893" s="22">
        <f t="shared" si="881"/>
        <v>0</v>
      </c>
      <c r="AC2893" s="23">
        <v>0</v>
      </c>
      <c r="AD2893" s="35"/>
      <c r="AE2893" s="35"/>
      <c r="AF2893" s="35"/>
      <c r="AG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  <c r="AX2893" s="35"/>
      <c r="AY2893" s="35"/>
      <c r="AZ2893" s="35"/>
      <c r="BA2893" s="35"/>
      <c r="BB2893" s="22">
        <f t="shared" si="882"/>
        <v>0</v>
      </c>
      <c r="BC2893" s="23">
        <v>4</v>
      </c>
      <c r="BD2893" s="130">
        <f t="shared" si="883"/>
        <v>0</v>
      </c>
      <c r="BE2893" s="130">
        <f t="shared" si="884"/>
        <v>4</v>
      </c>
      <c r="BF2893" s="195">
        <f t="shared" si="885"/>
        <v>0</v>
      </c>
      <c r="BG2893" s="373">
        <f t="shared" si="886"/>
        <v>4</v>
      </c>
    </row>
    <row r="2894" spans="1:59" s="46" customFormat="1" ht="15.95" customHeight="1">
      <c r="A2894" s="176">
        <v>115</v>
      </c>
      <c r="B2894" s="31" t="s">
        <v>856</v>
      </c>
      <c r="C2894" s="34" t="s">
        <v>1455</v>
      </c>
      <c r="D2894" s="231"/>
      <c r="E2894" s="231"/>
      <c r="F2894" s="231"/>
      <c r="G2894" s="231"/>
      <c r="H2894" s="231"/>
      <c r="I2894" s="231"/>
      <c r="J2894" s="231"/>
      <c r="K2894" s="231"/>
      <c r="L2894" s="231"/>
      <c r="M2894" s="231"/>
      <c r="N2894" s="231"/>
      <c r="O2894" s="231"/>
      <c r="P2894" s="231"/>
      <c r="Q2894" s="231"/>
      <c r="R2894" s="231"/>
      <c r="S2894" s="231"/>
      <c r="T2894" s="231"/>
      <c r="U2894" s="231"/>
      <c r="V2894" s="231"/>
      <c r="W2894" s="231"/>
      <c r="X2894" s="231"/>
      <c r="Y2894" s="231"/>
      <c r="Z2894" s="231"/>
      <c r="AA2894" s="231"/>
      <c r="AB2894" s="22">
        <f t="shared" si="881"/>
        <v>0</v>
      </c>
      <c r="AC2894" s="23">
        <v>0</v>
      </c>
      <c r="AD2894" s="35">
        <v>1381</v>
      </c>
      <c r="AE2894" s="35"/>
      <c r="AF2894" s="35"/>
      <c r="AG2894" s="35"/>
      <c r="AH2894" s="35">
        <f>915+1+221</f>
        <v>1137</v>
      </c>
      <c r="AI2894" s="35"/>
      <c r="AJ2894" s="35"/>
      <c r="AK2894" s="35"/>
      <c r="AL2894" s="35">
        <f>950+7+1154</f>
        <v>2111</v>
      </c>
      <c r="AM2894" s="35"/>
      <c r="AN2894" s="35"/>
      <c r="AO2894" s="35"/>
      <c r="AP2894" s="35">
        <f>94+1+1457</f>
        <v>1552</v>
      </c>
      <c r="AQ2894" s="35"/>
      <c r="AR2894" s="35"/>
      <c r="AS2894" s="35"/>
      <c r="AT2894" s="35"/>
      <c r="AU2894" s="35"/>
      <c r="AV2894" s="35"/>
      <c r="AW2894" s="35"/>
      <c r="AX2894" s="35"/>
      <c r="AY2894" s="35"/>
      <c r="AZ2894" s="35"/>
      <c r="BA2894" s="35"/>
      <c r="BB2894" s="22">
        <f t="shared" si="882"/>
        <v>6181</v>
      </c>
      <c r="BC2894" s="23">
        <v>7492</v>
      </c>
      <c r="BD2894" s="130">
        <f t="shared" si="883"/>
        <v>6181</v>
      </c>
      <c r="BE2894" s="130">
        <f t="shared" si="884"/>
        <v>7492</v>
      </c>
      <c r="BF2894" s="195">
        <f t="shared" si="885"/>
        <v>82.501334757074204</v>
      </c>
      <c r="BG2894" s="373">
        <f t="shared" si="886"/>
        <v>1311</v>
      </c>
    </row>
    <row r="2895" spans="1:59" s="46" customFormat="1" ht="15.95" customHeight="1">
      <c r="A2895" s="176">
        <v>116</v>
      </c>
      <c r="B2895" s="31" t="s">
        <v>1022</v>
      </c>
      <c r="C2895" s="34" t="s">
        <v>1456</v>
      </c>
      <c r="D2895" s="231"/>
      <c r="E2895" s="231"/>
      <c r="F2895" s="231"/>
      <c r="G2895" s="231"/>
      <c r="H2895" s="231"/>
      <c r="I2895" s="231"/>
      <c r="J2895" s="231"/>
      <c r="K2895" s="231"/>
      <c r="L2895" s="231"/>
      <c r="M2895" s="231"/>
      <c r="N2895" s="231"/>
      <c r="O2895" s="231"/>
      <c r="P2895" s="231"/>
      <c r="Q2895" s="231"/>
      <c r="R2895" s="231"/>
      <c r="S2895" s="231"/>
      <c r="T2895" s="231"/>
      <c r="U2895" s="231"/>
      <c r="V2895" s="231"/>
      <c r="W2895" s="231"/>
      <c r="X2895" s="231"/>
      <c r="Y2895" s="231"/>
      <c r="Z2895" s="231"/>
      <c r="AA2895" s="231"/>
      <c r="AB2895" s="22">
        <f t="shared" si="881"/>
        <v>0</v>
      </c>
      <c r="AC2895" s="23">
        <v>0</v>
      </c>
      <c r="AD2895" s="35">
        <v>758</v>
      </c>
      <c r="AE2895" s="35"/>
      <c r="AF2895" s="35"/>
      <c r="AG2895" s="35"/>
      <c r="AH2895" s="35">
        <f>472+2+8</f>
        <v>482</v>
      </c>
      <c r="AI2895" s="35"/>
      <c r="AJ2895" s="35"/>
      <c r="AK2895" s="35"/>
      <c r="AL2895" s="35">
        <f>510+7+280</f>
        <v>797</v>
      </c>
      <c r="AM2895" s="35"/>
      <c r="AN2895" s="35"/>
      <c r="AO2895" s="35"/>
      <c r="AP2895" s="35">
        <f>57+337</f>
        <v>394</v>
      </c>
      <c r="AQ2895" s="35"/>
      <c r="AR2895" s="35"/>
      <c r="AS2895" s="35"/>
      <c r="AT2895" s="35"/>
      <c r="AU2895" s="35"/>
      <c r="AV2895" s="35"/>
      <c r="AW2895" s="35"/>
      <c r="AX2895" s="35"/>
      <c r="AY2895" s="35"/>
      <c r="AZ2895" s="35"/>
      <c r="BA2895" s="35"/>
      <c r="BB2895" s="22">
        <f t="shared" si="882"/>
        <v>2431</v>
      </c>
      <c r="BC2895" s="23">
        <v>2786</v>
      </c>
      <c r="BD2895" s="130">
        <f t="shared" si="883"/>
        <v>2431</v>
      </c>
      <c r="BE2895" s="130">
        <f t="shared" si="884"/>
        <v>2786</v>
      </c>
      <c r="BF2895" s="195">
        <f t="shared" si="885"/>
        <v>87.257717157214643</v>
      </c>
      <c r="BG2895" s="373">
        <f t="shared" si="886"/>
        <v>355</v>
      </c>
    </row>
    <row r="2896" spans="1:59" s="46" customFormat="1" ht="15.95" customHeight="1">
      <c r="A2896" s="176">
        <v>117</v>
      </c>
      <c r="B2896" s="31" t="s">
        <v>1024</v>
      </c>
      <c r="C2896" s="34" t="s">
        <v>2302</v>
      </c>
      <c r="D2896" s="288"/>
      <c r="E2896" s="288"/>
      <c r="F2896" s="288"/>
      <c r="G2896" s="288"/>
      <c r="H2896" s="288"/>
      <c r="I2896" s="288"/>
      <c r="J2896" s="288"/>
      <c r="K2896" s="288"/>
      <c r="L2896" s="288"/>
      <c r="M2896" s="288"/>
      <c r="N2896" s="288"/>
      <c r="O2896" s="288"/>
      <c r="P2896" s="288"/>
      <c r="Q2896" s="288"/>
      <c r="R2896" s="288"/>
      <c r="S2896" s="288"/>
      <c r="T2896" s="288"/>
      <c r="U2896" s="288"/>
      <c r="V2896" s="288"/>
      <c r="W2896" s="288"/>
      <c r="X2896" s="288"/>
      <c r="Y2896" s="288"/>
      <c r="Z2896" s="288"/>
      <c r="AA2896" s="288"/>
      <c r="AB2896" s="22">
        <f t="shared" si="881"/>
        <v>0</v>
      </c>
      <c r="AC2896" s="23">
        <v>0</v>
      </c>
      <c r="AD2896" s="35"/>
      <c r="AE2896" s="35"/>
      <c r="AF2896" s="35"/>
      <c r="AG2896" s="35"/>
      <c r="AH2896" s="35">
        <v>7</v>
      </c>
      <c r="AI2896" s="35"/>
      <c r="AJ2896" s="35"/>
      <c r="AK2896" s="35"/>
      <c r="AL2896" s="35">
        <v>61</v>
      </c>
      <c r="AM2896" s="35"/>
      <c r="AN2896" s="35"/>
      <c r="AO2896" s="35"/>
      <c r="AP2896" s="35">
        <f>1+37</f>
        <v>38</v>
      </c>
      <c r="AQ2896" s="35"/>
      <c r="AR2896" s="35"/>
      <c r="AS2896" s="35"/>
      <c r="AT2896" s="35"/>
      <c r="AU2896" s="35"/>
      <c r="AV2896" s="35"/>
      <c r="AW2896" s="35"/>
      <c r="AX2896" s="35"/>
      <c r="AY2896" s="35"/>
      <c r="AZ2896" s="35"/>
      <c r="BA2896" s="35"/>
      <c r="BB2896" s="22">
        <f t="shared" si="882"/>
        <v>106</v>
      </c>
      <c r="BC2896" s="23">
        <v>271</v>
      </c>
      <c r="BD2896" s="130">
        <f t="shared" si="883"/>
        <v>106</v>
      </c>
      <c r="BE2896" s="130">
        <f t="shared" si="884"/>
        <v>271</v>
      </c>
      <c r="BF2896" s="195">
        <f t="shared" si="885"/>
        <v>39.114391143911433</v>
      </c>
      <c r="BG2896" s="373">
        <f t="shared" si="886"/>
        <v>165</v>
      </c>
    </row>
    <row r="2897" spans="1:59" s="46" customFormat="1" ht="15.95" customHeight="1">
      <c r="A2897" s="176">
        <v>118</v>
      </c>
      <c r="B2897" s="31" t="s">
        <v>1059</v>
      </c>
      <c r="C2897" s="34" t="s">
        <v>2254</v>
      </c>
      <c r="D2897" s="231"/>
      <c r="E2897" s="231"/>
      <c r="F2897" s="231"/>
      <c r="G2897" s="231"/>
      <c r="H2897" s="231"/>
      <c r="I2897" s="231"/>
      <c r="J2897" s="231"/>
      <c r="K2897" s="231"/>
      <c r="L2897" s="231"/>
      <c r="M2897" s="231"/>
      <c r="N2897" s="231"/>
      <c r="O2897" s="231"/>
      <c r="P2897" s="231"/>
      <c r="Q2897" s="231"/>
      <c r="R2897" s="231"/>
      <c r="S2897" s="231"/>
      <c r="T2897" s="231"/>
      <c r="U2897" s="231"/>
      <c r="V2897" s="231"/>
      <c r="W2897" s="231"/>
      <c r="X2897" s="231"/>
      <c r="Y2897" s="231"/>
      <c r="Z2897" s="231"/>
      <c r="AA2897" s="231"/>
      <c r="AB2897" s="22">
        <f t="shared" si="881"/>
        <v>0</v>
      </c>
      <c r="AC2897" s="23">
        <v>0</v>
      </c>
      <c r="AD2897" s="35">
        <v>44</v>
      </c>
      <c r="AE2897" s="35"/>
      <c r="AF2897" s="35"/>
      <c r="AG2897" s="35"/>
      <c r="AH2897" s="35">
        <f>26+1</f>
        <v>27</v>
      </c>
      <c r="AI2897" s="35"/>
      <c r="AJ2897" s="35"/>
      <c r="AK2897" s="35"/>
      <c r="AL2897" s="35">
        <f>36+108</f>
        <v>144</v>
      </c>
      <c r="AM2897" s="35"/>
      <c r="AN2897" s="35"/>
      <c r="AO2897" s="35"/>
      <c r="AP2897" s="35">
        <f>3+116</f>
        <v>119</v>
      </c>
      <c r="AQ2897" s="35"/>
      <c r="AR2897" s="35"/>
      <c r="AS2897" s="35"/>
      <c r="AT2897" s="35"/>
      <c r="AU2897" s="35"/>
      <c r="AV2897" s="35"/>
      <c r="AW2897" s="35"/>
      <c r="AX2897" s="35"/>
      <c r="AY2897" s="35"/>
      <c r="AZ2897" s="35"/>
      <c r="BA2897" s="35"/>
      <c r="BB2897" s="22">
        <f t="shared" si="882"/>
        <v>334</v>
      </c>
      <c r="BC2897" s="23">
        <v>388</v>
      </c>
      <c r="BD2897" s="130">
        <f t="shared" si="883"/>
        <v>334</v>
      </c>
      <c r="BE2897" s="130">
        <f t="shared" si="884"/>
        <v>388</v>
      </c>
      <c r="BF2897" s="195">
        <f t="shared" si="885"/>
        <v>86.082474226804123</v>
      </c>
      <c r="BG2897" s="373">
        <f t="shared" si="886"/>
        <v>54</v>
      </c>
    </row>
    <row r="2898" spans="1:59" s="46" customFormat="1" ht="15.95" customHeight="1">
      <c r="A2898" s="176">
        <v>119</v>
      </c>
      <c r="B2898" s="31" t="s">
        <v>1209</v>
      </c>
      <c r="C2898" s="32" t="s">
        <v>3545</v>
      </c>
      <c r="D2898" s="289"/>
      <c r="E2898" s="289"/>
      <c r="F2898" s="289"/>
      <c r="G2898" s="289"/>
      <c r="H2898" s="289"/>
      <c r="I2898" s="289"/>
      <c r="J2898" s="289"/>
      <c r="K2898" s="289"/>
      <c r="L2898" s="289"/>
      <c r="M2898" s="289"/>
      <c r="N2898" s="289"/>
      <c r="O2898" s="289"/>
      <c r="P2898" s="289"/>
      <c r="Q2898" s="289"/>
      <c r="R2898" s="289"/>
      <c r="S2898" s="289"/>
      <c r="T2898" s="289"/>
      <c r="U2898" s="289"/>
      <c r="V2898" s="289"/>
      <c r="W2898" s="289"/>
      <c r="X2898" s="289"/>
      <c r="Y2898" s="289"/>
      <c r="Z2898" s="289"/>
      <c r="AA2898" s="289"/>
      <c r="AB2898" s="22">
        <f t="shared" si="881"/>
        <v>0</v>
      </c>
      <c r="AC2898" s="23">
        <v>0</v>
      </c>
      <c r="AD2898" s="35"/>
      <c r="AE2898" s="35"/>
      <c r="AF2898" s="35"/>
      <c r="AG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  <c r="AX2898" s="35"/>
      <c r="AY2898" s="35"/>
      <c r="AZ2898" s="35"/>
      <c r="BA2898" s="35"/>
      <c r="BB2898" s="22">
        <f t="shared" si="882"/>
        <v>0</v>
      </c>
      <c r="BC2898" s="23">
        <v>65</v>
      </c>
      <c r="BD2898" s="130">
        <f t="shared" si="883"/>
        <v>0</v>
      </c>
      <c r="BE2898" s="130">
        <f t="shared" si="884"/>
        <v>65</v>
      </c>
      <c r="BF2898" s="195">
        <f t="shared" si="885"/>
        <v>0</v>
      </c>
      <c r="BG2898" s="373">
        <f t="shared" si="886"/>
        <v>65</v>
      </c>
    </row>
    <row r="2899" spans="1:59" s="46" customFormat="1" ht="15.95" customHeight="1">
      <c r="A2899" s="176">
        <v>120</v>
      </c>
      <c r="B2899" s="31" t="s">
        <v>858</v>
      </c>
      <c r="C2899" s="32" t="s">
        <v>859</v>
      </c>
      <c r="D2899" s="231"/>
      <c r="E2899" s="231"/>
      <c r="F2899" s="231"/>
      <c r="G2899" s="231"/>
      <c r="H2899" s="231"/>
      <c r="I2899" s="231"/>
      <c r="J2899" s="231"/>
      <c r="K2899" s="231"/>
      <c r="L2899" s="231"/>
      <c r="M2899" s="231"/>
      <c r="N2899" s="231"/>
      <c r="O2899" s="231"/>
      <c r="P2899" s="231"/>
      <c r="Q2899" s="231"/>
      <c r="R2899" s="231"/>
      <c r="S2899" s="231"/>
      <c r="T2899" s="231"/>
      <c r="U2899" s="231"/>
      <c r="V2899" s="231"/>
      <c r="W2899" s="231"/>
      <c r="X2899" s="231"/>
      <c r="Y2899" s="231"/>
      <c r="Z2899" s="231"/>
      <c r="AA2899" s="231"/>
      <c r="AB2899" s="22">
        <f t="shared" si="881"/>
        <v>0</v>
      </c>
      <c r="AC2899" s="23">
        <v>0</v>
      </c>
      <c r="AD2899" s="35">
        <v>1740</v>
      </c>
      <c r="AE2899" s="35"/>
      <c r="AF2899" s="35"/>
      <c r="AG2899" s="35"/>
      <c r="AH2899" s="35">
        <f>1309+3+437</f>
        <v>1749</v>
      </c>
      <c r="AI2899" s="35"/>
      <c r="AJ2899" s="35"/>
      <c r="AK2899" s="35"/>
      <c r="AL2899" s="35">
        <f>1243+11+2503</f>
        <v>3757</v>
      </c>
      <c r="AM2899" s="35"/>
      <c r="AN2899" s="35"/>
      <c r="AO2899" s="35"/>
      <c r="AP2899" s="35">
        <f>133+3525</f>
        <v>3658</v>
      </c>
      <c r="AQ2899" s="35"/>
      <c r="AR2899" s="35"/>
      <c r="AS2899" s="35"/>
      <c r="AT2899" s="35"/>
      <c r="AU2899" s="35"/>
      <c r="AV2899" s="35"/>
      <c r="AW2899" s="35"/>
      <c r="AX2899" s="35"/>
      <c r="AY2899" s="35"/>
      <c r="AZ2899" s="35"/>
      <c r="BA2899" s="35"/>
      <c r="BB2899" s="22">
        <f t="shared" si="882"/>
        <v>10904</v>
      </c>
      <c r="BC2899" s="23">
        <v>23665</v>
      </c>
      <c r="BD2899" s="130">
        <f t="shared" si="883"/>
        <v>10904</v>
      </c>
      <c r="BE2899" s="130">
        <f t="shared" si="884"/>
        <v>23665</v>
      </c>
      <c r="BF2899" s="195">
        <f t="shared" si="885"/>
        <v>46.076484259454894</v>
      </c>
      <c r="BG2899" s="373">
        <f t="shared" si="886"/>
        <v>12761</v>
      </c>
    </row>
    <row r="2900" spans="1:59" s="46" customFormat="1" ht="15.95" customHeight="1">
      <c r="A2900" s="176">
        <v>121</v>
      </c>
      <c r="B2900" s="31" t="s">
        <v>860</v>
      </c>
      <c r="C2900" s="34" t="s">
        <v>1457</v>
      </c>
      <c r="D2900" s="231">
        <v>1</v>
      </c>
      <c r="E2900" s="231"/>
      <c r="F2900" s="231"/>
      <c r="G2900" s="231"/>
      <c r="H2900" s="231"/>
      <c r="I2900" s="231"/>
      <c r="J2900" s="231"/>
      <c r="K2900" s="231"/>
      <c r="L2900" s="231"/>
      <c r="M2900" s="231"/>
      <c r="N2900" s="231"/>
      <c r="O2900" s="231"/>
      <c r="P2900" s="231">
        <v>3</v>
      </c>
      <c r="Q2900" s="231"/>
      <c r="R2900" s="231"/>
      <c r="S2900" s="231"/>
      <c r="T2900" s="231"/>
      <c r="U2900" s="231"/>
      <c r="V2900" s="231"/>
      <c r="W2900" s="231"/>
      <c r="X2900" s="231"/>
      <c r="Y2900" s="231"/>
      <c r="Z2900" s="231"/>
      <c r="AA2900" s="231"/>
      <c r="AB2900" s="22">
        <f t="shared" si="881"/>
        <v>4</v>
      </c>
      <c r="AC2900" s="23">
        <v>0</v>
      </c>
      <c r="AD2900" s="35">
        <v>1784</v>
      </c>
      <c r="AE2900" s="35"/>
      <c r="AF2900" s="35"/>
      <c r="AG2900" s="35"/>
      <c r="AH2900" s="35">
        <f>1267+534</f>
        <v>1801</v>
      </c>
      <c r="AI2900" s="35"/>
      <c r="AJ2900" s="35"/>
      <c r="AK2900" s="35"/>
      <c r="AL2900" s="35">
        <f>1229+3+2189</f>
        <v>3421</v>
      </c>
      <c r="AM2900" s="35"/>
      <c r="AN2900" s="35"/>
      <c r="AO2900" s="35"/>
      <c r="AP2900" s="35">
        <f>128+3233</f>
        <v>3361</v>
      </c>
      <c r="AQ2900" s="35"/>
      <c r="AR2900" s="35"/>
      <c r="AS2900" s="35"/>
      <c r="AT2900" s="35"/>
      <c r="AU2900" s="35"/>
      <c r="AV2900" s="35"/>
      <c r="AW2900" s="35"/>
      <c r="AX2900" s="35"/>
      <c r="AY2900" s="35"/>
      <c r="AZ2900" s="35"/>
      <c r="BA2900" s="35"/>
      <c r="BB2900" s="22">
        <f t="shared" si="882"/>
        <v>10367</v>
      </c>
      <c r="BC2900" s="23">
        <v>20661</v>
      </c>
      <c r="BD2900" s="130">
        <f t="shared" si="883"/>
        <v>10371</v>
      </c>
      <c r="BE2900" s="130">
        <f t="shared" si="884"/>
        <v>20661</v>
      </c>
      <c r="BF2900" s="195">
        <f t="shared" si="885"/>
        <v>50.196021489763318</v>
      </c>
      <c r="BG2900" s="373">
        <f t="shared" si="886"/>
        <v>10290</v>
      </c>
    </row>
    <row r="2901" spans="1:59" s="46" customFormat="1" ht="15.95" customHeight="1">
      <c r="A2901" s="176">
        <v>122</v>
      </c>
      <c r="B2901" s="31" t="s">
        <v>1026</v>
      </c>
      <c r="C2901" s="32" t="s">
        <v>1976</v>
      </c>
      <c r="D2901" s="231"/>
      <c r="E2901" s="231"/>
      <c r="F2901" s="231"/>
      <c r="G2901" s="231"/>
      <c r="H2901" s="231"/>
      <c r="I2901" s="231"/>
      <c r="J2901" s="231"/>
      <c r="K2901" s="231"/>
      <c r="L2901" s="231"/>
      <c r="M2901" s="231"/>
      <c r="N2901" s="231"/>
      <c r="O2901" s="231"/>
      <c r="P2901" s="231"/>
      <c r="Q2901" s="231"/>
      <c r="R2901" s="231"/>
      <c r="S2901" s="231"/>
      <c r="T2901" s="231"/>
      <c r="U2901" s="231"/>
      <c r="V2901" s="231"/>
      <c r="W2901" s="231"/>
      <c r="X2901" s="231"/>
      <c r="Y2901" s="231"/>
      <c r="Z2901" s="231"/>
      <c r="AA2901" s="231"/>
      <c r="AB2901" s="22">
        <f t="shared" si="881"/>
        <v>0</v>
      </c>
      <c r="AC2901" s="23">
        <v>0</v>
      </c>
      <c r="AD2901" s="35"/>
      <c r="AE2901" s="35"/>
      <c r="AF2901" s="35"/>
      <c r="AG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  <c r="AX2901" s="35"/>
      <c r="AY2901" s="35"/>
      <c r="AZ2901" s="35"/>
      <c r="BA2901" s="35"/>
      <c r="BB2901" s="22">
        <f t="shared" si="882"/>
        <v>0</v>
      </c>
      <c r="BC2901" s="23">
        <v>1</v>
      </c>
      <c r="BD2901" s="130">
        <f t="shared" si="883"/>
        <v>0</v>
      </c>
      <c r="BE2901" s="130">
        <f t="shared" si="884"/>
        <v>1</v>
      </c>
      <c r="BF2901" s="195">
        <f t="shared" si="885"/>
        <v>0</v>
      </c>
      <c r="BG2901" s="373">
        <f t="shared" si="886"/>
        <v>1</v>
      </c>
    </row>
    <row r="2902" spans="1:59" s="46" customFormat="1" ht="15.95" customHeight="1">
      <c r="A2902" s="176">
        <v>123</v>
      </c>
      <c r="B2902" s="31" t="s">
        <v>862</v>
      </c>
      <c r="C2902" s="34" t="s">
        <v>1515</v>
      </c>
      <c r="D2902" s="231"/>
      <c r="E2902" s="231"/>
      <c r="F2902" s="231"/>
      <c r="G2902" s="231"/>
      <c r="H2902" s="231"/>
      <c r="I2902" s="231"/>
      <c r="J2902" s="231"/>
      <c r="K2902" s="231"/>
      <c r="L2902" s="231"/>
      <c r="M2902" s="231"/>
      <c r="N2902" s="231"/>
      <c r="O2902" s="231"/>
      <c r="P2902" s="231"/>
      <c r="Q2902" s="231"/>
      <c r="R2902" s="231"/>
      <c r="S2902" s="231"/>
      <c r="T2902" s="231"/>
      <c r="U2902" s="231"/>
      <c r="V2902" s="231"/>
      <c r="W2902" s="231"/>
      <c r="X2902" s="231"/>
      <c r="Y2902" s="231"/>
      <c r="Z2902" s="231"/>
      <c r="AA2902" s="231"/>
      <c r="AB2902" s="22">
        <f t="shared" si="881"/>
        <v>0</v>
      </c>
      <c r="AC2902" s="23">
        <v>0</v>
      </c>
      <c r="AD2902" s="35">
        <v>1564</v>
      </c>
      <c r="AE2902" s="35"/>
      <c r="AF2902" s="35"/>
      <c r="AG2902" s="35"/>
      <c r="AH2902" s="35">
        <f>1059+35</f>
        <v>1094</v>
      </c>
      <c r="AI2902" s="35"/>
      <c r="AJ2902" s="35"/>
      <c r="AK2902" s="35"/>
      <c r="AL2902" s="35">
        <f>1030+480</f>
        <v>1510</v>
      </c>
      <c r="AM2902" s="35"/>
      <c r="AN2902" s="35"/>
      <c r="AO2902" s="35"/>
      <c r="AP2902" s="35">
        <f>78+539</f>
        <v>617</v>
      </c>
      <c r="AQ2902" s="35"/>
      <c r="AR2902" s="35"/>
      <c r="AS2902" s="35"/>
      <c r="AT2902" s="35"/>
      <c r="AU2902" s="35"/>
      <c r="AV2902" s="35"/>
      <c r="AW2902" s="35"/>
      <c r="AX2902" s="35"/>
      <c r="AY2902" s="35"/>
      <c r="AZ2902" s="35"/>
      <c r="BA2902" s="35"/>
      <c r="BB2902" s="22">
        <f t="shared" si="882"/>
        <v>4785</v>
      </c>
      <c r="BC2902" s="23">
        <v>2798</v>
      </c>
      <c r="BD2902" s="130">
        <f t="shared" si="883"/>
        <v>4785</v>
      </c>
      <c r="BE2902" s="130">
        <f t="shared" si="884"/>
        <v>2798</v>
      </c>
      <c r="BF2902" s="195">
        <f t="shared" si="885"/>
        <v>171.01501072194424</v>
      </c>
      <c r="BG2902" s="373">
        <f t="shared" si="886"/>
        <v>-1987</v>
      </c>
    </row>
    <row r="2903" spans="1:59" s="46" customFormat="1" ht="15.95" customHeight="1">
      <c r="A2903" s="176">
        <v>124</v>
      </c>
      <c r="B2903" s="31" t="s">
        <v>864</v>
      </c>
      <c r="C2903" s="34" t="s">
        <v>1516</v>
      </c>
      <c r="D2903" s="231"/>
      <c r="E2903" s="231"/>
      <c r="F2903" s="231"/>
      <c r="G2903" s="231"/>
      <c r="H2903" s="231"/>
      <c r="I2903" s="231"/>
      <c r="J2903" s="231"/>
      <c r="K2903" s="231"/>
      <c r="L2903" s="231"/>
      <c r="M2903" s="231"/>
      <c r="N2903" s="231"/>
      <c r="O2903" s="231"/>
      <c r="P2903" s="231"/>
      <c r="Q2903" s="231"/>
      <c r="R2903" s="231"/>
      <c r="S2903" s="231"/>
      <c r="T2903" s="231"/>
      <c r="U2903" s="231"/>
      <c r="V2903" s="231"/>
      <c r="W2903" s="231"/>
      <c r="X2903" s="231"/>
      <c r="Y2903" s="231"/>
      <c r="Z2903" s="231"/>
      <c r="AA2903" s="231"/>
      <c r="AB2903" s="22">
        <f t="shared" si="881"/>
        <v>0</v>
      </c>
      <c r="AC2903" s="23">
        <v>0</v>
      </c>
      <c r="AD2903" s="35">
        <v>136</v>
      </c>
      <c r="AE2903" s="35"/>
      <c r="AF2903" s="35"/>
      <c r="AG2903" s="35"/>
      <c r="AH2903" s="35">
        <v>122</v>
      </c>
      <c r="AI2903" s="35"/>
      <c r="AJ2903" s="35"/>
      <c r="AK2903" s="35"/>
      <c r="AL2903" s="35">
        <f>147+47</f>
        <v>194</v>
      </c>
      <c r="AM2903" s="35"/>
      <c r="AN2903" s="35"/>
      <c r="AO2903" s="35"/>
      <c r="AP2903" s="35">
        <f>20+32</f>
        <v>52</v>
      </c>
      <c r="AQ2903" s="35"/>
      <c r="AR2903" s="35"/>
      <c r="AS2903" s="35"/>
      <c r="AT2903" s="35"/>
      <c r="AU2903" s="35"/>
      <c r="AV2903" s="35"/>
      <c r="AW2903" s="35"/>
      <c r="AX2903" s="35"/>
      <c r="AY2903" s="35"/>
      <c r="AZ2903" s="35"/>
      <c r="BA2903" s="35"/>
      <c r="BB2903" s="22">
        <f t="shared" si="882"/>
        <v>504</v>
      </c>
      <c r="BC2903" s="23">
        <v>398</v>
      </c>
      <c r="BD2903" s="130">
        <f t="shared" si="883"/>
        <v>504</v>
      </c>
      <c r="BE2903" s="130">
        <f t="shared" si="884"/>
        <v>398</v>
      </c>
      <c r="BF2903" s="195">
        <f t="shared" si="885"/>
        <v>126.63316582914572</v>
      </c>
      <c r="BG2903" s="373">
        <f t="shared" si="886"/>
        <v>-106</v>
      </c>
    </row>
    <row r="2904" spans="1:59" s="46" customFormat="1" ht="15.95" customHeight="1">
      <c r="A2904" s="176">
        <v>125</v>
      </c>
      <c r="B2904" s="31" t="s">
        <v>865</v>
      </c>
      <c r="C2904" s="32" t="s">
        <v>3546</v>
      </c>
      <c r="D2904" s="231"/>
      <c r="E2904" s="231"/>
      <c r="F2904" s="231"/>
      <c r="G2904" s="231"/>
      <c r="H2904" s="231"/>
      <c r="I2904" s="231"/>
      <c r="J2904" s="231"/>
      <c r="K2904" s="231"/>
      <c r="L2904" s="231"/>
      <c r="M2904" s="231"/>
      <c r="N2904" s="231"/>
      <c r="O2904" s="231"/>
      <c r="P2904" s="231"/>
      <c r="Q2904" s="231"/>
      <c r="R2904" s="231"/>
      <c r="S2904" s="231"/>
      <c r="T2904" s="231"/>
      <c r="U2904" s="231"/>
      <c r="V2904" s="231"/>
      <c r="W2904" s="231"/>
      <c r="X2904" s="231"/>
      <c r="Y2904" s="231"/>
      <c r="Z2904" s="231"/>
      <c r="AA2904" s="231"/>
      <c r="AB2904" s="22">
        <f t="shared" si="881"/>
        <v>0</v>
      </c>
      <c r="AC2904" s="23">
        <v>0</v>
      </c>
      <c r="AD2904" s="35"/>
      <c r="AE2904" s="35"/>
      <c r="AF2904" s="35"/>
      <c r="AG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  <c r="AX2904" s="35"/>
      <c r="AY2904" s="35"/>
      <c r="AZ2904" s="35"/>
      <c r="BA2904" s="35"/>
      <c r="BB2904" s="22">
        <f t="shared" si="882"/>
        <v>0</v>
      </c>
      <c r="BC2904" s="23">
        <v>44</v>
      </c>
      <c r="BD2904" s="130">
        <f t="shared" si="883"/>
        <v>0</v>
      </c>
      <c r="BE2904" s="130">
        <f t="shared" si="884"/>
        <v>44</v>
      </c>
      <c r="BF2904" s="195">
        <f t="shared" si="885"/>
        <v>0</v>
      </c>
      <c r="BG2904" s="373">
        <f t="shared" si="886"/>
        <v>44</v>
      </c>
    </row>
    <row r="2905" spans="1:59" s="46" customFormat="1" ht="15.95" customHeight="1">
      <c r="A2905" s="176">
        <v>126</v>
      </c>
      <c r="B2905" s="31" t="s">
        <v>2743</v>
      </c>
      <c r="C2905" s="32" t="s">
        <v>2744</v>
      </c>
      <c r="D2905" s="231"/>
      <c r="E2905" s="231"/>
      <c r="F2905" s="231"/>
      <c r="G2905" s="231"/>
      <c r="H2905" s="231"/>
      <c r="I2905" s="231"/>
      <c r="J2905" s="231"/>
      <c r="K2905" s="231"/>
      <c r="L2905" s="231"/>
      <c r="M2905" s="231"/>
      <c r="N2905" s="231"/>
      <c r="O2905" s="231"/>
      <c r="P2905" s="231"/>
      <c r="Q2905" s="231"/>
      <c r="R2905" s="231"/>
      <c r="S2905" s="231"/>
      <c r="T2905" s="231"/>
      <c r="U2905" s="231"/>
      <c r="V2905" s="231"/>
      <c r="W2905" s="231"/>
      <c r="X2905" s="231"/>
      <c r="Y2905" s="231"/>
      <c r="Z2905" s="231"/>
      <c r="AA2905" s="231"/>
      <c r="AB2905" s="22">
        <f t="shared" si="881"/>
        <v>0</v>
      </c>
      <c r="AC2905" s="23">
        <v>0</v>
      </c>
      <c r="AD2905" s="35"/>
      <c r="AE2905" s="35"/>
      <c r="AF2905" s="35"/>
      <c r="AG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  <c r="AX2905" s="35"/>
      <c r="AY2905" s="35"/>
      <c r="AZ2905" s="35"/>
      <c r="BA2905" s="35"/>
      <c r="BB2905" s="22">
        <f t="shared" si="882"/>
        <v>0</v>
      </c>
      <c r="BC2905" s="23">
        <v>3</v>
      </c>
      <c r="BD2905" s="130">
        <f t="shared" si="883"/>
        <v>0</v>
      </c>
      <c r="BE2905" s="130">
        <f t="shared" si="884"/>
        <v>3</v>
      </c>
      <c r="BF2905" s="195">
        <f t="shared" si="885"/>
        <v>0</v>
      </c>
      <c r="BG2905" s="373">
        <f t="shared" si="886"/>
        <v>3</v>
      </c>
    </row>
    <row r="2906" spans="1:59" s="46" customFormat="1" ht="15.95" customHeight="1">
      <c r="A2906" s="176">
        <v>127</v>
      </c>
      <c r="B2906" s="31" t="s">
        <v>1027</v>
      </c>
      <c r="C2906" s="34" t="s">
        <v>2605</v>
      </c>
      <c r="D2906" s="231"/>
      <c r="E2906" s="231"/>
      <c r="F2906" s="231"/>
      <c r="G2906" s="231"/>
      <c r="H2906" s="231"/>
      <c r="I2906" s="231"/>
      <c r="J2906" s="231"/>
      <c r="K2906" s="231"/>
      <c r="L2906" s="231"/>
      <c r="M2906" s="231"/>
      <c r="N2906" s="231"/>
      <c r="O2906" s="231"/>
      <c r="P2906" s="231"/>
      <c r="Q2906" s="231"/>
      <c r="R2906" s="231"/>
      <c r="S2906" s="231"/>
      <c r="T2906" s="231"/>
      <c r="U2906" s="231"/>
      <c r="V2906" s="231"/>
      <c r="W2906" s="231"/>
      <c r="X2906" s="231"/>
      <c r="Y2906" s="231"/>
      <c r="Z2906" s="231"/>
      <c r="AA2906" s="231"/>
      <c r="AB2906" s="22">
        <f t="shared" si="881"/>
        <v>0</v>
      </c>
      <c r="AC2906" s="23">
        <v>0</v>
      </c>
      <c r="AD2906" s="35"/>
      <c r="AE2906" s="35"/>
      <c r="AF2906" s="35"/>
      <c r="AG2906" s="35"/>
      <c r="AH2906" s="35">
        <v>21</v>
      </c>
      <c r="AI2906" s="35"/>
      <c r="AJ2906" s="35"/>
      <c r="AK2906" s="35"/>
      <c r="AL2906" s="35"/>
      <c r="AM2906" s="35"/>
      <c r="AN2906" s="35"/>
      <c r="AO2906" s="35"/>
      <c r="AP2906" s="35">
        <v>2</v>
      </c>
      <c r="AQ2906" s="35"/>
      <c r="AR2906" s="35"/>
      <c r="AS2906" s="35"/>
      <c r="AT2906" s="35"/>
      <c r="AU2906" s="35"/>
      <c r="AV2906" s="35"/>
      <c r="AW2906" s="35"/>
      <c r="AX2906" s="35"/>
      <c r="AY2906" s="35"/>
      <c r="AZ2906" s="35"/>
      <c r="BA2906" s="35"/>
      <c r="BB2906" s="22">
        <f t="shared" si="882"/>
        <v>23</v>
      </c>
      <c r="BC2906" s="23">
        <v>34</v>
      </c>
      <c r="BD2906" s="130">
        <f t="shared" si="883"/>
        <v>23</v>
      </c>
      <c r="BE2906" s="130">
        <f t="shared" si="884"/>
        <v>34</v>
      </c>
      <c r="BF2906" s="195">
        <f t="shared" si="885"/>
        <v>67.64705882352942</v>
      </c>
      <c r="BG2906" s="373">
        <f t="shared" si="886"/>
        <v>11</v>
      </c>
    </row>
    <row r="2907" spans="1:59" s="46" customFormat="1" ht="15.95" customHeight="1">
      <c r="A2907" s="176">
        <v>128</v>
      </c>
      <c r="B2907" s="31" t="s">
        <v>1650</v>
      </c>
      <c r="C2907" s="34" t="s">
        <v>2178</v>
      </c>
      <c r="D2907" s="231"/>
      <c r="E2907" s="231"/>
      <c r="F2907" s="231"/>
      <c r="G2907" s="231"/>
      <c r="H2907" s="231"/>
      <c r="I2907" s="231"/>
      <c r="J2907" s="231"/>
      <c r="K2907" s="231"/>
      <c r="L2907" s="231"/>
      <c r="M2907" s="231"/>
      <c r="N2907" s="231"/>
      <c r="O2907" s="231"/>
      <c r="P2907" s="231"/>
      <c r="Q2907" s="231"/>
      <c r="R2907" s="231"/>
      <c r="S2907" s="231"/>
      <c r="T2907" s="231"/>
      <c r="U2907" s="231"/>
      <c r="V2907" s="231"/>
      <c r="W2907" s="231"/>
      <c r="X2907" s="231"/>
      <c r="Y2907" s="231"/>
      <c r="Z2907" s="231"/>
      <c r="AA2907" s="231"/>
      <c r="AB2907" s="22">
        <f t="shared" si="881"/>
        <v>0</v>
      </c>
      <c r="AC2907" s="23">
        <v>0</v>
      </c>
      <c r="AD2907" s="35"/>
      <c r="AE2907" s="35"/>
      <c r="AF2907" s="35"/>
      <c r="AG2907" s="35"/>
      <c r="AH2907" s="35"/>
      <c r="AI2907" s="35"/>
      <c r="AJ2907" s="35"/>
      <c r="AK2907" s="35"/>
      <c r="AL2907" s="35">
        <v>1</v>
      </c>
      <c r="AM2907" s="35"/>
      <c r="AN2907" s="35"/>
      <c r="AO2907" s="35"/>
      <c r="AP2907" s="35">
        <v>4</v>
      </c>
      <c r="AQ2907" s="35"/>
      <c r="AR2907" s="35"/>
      <c r="AS2907" s="35"/>
      <c r="AT2907" s="35"/>
      <c r="AU2907" s="35"/>
      <c r="AV2907" s="35"/>
      <c r="AW2907" s="35"/>
      <c r="AX2907" s="35"/>
      <c r="AY2907" s="35"/>
      <c r="AZ2907" s="35"/>
      <c r="BA2907" s="35"/>
      <c r="BB2907" s="22">
        <f t="shared" si="882"/>
        <v>5</v>
      </c>
      <c r="BC2907" s="23">
        <v>16</v>
      </c>
      <c r="BD2907" s="130">
        <f t="shared" si="883"/>
        <v>5</v>
      </c>
      <c r="BE2907" s="130">
        <f t="shared" si="884"/>
        <v>16</v>
      </c>
      <c r="BF2907" s="195">
        <f t="shared" si="885"/>
        <v>31.25</v>
      </c>
      <c r="BG2907" s="373">
        <f t="shared" si="886"/>
        <v>11</v>
      </c>
    </row>
    <row r="2908" spans="1:59" s="46" customFormat="1" ht="15.95" customHeight="1">
      <c r="A2908" s="176">
        <v>129</v>
      </c>
      <c r="B2908" s="31" t="s">
        <v>2430</v>
      </c>
      <c r="C2908" s="34" t="s">
        <v>2431</v>
      </c>
      <c r="D2908" s="231"/>
      <c r="E2908" s="231"/>
      <c r="F2908" s="231"/>
      <c r="G2908" s="231"/>
      <c r="H2908" s="231"/>
      <c r="I2908" s="231"/>
      <c r="J2908" s="231"/>
      <c r="K2908" s="231"/>
      <c r="L2908" s="231"/>
      <c r="M2908" s="231"/>
      <c r="N2908" s="231"/>
      <c r="O2908" s="231"/>
      <c r="P2908" s="231"/>
      <c r="Q2908" s="231"/>
      <c r="R2908" s="231"/>
      <c r="S2908" s="231"/>
      <c r="T2908" s="231"/>
      <c r="U2908" s="231"/>
      <c r="V2908" s="231"/>
      <c r="W2908" s="231"/>
      <c r="X2908" s="231"/>
      <c r="Y2908" s="231"/>
      <c r="Z2908" s="231"/>
      <c r="AA2908" s="231"/>
      <c r="AB2908" s="22">
        <f t="shared" ref="AB2908:AB2920" si="887">SUM(D2908:AA2908)</f>
        <v>0</v>
      </c>
      <c r="AC2908" s="23">
        <v>0</v>
      </c>
      <c r="AD2908" s="35"/>
      <c r="AE2908" s="35"/>
      <c r="AF2908" s="35"/>
      <c r="AG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  <c r="AX2908" s="35"/>
      <c r="AY2908" s="35"/>
      <c r="AZ2908" s="35"/>
      <c r="BA2908" s="35"/>
      <c r="BB2908" s="22">
        <f t="shared" ref="BB2908:BB2920" si="888">SUM(AD2908:BA2908)</f>
        <v>0</v>
      </c>
      <c r="BC2908" s="23">
        <v>3</v>
      </c>
      <c r="BD2908" s="130">
        <f t="shared" ref="BD2908:BD2920" si="889">AB2908+BB2908</f>
        <v>0</v>
      </c>
      <c r="BE2908" s="130">
        <f t="shared" ref="BE2908:BE2920" si="890">AC2908+BC2908</f>
        <v>3</v>
      </c>
      <c r="BF2908" s="195">
        <f t="shared" ref="BF2908:BF2920" si="891">BD2908/BE2908*100</f>
        <v>0</v>
      </c>
      <c r="BG2908" s="373">
        <f t="shared" si="886"/>
        <v>3</v>
      </c>
    </row>
    <row r="2909" spans="1:59" s="46" customFormat="1" ht="15.95" customHeight="1">
      <c r="A2909" s="176">
        <v>130</v>
      </c>
      <c r="B2909" s="31" t="s">
        <v>1028</v>
      </c>
      <c r="C2909" s="34" t="s">
        <v>2179</v>
      </c>
      <c r="D2909" s="289"/>
      <c r="E2909" s="289"/>
      <c r="F2909" s="289"/>
      <c r="G2909" s="289"/>
      <c r="H2909" s="289"/>
      <c r="I2909" s="289"/>
      <c r="J2909" s="289"/>
      <c r="K2909" s="289"/>
      <c r="L2909" s="289"/>
      <c r="M2909" s="289"/>
      <c r="N2909" s="289"/>
      <c r="O2909" s="289"/>
      <c r="P2909" s="289"/>
      <c r="Q2909" s="289"/>
      <c r="R2909" s="289"/>
      <c r="S2909" s="289"/>
      <c r="T2909" s="289"/>
      <c r="U2909" s="289"/>
      <c r="V2909" s="289"/>
      <c r="W2909" s="289"/>
      <c r="X2909" s="289"/>
      <c r="Y2909" s="289"/>
      <c r="Z2909" s="289"/>
      <c r="AA2909" s="289"/>
      <c r="AB2909" s="22">
        <f t="shared" si="887"/>
        <v>0</v>
      </c>
      <c r="AC2909" s="23">
        <v>0</v>
      </c>
      <c r="AD2909" s="35">
        <v>31</v>
      </c>
      <c r="AE2909" s="35"/>
      <c r="AF2909" s="35"/>
      <c r="AG2909" s="35"/>
      <c r="AH2909" s="35">
        <f>4+54</f>
        <v>58</v>
      </c>
      <c r="AI2909" s="35"/>
      <c r="AJ2909" s="35"/>
      <c r="AK2909" s="35"/>
      <c r="AL2909" s="35">
        <f>13+135</f>
        <v>148</v>
      </c>
      <c r="AM2909" s="35"/>
      <c r="AN2909" s="35"/>
      <c r="AO2909" s="35"/>
      <c r="AP2909" s="35">
        <v>205</v>
      </c>
      <c r="AQ2909" s="35"/>
      <c r="AR2909" s="35"/>
      <c r="AS2909" s="35"/>
      <c r="AT2909" s="35"/>
      <c r="AU2909" s="35"/>
      <c r="AV2909" s="35"/>
      <c r="AW2909" s="35"/>
      <c r="AX2909" s="35"/>
      <c r="AY2909" s="35"/>
      <c r="AZ2909" s="35"/>
      <c r="BA2909" s="35"/>
      <c r="BB2909" s="22">
        <f t="shared" si="888"/>
        <v>442</v>
      </c>
      <c r="BC2909" s="23">
        <v>1554</v>
      </c>
      <c r="BD2909" s="130">
        <f t="shared" si="889"/>
        <v>442</v>
      </c>
      <c r="BE2909" s="130">
        <f t="shared" si="890"/>
        <v>1554</v>
      </c>
      <c r="BF2909" s="195">
        <f t="shared" si="891"/>
        <v>28.442728442728445</v>
      </c>
      <c r="BG2909" s="373">
        <f t="shared" si="886"/>
        <v>1112</v>
      </c>
    </row>
    <row r="2910" spans="1:59" s="46" customFormat="1" ht="15.95" customHeight="1">
      <c r="A2910" s="176">
        <v>131</v>
      </c>
      <c r="B2910" s="31" t="s">
        <v>1030</v>
      </c>
      <c r="C2910" s="34" t="s">
        <v>1653</v>
      </c>
      <c r="D2910" s="231"/>
      <c r="E2910" s="231"/>
      <c r="F2910" s="231"/>
      <c r="G2910" s="231"/>
      <c r="H2910" s="231"/>
      <c r="I2910" s="231"/>
      <c r="J2910" s="231"/>
      <c r="K2910" s="231"/>
      <c r="L2910" s="231"/>
      <c r="M2910" s="231"/>
      <c r="N2910" s="231"/>
      <c r="O2910" s="231"/>
      <c r="P2910" s="231"/>
      <c r="Q2910" s="231"/>
      <c r="R2910" s="231"/>
      <c r="S2910" s="231"/>
      <c r="T2910" s="231"/>
      <c r="U2910" s="231"/>
      <c r="V2910" s="231"/>
      <c r="W2910" s="231"/>
      <c r="X2910" s="231"/>
      <c r="Y2910" s="231"/>
      <c r="Z2910" s="231"/>
      <c r="AA2910" s="231"/>
      <c r="AB2910" s="22">
        <f t="shared" si="887"/>
        <v>0</v>
      </c>
      <c r="AC2910" s="23">
        <v>0</v>
      </c>
      <c r="AD2910" s="35">
        <v>97</v>
      </c>
      <c r="AE2910" s="35"/>
      <c r="AF2910" s="35"/>
      <c r="AG2910" s="35"/>
      <c r="AH2910" s="35">
        <f>137+1</f>
        <v>138</v>
      </c>
      <c r="AI2910" s="35"/>
      <c r="AJ2910" s="35"/>
      <c r="AK2910" s="35"/>
      <c r="AL2910" s="35">
        <f>84+16</f>
        <v>100</v>
      </c>
      <c r="AM2910" s="35"/>
      <c r="AN2910" s="35"/>
      <c r="AO2910" s="35"/>
      <c r="AP2910" s="35">
        <f>4+22</f>
        <v>26</v>
      </c>
      <c r="AQ2910" s="35"/>
      <c r="AR2910" s="35"/>
      <c r="AS2910" s="35"/>
      <c r="AT2910" s="35"/>
      <c r="AU2910" s="35"/>
      <c r="AV2910" s="35"/>
      <c r="AW2910" s="35"/>
      <c r="AX2910" s="35"/>
      <c r="AY2910" s="35"/>
      <c r="AZ2910" s="35"/>
      <c r="BA2910" s="35"/>
      <c r="BB2910" s="22">
        <f t="shared" si="888"/>
        <v>361</v>
      </c>
      <c r="BC2910" s="23">
        <v>90</v>
      </c>
      <c r="BD2910" s="130">
        <f t="shared" si="889"/>
        <v>361</v>
      </c>
      <c r="BE2910" s="130">
        <f t="shared" si="890"/>
        <v>90</v>
      </c>
      <c r="BF2910" s="195">
        <f t="shared" si="891"/>
        <v>401.11111111111109</v>
      </c>
      <c r="BG2910" s="373">
        <f t="shared" si="886"/>
        <v>-271</v>
      </c>
    </row>
    <row r="2911" spans="1:59" s="46" customFormat="1" ht="15.95" customHeight="1">
      <c r="A2911" s="176">
        <v>132</v>
      </c>
      <c r="B2911" s="31" t="s">
        <v>1654</v>
      </c>
      <c r="C2911" s="34" t="s">
        <v>2180</v>
      </c>
      <c r="D2911" s="231"/>
      <c r="E2911" s="231"/>
      <c r="F2911" s="231"/>
      <c r="G2911" s="231"/>
      <c r="H2911" s="231">
        <v>1</v>
      </c>
      <c r="I2911" s="231"/>
      <c r="J2911" s="231"/>
      <c r="K2911" s="231"/>
      <c r="L2911" s="231"/>
      <c r="M2911" s="231"/>
      <c r="N2911" s="231"/>
      <c r="O2911" s="231"/>
      <c r="P2911" s="231"/>
      <c r="Q2911" s="231"/>
      <c r="R2911" s="231"/>
      <c r="S2911" s="231"/>
      <c r="T2911" s="231"/>
      <c r="U2911" s="231"/>
      <c r="V2911" s="231"/>
      <c r="W2911" s="231"/>
      <c r="X2911" s="231"/>
      <c r="Y2911" s="231"/>
      <c r="Z2911" s="231"/>
      <c r="AA2911" s="231"/>
      <c r="AB2911" s="22">
        <f t="shared" si="887"/>
        <v>1</v>
      </c>
      <c r="AC2911" s="23">
        <v>0</v>
      </c>
      <c r="AD2911" s="35"/>
      <c r="AE2911" s="35"/>
      <c r="AF2911" s="35"/>
      <c r="AG2911" s="35"/>
      <c r="AH2911" s="35"/>
      <c r="AI2911" s="35"/>
      <c r="AJ2911" s="35"/>
      <c r="AK2911" s="35"/>
      <c r="AL2911" s="35">
        <v>9</v>
      </c>
      <c r="AM2911" s="35"/>
      <c r="AN2911" s="35"/>
      <c r="AO2911" s="35"/>
      <c r="AP2911" s="35">
        <v>2</v>
      </c>
      <c r="AQ2911" s="35"/>
      <c r="AR2911" s="35"/>
      <c r="AS2911" s="35"/>
      <c r="AT2911" s="35"/>
      <c r="AU2911" s="35"/>
      <c r="AV2911" s="35"/>
      <c r="AW2911" s="35"/>
      <c r="AX2911" s="35"/>
      <c r="AY2911" s="35"/>
      <c r="AZ2911" s="35"/>
      <c r="BA2911" s="35"/>
      <c r="BB2911" s="22">
        <f t="shared" si="888"/>
        <v>11</v>
      </c>
      <c r="BC2911" s="23">
        <v>63</v>
      </c>
      <c r="BD2911" s="130">
        <f t="shared" si="889"/>
        <v>12</v>
      </c>
      <c r="BE2911" s="130">
        <f t="shared" si="890"/>
        <v>63</v>
      </c>
      <c r="BF2911" s="195">
        <f t="shared" si="891"/>
        <v>19.047619047619047</v>
      </c>
      <c r="BG2911" s="373">
        <f t="shared" si="886"/>
        <v>51</v>
      </c>
    </row>
    <row r="2912" spans="1:59" s="46" customFormat="1" ht="15.95" customHeight="1">
      <c r="A2912" s="176">
        <v>133</v>
      </c>
      <c r="B2912" s="31" t="s">
        <v>1656</v>
      </c>
      <c r="C2912" s="34" t="s">
        <v>2484</v>
      </c>
      <c r="D2912" s="231"/>
      <c r="E2912" s="231"/>
      <c r="F2912" s="231"/>
      <c r="G2912" s="231"/>
      <c r="H2912" s="231"/>
      <c r="I2912" s="231"/>
      <c r="J2912" s="231"/>
      <c r="K2912" s="231"/>
      <c r="L2912" s="231"/>
      <c r="M2912" s="231"/>
      <c r="N2912" s="231"/>
      <c r="O2912" s="231"/>
      <c r="P2912" s="231"/>
      <c r="Q2912" s="231"/>
      <c r="R2912" s="231"/>
      <c r="S2912" s="231"/>
      <c r="T2912" s="231"/>
      <c r="U2912" s="231"/>
      <c r="V2912" s="231"/>
      <c r="W2912" s="231"/>
      <c r="X2912" s="231"/>
      <c r="Y2912" s="231"/>
      <c r="Z2912" s="231"/>
      <c r="AA2912" s="231"/>
      <c r="AB2912" s="22">
        <f t="shared" si="887"/>
        <v>0</v>
      </c>
      <c r="AC2912" s="23">
        <v>0</v>
      </c>
      <c r="AD2912" s="35"/>
      <c r="AE2912" s="35"/>
      <c r="AF2912" s="35"/>
      <c r="AG2912" s="35"/>
      <c r="AH2912" s="35">
        <v>2</v>
      </c>
      <c r="AI2912" s="35"/>
      <c r="AJ2912" s="35"/>
      <c r="AK2912" s="35"/>
      <c r="AL2912" s="35">
        <f>2+4</f>
        <v>6</v>
      </c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  <c r="AX2912" s="35"/>
      <c r="AY2912" s="35"/>
      <c r="AZ2912" s="35"/>
      <c r="BA2912" s="35"/>
      <c r="BB2912" s="22">
        <f t="shared" si="888"/>
        <v>8</v>
      </c>
      <c r="BC2912" s="23">
        <v>1</v>
      </c>
      <c r="BD2912" s="130">
        <f t="shared" si="889"/>
        <v>8</v>
      </c>
      <c r="BE2912" s="130">
        <f t="shared" si="890"/>
        <v>1</v>
      </c>
      <c r="BF2912" s="195">
        <f t="shared" si="891"/>
        <v>800</v>
      </c>
      <c r="BG2912" s="373">
        <f t="shared" si="886"/>
        <v>-7</v>
      </c>
    </row>
    <row r="2913" spans="1:61" s="46" customFormat="1" ht="15.95" customHeight="1">
      <c r="A2913" s="176">
        <v>134</v>
      </c>
      <c r="B2913" s="31" t="s">
        <v>1658</v>
      </c>
      <c r="C2913" s="32" t="s">
        <v>2429</v>
      </c>
      <c r="D2913" s="231"/>
      <c r="E2913" s="231"/>
      <c r="F2913" s="231"/>
      <c r="G2913" s="231"/>
      <c r="H2913" s="231"/>
      <c r="I2913" s="231"/>
      <c r="J2913" s="231"/>
      <c r="K2913" s="231"/>
      <c r="L2913" s="231"/>
      <c r="M2913" s="231"/>
      <c r="N2913" s="231"/>
      <c r="O2913" s="231"/>
      <c r="P2913" s="231"/>
      <c r="Q2913" s="231"/>
      <c r="R2913" s="231"/>
      <c r="S2913" s="231"/>
      <c r="T2913" s="231"/>
      <c r="U2913" s="231"/>
      <c r="V2913" s="231"/>
      <c r="W2913" s="231"/>
      <c r="X2913" s="231"/>
      <c r="Y2913" s="231"/>
      <c r="Z2913" s="231"/>
      <c r="AA2913" s="231"/>
      <c r="AB2913" s="22">
        <f t="shared" si="887"/>
        <v>0</v>
      </c>
      <c r="AC2913" s="23">
        <v>0</v>
      </c>
      <c r="AD2913" s="35">
        <v>28</v>
      </c>
      <c r="AE2913" s="35"/>
      <c r="AF2913" s="35"/>
      <c r="AG2913" s="35"/>
      <c r="AH2913" s="35">
        <v>28</v>
      </c>
      <c r="AI2913" s="35"/>
      <c r="AJ2913" s="35"/>
      <c r="AK2913" s="35"/>
      <c r="AL2913" s="35">
        <v>32</v>
      </c>
      <c r="AM2913" s="35"/>
      <c r="AN2913" s="35"/>
      <c r="AO2913" s="35"/>
      <c r="AP2913" s="35">
        <v>3</v>
      </c>
      <c r="AQ2913" s="35"/>
      <c r="AR2913" s="35"/>
      <c r="AS2913" s="35"/>
      <c r="AT2913" s="35"/>
      <c r="AU2913" s="35"/>
      <c r="AV2913" s="35"/>
      <c r="AW2913" s="35"/>
      <c r="AX2913" s="35"/>
      <c r="AY2913" s="35"/>
      <c r="AZ2913" s="35"/>
      <c r="BA2913" s="35"/>
      <c r="BB2913" s="22">
        <f t="shared" si="888"/>
        <v>91</v>
      </c>
      <c r="BC2913" s="23">
        <v>7</v>
      </c>
      <c r="BD2913" s="130">
        <f t="shared" si="889"/>
        <v>91</v>
      </c>
      <c r="BE2913" s="130">
        <f t="shared" si="890"/>
        <v>7</v>
      </c>
      <c r="BF2913" s="195">
        <f t="shared" si="891"/>
        <v>1300</v>
      </c>
      <c r="BG2913" s="373">
        <f t="shared" si="886"/>
        <v>-84</v>
      </c>
    </row>
    <row r="2914" spans="1:61" s="46" customFormat="1" ht="15.95" customHeight="1">
      <c r="A2914" s="176">
        <v>135</v>
      </c>
      <c r="B2914" s="31" t="s">
        <v>1034</v>
      </c>
      <c r="C2914" s="34" t="s">
        <v>1660</v>
      </c>
      <c r="D2914" s="231"/>
      <c r="E2914" s="231"/>
      <c r="F2914" s="231"/>
      <c r="G2914" s="231"/>
      <c r="H2914" s="231"/>
      <c r="I2914" s="231"/>
      <c r="J2914" s="231"/>
      <c r="K2914" s="231"/>
      <c r="L2914" s="231"/>
      <c r="M2914" s="231"/>
      <c r="N2914" s="231"/>
      <c r="O2914" s="231"/>
      <c r="P2914" s="231"/>
      <c r="Q2914" s="231"/>
      <c r="R2914" s="231"/>
      <c r="S2914" s="231"/>
      <c r="T2914" s="231"/>
      <c r="U2914" s="231"/>
      <c r="V2914" s="231"/>
      <c r="W2914" s="231"/>
      <c r="X2914" s="231"/>
      <c r="Y2914" s="231"/>
      <c r="Z2914" s="231"/>
      <c r="AA2914" s="231"/>
      <c r="AB2914" s="22">
        <f t="shared" si="887"/>
        <v>0</v>
      </c>
      <c r="AC2914" s="23">
        <v>0</v>
      </c>
      <c r="AD2914" s="35">
        <v>1707</v>
      </c>
      <c r="AE2914" s="35"/>
      <c r="AF2914" s="35"/>
      <c r="AG2914" s="35"/>
      <c r="AH2914" s="35">
        <f>1271+60</f>
        <v>1331</v>
      </c>
      <c r="AI2914" s="35"/>
      <c r="AJ2914" s="35"/>
      <c r="AK2914" s="35"/>
      <c r="AL2914" s="35">
        <f>1205+1+681</f>
        <v>1887</v>
      </c>
      <c r="AM2914" s="35"/>
      <c r="AN2914" s="35"/>
      <c r="AO2914" s="35"/>
      <c r="AP2914" s="35">
        <f>135+718</f>
        <v>853</v>
      </c>
      <c r="AQ2914" s="35"/>
      <c r="AR2914" s="35"/>
      <c r="AS2914" s="35"/>
      <c r="AT2914" s="35"/>
      <c r="AU2914" s="35"/>
      <c r="AV2914" s="35"/>
      <c r="AW2914" s="35"/>
      <c r="AX2914" s="35"/>
      <c r="AY2914" s="35"/>
      <c r="AZ2914" s="35"/>
      <c r="BA2914" s="35"/>
      <c r="BB2914" s="22">
        <f t="shared" si="888"/>
        <v>5778</v>
      </c>
      <c r="BC2914" s="23">
        <v>4494</v>
      </c>
      <c r="BD2914" s="130">
        <f t="shared" si="889"/>
        <v>5778</v>
      </c>
      <c r="BE2914" s="130">
        <f t="shared" si="890"/>
        <v>4494</v>
      </c>
      <c r="BF2914" s="195">
        <f t="shared" si="891"/>
        <v>128.57142857142858</v>
      </c>
      <c r="BG2914" s="373">
        <f t="shared" si="886"/>
        <v>-1284</v>
      </c>
    </row>
    <row r="2915" spans="1:61" s="46" customFormat="1" ht="15.95" customHeight="1">
      <c r="A2915" s="176">
        <v>136</v>
      </c>
      <c r="B2915" s="31" t="s">
        <v>2421</v>
      </c>
      <c r="C2915" s="34" t="s">
        <v>2472</v>
      </c>
      <c r="D2915" s="231"/>
      <c r="E2915" s="231"/>
      <c r="F2915" s="231"/>
      <c r="G2915" s="231"/>
      <c r="H2915" s="231"/>
      <c r="I2915" s="231"/>
      <c r="J2915" s="231"/>
      <c r="K2915" s="231"/>
      <c r="L2915" s="231"/>
      <c r="M2915" s="231"/>
      <c r="N2915" s="231"/>
      <c r="O2915" s="231"/>
      <c r="P2915" s="231"/>
      <c r="Q2915" s="231"/>
      <c r="R2915" s="231"/>
      <c r="S2915" s="231"/>
      <c r="T2915" s="231"/>
      <c r="U2915" s="231"/>
      <c r="V2915" s="231"/>
      <c r="W2915" s="231"/>
      <c r="X2915" s="231"/>
      <c r="Y2915" s="231"/>
      <c r="Z2915" s="231"/>
      <c r="AA2915" s="231"/>
      <c r="AB2915" s="22">
        <f t="shared" si="887"/>
        <v>0</v>
      </c>
      <c r="AC2915" s="23">
        <v>0</v>
      </c>
      <c r="AD2915" s="35"/>
      <c r="AE2915" s="35"/>
      <c r="AF2915" s="35"/>
      <c r="AG2915" s="35"/>
      <c r="AH2915" s="35">
        <v>4</v>
      </c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  <c r="AX2915" s="35"/>
      <c r="AY2915" s="35"/>
      <c r="AZ2915" s="35"/>
      <c r="BA2915" s="35"/>
      <c r="BB2915" s="22">
        <f t="shared" si="888"/>
        <v>4</v>
      </c>
      <c r="BC2915" s="23">
        <v>8</v>
      </c>
      <c r="BD2915" s="130">
        <f t="shared" si="889"/>
        <v>4</v>
      </c>
      <c r="BE2915" s="130">
        <f t="shared" si="890"/>
        <v>8</v>
      </c>
      <c r="BF2915" s="195">
        <f t="shared" si="891"/>
        <v>50</v>
      </c>
      <c r="BG2915" s="373">
        <f t="shared" si="886"/>
        <v>4</v>
      </c>
    </row>
    <row r="2916" spans="1:61" s="46" customFormat="1" ht="15.95" customHeight="1">
      <c r="A2916" s="176">
        <v>137</v>
      </c>
      <c r="B2916" s="31" t="s">
        <v>977</v>
      </c>
      <c r="C2916" s="34" t="s">
        <v>978</v>
      </c>
      <c r="D2916" s="231"/>
      <c r="E2916" s="231"/>
      <c r="F2916" s="231"/>
      <c r="G2916" s="231"/>
      <c r="H2916" s="231"/>
      <c r="I2916" s="231"/>
      <c r="J2916" s="231"/>
      <c r="K2916" s="231"/>
      <c r="L2916" s="231"/>
      <c r="M2916" s="231"/>
      <c r="N2916" s="231"/>
      <c r="O2916" s="231"/>
      <c r="P2916" s="231"/>
      <c r="Q2916" s="231"/>
      <c r="R2916" s="231"/>
      <c r="S2916" s="231"/>
      <c r="T2916" s="231"/>
      <c r="U2916" s="231"/>
      <c r="V2916" s="231"/>
      <c r="W2916" s="231"/>
      <c r="X2916" s="231"/>
      <c r="Y2916" s="231"/>
      <c r="Z2916" s="231"/>
      <c r="AA2916" s="231"/>
      <c r="AB2916" s="22">
        <f t="shared" si="887"/>
        <v>0</v>
      </c>
      <c r="AC2916" s="23">
        <v>0</v>
      </c>
      <c r="AD2916" s="35"/>
      <c r="AE2916" s="35"/>
      <c r="AF2916" s="35"/>
      <c r="AG2916" s="35"/>
      <c r="AH2916" s="35"/>
      <c r="AI2916" s="35"/>
      <c r="AJ2916" s="35"/>
      <c r="AK2916" s="35"/>
      <c r="AL2916" s="35"/>
      <c r="AM2916" s="35"/>
      <c r="AN2916" s="35"/>
      <c r="AO2916" s="35"/>
      <c r="AP2916" s="35">
        <v>2</v>
      </c>
      <c r="AQ2916" s="35"/>
      <c r="AR2916" s="35"/>
      <c r="AS2916" s="35"/>
      <c r="AT2916" s="35"/>
      <c r="AU2916" s="35"/>
      <c r="AV2916" s="35"/>
      <c r="AW2916" s="35"/>
      <c r="AX2916" s="35"/>
      <c r="AY2916" s="35"/>
      <c r="AZ2916" s="35"/>
      <c r="BA2916" s="35"/>
      <c r="BB2916" s="22">
        <f t="shared" si="888"/>
        <v>2</v>
      </c>
      <c r="BC2916" s="23">
        <v>4</v>
      </c>
      <c r="BD2916" s="130">
        <f t="shared" si="889"/>
        <v>2</v>
      </c>
      <c r="BE2916" s="130">
        <f t="shared" si="890"/>
        <v>4</v>
      </c>
      <c r="BF2916" s="195">
        <f t="shared" si="891"/>
        <v>50</v>
      </c>
      <c r="BG2916" s="373">
        <f t="shared" si="886"/>
        <v>2</v>
      </c>
    </row>
    <row r="2917" spans="1:61" s="46" customFormat="1" ht="15.95" customHeight="1">
      <c r="A2917" s="176">
        <v>138</v>
      </c>
      <c r="B2917" s="31" t="s">
        <v>1091</v>
      </c>
      <c r="C2917" s="34" t="s">
        <v>1092</v>
      </c>
      <c r="D2917" s="574"/>
      <c r="E2917" s="574"/>
      <c r="F2917" s="574"/>
      <c r="G2917" s="574"/>
      <c r="H2917" s="574"/>
      <c r="I2917" s="574"/>
      <c r="J2917" s="574"/>
      <c r="K2917" s="574"/>
      <c r="L2917" s="574"/>
      <c r="M2917" s="574"/>
      <c r="N2917" s="574"/>
      <c r="O2917" s="574"/>
      <c r="P2917" s="574"/>
      <c r="Q2917" s="574"/>
      <c r="R2917" s="574"/>
      <c r="S2917" s="574"/>
      <c r="T2917" s="574"/>
      <c r="U2917" s="574"/>
      <c r="V2917" s="574"/>
      <c r="W2917" s="574"/>
      <c r="X2917" s="574"/>
      <c r="Y2917" s="574"/>
      <c r="Z2917" s="574"/>
      <c r="AA2917" s="574"/>
      <c r="AB2917" s="22">
        <f t="shared" si="887"/>
        <v>0</v>
      </c>
      <c r="AC2917" s="23">
        <v>0</v>
      </c>
      <c r="AD2917" s="35"/>
      <c r="AE2917" s="35"/>
      <c r="AF2917" s="35"/>
      <c r="AG2917" s="35"/>
      <c r="AH2917" s="35"/>
      <c r="AI2917" s="35"/>
      <c r="AJ2917" s="35"/>
      <c r="AK2917" s="35"/>
      <c r="AL2917" s="35"/>
      <c r="AM2917" s="35"/>
      <c r="AN2917" s="35"/>
      <c r="AO2917" s="35"/>
      <c r="AP2917" s="35">
        <v>1</v>
      </c>
      <c r="AQ2917" s="35"/>
      <c r="AR2917" s="35"/>
      <c r="AS2917" s="35"/>
      <c r="AT2917" s="35"/>
      <c r="AU2917" s="35"/>
      <c r="AV2917" s="35"/>
      <c r="AW2917" s="35"/>
      <c r="AX2917" s="35"/>
      <c r="AY2917" s="35"/>
      <c r="AZ2917" s="35"/>
      <c r="BA2917" s="35"/>
      <c r="BB2917" s="22">
        <f t="shared" si="888"/>
        <v>1</v>
      </c>
      <c r="BC2917" s="23">
        <v>0</v>
      </c>
      <c r="BD2917" s="130">
        <f t="shared" si="889"/>
        <v>1</v>
      </c>
      <c r="BE2917" s="130">
        <f t="shared" si="890"/>
        <v>0</v>
      </c>
      <c r="BF2917" s="195" t="e">
        <f t="shared" si="891"/>
        <v>#DIV/0!</v>
      </c>
      <c r="BG2917" s="373"/>
    </row>
    <row r="2918" spans="1:61" s="46" customFormat="1" ht="15.95" customHeight="1">
      <c r="A2918" s="176">
        <v>139</v>
      </c>
      <c r="B2918" s="31" t="s">
        <v>1361</v>
      </c>
      <c r="C2918" s="34" t="s">
        <v>1362</v>
      </c>
      <c r="D2918" s="231"/>
      <c r="E2918" s="231"/>
      <c r="F2918" s="231"/>
      <c r="G2918" s="231"/>
      <c r="H2918" s="231"/>
      <c r="I2918" s="231"/>
      <c r="J2918" s="231"/>
      <c r="K2918" s="231"/>
      <c r="L2918" s="231"/>
      <c r="M2918" s="231"/>
      <c r="N2918" s="231"/>
      <c r="O2918" s="231"/>
      <c r="P2918" s="231"/>
      <c r="Q2918" s="231"/>
      <c r="R2918" s="231"/>
      <c r="S2918" s="231"/>
      <c r="T2918" s="231"/>
      <c r="U2918" s="231"/>
      <c r="V2918" s="231"/>
      <c r="W2918" s="231"/>
      <c r="X2918" s="231"/>
      <c r="Y2918" s="231"/>
      <c r="Z2918" s="231"/>
      <c r="AA2918" s="231"/>
      <c r="AB2918" s="22">
        <f t="shared" si="887"/>
        <v>0</v>
      </c>
      <c r="AC2918" s="23">
        <v>0</v>
      </c>
      <c r="AD2918" s="35"/>
      <c r="AE2918" s="35"/>
      <c r="AF2918" s="35"/>
      <c r="AG2918" s="35"/>
      <c r="AH2918" s="35">
        <v>1</v>
      </c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  <c r="AX2918" s="35"/>
      <c r="AY2918" s="35"/>
      <c r="AZ2918" s="35"/>
      <c r="BA2918" s="35"/>
      <c r="BB2918" s="22">
        <f t="shared" si="888"/>
        <v>1</v>
      </c>
      <c r="BC2918" s="23">
        <v>2</v>
      </c>
      <c r="BD2918" s="130">
        <f t="shared" si="889"/>
        <v>1</v>
      </c>
      <c r="BE2918" s="130">
        <f t="shared" si="890"/>
        <v>2</v>
      </c>
      <c r="BF2918" s="195">
        <f t="shared" si="891"/>
        <v>50</v>
      </c>
      <c r="BG2918" s="373">
        <f>BE2918-BD2918</f>
        <v>1</v>
      </c>
    </row>
    <row r="2919" spans="1:61" s="46" customFormat="1" ht="15.95" customHeight="1">
      <c r="A2919" s="176">
        <v>140</v>
      </c>
      <c r="B2919" s="437" t="s">
        <v>3047</v>
      </c>
      <c r="C2919" s="439" t="s">
        <v>3048</v>
      </c>
      <c r="D2919" s="231"/>
      <c r="E2919" s="231"/>
      <c r="F2919" s="231"/>
      <c r="G2919" s="231"/>
      <c r="H2919" s="231"/>
      <c r="I2919" s="231"/>
      <c r="J2919" s="231"/>
      <c r="K2919" s="231"/>
      <c r="L2919" s="231"/>
      <c r="M2919" s="231"/>
      <c r="N2919" s="231"/>
      <c r="O2919" s="231"/>
      <c r="P2919" s="231"/>
      <c r="Q2919" s="231"/>
      <c r="R2919" s="231"/>
      <c r="S2919" s="231"/>
      <c r="T2919" s="231"/>
      <c r="U2919" s="231"/>
      <c r="V2919" s="231"/>
      <c r="W2919" s="231"/>
      <c r="X2919" s="231"/>
      <c r="Y2919" s="231"/>
      <c r="Z2919" s="231"/>
      <c r="AA2919" s="231"/>
      <c r="AB2919" s="22">
        <f t="shared" si="887"/>
        <v>0</v>
      </c>
      <c r="AC2919" s="23">
        <v>1290</v>
      </c>
      <c r="AD2919" s="35"/>
      <c r="AE2919" s="35"/>
      <c r="AF2919" s="35"/>
      <c r="AG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  <c r="AX2919" s="35"/>
      <c r="AY2919" s="35"/>
      <c r="AZ2919" s="35"/>
      <c r="BA2919" s="35"/>
      <c r="BB2919" s="22">
        <f t="shared" si="888"/>
        <v>0</v>
      </c>
      <c r="BC2919" s="23">
        <v>0</v>
      </c>
      <c r="BD2919" s="130">
        <f t="shared" si="889"/>
        <v>0</v>
      </c>
      <c r="BE2919" s="130">
        <f t="shared" si="890"/>
        <v>1290</v>
      </c>
      <c r="BF2919" s="195">
        <f t="shared" si="891"/>
        <v>0</v>
      </c>
      <c r="BG2919" s="373">
        <f>BE2919-BD2919</f>
        <v>1290</v>
      </c>
    </row>
    <row r="2920" spans="1:61" s="46" customFormat="1" ht="15.95" customHeight="1">
      <c r="A2920" s="176">
        <v>141</v>
      </c>
      <c r="B2920" s="37" t="s">
        <v>1458</v>
      </c>
      <c r="C2920" s="38" t="s">
        <v>1459</v>
      </c>
      <c r="D2920" s="231"/>
      <c r="E2920" s="231"/>
      <c r="F2920" s="231"/>
      <c r="G2920" s="231"/>
      <c r="H2920" s="231"/>
      <c r="I2920" s="231"/>
      <c r="J2920" s="231"/>
      <c r="K2920" s="231"/>
      <c r="L2920" s="231"/>
      <c r="M2920" s="231"/>
      <c r="N2920" s="231"/>
      <c r="O2920" s="231"/>
      <c r="P2920" s="231"/>
      <c r="Q2920" s="231"/>
      <c r="R2920" s="231"/>
      <c r="S2920" s="231"/>
      <c r="T2920" s="231"/>
      <c r="U2920" s="231"/>
      <c r="V2920" s="231"/>
      <c r="W2920" s="231"/>
      <c r="X2920" s="231"/>
      <c r="Y2920" s="231"/>
      <c r="Z2920" s="231"/>
      <c r="AA2920" s="231"/>
      <c r="AB2920" s="22">
        <f t="shared" si="887"/>
        <v>0</v>
      </c>
      <c r="AC2920" s="23">
        <v>0</v>
      </c>
      <c r="AD2920" s="35"/>
      <c r="AE2920" s="35"/>
      <c r="AF2920" s="35"/>
      <c r="AG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  <c r="AX2920" s="35"/>
      <c r="AY2920" s="35"/>
      <c r="AZ2920" s="35"/>
      <c r="BA2920" s="35"/>
      <c r="BB2920" s="22">
        <f t="shared" si="888"/>
        <v>0</v>
      </c>
      <c r="BC2920" s="23">
        <v>0</v>
      </c>
      <c r="BD2920" s="130">
        <f t="shared" si="889"/>
        <v>0</v>
      </c>
      <c r="BE2920" s="130">
        <f t="shared" si="890"/>
        <v>0</v>
      </c>
      <c r="BF2920" s="195" t="e">
        <f t="shared" si="891"/>
        <v>#DIV/0!</v>
      </c>
      <c r="BG2920" s="373">
        <f>BE2920-BD2920</f>
        <v>0</v>
      </c>
    </row>
    <row r="2921" spans="1:61" s="46" customFormat="1" ht="15.95" customHeight="1">
      <c r="A2921" s="642" t="s">
        <v>1460</v>
      </c>
      <c r="B2921" s="643"/>
      <c r="C2921" s="643"/>
      <c r="D2921" s="98">
        <f t="shared" ref="D2921:AI2921" si="892">SUM(D2922:D3108)</f>
        <v>137</v>
      </c>
      <c r="E2921" s="98">
        <f t="shared" si="892"/>
        <v>0</v>
      </c>
      <c r="F2921" s="98">
        <f t="shared" si="892"/>
        <v>0</v>
      </c>
      <c r="G2921" s="98">
        <f t="shared" si="892"/>
        <v>255</v>
      </c>
      <c r="H2921" s="98">
        <f t="shared" si="892"/>
        <v>201</v>
      </c>
      <c r="I2921" s="98">
        <f t="shared" si="892"/>
        <v>0</v>
      </c>
      <c r="J2921" s="98">
        <f t="shared" si="892"/>
        <v>0</v>
      </c>
      <c r="K2921" s="98">
        <f t="shared" si="892"/>
        <v>951</v>
      </c>
      <c r="L2921" s="98">
        <f t="shared" si="892"/>
        <v>1314</v>
      </c>
      <c r="M2921" s="98">
        <f t="shared" si="892"/>
        <v>0</v>
      </c>
      <c r="N2921" s="98">
        <f t="shared" si="892"/>
        <v>0</v>
      </c>
      <c r="O2921" s="98">
        <f t="shared" si="892"/>
        <v>3778</v>
      </c>
      <c r="P2921" s="98">
        <f t="shared" si="892"/>
        <v>906</v>
      </c>
      <c r="Q2921" s="98">
        <f t="shared" si="892"/>
        <v>0</v>
      </c>
      <c r="R2921" s="98">
        <f t="shared" si="892"/>
        <v>0</v>
      </c>
      <c r="S2921" s="98">
        <f t="shared" si="892"/>
        <v>4089</v>
      </c>
      <c r="T2921" s="98">
        <f t="shared" si="892"/>
        <v>0</v>
      </c>
      <c r="U2921" s="98">
        <f t="shared" si="892"/>
        <v>0</v>
      </c>
      <c r="V2921" s="98">
        <f t="shared" si="892"/>
        <v>0</v>
      </c>
      <c r="W2921" s="98">
        <f t="shared" si="892"/>
        <v>0</v>
      </c>
      <c r="X2921" s="98">
        <f t="shared" si="892"/>
        <v>0</v>
      </c>
      <c r="Y2921" s="98">
        <f t="shared" si="892"/>
        <v>0</v>
      </c>
      <c r="Z2921" s="98">
        <f t="shared" si="892"/>
        <v>0</v>
      </c>
      <c r="AA2921" s="98">
        <f t="shared" si="892"/>
        <v>0</v>
      </c>
      <c r="AB2921" s="98">
        <f t="shared" si="892"/>
        <v>11631</v>
      </c>
      <c r="AC2921" s="161">
        <f t="shared" si="892"/>
        <v>19532</v>
      </c>
      <c r="AD2921" s="130">
        <f t="shared" si="892"/>
        <v>0</v>
      </c>
      <c r="AE2921" s="130">
        <f t="shared" si="892"/>
        <v>0</v>
      </c>
      <c r="AF2921" s="130">
        <f t="shared" si="892"/>
        <v>0</v>
      </c>
      <c r="AG2921" s="130">
        <f t="shared" si="892"/>
        <v>0</v>
      </c>
      <c r="AH2921" s="130">
        <f t="shared" si="892"/>
        <v>2536</v>
      </c>
      <c r="AI2921" s="130">
        <f t="shared" si="892"/>
        <v>0</v>
      </c>
      <c r="AJ2921" s="130">
        <f t="shared" ref="AJ2921:BC2921" si="893">SUM(AJ2922:AJ3108)</f>
        <v>0</v>
      </c>
      <c r="AK2921" s="130">
        <f t="shared" si="893"/>
        <v>4</v>
      </c>
      <c r="AL2921" s="130">
        <f t="shared" si="893"/>
        <v>11802</v>
      </c>
      <c r="AM2921" s="130">
        <f t="shared" si="893"/>
        <v>0</v>
      </c>
      <c r="AN2921" s="130">
        <f t="shared" si="893"/>
        <v>0</v>
      </c>
      <c r="AO2921" s="130">
        <f t="shared" si="893"/>
        <v>0</v>
      </c>
      <c r="AP2921" s="130">
        <f t="shared" si="893"/>
        <v>14287</v>
      </c>
      <c r="AQ2921" s="130">
        <f t="shared" si="893"/>
        <v>0</v>
      </c>
      <c r="AR2921" s="130">
        <f t="shared" si="893"/>
        <v>0</v>
      </c>
      <c r="AS2921" s="130">
        <f t="shared" si="893"/>
        <v>0</v>
      </c>
      <c r="AT2921" s="130">
        <f t="shared" si="893"/>
        <v>0</v>
      </c>
      <c r="AU2921" s="130">
        <f t="shared" si="893"/>
        <v>0</v>
      </c>
      <c r="AV2921" s="130">
        <f t="shared" si="893"/>
        <v>0</v>
      </c>
      <c r="AW2921" s="130">
        <f t="shared" si="893"/>
        <v>0</v>
      </c>
      <c r="AX2921" s="130">
        <f t="shared" si="893"/>
        <v>0</v>
      </c>
      <c r="AY2921" s="130">
        <f t="shared" si="893"/>
        <v>0</v>
      </c>
      <c r="AZ2921" s="130">
        <f t="shared" si="893"/>
        <v>0</v>
      </c>
      <c r="BA2921" s="130">
        <f t="shared" si="893"/>
        <v>0</v>
      </c>
      <c r="BB2921" s="130">
        <f t="shared" si="893"/>
        <v>28629</v>
      </c>
      <c r="BC2921" s="103">
        <f t="shared" si="893"/>
        <v>94197</v>
      </c>
      <c r="BD2921" s="130">
        <f t="shared" ref="BD2921" si="894">AB2921+BB2921</f>
        <v>40260</v>
      </c>
      <c r="BE2921" s="130">
        <f t="shared" ref="BE2921" si="895">AC2921+BC2921</f>
        <v>113729</v>
      </c>
      <c r="BF2921" s="195">
        <f t="shared" ref="BF2921" si="896">BD2921/BE2921*100</f>
        <v>35.399941967308251</v>
      </c>
      <c r="BG2921" s="374">
        <f t="shared" ref="BG2921" si="897">BE2921-BD2921</f>
        <v>73469</v>
      </c>
    </row>
    <row r="2922" spans="1:61" s="46" customFormat="1" ht="15.95" customHeight="1">
      <c r="A2922" s="176">
        <v>1</v>
      </c>
      <c r="B2922" s="31" t="s">
        <v>2693</v>
      </c>
      <c r="C2922" s="32" t="s">
        <v>2694</v>
      </c>
      <c r="D2922" s="231"/>
      <c r="E2922" s="231"/>
      <c r="F2922" s="231"/>
      <c r="G2922" s="231"/>
      <c r="H2922" s="231"/>
      <c r="I2922" s="231"/>
      <c r="J2922" s="231"/>
      <c r="K2922" s="231"/>
      <c r="L2922" s="231"/>
      <c r="M2922" s="231"/>
      <c r="N2922" s="231"/>
      <c r="O2922" s="231"/>
      <c r="P2922" s="231"/>
      <c r="Q2922" s="231"/>
      <c r="R2922" s="231"/>
      <c r="S2922" s="231"/>
      <c r="T2922" s="231"/>
      <c r="U2922" s="231"/>
      <c r="V2922" s="231"/>
      <c r="W2922" s="231"/>
      <c r="X2922" s="231"/>
      <c r="Y2922" s="231"/>
      <c r="Z2922" s="231"/>
      <c r="AA2922" s="231"/>
      <c r="AB2922" s="22">
        <f t="shared" ref="AB2922:AB2953" si="898">SUM(D2922:AA2922)</f>
        <v>0</v>
      </c>
      <c r="AC2922" s="23">
        <v>0</v>
      </c>
      <c r="AD2922" s="35"/>
      <c r="AE2922" s="35"/>
      <c r="AF2922" s="35"/>
      <c r="AG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  <c r="AX2922" s="35"/>
      <c r="AY2922" s="35"/>
      <c r="AZ2922" s="35"/>
      <c r="BA2922" s="35"/>
      <c r="BB2922" s="22">
        <f t="shared" ref="BB2922:BB2953" si="899">SUM(AD2922:BA2922)</f>
        <v>0</v>
      </c>
      <c r="BC2922" s="23">
        <v>1</v>
      </c>
      <c r="BD2922" s="130">
        <f t="shared" ref="BD2922:BD2953" si="900">AB2922+BB2922</f>
        <v>0</v>
      </c>
      <c r="BE2922" s="130">
        <f t="shared" ref="BE2922:BE2953" si="901">AC2922+BC2922</f>
        <v>1</v>
      </c>
      <c r="BF2922" s="195">
        <f t="shared" ref="BF2922:BF2953" si="902">BD2922/BE2922*100</f>
        <v>0</v>
      </c>
      <c r="BG2922" s="373">
        <f t="shared" ref="BG2922:BG2947" si="903">BE2922-BD2922</f>
        <v>1</v>
      </c>
      <c r="BH2922" s="388" t="s">
        <v>3841</v>
      </c>
    </row>
    <row r="2923" spans="1:61" s="46" customFormat="1" ht="15.95" customHeight="1">
      <c r="A2923" s="176">
        <v>2</v>
      </c>
      <c r="B2923" s="31" t="s">
        <v>2695</v>
      </c>
      <c r="C2923" s="32" t="s">
        <v>2696</v>
      </c>
      <c r="D2923" s="231"/>
      <c r="E2923" s="231"/>
      <c r="F2923" s="231"/>
      <c r="G2923" s="231"/>
      <c r="H2923" s="231"/>
      <c r="I2923" s="231"/>
      <c r="J2923" s="231"/>
      <c r="K2923" s="231"/>
      <c r="L2923" s="231"/>
      <c r="M2923" s="231"/>
      <c r="N2923" s="231"/>
      <c r="O2923" s="231"/>
      <c r="P2923" s="231"/>
      <c r="Q2923" s="231"/>
      <c r="R2923" s="231"/>
      <c r="S2923" s="231"/>
      <c r="T2923" s="231"/>
      <c r="U2923" s="231"/>
      <c r="V2923" s="231"/>
      <c r="W2923" s="231"/>
      <c r="X2923" s="231"/>
      <c r="Y2923" s="231"/>
      <c r="Z2923" s="231"/>
      <c r="AA2923" s="231"/>
      <c r="AB2923" s="22">
        <f t="shared" si="898"/>
        <v>0</v>
      </c>
      <c r="AC2923" s="23">
        <v>0</v>
      </c>
      <c r="AD2923" s="35"/>
      <c r="AE2923" s="35"/>
      <c r="AF2923" s="35"/>
      <c r="AG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  <c r="AX2923" s="35"/>
      <c r="AY2923" s="35"/>
      <c r="AZ2923" s="35"/>
      <c r="BA2923" s="35"/>
      <c r="BB2923" s="22">
        <f t="shared" si="899"/>
        <v>0</v>
      </c>
      <c r="BC2923" s="23">
        <v>1</v>
      </c>
      <c r="BD2923" s="130">
        <f t="shared" si="900"/>
        <v>0</v>
      </c>
      <c r="BE2923" s="130">
        <f t="shared" si="901"/>
        <v>1</v>
      </c>
      <c r="BF2923" s="195">
        <f t="shared" si="902"/>
        <v>0</v>
      </c>
      <c r="BG2923" s="373">
        <f t="shared" si="903"/>
        <v>1</v>
      </c>
      <c r="BH2923" s="388" t="s">
        <v>3841</v>
      </c>
    </row>
    <row r="2924" spans="1:61" s="46" customFormat="1" ht="15.95" customHeight="1">
      <c r="A2924" s="176">
        <v>3</v>
      </c>
      <c r="B2924" s="31" t="s">
        <v>2699</v>
      </c>
      <c r="C2924" s="32" t="s">
        <v>2709</v>
      </c>
      <c r="D2924" s="231"/>
      <c r="E2924" s="231"/>
      <c r="F2924" s="231"/>
      <c r="G2924" s="231"/>
      <c r="H2924" s="231"/>
      <c r="I2924" s="231"/>
      <c r="J2924" s="231"/>
      <c r="K2924" s="231"/>
      <c r="L2924" s="231"/>
      <c r="M2924" s="231"/>
      <c r="N2924" s="231"/>
      <c r="O2924" s="231"/>
      <c r="P2924" s="231"/>
      <c r="Q2924" s="231"/>
      <c r="R2924" s="231"/>
      <c r="S2924" s="231"/>
      <c r="T2924" s="231"/>
      <c r="U2924" s="231"/>
      <c r="V2924" s="231"/>
      <c r="W2924" s="231"/>
      <c r="X2924" s="231"/>
      <c r="Y2924" s="231"/>
      <c r="Z2924" s="231"/>
      <c r="AA2924" s="231"/>
      <c r="AB2924" s="22">
        <f t="shared" si="898"/>
        <v>0</v>
      </c>
      <c r="AC2924" s="23">
        <v>0</v>
      </c>
      <c r="AD2924" s="35"/>
      <c r="AE2924" s="35"/>
      <c r="AF2924" s="35"/>
      <c r="AG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  <c r="AX2924" s="35"/>
      <c r="AY2924" s="35"/>
      <c r="AZ2924" s="35"/>
      <c r="BA2924" s="35"/>
      <c r="BB2924" s="22">
        <f t="shared" si="899"/>
        <v>0</v>
      </c>
      <c r="BC2924" s="23">
        <v>1</v>
      </c>
      <c r="BD2924" s="130">
        <f t="shared" si="900"/>
        <v>0</v>
      </c>
      <c r="BE2924" s="130">
        <f t="shared" si="901"/>
        <v>1</v>
      </c>
      <c r="BF2924" s="195">
        <f t="shared" si="902"/>
        <v>0</v>
      </c>
      <c r="BG2924" s="373">
        <f t="shared" si="903"/>
        <v>1</v>
      </c>
      <c r="BH2924" s="388" t="s">
        <v>3841</v>
      </c>
    </row>
    <row r="2925" spans="1:61" s="46" customFormat="1" ht="15.95" customHeight="1">
      <c r="A2925" s="176">
        <v>4</v>
      </c>
      <c r="B2925" s="31" t="s">
        <v>2707</v>
      </c>
      <c r="C2925" s="32" t="s">
        <v>2708</v>
      </c>
      <c r="D2925" s="250"/>
      <c r="E2925" s="250"/>
      <c r="F2925" s="250"/>
      <c r="G2925" s="250"/>
      <c r="H2925" s="250"/>
      <c r="I2925" s="250"/>
      <c r="J2925" s="250"/>
      <c r="K2925" s="250"/>
      <c r="L2925" s="250"/>
      <c r="M2925" s="250"/>
      <c r="N2925" s="250"/>
      <c r="O2925" s="250"/>
      <c r="P2925" s="250"/>
      <c r="Q2925" s="250"/>
      <c r="R2925" s="250"/>
      <c r="S2925" s="250"/>
      <c r="T2925" s="250"/>
      <c r="U2925" s="250"/>
      <c r="V2925" s="250"/>
      <c r="W2925" s="250"/>
      <c r="X2925" s="250"/>
      <c r="Y2925" s="250"/>
      <c r="Z2925" s="250"/>
      <c r="AA2925" s="250"/>
      <c r="AB2925" s="22">
        <f t="shared" si="898"/>
        <v>0</v>
      </c>
      <c r="AC2925" s="23">
        <v>0</v>
      </c>
      <c r="AD2925" s="35"/>
      <c r="AE2925" s="35"/>
      <c r="AF2925" s="35"/>
      <c r="AG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  <c r="AX2925" s="35"/>
      <c r="AY2925" s="35"/>
      <c r="AZ2925" s="35"/>
      <c r="BA2925" s="35"/>
      <c r="BB2925" s="22">
        <f t="shared" si="899"/>
        <v>0</v>
      </c>
      <c r="BC2925" s="23">
        <v>1</v>
      </c>
      <c r="BD2925" s="130">
        <f t="shared" si="900"/>
        <v>0</v>
      </c>
      <c r="BE2925" s="130">
        <f t="shared" si="901"/>
        <v>1</v>
      </c>
      <c r="BF2925" s="195">
        <f t="shared" si="902"/>
        <v>0</v>
      </c>
      <c r="BG2925" s="373">
        <f t="shared" si="903"/>
        <v>1</v>
      </c>
      <c r="BH2925" s="388" t="s">
        <v>3841</v>
      </c>
    </row>
    <row r="2926" spans="1:61" s="46" customFormat="1" ht="21" customHeight="1">
      <c r="A2926" s="176">
        <v>5</v>
      </c>
      <c r="B2926" s="418" t="s">
        <v>926</v>
      </c>
      <c r="C2926" s="423" t="s">
        <v>927</v>
      </c>
      <c r="D2926" s="250"/>
      <c r="E2926" s="250"/>
      <c r="F2926" s="250"/>
      <c r="G2926" s="250"/>
      <c r="H2926" s="250"/>
      <c r="I2926" s="250"/>
      <c r="J2926" s="250"/>
      <c r="K2926" s="250"/>
      <c r="L2926" s="250"/>
      <c r="M2926" s="250"/>
      <c r="N2926" s="250"/>
      <c r="O2926" s="250"/>
      <c r="P2926" s="250"/>
      <c r="Q2926" s="250"/>
      <c r="R2926" s="250"/>
      <c r="S2926" s="250"/>
      <c r="T2926" s="250"/>
      <c r="U2926" s="250"/>
      <c r="V2926" s="250"/>
      <c r="W2926" s="250"/>
      <c r="X2926" s="250"/>
      <c r="Y2926" s="250"/>
      <c r="Z2926" s="250"/>
      <c r="AA2926" s="250"/>
      <c r="AB2926" s="22">
        <f t="shared" si="898"/>
        <v>0</v>
      </c>
      <c r="AC2926" s="23">
        <f>1+16</f>
        <v>17</v>
      </c>
      <c r="AD2926" s="35"/>
      <c r="AE2926" s="35"/>
      <c r="AF2926" s="35"/>
      <c r="AG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  <c r="AX2926" s="35"/>
      <c r="AY2926" s="35"/>
      <c r="AZ2926" s="35"/>
      <c r="BA2926" s="35"/>
      <c r="BB2926" s="22">
        <f t="shared" si="899"/>
        <v>0</v>
      </c>
      <c r="BC2926" s="23">
        <v>0</v>
      </c>
      <c r="BD2926" s="130">
        <f t="shared" si="900"/>
        <v>0</v>
      </c>
      <c r="BE2926" s="130">
        <f t="shared" si="901"/>
        <v>17</v>
      </c>
      <c r="BF2926" s="195">
        <f t="shared" si="902"/>
        <v>0</v>
      </c>
      <c r="BG2926" s="373">
        <f t="shared" si="903"/>
        <v>17</v>
      </c>
      <c r="BH2926" s="426" t="s">
        <v>3675</v>
      </c>
      <c r="BI2926" s="426"/>
    </row>
    <row r="2927" spans="1:61" s="46" customFormat="1" ht="21" customHeight="1">
      <c r="A2927" s="176">
        <v>6</v>
      </c>
      <c r="B2927" s="418" t="s">
        <v>1266</v>
      </c>
      <c r="C2927" s="419" t="s">
        <v>1267</v>
      </c>
      <c r="D2927" s="250"/>
      <c r="E2927" s="250"/>
      <c r="F2927" s="250"/>
      <c r="G2927" s="250"/>
      <c r="H2927" s="250"/>
      <c r="I2927" s="250"/>
      <c r="J2927" s="250"/>
      <c r="K2927" s="250"/>
      <c r="L2927" s="250"/>
      <c r="M2927" s="250"/>
      <c r="N2927" s="250"/>
      <c r="O2927" s="250">
        <v>1</v>
      </c>
      <c r="P2927" s="250"/>
      <c r="Q2927" s="250"/>
      <c r="R2927" s="250"/>
      <c r="S2927" s="250"/>
      <c r="T2927" s="250"/>
      <c r="U2927" s="250"/>
      <c r="V2927" s="250"/>
      <c r="W2927" s="250"/>
      <c r="X2927" s="250"/>
      <c r="Y2927" s="250"/>
      <c r="Z2927" s="250"/>
      <c r="AA2927" s="250"/>
      <c r="AB2927" s="22">
        <f t="shared" si="898"/>
        <v>1</v>
      </c>
      <c r="AC2927" s="23">
        <v>128</v>
      </c>
      <c r="AD2927" s="35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  <c r="AX2927" s="35"/>
      <c r="AY2927" s="35"/>
      <c r="AZ2927" s="35"/>
      <c r="BA2927" s="35"/>
      <c r="BB2927" s="22">
        <f t="shared" si="899"/>
        <v>0</v>
      </c>
      <c r="BC2927" s="23">
        <v>0</v>
      </c>
      <c r="BD2927" s="130">
        <f t="shared" si="900"/>
        <v>1</v>
      </c>
      <c r="BE2927" s="130">
        <f t="shared" si="901"/>
        <v>128</v>
      </c>
      <c r="BF2927" s="195">
        <f t="shared" si="902"/>
        <v>0.78125</v>
      </c>
      <c r="BG2927" s="373">
        <f t="shared" si="903"/>
        <v>127</v>
      </c>
      <c r="BH2927" s="421" t="s">
        <v>3675</v>
      </c>
      <c r="BI2927" s="421"/>
    </row>
    <row r="2928" spans="1:61" s="46" customFormat="1" ht="21" customHeight="1">
      <c r="A2928" s="176">
        <v>7</v>
      </c>
      <c r="B2928" s="418" t="s">
        <v>2218</v>
      </c>
      <c r="C2928" s="419" t="s">
        <v>2222</v>
      </c>
      <c r="D2928" s="250"/>
      <c r="E2928" s="250"/>
      <c r="F2928" s="250"/>
      <c r="G2928" s="250"/>
      <c r="H2928" s="250"/>
      <c r="I2928" s="250"/>
      <c r="J2928" s="250"/>
      <c r="K2928" s="250">
        <v>451</v>
      </c>
      <c r="L2928" s="250">
        <v>2</v>
      </c>
      <c r="M2928" s="250"/>
      <c r="N2928" s="250"/>
      <c r="O2928" s="250">
        <v>1824</v>
      </c>
      <c r="P2928" s="250"/>
      <c r="Q2928" s="250"/>
      <c r="R2928" s="250"/>
      <c r="S2928" s="250">
        <v>2280</v>
      </c>
      <c r="T2928" s="250"/>
      <c r="U2928" s="250"/>
      <c r="V2928" s="250"/>
      <c r="W2928" s="250"/>
      <c r="X2928" s="250"/>
      <c r="Y2928" s="250"/>
      <c r="Z2928" s="250"/>
      <c r="AA2928" s="250"/>
      <c r="AB2928" s="22">
        <f t="shared" si="898"/>
        <v>4557</v>
      </c>
      <c r="AC2928" s="23">
        <f>2858+12442</f>
        <v>15300</v>
      </c>
      <c r="AD2928" s="35"/>
      <c r="AE2928" s="35"/>
      <c r="AF2928" s="35"/>
      <c r="AG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  <c r="AX2928" s="35"/>
      <c r="AY2928" s="35"/>
      <c r="AZ2928" s="35"/>
      <c r="BA2928" s="35"/>
      <c r="BB2928" s="22">
        <f t="shared" si="899"/>
        <v>0</v>
      </c>
      <c r="BC2928" s="23">
        <v>0</v>
      </c>
      <c r="BD2928" s="130">
        <f t="shared" si="900"/>
        <v>4557</v>
      </c>
      <c r="BE2928" s="130">
        <f t="shared" si="901"/>
        <v>15300</v>
      </c>
      <c r="BF2928" s="195">
        <f t="shared" si="902"/>
        <v>29.784313725490197</v>
      </c>
      <c r="BG2928" s="373">
        <f t="shared" si="903"/>
        <v>10743</v>
      </c>
      <c r="BH2928" s="421" t="s">
        <v>3675</v>
      </c>
      <c r="BI2928" s="421"/>
    </row>
    <row r="2929" spans="1:61" s="46" customFormat="1" ht="21" customHeight="1">
      <c r="A2929" s="176">
        <v>8</v>
      </c>
      <c r="B2929" s="418" t="s">
        <v>2246</v>
      </c>
      <c r="C2929" s="419" t="s">
        <v>2247</v>
      </c>
      <c r="D2929" s="250"/>
      <c r="E2929" s="250"/>
      <c r="F2929" s="250"/>
      <c r="G2929" s="250">
        <v>255</v>
      </c>
      <c r="H2929" s="250"/>
      <c r="I2929" s="250"/>
      <c r="J2929" s="250"/>
      <c r="K2929" s="250">
        <f>499+1</f>
        <v>500</v>
      </c>
      <c r="L2929" s="250"/>
      <c r="M2929" s="250"/>
      <c r="N2929" s="250"/>
      <c r="O2929" s="250">
        <f>19+1934</f>
        <v>1953</v>
      </c>
      <c r="P2929" s="250"/>
      <c r="Q2929" s="250"/>
      <c r="R2929" s="250"/>
      <c r="S2929" s="250">
        <f>1+8+1800</f>
        <v>1809</v>
      </c>
      <c r="T2929" s="250"/>
      <c r="U2929" s="250"/>
      <c r="V2929" s="250"/>
      <c r="W2929" s="250"/>
      <c r="X2929" s="250"/>
      <c r="Y2929" s="250"/>
      <c r="Z2929" s="250"/>
      <c r="AA2929" s="250"/>
      <c r="AB2929" s="22">
        <f t="shared" si="898"/>
        <v>4517</v>
      </c>
      <c r="AC2929" s="23">
        <f>672+467</f>
        <v>1139</v>
      </c>
      <c r="AD2929" s="35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  <c r="AX2929" s="35"/>
      <c r="AY2929" s="35"/>
      <c r="AZ2929" s="35"/>
      <c r="BA2929" s="35"/>
      <c r="BB2929" s="22">
        <f t="shared" si="899"/>
        <v>0</v>
      </c>
      <c r="BC2929" s="23">
        <v>0</v>
      </c>
      <c r="BD2929" s="130">
        <f t="shared" si="900"/>
        <v>4517</v>
      </c>
      <c r="BE2929" s="130">
        <f t="shared" si="901"/>
        <v>1139</v>
      </c>
      <c r="BF2929" s="195">
        <f t="shared" si="902"/>
        <v>396.57594381035995</v>
      </c>
      <c r="BG2929" s="373">
        <f t="shared" si="903"/>
        <v>-3378</v>
      </c>
      <c r="BH2929" s="421" t="s">
        <v>3675</v>
      </c>
      <c r="BI2929" s="421"/>
    </row>
    <row r="2930" spans="1:61" s="46" customFormat="1" ht="15.95" customHeight="1">
      <c r="A2930" s="176">
        <v>9</v>
      </c>
      <c r="B2930" s="31" t="s">
        <v>2710</v>
      </c>
      <c r="C2930" s="32" t="s">
        <v>2711</v>
      </c>
      <c r="D2930" s="231"/>
      <c r="E2930" s="231"/>
      <c r="F2930" s="231"/>
      <c r="G2930" s="231"/>
      <c r="H2930" s="231"/>
      <c r="I2930" s="231"/>
      <c r="J2930" s="231"/>
      <c r="K2930" s="231"/>
      <c r="L2930" s="231"/>
      <c r="M2930" s="231"/>
      <c r="N2930" s="231"/>
      <c r="O2930" s="231"/>
      <c r="P2930" s="231"/>
      <c r="Q2930" s="231"/>
      <c r="R2930" s="231"/>
      <c r="S2930" s="231"/>
      <c r="T2930" s="231"/>
      <c r="U2930" s="231"/>
      <c r="V2930" s="231"/>
      <c r="W2930" s="231"/>
      <c r="X2930" s="231"/>
      <c r="Y2930" s="231"/>
      <c r="Z2930" s="231"/>
      <c r="AA2930" s="231"/>
      <c r="AB2930" s="22">
        <f t="shared" si="898"/>
        <v>0</v>
      </c>
      <c r="AC2930" s="23">
        <v>0</v>
      </c>
      <c r="AD2930" s="35"/>
      <c r="AE2930" s="35"/>
      <c r="AF2930" s="35"/>
      <c r="AG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  <c r="AX2930" s="35"/>
      <c r="AY2930" s="35"/>
      <c r="AZ2930" s="35"/>
      <c r="BA2930" s="35"/>
      <c r="BB2930" s="22">
        <f t="shared" si="899"/>
        <v>0</v>
      </c>
      <c r="BC2930" s="23">
        <v>80</v>
      </c>
      <c r="BD2930" s="130">
        <f t="shared" si="900"/>
        <v>0</v>
      </c>
      <c r="BE2930" s="130">
        <f t="shared" si="901"/>
        <v>80</v>
      </c>
      <c r="BF2930" s="195">
        <f t="shared" si="902"/>
        <v>0</v>
      </c>
      <c r="BG2930" s="373">
        <f t="shared" si="903"/>
        <v>80</v>
      </c>
    </row>
    <row r="2931" spans="1:61" s="46" customFormat="1" ht="15.95" customHeight="1">
      <c r="A2931" s="176">
        <v>10</v>
      </c>
      <c r="B2931" s="31" t="s">
        <v>736</v>
      </c>
      <c r="C2931" s="32" t="s">
        <v>737</v>
      </c>
      <c r="D2931" s="231"/>
      <c r="E2931" s="231"/>
      <c r="F2931" s="231"/>
      <c r="G2931" s="231"/>
      <c r="H2931" s="231"/>
      <c r="I2931" s="231"/>
      <c r="J2931" s="231"/>
      <c r="K2931" s="231"/>
      <c r="L2931" s="231"/>
      <c r="M2931" s="231"/>
      <c r="N2931" s="231"/>
      <c r="O2931" s="231"/>
      <c r="P2931" s="231"/>
      <c r="Q2931" s="231"/>
      <c r="R2931" s="231"/>
      <c r="S2931" s="231"/>
      <c r="T2931" s="231"/>
      <c r="U2931" s="231"/>
      <c r="V2931" s="231"/>
      <c r="W2931" s="231"/>
      <c r="X2931" s="231"/>
      <c r="Y2931" s="231"/>
      <c r="Z2931" s="231"/>
      <c r="AA2931" s="231"/>
      <c r="AB2931" s="22">
        <f t="shared" si="898"/>
        <v>0</v>
      </c>
      <c r="AC2931" s="23">
        <v>0</v>
      </c>
      <c r="AD2931" s="35"/>
      <c r="AE2931" s="35"/>
      <c r="AF2931" s="35"/>
      <c r="AG2931" s="35"/>
      <c r="AH2931" s="35"/>
      <c r="AI2931" s="35"/>
      <c r="AJ2931" s="35"/>
      <c r="AK2931" s="35"/>
      <c r="AL2931" s="35">
        <v>4</v>
      </c>
      <c r="AM2931" s="35"/>
      <c r="AN2931" s="35"/>
      <c r="AO2931" s="35"/>
      <c r="AP2931" s="35">
        <v>1</v>
      </c>
      <c r="AQ2931" s="35"/>
      <c r="AR2931" s="35"/>
      <c r="AS2931" s="35"/>
      <c r="AT2931" s="35"/>
      <c r="AU2931" s="35"/>
      <c r="AV2931" s="35"/>
      <c r="AW2931" s="35"/>
      <c r="AX2931" s="35"/>
      <c r="AY2931" s="35"/>
      <c r="AZ2931" s="35"/>
      <c r="BA2931" s="35"/>
      <c r="BB2931" s="22">
        <f t="shared" si="899"/>
        <v>5</v>
      </c>
      <c r="BC2931" s="23">
        <v>141</v>
      </c>
      <c r="BD2931" s="130">
        <f t="shared" si="900"/>
        <v>5</v>
      </c>
      <c r="BE2931" s="130">
        <f t="shared" si="901"/>
        <v>141</v>
      </c>
      <c r="BF2931" s="195">
        <f t="shared" si="902"/>
        <v>3.5460992907801421</v>
      </c>
      <c r="BG2931" s="373">
        <f t="shared" si="903"/>
        <v>136</v>
      </c>
    </row>
    <row r="2932" spans="1:61" s="46" customFormat="1" ht="15.95" customHeight="1">
      <c r="A2932" s="176">
        <v>11</v>
      </c>
      <c r="B2932" s="31" t="s">
        <v>738</v>
      </c>
      <c r="C2932" s="32" t="s">
        <v>739</v>
      </c>
      <c r="D2932" s="231"/>
      <c r="E2932" s="231"/>
      <c r="F2932" s="231"/>
      <c r="G2932" s="231"/>
      <c r="H2932" s="231"/>
      <c r="I2932" s="231"/>
      <c r="J2932" s="231"/>
      <c r="K2932" s="231"/>
      <c r="L2932" s="231"/>
      <c r="M2932" s="231"/>
      <c r="N2932" s="231"/>
      <c r="O2932" s="231"/>
      <c r="P2932" s="231"/>
      <c r="Q2932" s="231"/>
      <c r="R2932" s="231"/>
      <c r="S2932" s="231"/>
      <c r="T2932" s="231"/>
      <c r="U2932" s="231"/>
      <c r="V2932" s="231"/>
      <c r="W2932" s="231"/>
      <c r="X2932" s="231"/>
      <c r="Y2932" s="231"/>
      <c r="Z2932" s="231"/>
      <c r="AA2932" s="231"/>
      <c r="AB2932" s="22">
        <f t="shared" si="898"/>
        <v>0</v>
      </c>
      <c r="AC2932" s="23">
        <v>0</v>
      </c>
      <c r="AD2932" s="35"/>
      <c r="AE2932" s="35"/>
      <c r="AF2932" s="35"/>
      <c r="AG2932" s="35"/>
      <c r="AH2932" s="35">
        <v>1</v>
      </c>
      <c r="AI2932" s="35"/>
      <c r="AJ2932" s="35"/>
      <c r="AK2932" s="35"/>
      <c r="AL2932" s="35">
        <v>5</v>
      </c>
      <c r="AM2932" s="35"/>
      <c r="AN2932" s="35"/>
      <c r="AO2932" s="35"/>
      <c r="AP2932" s="35">
        <v>10</v>
      </c>
      <c r="AQ2932" s="35"/>
      <c r="AR2932" s="35"/>
      <c r="AS2932" s="35"/>
      <c r="AT2932" s="35"/>
      <c r="AU2932" s="35"/>
      <c r="AV2932" s="35"/>
      <c r="AW2932" s="35"/>
      <c r="AX2932" s="35"/>
      <c r="AY2932" s="35"/>
      <c r="AZ2932" s="35"/>
      <c r="BA2932" s="35"/>
      <c r="BB2932" s="22">
        <f t="shared" si="899"/>
        <v>16</v>
      </c>
      <c r="BC2932" s="23">
        <v>1</v>
      </c>
      <c r="BD2932" s="130">
        <f t="shared" si="900"/>
        <v>16</v>
      </c>
      <c r="BE2932" s="130">
        <f t="shared" si="901"/>
        <v>1</v>
      </c>
      <c r="BF2932" s="195">
        <f t="shared" si="902"/>
        <v>1600</v>
      </c>
      <c r="BG2932" s="373">
        <f t="shared" si="903"/>
        <v>-15</v>
      </c>
    </row>
    <row r="2933" spans="1:61" s="46" customFormat="1" ht="15.95" customHeight="1">
      <c r="A2933" s="176">
        <v>12</v>
      </c>
      <c r="B2933" s="31" t="s">
        <v>746</v>
      </c>
      <c r="C2933" s="32" t="s">
        <v>747</v>
      </c>
      <c r="D2933" s="231"/>
      <c r="E2933" s="231"/>
      <c r="F2933" s="231"/>
      <c r="G2933" s="231"/>
      <c r="H2933" s="231"/>
      <c r="I2933" s="231"/>
      <c r="J2933" s="231"/>
      <c r="K2933" s="231"/>
      <c r="L2933" s="231"/>
      <c r="M2933" s="231"/>
      <c r="N2933" s="231"/>
      <c r="O2933" s="231"/>
      <c r="P2933" s="231"/>
      <c r="Q2933" s="231"/>
      <c r="R2933" s="231"/>
      <c r="S2933" s="231"/>
      <c r="T2933" s="231"/>
      <c r="U2933" s="231"/>
      <c r="V2933" s="231"/>
      <c r="W2933" s="231"/>
      <c r="X2933" s="231"/>
      <c r="Y2933" s="231"/>
      <c r="Z2933" s="231"/>
      <c r="AA2933" s="231"/>
      <c r="AB2933" s="22">
        <f t="shared" si="898"/>
        <v>0</v>
      </c>
      <c r="AC2933" s="23">
        <v>0</v>
      </c>
      <c r="AD2933" s="35"/>
      <c r="AE2933" s="35"/>
      <c r="AF2933" s="35"/>
      <c r="AG2933" s="35"/>
      <c r="AH2933" s="35"/>
      <c r="AI2933" s="35"/>
      <c r="AJ2933" s="35"/>
      <c r="AK2933" s="35"/>
      <c r="AL2933" s="35">
        <v>21</v>
      </c>
      <c r="AM2933" s="35"/>
      <c r="AN2933" s="35"/>
      <c r="AO2933" s="35"/>
      <c r="AP2933" s="35">
        <v>15</v>
      </c>
      <c r="AQ2933" s="35"/>
      <c r="AR2933" s="35"/>
      <c r="AS2933" s="35"/>
      <c r="AT2933" s="35"/>
      <c r="AU2933" s="35"/>
      <c r="AV2933" s="35"/>
      <c r="AW2933" s="35"/>
      <c r="AX2933" s="35"/>
      <c r="AY2933" s="35"/>
      <c r="AZ2933" s="35"/>
      <c r="BA2933" s="35"/>
      <c r="BB2933" s="22">
        <f t="shared" si="899"/>
        <v>36</v>
      </c>
      <c r="BC2933" s="23">
        <v>112</v>
      </c>
      <c r="BD2933" s="130">
        <f t="shared" si="900"/>
        <v>36</v>
      </c>
      <c r="BE2933" s="130">
        <f t="shared" si="901"/>
        <v>112</v>
      </c>
      <c r="BF2933" s="195">
        <f t="shared" si="902"/>
        <v>32.142857142857146</v>
      </c>
      <c r="BG2933" s="373">
        <f t="shared" si="903"/>
        <v>76</v>
      </c>
    </row>
    <row r="2934" spans="1:61" s="46" customFormat="1" ht="15.95" customHeight="1">
      <c r="A2934" s="176">
        <v>13</v>
      </c>
      <c r="B2934" s="31" t="s">
        <v>881</v>
      </c>
      <c r="C2934" s="32" t="s">
        <v>1405</v>
      </c>
      <c r="D2934" s="231"/>
      <c r="E2934" s="231"/>
      <c r="F2934" s="231"/>
      <c r="G2934" s="231"/>
      <c r="H2934" s="231"/>
      <c r="I2934" s="231"/>
      <c r="J2934" s="231"/>
      <c r="K2934" s="231"/>
      <c r="L2934" s="231"/>
      <c r="M2934" s="231"/>
      <c r="N2934" s="231"/>
      <c r="O2934" s="231"/>
      <c r="P2934" s="231"/>
      <c r="Q2934" s="231"/>
      <c r="R2934" s="231"/>
      <c r="S2934" s="231"/>
      <c r="T2934" s="231"/>
      <c r="U2934" s="231"/>
      <c r="V2934" s="231"/>
      <c r="W2934" s="231"/>
      <c r="X2934" s="231"/>
      <c r="Y2934" s="231"/>
      <c r="Z2934" s="231"/>
      <c r="AA2934" s="231"/>
      <c r="AB2934" s="22">
        <f t="shared" si="898"/>
        <v>0</v>
      </c>
      <c r="AC2934" s="23">
        <v>0</v>
      </c>
      <c r="AD2934" s="35"/>
      <c r="AE2934" s="35"/>
      <c r="AF2934" s="35"/>
      <c r="AG2934" s="35"/>
      <c r="AH2934" s="35">
        <v>255</v>
      </c>
      <c r="AI2934" s="35"/>
      <c r="AJ2934" s="35"/>
      <c r="AK2934" s="35"/>
      <c r="AL2934" s="35">
        <v>1106</v>
      </c>
      <c r="AM2934" s="35"/>
      <c r="AN2934" s="35"/>
      <c r="AO2934" s="35"/>
      <c r="AP2934" s="35">
        <v>2276</v>
      </c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22">
        <f t="shared" si="899"/>
        <v>3637</v>
      </c>
      <c r="BC2934" s="23">
        <v>12440</v>
      </c>
      <c r="BD2934" s="130">
        <f t="shared" si="900"/>
        <v>3637</v>
      </c>
      <c r="BE2934" s="130">
        <f t="shared" si="901"/>
        <v>12440</v>
      </c>
      <c r="BF2934" s="195">
        <f t="shared" si="902"/>
        <v>29.236334405144692</v>
      </c>
      <c r="BG2934" s="373">
        <f t="shared" si="903"/>
        <v>8803</v>
      </c>
    </row>
    <row r="2935" spans="1:61" s="46" customFormat="1" ht="15.95" customHeight="1">
      <c r="A2935" s="176">
        <v>14</v>
      </c>
      <c r="B2935" s="31" t="s">
        <v>748</v>
      </c>
      <c r="C2935" s="34" t="s">
        <v>749</v>
      </c>
      <c r="D2935" s="231"/>
      <c r="E2935" s="231"/>
      <c r="F2935" s="231"/>
      <c r="G2935" s="231"/>
      <c r="H2935" s="231"/>
      <c r="I2935" s="231"/>
      <c r="J2935" s="231"/>
      <c r="K2935" s="231"/>
      <c r="L2935" s="231"/>
      <c r="M2935" s="231"/>
      <c r="N2935" s="231"/>
      <c r="O2935" s="231"/>
      <c r="P2935" s="231"/>
      <c r="Q2935" s="231"/>
      <c r="R2935" s="231"/>
      <c r="S2935" s="231"/>
      <c r="T2935" s="231"/>
      <c r="U2935" s="231"/>
      <c r="V2935" s="231"/>
      <c r="W2935" s="231"/>
      <c r="X2935" s="231"/>
      <c r="Y2935" s="231"/>
      <c r="Z2935" s="231"/>
      <c r="AA2935" s="231"/>
      <c r="AB2935" s="22">
        <f t="shared" si="898"/>
        <v>0</v>
      </c>
      <c r="AC2935" s="23">
        <v>0</v>
      </c>
      <c r="AD2935" s="35"/>
      <c r="AE2935" s="35"/>
      <c r="AF2935" s="35"/>
      <c r="AG2935" s="35"/>
      <c r="AH2935" s="35"/>
      <c r="AI2935" s="35"/>
      <c r="AJ2935" s="35"/>
      <c r="AK2935" s="35"/>
      <c r="AL2935" s="35"/>
      <c r="AM2935" s="35"/>
      <c r="AN2935" s="35"/>
      <c r="AO2935" s="35"/>
      <c r="AP2935" s="35">
        <v>1</v>
      </c>
      <c r="AQ2935" s="35"/>
      <c r="AR2935" s="35"/>
      <c r="AS2935" s="35"/>
      <c r="AT2935" s="35"/>
      <c r="AU2935" s="35"/>
      <c r="AV2935" s="35"/>
      <c r="AW2935" s="35"/>
      <c r="AX2935" s="35"/>
      <c r="AY2935" s="35"/>
      <c r="AZ2935" s="35"/>
      <c r="BA2935" s="35"/>
      <c r="BB2935" s="22">
        <f t="shared" si="899"/>
        <v>1</v>
      </c>
      <c r="BC2935" s="23">
        <v>2</v>
      </c>
      <c r="BD2935" s="130">
        <f t="shared" si="900"/>
        <v>1</v>
      </c>
      <c r="BE2935" s="130">
        <f t="shared" si="901"/>
        <v>2</v>
      </c>
      <c r="BF2935" s="195">
        <f t="shared" si="902"/>
        <v>50</v>
      </c>
      <c r="BG2935" s="373">
        <f t="shared" si="903"/>
        <v>1</v>
      </c>
    </row>
    <row r="2936" spans="1:61" s="46" customFormat="1" ht="15.95" customHeight="1">
      <c r="A2936" s="176">
        <v>15</v>
      </c>
      <c r="B2936" s="31" t="s">
        <v>750</v>
      </c>
      <c r="C2936" s="32" t="s">
        <v>751</v>
      </c>
      <c r="D2936" s="231"/>
      <c r="E2936" s="231"/>
      <c r="F2936" s="231"/>
      <c r="G2936" s="231"/>
      <c r="H2936" s="231"/>
      <c r="I2936" s="231"/>
      <c r="J2936" s="231"/>
      <c r="K2936" s="231"/>
      <c r="L2936" s="231"/>
      <c r="M2936" s="231"/>
      <c r="N2936" s="231"/>
      <c r="O2936" s="231"/>
      <c r="P2936" s="231"/>
      <c r="Q2936" s="231"/>
      <c r="R2936" s="231"/>
      <c r="S2936" s="231"/>
      <c r="T2936" s="231"/>
      <c r="U2936" s="231"/>
      <c r="V2936" s="231"/>
      <c r="W2936" s="231"/>
      <c r="X2936" s="231"/>
      <c r="Y2936" s="231"/>
      <c r="Z2936" s="231"/>
      <c r="AA2936" s="231"/>
      <c r="AB2936" s="22">
        <f t="shared" si="898"/>
        <v>0</v>
      </c>
      <c r="AC2936" s="23">
        <v>0</v>
      </c>
      <c r="AD2936" s="35"/>
      <c r="AE2936" s="35"/>
      <c r="AF2936" s="35"/>
      <c r="AG2936" s="35"/>
      <c r="AH2936" s="35">
        <f>1+6</f>
        <v>7</v>
      </c>
      <c r="AI2936" s="35"/>
      <c r="AJ2936" s="35"/>
      <c r="AK2936" s="35"/>
      <c r="AL2936" s="35">
        <f>1+67</f>
        <v>68</v>
      </c>
      <c r="AM2936" s="35"/>
      <c r="AN2936" s="35"/>
      <c r="AO2936" s="35"/>
      <c r="AP2936" s="35">
        <v>144</v>
      </c>
      <c r="AQ2936" s="35"/>
      <c r="AR2936" s="35"/>
      <c r="AS2936" s="35"/>
      <c r="AT2936" s="35"/>
      <c r="AU2936" s="35"/>
      <c r="AV2936" s="35"/>
      <c r="AW2936" s="35"/>
      <c r="AX2936" s="35"/>
      <c r="AY2936" s="35"/>
      <c r="AZ2936" s="35"/>
      <c r="BA2936" s="35"/>
      <c r="BB2936" s="22">
        <f t="shared" si="899"/>
        <v>219</v>
      </c>
      <c r="BC2936" s="23">
        <v>822</v>
      </c>
      <c r="BD2936" s="130">
        <f t="shared" si="900"/>
        <v>219</v>
      </c>
      <c r="BE2936" s="130">
        <f t="shared" si="901"/>
        <v>822</v>
      </c>
      <c r="BF2936" s="195">
        <f t="shared" si="902"/>
        <v>26.642335766423358</v>
      </c>
      <c r="BG2936" s="373">
        <f t="shared" si="903"/>
        <v>603</v>
      </c>
    </row>
    <row r="2937" spans="1:61" s="46" customFormat="1" ht="15.95" customHeight="1">
      <c r="A2937" s="176">
        <v>16</v>
      </c>
      <c r="B2937" s="31" t="s">
        <v>930</v>
      </c>
      <c r="C2937" s="32" t="s">
        <v>931</v>
      </c>
      <c r="D2937" s="231"/>
      <c r="E2937" s="231"/>
      <c r="F2937" s="231"/>
      <c r="G2937" s="231"/>
      <c r="H2937" s="231"/>
      <c r="I2937" s="231"/>
      <c r="J2937" s="231"/>
      <c r="K2937" s="231"/>
      <c r="L2937" s="231"/>
      <c r="M2937" s="231"/>
      <c r="N2937" s="231"/>
      <c r="O2937" s="231"/>
      <c r="P2937" s="231"/>
      <c r="Q2937" s="231"/>
      <c r="R2937" s="231"/>
      <c r="S2937" s="231"/>
      <c r="T2937" s="231"/>
      <c r="U2937" s="231"/>
      <c r="V2937" s="231"/>
      <c r="W2937" s="231"/>
      <c r="X2937" s="231"/>
      <c r="Y2937" s="231"/>
      <c r="Z2937" s="231"/>
      <c r="AA2937" s="231"/>
      <c r="AB2937" s="22">
        <f t="shared" si="898"/>
        <v>0</v>
      </c>
      <c r="AC2937" s="23">
        <v>0</v>
      </c>
      <c r="AD2937" s="35"/>
      <c r="AE2937" s="35"/>
      <c r="AF2937" s="35"/>
      <c r="AG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  <c r="AX2937" s="35"/>
      <c r="AY2937" s="35"/>
      <c r="AZ2937" s="35"/>
      <c r="BA2937" s="35"/>
      <c r="BB2937" s="22">
        <f t="shared" si="899"/>
        <v>0</v>
      </c>
      <c r="BC2937" s="23">
        <v>7</v>
      </c>
      <c r="BD2937" s="130">
        <f t="shared" si="900"/>
        <v>0</v>
      </c>
      <c r="BE2937" s="130">
        <f t="shared" si="901"/>
        <v>7</v>
      </c>
      <c r="BF2937" s="195">
        <f t="shared" si="902"/>
        <v>0</v>
      </c>
      <c r="BG2937" s="373">
        <f t="shared" si="903"/>
        <v>7</v>
      </c>
    </row>
    <row r="2938" spans="1:61" s="46" customFormat="1" ht="15.95" customHeight="1">
      <c r="A2938" s="176">
        <v>17</v>
      </c>
      <c r="B2938" s="31" t="s">
        <v>887</v>
      </c>
      <c r="C2938" s="32" t="s">
        <v>1623</v>
      </c>
      <c r="D2938" s="231"/>
      <c r="E2938" s="231"/>
      <c r="F2938" s="231"/>
      <c r="G2938" s="231"/>
      <c r="H2938" s="231"/>
      <c r="I2938" s="231"/>
      <c r="J2938" s="231"/>
      <c r="K2938" s="231"/>
      <c r="L2938" s="231"/>
      <c r="M2938" s="231"/>
      <c r="N2938" s="231"/>
      <c r="O2938" s="231"/>
      <c r="P2938" s="231"/>
      <c r="Q2938" s="231"/>
      <c r="R2938" s="231"/>
      <c r="S2938" s="231"/>
      <c r="T2938" s="231"/>
      <c r="U2938" s="231"/>
      <c r="V2938" s="231"/>
      <c r="W2938" s="231"/>
      <c r="X2938" s="231"/>
      <c r="Y2938" s="231"/>
      <c r="Z2938" s="231"/>
      <c r="AA2938" s="231"/>
      <c r="AB2938" s="22">
        <f t="shared" si="898"/>
        <v>0</v>
      </c>
      <c r="AC2938" s="23">
        <v>0</v>
      </c>
      <c r="AD2938" s="35"/>
      <c r="AE2938" s="35"/>
      <c r="AF2938" s="35"/>
      <c r="AG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  <c r="AX2938" s="35"/>
      <c r="AY2938" s="35"/>
      <c r="AZ2938" s="35"/>
      <c r="BA2938" s="35"/>
      <c r="BB2938" s="22">
        <f t="shared" si="899"/>
        <v>0</v>
      </c>
      <c r="BC2938" s="23">
        <v>7</v>
      </c>
      <c r="BD2938" s="130">
        <f t="shared" si="900"/>
        <v>0</v>
      </c>
      <c r="BE2938" s="130">
        <f t="shared" si="901"/>
        <v>7</v>
      </c>
      <c r="BF2938" s="195">
        <f t="shared" si="902"/>
        <v>0</v>
      </c>
      <c r="BG2938" s="373">
        <f t="shared" si="903"/>
        <v>7</v>
      </c>
    </row>
    <row r="2939" spans="1:61" s="46" customFormat="1" ht="15.95" customHeight="1">
      <c r="A2939" s="176">
        <v>18</v>
      </c>
      <c r="B2939" s="37" t="s">
        <v>754</v>
      </c>
      <c r="C2939" s="38" t="s">
        <v>889</v>
      </c>
      <c r="D2939" s="231"/>
      <c r="E2939" s="231"/>
      <c r="F2939" s="231"/>
      <c r="G2939" s="231"/>
      <c r="H2939" s="231"/>
      <c r="I2939" s="231"/>
      <c r="J2939" s="231"/>
      <c r="K2939" s="231"/>
      <c r="L2939" s="231"/>
      <c r="M2939" s="231"/>
      <c r="N2939" s="231"/>
      <c r="O2939" s="231"/>
      <c r="P2939" s="231"/>
      <c r="Q2939" s="231"/>
      <c r="R2939" s="231"/>
      <c r="S2939" s="231"/>
      <c r="T2939" s="231"/>
      <c r="U2939" s="231"/>
      <c r="V2939" s="231"/>
      <c r="W2939" s="231"/>
      <c r="X2939" s="231"/>
      <c r="Y2939" s="231"/>
      <c r="Z2939" s="231"/>
      <c r="AA2939" s="231"/>
      <c r="AB2939" s="22">
        <f t="shared" si="898"/>
        <v>0</v>
      </c>
      <c r="AC2939" s="23">
        <v>0</v>
      </c>
      <c r="AD2939" s="35"/>
      <c r="AE2939" s="35"/>
      <c r="AF2939" s="35"/>
      <c r="AG2939" s="35"/>
      <c r="AH2939" s="35">
        <v>1</v>
      </c>
      <c r="AI2939" s="35"/>
      <c r="AJ2939" s="35"/>
      <c r="AK2939" s="35"/>
      <c r="AL2939" s="35">
        <v>3</v>
      </c>
      <c r="AM2939" s="35"/>
      <c r="AN2939" s="35"/>
      <c r="AO2939" s="35"/>
      <c r="AP2939" s="35">
        <v>6</v>
      </c>
      <c r="AQ2939" s="35"/>
      <c r="AR2939" s="35"/>
      <c r="AS2939" s="35"/>
      <c r="AT2939" s="35"/>
      <c r="AU2939" s="35"/>
      <c r="AV2939" s="35"/>
      <c r="AW2939" s="35"/>
      <c r="AX2939" s="35"/>
      <c r="AY2939" s="35"/>
      <c r="AZ2939" s="35"/>
      <c r="BA2939" s="35"/>
      <c r="BB2939" s="22">
        <f t="shared" si="899"/>
        <v>10</v>
      </c>
      <c r="BC2939" s="23">
        <v>44</v>
      </c>
      <c r="BD2939" s="130">
        <f t="shared" si="900"/>
        <v>10</v>
      </c>
      <c r="BE2939" s="130">
        <f t="shared" si="901"/>
        <v>44</v>
      </c>
      <c r="BF2939" s="195">
        <f t="shared" si="902"/>
        <v>22.727272727272727</v>
      </c>
      <c r="BG2939" s="373">
        <f t="shared" si="903"/>
        <v>34</v>
      </c>
    </row>
    <row r="2940" spans="1:61" s="46" customFormat="1" ht="15.95" customHeight="1">
      <c r="A2940" s="176">
        <v>19</v>
      </c>
      <c r="B2940" s="31" t="s">
        <v>756</v>
      </c>
      <c r="C2940" s="32" t="s">
        <v>757</v>
      </c>
      <c r="D2940" s="231"/>
      <c r="E2940" s="231"/>
      <c r="F2940" s="231"/>
      <c r="G2940" s="231"/>
      <c r="H2940" s="231"/>
      <c r="I2940" s="231"/>
      <c r="J2940" s="231"/>
      <c r="K2940" s="231"/>
      <c r="L2940" s="231"/>
      <c r="M2940" s="231"/>
      <c r="N2940" s="231"/>
      <c r="O2940" s="231"/>
      <c r="P2940" s="231"/>
      <c r="Q2940" s="231"/>
      <c r="R2940" s="231"/>
      <c r="S2940" s="231"/>
      <c r="T2940" s="231"/>
      <c r="U2940" s="231"/>
      <c r="V2940" s="231"/>
      <c r="W2940" s="231"/>
      <c r="X2940" s="231"/>
      <c r="Y2940" s="231"/>
      <c r="Z2940" s="231"/>
      <c r="AA2940" s="231"/>
      <c r="AB2940" s="22">
        <f t="shared" si="898"/>
        <v>0</v>
      </c>
      <c r="AC2940" s="23">
        <v>0</v>
      </c>
      <c r="AD2940" s="35"/>
      <c r="AE2940" s="35"/>
      <c r="AF2940" s="35"/>
      <c r="AG2940" s="35"/>
      <c r="AH2940" s="35">
        <v>128</v>
      </c>
      <c r="AI2940" s="35"/>
      <c r="AJ2940" s="35"/>
      <c r="AK2940" s="35"/>
      <c r="AL2940" s="35">
        <v>533</v>
      </c>
      <c r="AM2940" s="35"/>
      <c r="AN2940" s="35"/>
      <c r="AO2940" s="35"/>
      <c r="AP2940" s="35">
        <v>799</v>
      </c>
      <c r="AQ2940" s="35"/>
      <c r="AR2940" s="35"/>
      <c r="AS2940" s="35"/>
      <c r="AT2940" s="35"/>
      <c r="AU2940" s="35"/>
      <c r="AV2940" s="35"/>
      <c r="AW2940" s="35"/>
      <c r="AX2940" s="35"/>
      <c r="AY2940" s="35"/>
      <c r="AZ2940" s="35"/>
      <c r="BA2940" s="35"/>
      <c r="BB2940" s="22">
        <f t="shared" si="899"/>
        <v>1460</v>
      </c>
      <c r="BC2940" s="23">
        <v>5740</v>
      </c>
      <c r="BD2940" s="130">
        <f t="shared" si="900"/>
        <v>1460</v>
      </c>
      <c r="BE2940" s="130">
        <f t="shared" si="901"/>
        <v>5740</v>
      </c>
      <c r="BF2940" s="195">
        <f t="shared" si="902"/>
        <v>25.435540069686414</v>
      </c>
      <c r="BG2940" s="373">
        <f t="shared" si="903"/>
        <v>4280</v>
      </c>
    </row>
    <row r="2941" spans="1:61" s="46" customFormat="1" ht="15.95" customHeight="1">
      <c r="A2941" s="176">
        <v>20</v>
      </c>
      <c r="B2941" s="31" t="s">
        <v>758</v>
      </c>
      <c r="C2941" s="32" t="s">
        <v>759</v>
      </c>
      <c r="D2941" s="231"/>
      <c r="E2941" s="231"/>
      <c r="F2941" s="231"/>
      <c r="G2941" s="231"/>
      <c r="H2941" s="231"/>
      <c r="I2941" s="231"/>
      <c r="J2941" s="231"/>
      <c r="K2941" s="231"/>
      <c r="L2941" s="231"/>
      <c r="M2941" s="231"/>
      <c r="N2941" s="231"/>
      <c r="O2941" s="231"/>
      <c r="P2941" s="231"/>
      <c r="Q2941" s="231"/>
      <c r="R2941" s="231"/>
      <c r="S2941" s="231"/>
      <c r="T2941" s="231"/>
      <c r="U2941" s="231"/>
      <c r="V2941" s="231"/>
      <c r="W2941" s="231"/>
      <c r="X2941" s="231"/>
      <c r="Y2941" s="231"/>
      <c r="Z2941" s="231"/>
      <c r="AA2941" s="231"/>
      <c r="AB2941" s="22">
        <f t="shared" si="898"/>
        <v>0</v>
      </c>
      <c r="AC2941" s="23">
        <v>0</v>
      </c>
      <c r="AD2941" s="35"/>
      <c r="AE2941" s="35"/>
      <c r="AF2941" s="35"/>
      <c r="AG2941" s="35"/>
      <c r="AH2941" s="35"/>
      <c r="AI2941" s="35"/>
      <c r="AJ2941" s="35"/>
      <c r="AK2941" s="35"/>
      <c r="AL2941" s="35">
        <v>6</v>
      </c>
      <c r="AM2941" s="35"/>
      <c r="AN2941" s="35"/>
      <c r="AO2941" s="35"/>
      <c r="AP2941" s="35">
        <v>2</v>
      </c>
      <c r="AQ2941" s="35"/>
      <c r="AR2941" s="35"/>
      <c r="AS2941" s="35"/>
      <c r="AT2941" s="35"/>
      <c r="AU2941" s="35"/>
      <c r="AV2941" s="35"/>
      <c r="AW2941" s="35"/>
      <c r="AX2941" s="35"/>
      <c r="AY2941" s="35"/>
      <c r="AZ2941" s="35"/>
      <c r="BA2941" s="35"/>
      <c r="BB2941" s="22">
        <f t="shared" si="899"/>
        <v>8</v>
      </c>
      <c r="BC2941" s="23">
        <v>135</v>
      </c>
      <c r="BD2941" s="130">
        <f t="shared" si="900"/>
        <v>8</v>
      </c>
      <c r="BE2941" s="130">
        <f t="shared" si="901"/>
        <v>135</v>
      </c>
      <c r="BF2941" s="195">
        <f t="shared" si="902"/>
        <v>5.9259259259259265</v>
      </c>
      <c r="BG2941" s="373">
        <f t="shared" si="903"/>
        <v>127</v>
      </c>
    </row>
    <row r="2942" spans="1:61" s="46" customFormat="1" ht="15.95" customHeight="1">
      <c r="A2942" s="176">
        <v>21</v>
      </c>
      <c r="B2942" s="31" t="s">
        <v>760</v>
      </c>
      <c r="C2942" s="32" t="s">
        <v>1130</v>
      </c>
      <c r="D2942" s="231"/>
      <c r="E2942" s="231"/>
      <c r="F2942" s="231"/>
      <c r="G2942" s="231"/>
      <c r="H2942" s="231"/>
      <c r="I2942" s="231"/>
      <c r="J2942" s="231"/>
      <c r="K2942" s="231"/>
      <c r="L2942" s="231"/>
      <c r="M2942" s="231"/>
      <c r="N2942" s="231"/>
      <c r="O2942" s="231"/>
      <c r="P2942" s="231"/>
      <c r="Q2942" s="231"/>
      <c r="R2942" s="231"/>
      <c r="S2942" s="231"/>
      <c r="T2942" s="231"/>
      <c r="U2942" s="231"/>
      <c r="V2942" s="231"/>
      <c r="W2942" s="231"/>
      <c r="X2942" s="231"/>
      <c r="Y2942" s="231"/>
      <c r="Z2942" s="231"/>
      <c r="AA2942" s="231"/>
      <c r="AB2942" s="22">
        <f t="shared" si="898"/>
        <v>0</v>
      </c>
      <c r="AC2942" s="23">
        <v>0</v>
      </c>
      <c r="AD2942" s="35"/>
      <c r="AE2942" s="35"/>
      <c r="AF2942" s="35"/>
      <c r="AG2942" s="35"/>
      <c r="AH2942" s="35"/>
      <c r="AI2942" s="35"/>
      <c r="AJ2942" s="35"/>
      <c r="AK2942" s="35"/>
      <c r="AL2942" s="35">
        <v>2</v>
      </c>
      <c r="AM2942" s="35"/>
      <c r="AN2942" s="35"/>
      <c r="AO2942" s="35"/>
      <c r="AP2942" s="35">
        <v>6</v>
      </c>
      <c r="AQ2942" s="35"/>
      <c r="AR2942" s="35"/>
      <c r="AS2942" s="35"/>
      <c r="AT2942" s="35"/>
      <c r="AU2942" s="35"/>
      <c r="AV2942" s="35"/>
      <c r="AW2942" s="35"/>
      <c r="AX2942" s="35"/>
      <c r="AY2942" s="35"/>
      <c r="AZ2942" s="35"/>
      <c r="BA2942" s="35"/>
      <c r="BB2942" s="22">
        <f t="shared" si="899"/>
        <v>8</v>
      </c>
      <c r="BC2942" s="23">
        <v>114</v>
      </c>
      <c r="BD2942" s="130">
        <f t="shared" si="900"/>
        <v>8</v>
      </c>
      <c r="BE2942" s="130">
        <f t="shared" si="901"/>
        <v>114</v>
      </c>
      <c r="BF2942" s="195">
        <f t="shared" si="902"/>
        <v>7.0175438596491224</v>
      </c>
      <c r="BG2942" s="373">
        <f t="shared" si="903"/>
        <v>106</v>
      </c>
    </row>
    <row r="2943" spans="1:61" s="46" customFormat="1" ht="15.95" customHeight="1">
      <c r="A2943" s="176">
        <v>22</v>
      </c>
      <c r="B2943" s="31" t="s">
        <v>763</v>
      </c>
      <c r="C2943" s="32" t="s">
        <v>2519</v>
      </c>
      <c r="D2943" s="231"/>
      <c r="E2943" s="231"/>
      <c r="F2943" s="231"/>
      <c r="G2943" s="231"/>
      <c r="H2943" s="231"/>
      <c r="I2943" s="231"/>
      <c r="J2943" s="231"/>
      <c r="K2943" s="231"/>
      <c r="L2943" s="231"/>
      <c r="M2943" s="231"/>
      <c r="N2943" s="231"/>
      <c r="O2943" s="231"/>
      <c r="P2943" s="231"/>
      <c r="Q2943" s="231"/>
      <c r="R2943" s="231"/>
      <c r="S2943" s="231"/>
      <c r="T2943" s="231"/>
      <c r="U2943" s="231"/>
      <c r="V2943" s="231"/>
      <c r="W2943" s="231"/>
      <c r="X2943" s="231"/>
      <c r="Y2943" s="231"/>
      <c r="Z2943" s="231"/>
      <c r="AA2943" s="231"/>
      <c r="AB2943" s="22">
        <f t="shared" si="898"/>
        <v>0</v>
      </c>
      <c r="AC2943" s="23">
        <v>0</v>
      </c>
      <c r="AD2943" s="35"/>
      <c r="AE2943" s="35"/>
      <c r="AF2943" s="35"/>
      <c r="AG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  <c r="AX2943" s="35"/>
      <c r="AY2943" s="35"/>
      <c r="AZ2943" s="35"/>
      <c r="BA2943" s="35"/>
      <c r="BB2943" s="22">
        <f t="shared" si="899"/>
        <v>0</v>
      </c>
      <c r="BC2943" s="23">
        <v>9</v>
      </c>
      <c r="BD2943" s="130">
        <f t="shared" si="900"/>
        <v>0</v>
      </c>
      <c r="BE2943" s="130">
        <f t="shared" si="901"/>
        <v>9</v>
      </c>
      <c r="BF2943" s="195">
        <f t="shared" si="902"/>
        <v>0</v>
      </c>
      <c r="BG2943" s="373">
        <f t="shared" si="903"/>
        <v>9</v>
      </c>
    </row>
    <row r="2944" spans="1:61" s="46" customFormat="1" ht="15.95" customHeight="1">
      <c r="A2944" s="176">
        <v>23</v>
      </c>
      <c r="B2944" s="31" t="s">
        <v>764</v>
      </c>
      <c r="C2944" s="32" t="s">
        <v>765</v>
      </c>
      <c r="D2944" s="231"/>
      <c r="E2944" s="231"/>
      <c r="F2944" s="231"/>
      <c r="G2944" s="231"/>
      <c r="H2944" s="231"/>
      <c r="I2944" s="231"/>
      <c r="J2944" s="231"/>
      <c r="K2944" s="231"/>
      <c r="L2944" s="231"/>
      <c r="M2944" s="231"/>
      <c r="N2944" s="231"/>
      <c r="O2944" s="231"/>
      <c r="P2944" s="231"/>
      <c r="Q2944" s="231"/>
      <c r="R2944" s="231"/>
      <c r="S2944" s="231"/>
      <c r="T2944" s="231"/>
      <c r="U2944" s="231"/>
      <c r="V2944" s="231"/>
      <c r="W2944" s="231"/>
      <c r="X2944" s="231"/>
      <c r="Y2944" s="231"/>
      <c r="Z2944" s="231"/>
      <c r="AA2944" s="231"/>
      <c r="AB2944" s="22">
        <f t="shared" si="898"/>
        <v>0</v>
      </c>
      <c r="AC2944" s="23">
        <v>0</v>
      </c>
      <c r="AD2944" s="35"/>
      <c r="AE2944" s="35"/>
      <c r="AF2944" s="35"/>
      <c r="AG2944" s="35"/>
      <c r="AH2944" s="35"/>
      <c r="AI2944" s="35"/>
      <c r="AJ2944" s="35"/>
      <c r="AK2944" s="35"/>
      <c r="AL2944" s="35">
        <v>3</v>
      </c>
      <c r="AM2944" s="35"/>
      <c r="AN2944" s="35"/>
      <c r="AO2944" s="35"/>
      <c r="AP2944" s="35">
        <v>4</v>
      </c>
      <c r="AQ2944" s="35"/>
      <c r="AR2944" s="35"/>
      <c r="AS2944" s="35"/>
      <c r="AT2944" s="35"/>
      <c r="AU2944" s="35"/>
      <c r="AV2944" s="35"/>
      <c r="AW2944" s="35"/>
      <c r="AX2944" s="35"/>
      <c r="AY2944" s="35"/>
      <c r="AZ2944" s="35"/>
      <c r="BA2944" s="35"/>
      <c r="BB2944" s="22">
        <f t="shared" si="899"/>
        <v>7</v>
      </c>
      <c r="BC2944" s="23">
        <v>12</v>
      </c>
      <c r="BD2944" s="130">
        <f t="shared" si="900"/>
        <v>7</v>
      </c>
      <c r="BE2944" s="130">
        <f t="shared" si="901"/>
        <v>12</v>
      </c>
      <c r="BF2944" s="195">
        <f t="shared" si="902"/>
        <v>58.333333333333336</v>
      </c>
      <c r="BG2944" s="373">
        <f t="shared" si="903"/>
        <v>5</v>
      </c>
    </row>
    <row r="2945" spans="1:59" s="46" customFormat="1" ht="15.95" customHeight="1">
      <c r="A2945" s="176">
        <v>24</v>
      </c>
      <c r="B2945" s="31" t="s">
        <v>1366</v>
      </c>
      <c r="C2945" s="32" t="s">
        <v>1367</v>
      </c>
      <c r="D2945" s="231"/>
      <c r="E2945" s="231"/>
      <c r="F2945" s="231"/>
      <c r="G2945" s="231"/>
      <c r="H2945" s="231"/>
      <c r="I2945" s="231"/>
      <c r="J2945" s="231"/>
      <c r="K2945" s="231"/>
      <c r="L2945" s="231"/>
      <c r="M2945" s="231"/>
      <c r="N2945" s="231"/>
      <c r="O2945" s="231"/>
      <c r="P2945" s="231"/>
      <c r="Q2945" s="231"/>
      <c r="R2945" s="231"/>
      <c r="S2945" s="231"/>
      <c r="T2945" s="231"/>
      <c r="U2945" s="231"/>
      <c r="V2945" s="231"/>
      <c r="W2945" s="231"/>
      <c r="X2945" s="231"/>
      <c r="Y2945" s="231"/>
      <c r="Z2945" s="231"/>
      <c r="AA2945" s="231"/>
      <c r="AB2945" s="22">
        <f t="shared" si="898"/>
        <v>0</v>
      </c>
      <c r="AC2945" s="23">
        <v>0</v>
      </c>
      <c r="AD2945" s="35"/>
      <c r="AE2945" s="35"/>
      <c r="AF2945" s="35"/>
      <c r="AG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  <c r="AX2945" s="35"/>
      <c r="AY2945" s="35"/>
      <c r="AZ2945" s="35"/>
      <c r="BA2945" s="35"/>
      <c r="BB2945" s="22">
        <f t="shared" si="899"/>
        <v>0</v>
      </c>
      <c r="BC2945" s="23">
        <v>14</v>
      </c>
      <c r="BD2945" s="130">
        <f t="shared" si="900"/>
        <v>0</v>
      </c>
      <c r="BE2945" s="130">
        <f t="shared" si="901"/>
        <v>14</v>
      </c>
      <c r="BF2945" s="195">
        <f t="shared" si="902"/>
        <v>0</v>
      </c>
      <c r="BG2945" s="373">
        <f t="shared" si="903"/>
        <v>14</v>
      </c>
    </row>
    <row r="2946" spans="1:59" s="46" customFormat="1" ht="15.95" customHeight="1">
      <c r="A2946" s="176">
        <v>25</v>
      </c>
      <c r="B2946" s="31" t="s">
        <v>768</v>
      </c>
      <c r="C2946" s="32" t="s">
        <v>769</v>
      </c>
      <c r="D2946" s="231"/>
      <c r="E2946" s="231"/>
      <c r="F2946" s="231"/>
      <c r="G2946" s="231"/>
      <c r="H2946" s="231"/>
      <c r="I2946" s="231"/>
      <c r="J2946" s="231"/>
      <c r="K2946" s="231"/>
      <c r="L2946" s="231"/>
      <c r="M2946" s="231"/>
      <c r="N2946" s="231"/>
      <c r="O2946" s="231"/>
      <c r="P2946" s="231"/>
      <c r="Q2946" s="231"/>
      <c r="R2946" s="231"/>
      <c r="S2946" s="231"/>
      <c r="T2946" s="231"/>
      <c r="U2946" s="231"/>
      <c r="V2946" s="231"/>
      <c r="W2946" s="231"/>
      <c r="X2946" s="231"/>
      <c r="Y2946" s="231"/>
      <c r="Z2946" s="231"/>
      <c r="AA2946" s="231"/>
      <c r="AB2946" s="22">
        <f t="shared" si="898"/>
        <v>0</v>
      </c>
      <c r="AC2946" s="23">
        <v>0</v>
      </c>
      <c r="AD2946" s="35"/>
      <c r="AE2946" s="35"/>
      <c r="AF2946" s="35"/>
      <c r="AG2946" s="35"/>
      <c r="AH2946" s="35">
        <v>12</v>
      </c>
      <c r="AI2946" s="35"/>
      <c r="AJ2946" s="35"/>
      <c r="AK2946" s="35"/>
      <c r="AL2946" s="35">
        <v>36</v>
      </c>
      <c r="AM2946" s="35"/>
      <c r="AN2946" s="35"/>
      <c r="AO2946" s="35"/>
      <c r="AP2946" s="35">
        <v>46</v>
      </c>
      <c r="AQ2946" s="35"/>
      <c r="AR2946" s="35"/>
      <c r="AS2946" s="35"/>
      <c r="AT2946" s="35"/>
      <c r="AU2946" s="35"/>
      <c r="AV2946" s="35"/>
      <c r="AW2946" s="35"/>
      <c r="AX2946" s="35"/>
      <c r="AY2946" s="35"/>
      <c r="AZ2946" s="35"/>
      <c r="BA2946" s="35"/>
      <c r="BB2946" s="22">
        <f t="shared" si="899"/>
        <v>94</v>
      </c>
      <c r="BC2946" s="23">
        <v>227</v>
      </c>
      <c r="BD2946" s="130">
        <f t="shared" si="900"/>
        <v>94</v>
      </c>
      <c r="BE2946" s="130">
        <f t="shared" si="901"/>
        <v>227</v>
      </c>
      <c r="BF2946" s="195">
        <f t="shared" si="902"/>
        <v>41.409691629955944</v>
      </c>
      <c r="BG2946" s="373">
        <f t="shared" si="903"/>
        <v>133</v>
      </c>
    </row>
    <row r="2947" spans="1:59" s="46" customFormat="1" ht="15.95" customHeight="1">
      <c r="A2947" s="176">
        <v>26</v>
      </c>
      <c r="B2947" s="31" t="s">
        <v>770</v>
      </c>
      <c r="C2947" s="32" t="s">
        <v>1139</v>
      </c>
      <c r="D2947" s="231"/>
      <c r="E2947" s="231"/>
      <c r="F2947" s="231"/>
      <c r="G2947" s="231"/>
      <c r="H2947" s="231"/>
      <c r="I2947" s="231"/>
      <c r="J2947" s="231"/>
      <c r="K2947" s="231"/>
      <c r="L2947" s="231"/>
      <c r="M2947" s="231"/>
      <c r="N2947" s="231"/>
      <c r="O2947" s="231"/>
      <c r="P2947" s="231"/>
      <c r="Q2947" s="231"/>
      <c r="R2947" s="231"/>
      <c r="S2947" s="231"/>
      <c r="T2947" s="231"/>
      <c r="U2947" s="231"/>
      <c r="V2947" s="231"/>
      <c r="W2947" s="231"/>
      <c r="X2947" s="231"/>
      <c r="Y2947" s="231"/>
      <c r="Z2947" s="231"/>
      <c r="AA2947" s="231"/>
      <c r="AB2947" s="22">
        <f t="shared" si="898"/>
        <v>0</v>
      </c>
      <c r="AC2947" s="23">
        <v>0</v>
      </c>
      <c r="AD2947" s="35"/>
      <c r="AE2947" s="35"/>
      <c r="AF2947" s="35"/>
      <c r="AG2947" s="35"/>
      <c r="AH2947" s="35">
        <v>12</v>
      </c>
      <c r="AI2947" s="35"/>
      <c r="AJ2947" s="35"/>
      <c r="AK2947" s="35"/>
      <c r="AL2947" s="35">
        <v>37</v>
      </c>
      <c r="AM2947" s="35"/>
      <c r="AN2947" s="35"/>
      <c r="AO2947" s="35"/>
      <c r="AP2947" s="35">
        <v>51</v>
      </c>
      <c r="AQ2947" s="35"/>
      <c r="AR2947" s="35"/>
      <c r="AS2947" s="35"/>
      <c r="AT2947" s="35"/>
      <c r="AU2947" s="35"/>
      <c r="AV2947" s="35"/>
      <c r="AW2947" s="35"/>
      <c r="AX2947" s="35"/>
      <c r="AY2947" s="35"/>
      <c r="AZ2947" s="35"/>
      <c r="BA2947" s="35"/>
      <c r="BB2947" s="22">
        <f t="shared" si="899"/>
        <v>100</v>
      </c>
      <c r="BC2947" s="23">
        <v>274</v>
      </c>
      <c r="BD2947" s="130">
        <f t="shared" si="900"/>
        <v>100</v>
      </c>
      <c r="BE2947" s="130">
        <f t="shared" si="901"/>
        <v>274</v>
      </c>
      <c r="BF2947" s="195">
        <f t="shared" si="902"/>
        <v>36.496350364963504</v>
      </c>
      <c r="BG2947" s="373">
        <f t="shared" si="903"/>
        <v>174</v>
      </c>
    </row>
    <row r="2948" spans="1:59" s="46" customFormat="1" ht="15.95" customHeight="1">
      <c r="A2948" s="176">
        <v>27</v>
      </c>
      <c r="B2948" s="31" t="s">
        <v>4198</v>
      </c>
      <c r="C2948" s="32" t="s">
        <v>4199</v>
      </c>
      <c r="D2948" s="580"/>
      <c r="E2948" s="580"/>
      <c r="F2948" s="580"/>
      <c r="G2948" s="580"/>
      <c r="H2948" s="580"/>
      <c r="I2948" s="580"/>
      <c r="J2948" s="580"/>
      <c r="K2948" s="580"/>
      <c r="L2948" s="580"/>
      <c r="M2948" s="580"/>
      <c r="N2948" s="580"/>
      <c r="O2948" s="580"/>
      <c r="P2948" s="580">
        <v>1</v>
      </c>
      <c r="Q2948" s="580"/>
      <c r="R2948" s="580"/>
      <c r="S2948" s="580"/>
      <c r="T2948" s="580"/>
      <c r="U2948" s="580"/>
      <c r="V2948" s="580"/>
      <c r="W2948" s="580"/>
      <c r="X2948" s="580"/>
      <c r="Y2948" s="580"/>
      <c r="Z2948" s="580"/>
      <c r="AA2948" s="580"/>
      <c r="AB2948" s="22">
        <f t="shared" si="898"/>
        <v>1</v>
      </c>
      <c r="AC2948" s="23">
        <v>0</v>
      </c>
      <c r="AD2948" s="35"/>
      <c r="AE2948" s="35"/>
      <c r="AF2948" s="35"/>
      <c r="AG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  <c r="AX2948" s="35"/>
      <c r="AY2948" s="35"/>
      <c r="AZ2948" s="35"/>
      <c r="BA2948" s="35"/>
      <c r="BB2948" s="22">
        <f t="shared" si="899"/>
        <v>0</v>
      </c>
      <c r="BC2948" s="23">
        <v>0</v>
      </c>
      <c r="BD2948" s="130">
        <f t="shared" si="900"/>
        <v>1</v>
      </c>
      <c r="BE2948" s="130">
        <f t="shared" si="901"/>
        <v>0</v>
      </c>
      <c r="BF2948" s="195" t="e">
        <f t="shared" si="902"/>
        <v>#DIV/0!</v>
      </c>
      <c r="BG2948" s="373"/>
    </row>
    <row r="2949" spans="1:59" s="46" customFormat="1" ht="15.95" customHeight="1">
      <c r="A2949" s="176">
        <v>28</v>
      </c>
      <c r="B2949" s="31" t="s">
        <v>1140</v>
      </c>
      <c r="C2949" s="34" t="s">
        <v>1281</v>
      </c>
      <c r="D2949" s="231"/>
      <c r="E2949" s="231"/>
      <c r="F2949" s="231"/>
      <c r="G2949" s="231"/>
      <c r="H2949" s="231">
        <v>3</v>
      </c>
      <c r="I2949" s="231"/>
      <c r="J2949" s="231"/>
      <c r="K2949" s="231"/>
      <c r="L2949" s="231">
        <v>5</v>
      </c>
      <c r="M2949" s="231"/>
      <c r="N2949" s="231"/>
      <c r="O2949" s="231"/>
      <c r="P2949" s="231">
        <v>10</v>
      </c>
      <c r="Q2949" s="231"/>
      <c r="R2949" s="231"/>
      <c r="S2949" s="231"/>
      <c r="T2949" s="231"/>
      <c r="U2949" s="231"/>
      <c r="V2949" s="231"/>
      <c r="W2949" s="231"/>
      <c r="X2949" s="231"/>
      <c r="Y2949" s="231"/>
      <c r="Z2949" s="231"/>
      <c r="AA2949" s="231"/>
      <c r="AB2949" s="22">
        <f t="shared" si="898"/>
        <v>18</v>
      </c>
      <c r="AC2949" s="23">
        <v>5</v>
      </c>
      <c r="AD2949" s="35"/>
      <c r="AE2949" s="35"/>
      <c r="AF2949" s="35"/>
      <c r="AG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  <c r="AX2949" s="35"/>
      <c r="AY2949" s="35"/>
      <c r="AZ2949" s="35"/>
      <c r="BA2949" s="35"/>
      <c r="BB2949" s="22">
        <f t="shared" si="899"/>
        <v>0</v>
      </c>
      <c r="BC2949" s="23">
        <v>0</v>
      </c>
      <c r="BD2949" s="130">
        <f t="shared" si="900"/>
        <v>18</v>
      </c>
      <c r="BE2949" s="130">
        <f t="shared" si="901"/>
        <v>5</v>
      </c>
      <c r="BF2949" s="195">
        <f t="shared" si="902"/>
        <v>360</v>
      </c>
      <c r="BG2949" s="373">
        <f>BE2949-BD2949</f>
        <v>-13</v>
      </c>
    </row>
    <row r="2950" spans="1:59" s="46" customFormat="1" ht="15.95" customHeight="1">
      <c r="A2950" s="176">
        <v>29</v>
      </c>
      <c r="B2950" s="31" t="s">
        <v>1523</v>
      </c>
      <c r="C2950" s="34" t="s">
        <v>3202</v>
      </c>
      <c r="D2950" s="327"/>
      <c r="E2950" s="327"/>
      <c r="F2950" s="327"/>
      <c r="G2950" s="327"/>
      <c r="H2950" s="327"/>
      <c r="I2950" s="327"/>
      <c r="J2950" s="327"/>
      <c r="K2950" s="327"/>
      <c r="L2950" s="327"/>
      <c r="M2950" s="327"/>
      <c r="N2950" s="327"/>
      <c r="O2950" s="327"/>
      <c r="P2950" s="327"/>
      <c r="Q2950" s="327"/>
      <c r="R2950" s="327"/>
      <c r="S2950" s="327"/>
      <c r="T2950" s="327"/>
      <c r="U2950" s="327"/>
      <c r="V2950" s="327"/>
      <c r="W2950" s="327"/>
      <c r="X2950" s="327"/>
      <c r="Y2950" s="327"/>
      <c r="Z2950" s="327"/>
      <c r="AA2950" s="327"/>
      <c r="AB2950" s="22">
        <f t="shared" si="898"/>
        <v>0</v>
      </c>
      <c r="AC2950" s="23">
        <v>0</v>
      </c>
      <c r="AD2950" s="35"/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  <c r="AX2950" s="35"/>
      <c r="AY2950" s="35"/>
      <c r="AZ2950" s="35"/>
      <c r="BA2950" s="35"/>
      <c r="BB2950" s="22">
        <f t="shared" si="899"/>
        <v>0</v>
      </c>
      <c r="BC2950" s="23">
        <v>1</v>
      </c>
      <c r="BD2950" s="130">
        <f t="shared" si="900"/>
        <v>0</v>
      </c>
      <c r="BE2950" s="130">
        <f t="shared" si="901"/>
        <v>1</v>
      </c>
      <c r="BF2950" s="195">
        <f t="shared" si="902"/>
        <v>0</v>
      </c>
      <c r="BG2950" s="373">
        <f>BE2950-BD2950</f>
        <v>1</v>
      </c>
    </row>
    <row r="2951" spans="1:59" s="46" customFormat="1" ht="15.95" customHeight="1">
      <c r="A2951" s="176">
        <v>30</v>
      </c>
      <c r="B2951" s="31" t="s">
        <v>772</v>
      </c>
      <c r="C2951" s="32" t="s">
        <v>773</v>
      </c>
      <c r="D2951" s="231">
        <v>71</v>
      </c>
      <c r="E2951" s="231"/>
      <c r="F2951" s="231"/>
      <c r="G2951" s="231"/>
      <c r="H2951" s="231">
        <v>126</v>
      </c>
      <c r="I2951" s="231"/>
      <c r="J2951" s="231"/>
      <c r="K2951" s="231"/>
      <c r="L2951" s="231">
        <v>744</v>
      </c>
      <c r="M2951" s="231"/>
      <c r="N2951" s="231"/>
      <c r="O2951" s="231"/>
      <c r="P2951" s="231">
        <v>427</v>
      </c>
      <c r="Q2951" s="231"/>
      <c r="R2951" s="231"/>
      <c r="S2951" s="231"/>
      <c r="T2951" s="231"/>
      <c r="U2951" s="231"/>
      <c r="V2951" s="231"/>
      <c r="W2951" s="231"/>
      <c r="X2951" s="231"/>
      <c r="Y2951" s="231"/>
      <c r="Z2951" s="231"/>
      <c r="AA2951" s="231"/>
      <c r="AB2951" s="22">
        <f t="shared" si="898"/>
        <v>1368</v>
      </c>
      <c r="AC2951" s="23">
        <v>1280</v>
      </c>
      <c r="AD2951" s="35"/>
      <c r="AE2951" s="35"/>
      <c r="AF2951" s="35"/>
      <c r="AG2951" s="35"/>
      <c r="AH2951" s="35">
        <v>38</v>
      </c>
      <c r="AI2951" s="35"/>
      <c r="AJ2951" s="35"/>
      <c r="AK2951" s="35"/>
      <c r="AL2951" s="35">
        <v>145</v>
      </c>
      <c r="AM2951" s="35"/>
      <c r="AN2951" s="35"/>
      <c r="AO2951" s="35"/>
      <c r="AP2951" s="35">
        <v>175</v>
      </c>
      <c r="AQ2951" s="35"/>
      <c r="AR2951" s="35"/>
      <c r="AS2951" s="35"/>
      <c r="AT2951" s="35"/>
      <c r="AU2951" s="35"/>
      <c r="AV2951" s="35"/>
      <c r="AW2951" s="35"/>
      <c r="AX2951" s="35"/>
      <c r="AY2951" s="35"/>
      <c r="AZ2951" s="35"/>
      <c r="BA2951" s="35"/>
      <c r="BB2951" s="22">
        <f t="shared" si="899"/>
        <v>358</v>
      </c>
      <c r="BC2951" s="23">
        <v>1943</v>
      </c>
      <c r="BD2951" s="130">
        <f t="shared" si="900"/>
        <v>1726</v>
      </c>
      <c r="BE2951" s="130">
        <f t="shared" si="901"/>
        <v>3223</v>
      </c>
      <c r="BF2951" s="195">
        <f t="shared" si="902"/>
        <v>53.55259075395594</v>
      </c>
      <c r="BG2951" s="373">
        <f>BE2951-BD2951</f>
        <v>1497</v>
      </c>
    </row>
    <row r="2952" spans="1:59" s="46" customFormat="1" ht="15.95" customHeight="1">
      <c r="A2952" s="176">
        <v>31</v>
      </c>
      <c r="B2952" s="31" t="s">
        <v>1282</v>
      </c>
      <c r="C2952" s="32" t="s">
        <v>1283</v>
      </c>
      <c r="D2952" s="390"/>
      <c r="E2952" s="390"/>
      <c r="F2952" s="390"/>
      <c r="G2952" s="390"/>
      <c r="H2952" s="390"/>
      <c r="I2952" s="390"/>
      <c r="J2952" s="390"/>
      <c r="K2952" s="390"/>
      <c r="L2952" s="390">
        <v>1</v>
      </c>
      <c r="M2952" s="390"/>
      <c r="N2952" s="390"/>
      <c r="O2952" s="390"/>
      <c r="P2952" s="390">
        <v>1</v>
      </c>
      <c r="Q2952" s="390"/>
      <c r="R2952" s="390"/>
      <c r="S2952" s="390"/>
      <c r="T2952" s="390"/>
      <c r="U2952" s="390"/>
      <c r="V2952" s="390"/>
      <c r="W2952" s="390"/>
      <c r="X2952" s="390"/>
      <c r="Y2952" s="390"/>
      <c r="Z2952" s="390"/>
      <c r="AA2952" s="390"/>
      <c r="AB2952" s="22">
        <f t="shared" si="898"/>
        <v>2</v>
      </c>
      <c r="AC2952" s="23">
        <v>0</v>
      </c>
      <c r="AD2952" s="35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>
        <v>1</v>
      </c>
      <c r="AQ2952" s="35"/>
      <c r="AR2952" s="35"/>
      <c r="AS2952" s="35"/>
      <c r="AT2952" s="35"/>
      <c r="AU2952" s="35"/>
      <c r="AV2952" s="35"/>
      <c r="AW2952" s="35"/>
      <c r="AX2952" s="35"/>
      <c r="AY2952" s="35"/>
      <c r="AZ2952" s="35"/>
      <c r="BA2952" s="35"/>
      <c r="BB2952" s="22">
        <f t="shared" si="899"/>
        <v>1</v>
      </c>
      <c r="BC2952" s="23">
        <v>1</v>
      </c>
      <c r="BD2952" s="130">
        <f t="shared" si="900"/>
        <v>3</v>
      </c>
      <c r="BE2952" s="130">
        <f t="shared" si="901"/>
        <v>1</v>
      </c>
      <c r="BF2952" s="195">
        <f t="shared" si="902"/>
        <v>300</v>
      </c>
      <c r="BG2952" s="373">
        <f>BE2952-BD2952</f>
        <v>-2</v>
      </c>
    </row>
    <row r="2953" spans="1:59" s="46" customFormat="1" ht="15.95" customHeight="1">
      <c r="A2953" s="176">
        <v>32</v>
      </c>
      <c r="B2953" s="31" t="s">
        <v>2733</v>
      </c>
      <c r="C2953" s="32" t="s">
        <v>3979</v>
      </c>
      <c r="D2953" s="550"/>
      <c r="E2953" s="550"/>
      <c r="F2953" s="550"/>
      <c r="G2953" s="550"/>
      <c r="H2953" s="550"/>
      <c r="I2953" s="550"/>
      <c r="J2953" s="550"/>
      <c r="K2953" s="550"/>
      <c r="L2953" s="550"/>
      <c r="M2953" s="550"/>
      <c r="N2953" s="550"/>
      <c r="O2953" s="550"/>
      <c r="P2953" s="550"/>
      <c r="Q2953" s="550"/>
      <c r="R2953" s="550"/>
      <c r="S2953" s="550"/>
      <c r="T2953" s="550"/>
      <c r="U2953" s="550"/>
      <c r="V2953" s="550"/>
      <c r="W2953" s="550"/>
      <c r="X2953" s="550"/>
      <c r="Y2953" s="550"/>
      <c r="Z2953" s="550"/>
      <c r="AA2953" s="550"/>
      <c r="AB2953" s="22">
        <f t="shared" si="898"/>
        <v>0</v>
      </c>
      <c r="AC2953" s="23">
        <v>0</v>
      </c>
      <c r="AD2953" s="35"/>
      <c r="AE2953" s="35"/>
      <c r="AF2953" s="35"/>
      <c r="AG2953" s="35"/>
      <c r="AH2953" s="35"/>
      <c r="AI2953" s="35"/>
      <c r="AJ2953" s="35"/>
      <c r="AK2953" s="35"/>
      <c r="AL2953" s="35">
        <v>1</v>
      </c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  <c r="AX2953" s="35"/>
      <c r="AY2953" s="35"/>
      <c r="AZ2953" s="35"/>
      <c r="BA2953" s="35"/>
      <c r="BB2953" s="22">
        <f t="shared" si="899"/>
        <v>1</v>
      </c>
      <c r="BC2953" s="23">
        <v>0</v>
      </c>
      <c r="BD2953" s="130">
        <f t="shared" si="900"/>
        <v>1</v>
      </c>
      <c r="BE2953" s="130">
        <f t="shared" si="901"/>
        <v>0</v>
      </c>
      <c r="BF2953" s="195" t="e">
        <f t="shared" si="902"/>
        <v>#DIV/0!</v>
      </c>
      <c r="BG2953" s="373"/>
    </row>
    <row r="2954" spans="1:59" s="46" customFormat="1" ht="15.95" customHeight="1">
      <c r="A2954" s="176">
        <v>33</v>
      </c>
      <c r="B2954" s="31" t="s">
        <v>1284</v>
      </c>
      <c r="C2954" s="32" t="s">
        <v>1285</v>
      </c>
      <c r="D2954" s="390">
        <v>6</v>
      </c>
      <c r="E2954" s="390"/>
      <c r="F2954" s="390"/>
      <c r="G2954" s="390"/>
      <c r="H2954" s="390">
        <v>7</v>
      </c>
      <c r="I2954" s="390"/>
      <c r="J2954" s="390"/>
      <c r="K2954" s="390"/>
      <c r="L2954" s="390">
        <v>5</v>
      </c>
      <c r="M2954" s="390"/>
      <c r="N2954" s="390"/>
      <c r="O2954" s="390"/>
      <c r="P2954" s="390">
        <v>5</v>
      </c>
      <c r="Q2954" s="390"/>
      <c r="R2954" s="390"/>
      <c r="S2954" s="390"/>
      <c r="T2954" s="390"/>
      <c r="U2954" s="390"/>
      <c r="V2954" s="390"/>
      <c r="W2954" s="390"/>
      <c r="X2954" s="390"/>
      <c r="Y2954" s="390"/>
      <c r="Z2954" s="390"/>
      <c r="AA2954" s="390"/>
      <c r="AB2954" s="22">
        <f t="shared" ref="AB2954:AB2989" si="904">SUM(D2954:AA2954)</f>
        <v>23</v>
      </c>
      <c r="AC2954" s="23">
        <v>4</v>
      </c>
      <c r="AD2954" s="35"/>
      <c r="AE2954" s="35"/>
      <c r="AF2954" s="35"/>
      <c r="AG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  <c r="AX2954" s="35"/>
      <c r="AY2954" s="35"/>
      <c r="AZ2954" s="35"/>
      <c r="BA2954" s="35"/>
      <c r="BB2954" s="22">
        <f t="shared" ref="BB2954:BB2989" si="905">SUM(AD2954:BA2954)</f>
        <v>0</v>
      </c>
      <c r="BC2954" s="23">
        <v>0</v>
      </c>
      <c r="BD2954" s="130">
        <f t="shared" ref="BD2954:BD2989" si="906">AB2954+BB2954</f>
        <v>23</v>
      </c>
      <c r="BE2954" s="130">
        <f t="shared" ref="BE2954:BE2989" si="907">AC2954+BC2954</f>
        <v>4</v>
      </c>
      <c r="BF2954" s="195">
        <f t="shared" ref="BF2954:BF2989" si="908">BD2954/BE2954*100</f>
        <v>575</v>
      </c>
      <c r="BG2954" s="373">
        <f t="shared" ref="BG2954:BG2959" si="909">BE2954-BD2954</f>
        <v>-19</v>
      </c>
    </row>
    <row r="2955" spans="1:59" s="46" customFormat="1" ht="15.95" customHeight="1">
      <c r="A2955" s="176">
        <v>34</v>
      </c>
      <c r="B2955" s="31" t="s">
        <v>780</v>
      </c>
      <c r="C2955" s="32" t="s">
        <v>1463</v>
      </c>
      <c r="D2955" s="390"/>
      <c r="E2955" s="390"/>
      <c r="F2955" s="390"/>
      <c r="G2955" s="390"/>
      <c r="H2955" s="390"/>
      <c r="I2955" s="390"/>
      <c r="J2955" s="390"/>
      <c r="K2955" s="390"/>
      <c r="L2955" s="390"/>
      <c r="M2955" s="390"/>
      <c r="N2955" s="390"/>
      <c r="O2955" s="390"/>
      <c r="P2955" s="390"/>
      <c r="Q2955" s="390"/>
      <c r="R2955" s="390"/>
      <c r="S2955" s="390"/>
      <c r="T2955" s="390"/>
      <c r="U2955" s="390"/>
      <c r="V2955" s="390"/>
      <c r="W2955" s="390"/>
      <c r="X2955" s="390"/>
      <c r="Y2955" s="390"/>
      <c r="Z2955" s="390"/>
      <c r="AA2955" s="390"/>
      <c r="AB2955" s="22">
        <f t="shared" si="904"/>
        <v>0</v>
      </c>
      <c r="AC2955" s="23">
        <v>2</v>
      </c>
      <c r="AD2955" s="35"/>
      <c r="AE2955" s="35"/>
      <c r="AF2955" s="35"/>
      <c r="AG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  <c r="AX2955" s="35"/>
      <c r="AY2955" s="35"/>
      <c r="AZ2955" s="35"/>
      <c r="BA2955" s="35"/>
      <c r="BB2955" s="22">
        <f t="shared" si="905"/>
        <v>0</v>
      </c>
      <c r="BC2955" s="23">
        <v>0</v>
      </c>
      <c r="BD2955" s="130">
        <f t="shared" si="906"/>
        <v>0</v>
      </c>
      <c r="BE2955" s="130">
        <f t="shared" si="907"/>
        <v>2</v>
      </c>
      <c r="BF2955" s="195">
        <f t="shared" si="908"/>
        <v>0</v>
      </c>
      <c r="BG2955" s="373">
        <f t="shared" si="909"/>
        <v>2</v>
      </c>
    </row>
    <row r="2956" spans="1:59" s="46" customFormat="1" ht="15.95" customHeight="1">
      <c r="A2956" s="176">
        <v>35</v>
      </c>
      <c r="B2956" s="31" t="s">
        <v>1094</v>
      </c>
      <c r="C2956" s="32" t="s">
        <v>1095</v>
      </c>
      <c r="D2956" s="390"/>
      <c r="E2956" s="390"/>
      <c r="F2956" s="390"/>
      <c r="G2956" s="390"/>
      <c r="H2956" s="390"/>
      <c r="I2956" s="390"/>
      <c r="J2956" s="390"/>
      <c r="K2956" s="390"/>
      <c r="L2956" s="390"/>
      <c r="M2956" s="390"/>
      <c r="N2956" s="390"/>
      <c r="O2956" s="390"/>
      <c r="P2956" s="390"/>
      <c r="Q2956" s="390"/>
      <c r="R2956" s="390"/>
      <c r="S2956" s="390"/>
      <c r="T2956" s="390"/>
      <c r="U2956" s="390"/>
      <c r="V2956" s="390"/>
      <c r="W2956" s="390"/>
      <c r="X2956" s="390"/>
      <c r="Y2956" s="390"/>
      <c r="Z2956" s="390"/>
      <c r="AA2956" s="390"/>
      <c r="AB2956" s="22">
        <f t="shared" si="904"/>
        <v>0</v>
      </c>
      <c r="AC2956" s="23">
        <v>0</v>
      </c>
      <c r="AD2956" s="35"/>
      <c r="AE2956" s="35"/>
      <c r="AF2956" s="35"/>
      <c r="AG2956" s="35"/>
      <c r="AH2956" s="35"/>
      <c r="AI2956" s="35"/>
      <c r="AJ2956" s="35"/>
      <c r="AK2956" s="35"/>
      <c r="AL2956" s="35"/>
      <c r="AM2956" s="35"/>
      <c r="AN2956" s="35"/>
      <c r="AO2956" s="35"/>
      <c r="AP2956" s="35">
        <v>2</v>
      </c>
      <c r="AQ2956" s="35"/>
      <c r="AR2956" s="35"/>
      <c r="AS2956" s="35"/>
      <c r="AT2956" s="35"/>
      <c r="AU2956" s="35"/>
      <c r="AV2956" s="35"/>
      <c r="AW2956" s="35"/>
      <c r="AX2956" s="35"/>
      <c r="AY2956" s="35"/>
      <c r="AZ2956" s="35"/>
      <c r="BA2956" s="35"/>
      <c r="BB2956" s="22">
        <f t="shared" si="905"/>
        <v>2</v>
      </c>
      <c r="BC2956" s="23">
        <v>6</v>
      </c>
      <c r="BD2956" s="130">
        <f t="shared" si="906"/>
        <v>2</v>
      </c>
      <c r="BE2956" s="130">
        <f t="shared" si="907"/>
        <v>6</v>
      </c>
      <c r="BF2956" s="195">
        <f t="shared" si="908"/>
        <v>33.333333333333329</v>
      </c>
      <c r="BG2956" s="373">
        <f t="shared" si="909"/>
        <v>4</v>
      </c>
    </row>
    <row r="2957" spans="1:59" s="46" customFormat="1" ht="15.95" customHeight="1">
      <c r="A2957" s="176">
        <v>36</v>
      </c>
      <c r="B2957" s="31" t="s">
        <v>783</v>
      </c>
      <c r="C2957" s="32" t="s">
        <v>1443</v>
      </c>
      <c r="D2957" s="390"/>
      <c r="E2957" s="390"/>
      <c r="F2957" s="390"/>
      <c r="G2957" s="390"/>
      <c r="H2957" s="390"/>
      <c r="I2957" s="390"/>
      <c r="J2957" s="390"/>
      <c r="K2957" s="390"/>
      <c r="L2957" s="390"/>
      <c r="M2957" s="390"/>
      <c r="N2957" s="390"/>
      <c r="O2957" s="390"/>
      <c r="P2957" s="390"/>
      <c r="Q2957" s="390"/>
      <c r="R2957" s="390"/>
      <c r="S2957" s="390"/>
      <c r="T2957" s="390"/>
      <c r="U2957" s="390"/>
      <c r="V2957" s="390"/>
      <c r="W2957" s="390"/>
      <c r="X2957" s="390"/>
      <c r="Y2957" s="390"/>
      <c r="Z2957" s="390"/>
      <c r="AA2957" s="390"/>
      <c r="AB2957" s="22">
        <f t="shared" si="904"/>
        <v>0</v>
      </c>
      <c r="AC2957" s="23">
        <v>0</v>
      </c>
      <c r="AD2957" s="35"/>
      <c r="AE2957" s="35"/>
      <c r="AF2957" s="35"/>
      <c r="AG2957" s="35"/>
      <c r="AH2957" s="35">
        <v>24</v>
      </c>
      <c r="AI2957" s="35"/>
      <c r="AJ2957" s="35"/>
      <c r="AK2957" s="35"/>
      <c r="AL2957" s="35">
        <v>92</v>
      </c>
      <c r="AM2957" s="35"/>
      <c r="AN2957" s="35"/>
      <c r="AO2957" s="35"/>
      <c r="AP2957" s="35">
        <v>129</v>
      </c>
      <c r="AQ2957" s="35"/>
      <c r="AR2957" s="35"/>
      <c r="AS2957" s="35"/>
      <c r="AT2957" s="35"/>
      <c r="AU2957" s="35"/>
      <c r="AV2957" s="35"/>
      <c r="AW2957" s="35"/>
      <c r="AX2957" s="35"/>
      <c r="AY2957" s="35"/>
      <c r="AZ2957" s="35"/>
      <c r="BA2957" s="35"/>
      <c r="BB2957" s="22">
        <f t="shared" si="905"/>
        <v>245</v>
      </c>
      <c r="BC2957" s="23">
        <v>712</v>
      </c>
      <c r="BD2957" s="130">
        <f t="shared" si="906"/>
        <v>245</v>
      </c>
      <c r="BE2957" s="130">
        <f t="shared" si="907"/>
        <v>712</v>
      </c>
      <c r="BF2957" s="195">
        <f t="shared" si="908"/>
        <v>34.41011235955056</v>
      </c>
      <c r="BG2957" s="373">
        <f t="shared" si="909"/>
        <v>467</v>
      </c>
    </row>
    <row r="2958" spans="1:59" s="46" customFormat="1" ht="15.95" customHeight="1">
      <c r="A2958" s="176">
        <v>37</v>
      </c>
      <c r="B2958" s="31" t="s">
        <v>2748</v>
      </c>
      <c r="C2958" s="32" t="s">
        <v>2749</v>
      </c>
      <c r="D2958" s="390"/>
      <c r="E2958" s="390"/>
      <c r="F2958" s="390"/>
      <c r="G2958" s="390"/>
      <c r="H2958" s="390"/>
      <c r="I2958" s="390"/>
      <c r="J2958" s="390"/>
      <c r="K2958" s="390"/>
      <c r="L2958" s="390"/>
      <c r="M2958" s="390"/>
      <c r="N2958" s="390"/>
      <c r="O2958" s="390"/>
      <c r="P2958" s="390"/>
      <c r="Q2958" s="390"/>
      <c r="R2958" s="390"/>
      <c r="S2958" s="390"/>
      <c r="T2958" s="390"/>
      <c r="U2958" s="390"/>
      <c r="V2958" s="390"/>
      <c r="W2958" s="390"/>
      <c r="X2958" s="390"/>
      <c r="Y2958" s="390"/>
      <c r="Z2958" s="390"/>
      <c r="AA2958" s="390"/>
      <c r="AB2958" s="22">
        <f t="shared" si="904"/>
        <v>0</v>
      </c>
      <c r="AC2958" s="23">
        <v>0</v>
      </c>
      <c r="AD2958" s="35"/>
      <c r="AE2958" s="35"/>
      <c r="AF2958" s="35"/>
      <c r="AG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22">
        <f t="shared" si="905"/>
        <v>0</v>
      </c>
      <c r="BC2958" s="23">
        <v>6</v>
      </c>
      <c r="BD2958" s="130">
        <f t="shared" si="906"/>
        <v>0</v>
      </c>
      <c r="BE2958" s="130">
        <f t="shared" si="907"/>
        <v>6</v>
      </c>
      <c r="BF2958" s="195">
        <f t="shared" si="908"/>
        <v>0</v>
      </c>
      <c r="BG2958" s="373">
        <f t="shared" si="909"/>
        <v>6</v>
      </c>
    </row>
    <row r="2959" spans="1:59" s="46" customFormat="1" ht="15.95" customHeight="1">
      <c r="A2959" s="176">
        <v>38</v>
      </c>
      <c r="B2959" s="31" t="s">
        <v>2872</v>
      </c>
      <c r="C2959" s="32" t="s">
        <v>2873</v>
      </c>
      <c r="D2959" s="390"/>
      <c r="E2959" s="390"/>
      <c r="F2959" s="390"/>
      <c r="G2959" s="390"/>
      <c r="H2959" s="390"/>
      <c r="I2959" s="390"/>
      <c r="J2959" s="390"/>
      <c r="K2959" s="390"/>
      <c r="L2959" s="390"/>
      <c r="M2959" s="390"/>
      <c r="N2959" s="390"/>
      <c r="O2959" s="390"/>
      <c r="P2959" s="390"/>
      <c r="Q2959" s="390"/>
      <c r="R2959" s="390"/>
      <c r="S2959" s="390"/>
      <c r="T2959" s="390"/>
      <c r="U2959" s="390"/>
      <c r="V2959" s="390"/>
      <c r="W2959" s="390"/>
      <c r="X2959" s="390"/>
      <c r="Y2959" s="390"/>
      <c r="Z2959" s="390"/>
      <c r="AA2959" s="390"/>
      <c r="AB2959" s="22">
        <f t="shared" si="904"/>
        <v>0</v>
      </c>
      <c r="AC2959" s="23">
        <v>0</v>
      </c>
      <c r="AD2959" s="35"/>
      <c r="AE2959" s="35"/>
      <c r="AF2959" s="35"/>
      <c r="AG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  <c r="AX2959" s="35"/>
      <c r="AY2959" s="35"/>
      <c r="AZ2959" s="35"/>
      <c r="BA2959" s="35"/>
      <c r="BB2959" s="22">
        <f t="shared" si="905"/>
        <v>0</v>
      </c>
      <c r="BC2959" s="23">
        <v>1</v>
      </c>
      <c r="BD2959" s="130">
        <f t="shared" si="906"/>
        <v>0</v>
      </c>
      <c r="BE2959" s="130">
        <f t="shared" si="907"/>
        <v>1</v>
      </c>
      <c r="BF2959" s="195">
        <f t="shared" si="908"/>
        <v>0</v>
      </c>
      <c r="BG2959" s="373">
        <f t="shared" si="909"/>
        <v>1</v>
      </c>
    </row>
    <row r="2960" spans="1:59" s="46" customFormat="1" ht="15.95" customHeight="1">
      <c r="A2960" s="176">
        <v>39</v>
      </c>
      <c r="B2960" s="31" t="s">
        <v>3707</v>
      </c>
      <c r="C2960" s="32" t="s">
        <v>3708</v>
      </c>
      <c r="D2960" s="407">
        <v>1</v>
      </c>
      <c r="E2960" s="407"/>
      <c r="F2960" s="407"/>
      <c r="G2960" s="407"/>
      <c r="H2960" s="407"/>
      <c r="I2960" s="407"/>
      <c r="J2960" s="407"/>
      <c r="K2960" s="407"/>
      <c r="L2960" s="407">
        <v>1</v>
      </c>
      <c r="M2960" s="407"/>
      <c r="N2960" s="407"/>
      <c r="O2960" s="407"/>
      <c r="P2960" s="407"/>
      <c r="Q2960" s="407"/>
      <c r="R2960" s="407"/>
      <c r="S2960" s="407"/>
      <c r="T2960" s="407"/>
      <c r="U2960" s="407"/>
      <c r="V2960" s="407"/>
      <c r="W2960" s="407"/>
      <c r="X2960" s="407"/>
      <c r="Y2960" s="407"/>
      <c r="Z2960" s="407"/>
      <c r="AA2960" s="407"/>
      <c r="AB2960" s="22">
        <f t="shared" si="904"/>
        <v>2</v>
      </c>
      <c r="AC2960" s="23">
        <v>0</v>
      </c>
      <c r="AD2960" s="35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  <c r="AX2960" s="35"/>
      <c r="AY2960" s="35"/>
      <c r="AZ2960" s="35"/>
      <c r="BA2960" s="35"/>
      <c r="BB2960" s="22">
        <f t="shared" si="905"/>
        <v>0</v>
      </c>
      <c r="BC2960" s="23">
        <v>0</v>
      </c>
      <c r="BD2960" s="130">
        <f t="shared" si="906"/>
        <v>2</v>
      </c>
      <c r="BE2960" s="130">
        <f t="shared" si="907"/>
        <v>0</v>
      </c>
      <c r="BF2960" s="195" t="e">
        <f t="shared" si="908"/>
        <v>#DIV/0!</v>
      </c>
      <c r="BG2960" s="373"/>
    </row>
    <row r="2961" spans="1:59" s="46" customFormat="1" ht="15.95" customHeight="1">
      <c r="A2961" s="176">
        <v>40</v>
      </c>
      <c r="B2961" s="31" t="s">
        <v>1465</v>
      </c>
      <c r="C2961" s="32" t="s">
        <v>1466</v>
      </c>
      <c r="D2961" s="390"/>
      <c r="E2961" s="390"/>
      <c r="F2961" s="390"/>
      <c r="G2961" s="390"/>
      <c r="H2961" s="390"/>
      <c r="I2961" s="390"/>
      <c r="J2961" s="390"/>
      <c r="K2961" s="390"/>
      <c r="L2961" s="390"/>
      <c r="M2961" s="390"/>
      <c r="N2961" s="390"/>
      <c r="O2961" s="390"/>
      <c r="P2961" s="390"/>
      <c r="Q2961" s="390"/>
      <c r="R2961" s="390"/>
      <c r="S2961" s="390"/>
      <c r="T2961" s="390"/>
      <c r="U2961" s="390"/>
      <c r="V2961" s="390"/>
      <c r="W2961" s="390"/>
      <c r="X2961" s="390"/>
      <c r="Y2961" s="390"/>
      <c r="Z2961" s="390"/>
      <c r="AA2961" s="390"/>
      <c r="AB2961" s="22">
        <f t="shared" si="904"/>
        <v>0</v>
      </c>
      <c r="AC2961" s="23">
        <v>0</v>
      </c>
      <c r="AD2961" s="35"/>
      <c r="AE2961" s="35"/>
      <c r="AF2961" s="35"/>
      <c r="AG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  <c r="AX2961" s="35"/>
      <c r="AY2961" s="35"/>
      <c r="AZ2961" s="35"/>
      <c r="BA2961" s="35"/>
      <c r="BB2961" s="22">
        <f t="shared" si="905"/>
        <v>0</v>
      </c>
      <c r="BC2961" s="23">
        <v>1</v>
      </c>
      <c r="BD2961" s="130">
        <f t="shared" si="906"/>
        <v>0</v>
      </c>
      <c r="BE2961" s="130">
        <f t="shared" si="907"/>
        <v>1</v>
      </c>
      <c r="BF2961" s="195">
        <f t="shared" si="908"/>
        <v>0</v>
      </c>
      <c r="BG2961" s="373">
        <f>BE2961-BD2961</f>
        <v>1</v>
      </c>
    </row>
    <row r="2962" spans="1:59" s="46" customFormat="1" ht="15.95" customHeight="1">
      <c r="A2962" s="176">
        <v>41</v>
      </c>
      <c r="B2962" s="31" t="s">
        <v>1373</v>
      </c>
      <c r="C2962" s="32" t="s">
        <v>1467</v>
      </c>
      <c r="D2962" s="390"/>
      <c r="E2962" s="390"/>
      <c r="F2962" s="390"/>
      <c r="G2962" s="390"/>
      <c r="H2962" s="390"/>
      <c r="I2962" s="390"/>
      <c r="J2962" s="390"/>
      <c r="K2962" s="390"/>
      <c r="L2962" s="390"/>
      <c r="M2962" s="390"/>
      <c r="N2962" s="390"/>
      <c r="O2962" s="390"/>
      <c r="P2962" s="390"/>
      <c r="Q2962" s="390"/>
      <c r="R2962" s="390"/>
      <c r="S2962" s="390"/>
      <c r="T2962" s="390"/>
      <c r="U2962" s="390"/>
      <c r="V2962" s="390"/>
      <c r="W2962" s="390"/>
      <c r="X2962" s="390"/>
      <c r="Y2962" s="390"/>
      <c r="Z2962" s="390"/>
      <c r="AA2962" s="390"/>
      <c r="AB2962" s="22">
        <f t="shared" si="904"/>
        <v>0</v>
      </c>
      <c r="AC2962" s="23">
        <v>0</v>
      </c>
      <c r="AD2962" s="35"/>
      <c r="AE2962" s="35"/>
      <c r="AF2962" s="35"/>
      <c r="AG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  <c r="AX2962" s="35"/>
      <c r="AY2962" s="35"/>
      <c r="AZ2962" s="35"/>
      <c r="BA2962" s="35"/>
      <c r="BB2962" s="22">
        <f t="shared" si="905"/>
        <v>0</v>
      </c>
      <c r="BC2962" s="23">
        <v>1</v>
      </c>
      <c r="BD2962" s="130">
        <f t="shared" si="906"/>
        <v>0</v>
      </c>
      <c r="BE2962" s="130">
        <f t="shared" si="907"/>
        <v>1</v>
      </c>
      <c r="BF2962" s="195">
        <f t="shared" si="908"/>
        <v>0</v>
      </c>
      <c r="BG2962" s="373">
        <f>BE2962-BD2962</f>
        <v>1</v>
      </c>
    </row>
    <row r="2963" spans="1:59" s="46" customFormat="1" ht="15.95" customHeight="1">
      <c r="A2963" s="176">
        <v>42</v>
      </c>
      <c r="B2963" s="31" t="s">
        <v>3547</v>
      </c>
      <c r="C2963" s="32" t="s">
        <v>3549</v>
      </c>
      <c r="D2963" s="231"/>
      <c r="E2963" s="231"/>
      <c r="F2963" s="231"/>
      <c r="G2963" s="231"/>
      <c r="H2963" s="231"/>
      <c r="I2963" s="231"/>
      <c r="J2963" s="231"/>
      <c r="K2963" s="231"/>
      <c r="L2963" s="231"/>
      <c r="M2963" s="231"/>
      <c r="N2963" s="231"/>
      <c r="O2963" s="231"/>
      <c r="P2963" s="231"/>
      <c r="Q2963" s="231"/>
      <c r="R2963" s="231"/>
      <c r="S2963" s="231"/>
      <c r="T2963" s="231"/>
      <c r="U2963" s="231"/>
      <c r="V2963" s="231"/>
      <c r="W2963" s="231"/>
      <c r="X2963" s="231"/>
      <c r="Y2963" s="231"/>
      <c r="Z2963" s="231"/>
      <c r="AA2963" s="231"/>
      <c r="AB2963" s="22">
        <f t="shared" si="904"/>
        <v>0</v>
      </c>
      <c r="AC2963" s="23">
        <v>0</v>
      </c>
      <c r="AD2963" s="35"/>
      <c r="AE2963" s="35"/>
      <c r="AF2963" s="35"/>
      <c r="AG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  <c r="AX2963" s="35"/>
      <c r="AY2963" s="35"/>
      <c r="AZ2963" s="35"/>
      <c r="BA2963" s="35"/>
      <c r="BB2963" s="22">
        <f t="shared" si="905"/>
        <v>0</v>
      </c>
      <c r="BC2963" s="23">
        <v>1</v>
      </c>
      <c r="BD2963" s="130">
        <f t="shared" si="906"/>
        <v>0</v>
      </c>
      <c r="BE2963" s="130">
        <f t="shared" si="907"/>
        <v>1</v>
      </c>
      <c r="BF2963" s="195">
        <f t="shared" si="908"/>
        <v>0</v>
      </c>
      <c r="BG2963" s="373">
        <f>BE2963-BD2963</f>
        <v>1</v>
      </c>
    </row>
    <row r="2964" spans="1:59" s="46" customFormat="1" ht="15.95" customHeight="1">
      <c r="A2964" s="176">
        <v>43</v>
      </c>
      <c r="B2964" s="31" t="s">
        <v>1468</v>
      </c>
      <c r="C2964" s="32" t="s">
        <v>1469</v>
      </c>
      <c r="D2964" s="407">
        <v>1</v>
      </c>
      <c r="E2964" s="407"/>
      <c r="F2964" s="407"/>
      <c r="G2964" s="407"/>
      <c r="H2964" s="407"/>
      <c r="I2964" s="407"/>
      <c r="J2964" s="407"/>
      <c r="K2964" s="407"/>
      <c r="L2964" s="407"/>
      <c r="M2964" s="407"/>
      <c r="N2964" s="407"/>
      <c r="O2964" s="407"/>
      <c r="P2964" s="407"/>
      <c r="Q2964" s="407"/>
      <c r="R2964" s="407"/>
      <c r="S2964" s="407"/>
      <c r="T2964" s="407"/>
      <c r="U2964" s="407"/>
      <c r="V2964" s="407"/>
      <c r="W2964" s="407"/>
      <c r="X2964" s="407"/>
      <c r="Y2964" s="407"/>
      <c r="Z2964" s="407"/>
      <c r="AA2964" s="407"/>
      <c r="AB2964" s="22">
        <f t="shared" si="904"/>
        <v>1</v>
      </c>
      <c r="AC2964" s="23">
        <v>0</v>
      </c>
      <c r="AD2964" s="35"/>
      <c r="AE2964" s="35"/>
      <c r="AF2964" s="35"/>
      <c r="AG2964" s="35"/>
      <c r="AH2964" s="35"/>
      <c r="AI2964" s="35"/>
      <c r="AJ2964" s="35"/>
      <c r="AK2964" s="35"/>
      <c r="AL2964" s="35">
        <v>1</v>
      </c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  <c r="AX2964" s="35"/>
      <c r="AY2964" s="35"/>
      <c r="AZ2964" s="35"/>
      <c r="BA2964" s="35"/>
      <c r="BB2964" s="22">
        <f t="shared" si="905"/>
        <v>1</v>
      </c>
      <c r="BC2964" s="23">
        <v>0</v>
      </c>
      <c r="BD2964" s="130">
        <f t="shared" si="906"/>
        <v>2</v>
      </c>
      <c r="BE2964" s="130">
        <f t="shared" si="907"/>
        <v>0</v>
      </c>
      <c r="BF2964" s="195" t="e">
        <f t="shared" si="908"/>
        <v>#DIV/0!</v>
      </c>
      <c r="BG2964" s="373"/>
    </row>
    <row r="2965" spans="1:59" s="46" customFormat="1" ht="15.95" customHeight="1">
      <c r="A2965" s="176">
        <v>44</v>
      </c>
      <c r="B2965" s="31" t="s">
        <v>1470</v>
      </c>
      <c r="C2965" s="32" t="s">
        <v>3214</v>
      </c>
      <c r="D2965" s="231"/>
      <c r="E2965" s="231"/>
      <c r="F2965" s="231"/>
      <c r="G2965" s="231"/>
      <c r="H2965" s="231"/>
      <c r="I2965" s="231"/>
      <c r="J2965" s="231"/>
      <c r="K2965" s="231"/>
      <c r="L2965" s="231"/>
      <c r="M2965" s="231"/>
      <c r="N2965" s="231"/>
      <c r="O2965" s="231"/>
      <c r="P2965" s="231"/>
      <c r="Q2965" s="231"/>
      <c r="R2965" s="231"/>
      <c r="S2965" s="231"/>
      <c r="T2965" s="231"/>
      <c r="U2965" s="231"/>
      <c r="V2965" s="231"/>
      <c r="W2965" s="231"/>
      <c r="X2965" s="231"/>
      <c r="Y2965" s="231"/>
      <c r="Z2965" s="231"/>
      <c r="AA2965" s="231"/>
      <c r="AB2965" s="22">
        <f t="shared" si="904"/>
        <v>0</v>
      </c>
      <c r="AC2965" s="23">
        <v>1</v>
      </c>
      <c r="AD2965" s="35"/>
      <c r="AE2965" s="35"/>
      <c r="AF2965" s="35"/>
      <c r="AG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  <c r="AX2965" s="35"/>
      <c r="AY2965" s="35"/>
      <c r="AZ2965" s="35"/>
      <c r="BA2965" s="35"/>
      <c r="BB2965" s="22">
        <f t="shared" si="905"/>
        <v>0</v>
      </c>
      <c r="BC2965" s="23">
        <v>0</v>
      </c>
      <c r="BD2965" s="130">
        <f t="shared" si="906"/>
        <v>0</v>
      </c>
      <c r="BE2965" s="130">
        <f t="shared" si="907"/>
        <v>1</v>
      </c>
      <c r="BF2965" s="195">
        <f t="shared" si="908"/>
        <v>0</v>
      </c>
      <c r="BG2965" s="373">
        <f>BE2965-BD2965</f>
        <v>1</v>
      </c>
    </row>
    <row r="2966" spans="1:59" s="46" customFormat="1" ht="15.95" customHeight="1">
      <c r="A2966" s="176">
        <v>45</v>
      </c>
      <c r="B2966" s="31" t="s">
        <v>4212</v>
      </c>
      <c r="C2966" s="32" t="s">
        <v>3836</v>
      </c>
      <c r="D2966" s="583"/>
      <c r="E2966" s="583"/>
      <c r="F2966" s="583"/>
      <c r="G2966" s="583"/>
      <c r="H2966" s="583"/>
      <c r="I2966" s="583"/>
      <c r="J2966" s="583"/>
      <c r="K2966" s="583"/>
      <c r="L2966" s="583"/>
      <c r="M2966" s="583"/>
      <c r="N2966" s="583"/>
      <c r="O2966" s="583"/>
      <c r="P2966" s="583"/>
      <c r="Q2966" s="583"/>
      <c r="R2966" s="583"/>
      <c r="S2966" s="583"/>
      <c r="T2966" s="583"/>
      <c r="U2966" s="583"/>
      <c r="V2966" s="583"/>
      <c r="W2966" s="583"/>
      <c r="X2966" s="583"/>
      <c r="Y2966" s="583"/>
      <c r="Z2966" s="583"/>
      <c r="AA2966" s="583"/>
      <c r="AB2966" s="22">
        <f t="shared" si="904"/>
        <v>0</v>
      </c>
      <c r="AC2966" s="23">
        <v>0</v>
      </c>
      <c r="AD2966" s="35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5">
        <v>1</v>
      </c>
      <c r="AQ2966" s="35"/>
      <c r="AR2966" s="35"/>
      <c r="AS2966" s="35"/>
      <c r="AT2966" s="35"/>
      <c r="AU2966" s="35"/>
      <c r="AV2966" s="35"/>
      <c r="AW2966" s="35"/>
      <c r="AX2966" s="35"/>
      <c r="AY2966" s="35"/>
      <c r="AZ2966" s="35"/>
      <c r="BA2966" s="35"/>
      <c r="BB2966" s="22">
        <f t="shared" si="905"/>
        <v>1</v>
      </c>
      <c r="BC2966" s="23">
        <v>0</v>
      </c>
      <c r="BD2966" s="130">
        <f t="shared" ref="BD2966" si="910">AB2966+BB2966</f>
        <v>1</v>
      </c>
      <c r="BE2966" s="130">
        <f t="shared" ref="BE2966" si="911">AC2966+BC2966</f>
        <v>0</v>
      </c>
      <c r="BF2966" s="195" t="e">
        <f t="shared" ref="BF2966" si="912">BD2966/BE2966*100</f>
        <v>#DIV/0!</v>
      </c>
      <c r="BG2966" s="373"/>
    </row>
    <row r="2967" spans="1:59" s="46" customFormat="1" ht="15.95" customHeight="1">
      <c r="A2967" s="176">
        <v>46</v>
      </c>
      <c r="B2967" s="31" t="s">
        <v>3835</v>
      </c>
      <c r="C2967" s="32" t="s">
        <v>3836</v>
      </c>
      <c r="D2967" s="536"/>
      <c r="E2967" s="536"/>
      <c r="F2967" s="536"/>
      <c r="G2967" s="536"/>
      <c r="H2967" s="536"/>
      <c r="I2967" s="536"/>
      <c r="J2967" s="536"/>
      <c r="K2967" s="536"/>
      <c r="L2967" s="536"/>
      <c r="M2967" s="536"/>
      <c r="N2967" s="536"/>
      <c r="O2967" s="536"/>
      <c r="P2967" s="536"/>
      <c r="Q2967" s="536"/>
      <c r="R2967" s="536"/>
      <c r="S2967" s="536"/>
      <c r="T2967" s="536"/>
      <c r="U2967" s="536"/>
      <c r="V2967" s="536"/>
      <c r="W2967" s="536"/>
      <c r="X2967" s="536"/>
      <c r="Y2967" s="536"/>
      <c r="Z2967" s="536"/>
      <c r="AA2967" s="536"/>
      <c r="AB2967" s="22">
        <f t="shared" si="904"/>
        <v>0</v>
      </c>
      <c r="AC2967" s="23">
        <v>0</v>
      </c>
      <c r="AD2967" s="35"/>
      <c r="AE2967" s="35"/>
      <c r="AF2967" s="35"/>
      <c r="AG2967" s="35"/>
      <c r="AH2967" s="35"/>
      <c r="AI2967" s="35"/>
      <c r="AJ2967" s="35"/>
      <c r="AK2967" s="35">
        <v>2</v>
      </c>
      <c r="AL2967" s="35"/>
      <c r="AM2967" s="35"/>
      <c r="AN2967" s="35"/>
      <c r="AO2967" s="35"/>
      <c r="AP2967" s="35">
        <v>1</v>
      </c>
      <c r="AQ2967" s="35"/>
      <c r="AR2967" s="35"/>
      <c r="AS2967" s="35"/>
      <c r="AT2967" s="35"/>
      <c r="AU2967" s="35"/>
      <c r="AV2967" s="35"/>
      <c r="AW2967" s="35"/>
      <c r="AX2967" s="35"/>
      <c r="AY2967" s="35"/>
      <c r="AZ2967" s="35"/>
      <c r="BA2967" s="35"/>
      <c r="BB2967" s="22">
        <f t="shared" si="905"/>
        <v>3</v>
      </c>
      <c r="BC2967" s="23">
        <v>0</v>
      </c>
      <c r="BD2967" s="130">
        <f t="shared" si="906"/>
        <v>3</v>
      </c>
      <c r="BE2967" s="130">
        <f t="shared" si="907"/>
        <v>0</v>
      </c>
      <c r="BF2967" s="195" t="e">
        <f t="shared" si="908"/>
        <v>#DIV/0!</v>
      </c>
      <c r="BG2967" s="373"/>
    </row>
    <row r="2968" spans="1:59" s="46" customFormat="1" ht="15.95" customHeight="1">
      <c r="A2968" s="176">
        <v>47</v>
      </c>
      <c r="B2968" s="31" t="s">
        <v>1471</v>
      </c>
      <c r="C2968" s="32" t="s">
        <v>4184</v>
      </c>
      <c r="D2968" s="580"/>
      <c r="E2968" s="580"/>
      <c r="F2968" s="580"/>
      <c r="G2968" s="580"/>
      <c r="H2968" s="580"/>
      <c r="I2968" s="580"/>
      <c r="J2968" s="580"/>
      <c r="K2968" s="580"/>
      <c r="L2968" s="580"/>
      <c r="M2968" s="580"/>
      <c r="N2968" s="580"/>
      <c r="O2968" s="580"/>
      <c r="P2968" s="580">
        <v>2</v>
      </c>
      <c r="Q2968" s="580"/>
      <c r="R2968" s="580"/>
      <c r="S2968" s="580"/>
      <c r="T2968" s="580"/>
      <c r="U2968" s="580"/>
      <c r="V2968" s="580"/>
      <c r="W2968" s="580"/>
      <c r="X2968" s="580"/>
      <c r="Y2968" s="580"/>
      <c r="Z2968" s="580"/>
      <c r="AA2968" s="580"/>
      <c r="AB2968" s="22">
        <f t="shared" si="904"/>
        <v>2</v>
      </c>
      <c r="AC2968" s="23">
        <v>0</v>
      </c>
      <c r="AD2968" s="35"/>
      <c r="AE2968" s="35"/>
      <c r="AF2968" s="35"/>
      <c r="AG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  <c r="AX2968" s="35"/>
      <c r="AY2968" s="35"/>
      <c r="AZ2968" s="35"/>
      <c r="BA2968" s="35"/>
      <c r="BB2968" s="22">
        <f t="shared" si="905"/>
        <v>0</v>
      </c>
      <c r="BC2968" s="23">
        <v>0</v>
      </c>
      <c r="BD2968" s="130">
        <f t="shared" si="906"/>
        <v>2</v>
      </c>
      <c r="BE2968" s="130">
        <f t="shared" si="907"/>
        <v>0</v>
      </c>
      <c r="BF2968" s="195" t="e">
        <f t="shared" si="908"/>
        <v>#DIV/0!</v>
      </c>
      <c r="BG2968" s="373"/>
    </row>
    <row r="2969" spans="1:59" s="46" customFormat="1" ht="15.95" customHeight="1">
      <c r="A2969" s="176">
        <v>48</v>
      </c>
      <c r="B2969" s="31" t="s">
        <v>4183</v>
      </c>
      <c r="C2969" s="32" t="s">
        <v>4184</v>
      </c>
      <c r="D2969" s="576"/>
      <c r="E2969" s="576"/>
      <c r="F2969" s="576"/>
      <c r="G2969" s="576"/>
      <c r="H2969" s="576"/>
      <c r="I2969" s="576"/>
      <c r="J2969" s="576"/>
      <c r="K2969" s="576"/>
      <c r="L2969" s="576"/>
      <c r="M2969" s="576"/>
      <c r="N2969" s="576"/>
      <c r="O2969" s="576"/>
      <c r="P2969" s="576"/>
      <c r="Q2969" s="576"/>
      <c r="R2969" s="576"/>
      <c r="S2969" s="576"/>
      <c r="T2969" s="576"/>
      <c r="U2969" s="576"/>
      <c r="V2969" s="576"/>
      <c r="W2969" s="576"/>
      <c r="X2969" s="576"/>
      <c r="Y2969" s="576"/>
      <c r="Z2969" s="576"/>
      <c r="AA2969" s="576"/>
      <c r="AB2969" s="22">
        <f t="shared" si="904"/>
        <v>0</v>
      </c>
      <c r="AC2969" s="23">
        <v>0</v>
      </c>
      <c r="AD2969" s="35"/>
      <c r="AE2969" s="35"/>
      <c r="AF2969" s="35"/>
      <c r="AG2969" s="35"/>
      <c r="AH2969" s="35"/>
      <c r="AI2969" s="35"/>
      <c r="AJ2969" s="35"/>
      <c r="AK2969" s="35"/>
      <c r="AL2969" s="35"/>
      <c r="AM2969" s="35"/>
      <c r="AN2969" s="35"/>
      <c r="AO2969" s="35"/>
      <c r="AP2969" s="35">
        <v>1</v>
      </c>
      <c r="AQ2969" s="35"/>
      <c r="AR2969" s="35"/>
      <c r="AS2969" s="35"/>
      <c r="AT2969" s="35"/>
      <c r="AU2969" s="35"/>
      <c r="AV2969" s="35"/>
      <c r="AW2969" s="35"/>
      <c r="AX2969" s="35"/>
      <c r="AY2969" s="35"/>
      <c r="AZ2969" s="35"/>
      <c r="BA2969" s="35"/>
      <c r="BB2969" s="22">
        <f t="shared" si="905"/>
        <v>1</v>
      </c>
      <c r="BC2969" s="23">
        <v>0</v>
      </c>
      <c r="BD2969" s="130">
        <f t="shared" si="906"/>
        <v>1</v>
      </c>
      <c r="BE2969" s="130">
        <f t="shared" si="907"/>
        <v>0</v>
      </c>
      <c r="BF2969" s="195" t="e">
        <f t="shared" si="908"/>
        <v>#DIV/0!</v>
      </c>
      <c r="BG2969" s="373"/>
    </row>
    <row r="2970" spans="1:59" s="46" customFormat="1" ht="15.95" customHeight="1">
      <c r="A2970" s="176">
        <v>49</v>
      </c>
      <c r="B2970" s="31" t="s">
        <v>3548</v>
      </c>
      <c r="C2970" s="32" t="s">
        <v>3550</v>
      </c>
      <c r="D2970" s="231"/>
      <c r="E2970" s="231"/>
      <c r="F2970" s="231"/>
      <c r="G2970" s="231"/>
      <c r="H2970" s="231"/>
      <c r="I2970" s="231"/>
      <c r="J2970" s="231"/>
      <c r="K2970" s="231"/>
      <c r="L2970" s="231"/>
      <c r="M2970" s="231"/>
      <c r="N2970" s="231"/>
      <c r="O2970" s="231"/>
      <c r="P2970" s="231"/>
      <c r="Q2970" s="231"/>
      <c r="R2970" s="231"/>
      <c r="S2970" s="231"/>
      <c r="T2970" s="231"/>
      <c r="U2970" s="231"/>
      <c r="V2970" s="231"/>
      <c r="W2970" s="231"/>
      <c r="X2970" s="231"/>
      <c r="Y2970" s="231"/>
      <c r="Z2970" s="231"/>
      <c r="AA2970" s="231"/>
      <c r="AB2970" s="22">
        <f t="shared" si="904"/>
        <v>0</v>
      </c>
      <c r="AC2970" s="23">
        <v>0</v>
      </c>
      <c r="AD2970" s="35"/>
      <c r="AE2970" s="35"/>
      <c r="AF2970" s="35"/>
      <c r="AG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  <c r="AX2970" s="35"/>
      <c r="AY2970" s="35"/>
      <c r="AZ2970" s="35"/>
      <c r="BA2970" s="35"/>
      <c r="BB2970" s="22">
        <f t="shared" si="905"/>
        <v>0</v>
      </c>
      <c r="BC2970" s="23">
        <v>1</v>
      </c>
      <c r="BD2970" s="130">
        <f t="shared" si="906"/>
        <v>0</v>
      </c>
      <c r="BE2970" s="130">
        <f t="shared" si="907"/>
        <v>1</v>
      </c>
      <c r="BF2970" s="195">
        <f t="shared" si="908"/>
        <v>0</v>
      </c>
      <c r="BG2970" s="373">
        <f>BE2970-BD2970</f>
        <v>1</v>
      </c>
    </row>
    <row r="2971" spans="1:59" s="46" customFormat="1" ht="15.95" customHeight="1">
      <c r="A2971" s="176">
        <v>50</v>
      </c>
      <c r="B2971" s="31" t="s">
        <v>1474</v>
      </c>
      <c r="C2971" s="32" t="s">
        <v>3699</v>
      </c>
      <c r="D2971" s="580"/>
      <c r="E2971" s="580"/>
      <c r="F2971" s="580"/>
      <c r="G2971" s="580"/>
      <c r="H2971" s="580"/>
      <c r="I2971" s="580"/>
      <c r="J2971" s="580"/>
      <c r="K2971" s="580"/>
      <c r="L2971" s="580"/>
      <c r="M2971" s="580"/>
      <c r="N2971" s="580"/>
      <c r="O2971" s="580"/>
      <c r="P2971" s="580">
        <v>1</v>
      </c>
      <c r="Q2971" s="580"/>
      <c r="R2971" s="580"/>
      <c r="S2971" s="580"/>
      <c r="T2971" s="580"/>
      <c r="U2971" s="580"/>
      <c r="V2971" s="580"/>
      <c r="W2971" s="580"/>
      <c r="X2971" s="580"/>
      <c r="Y2971" s="580"/>
      <c r="Z2971" s="580"/>
      <c r="AA2971" s="580"/>
      <c r="AB2971" s="22">
        <f t="shared" si="904"/>
        <v>1</v>
      </c>
      <c r="AC2971" s="23">
        <v>0</v>
      </c>
      <c r="AD2971" s="35"/>
      <c r="AE2971" s="35"/>
      <c r="AF2971" s="35"/>
      <c r="AG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  <c r="AX2971" s="35"/>
      <c r="AY2971" s="35"/>
      <c r="AZ2971" s="35"/>
      <c r="BA2971" s="35"/>
      <c r="BB2971" s="22">
        <f t="shared" si="905"/>
        <v>0</v>
      </c>
      <c r="BC2971" s="23">
        <v>0</v>
      </c>
      <c r="BD2971" s="130">
        <f t="shared" si="906"/>
        <v>1</v>
      </c>
      <c r="BE2971" s="130">
        <f t="shared" si="907"/>
        <v>0</v>
      </c>
      <c r="BF2971" s="195" t="e">
        <f t="shared" si="908"/>
        <v>#DIV/0!</v>
      </c>
      <c r="BG2971" s="373"/>
    </row>
    <row r="2972" spans="1:59" s="46" customFormat="1" ht="15.95" customHeight="1">
      <c r="A2972" s="176">
        <v>51</v>
      </c>
      <c r="B2972" s="31" t="s">
        <v>4213</v>
      </c>
      <c r="C2972" s="32" t="s">
        <v>4214</v>
      </c>
      <c r="D2972" s="583"/>
      <c r="E2972" s="583"/>
      <c r="F2972" s="583"/>
      <c r="G2972" s="583"/>
      <c r="H2972" s="583"/>
      <c r="I2972" s="583"/>
      <c r="J2972" s="583"/>
      <c r="K2972" s="583"/>
      <c r="L2972" s="583"/>
      <c r="M2972" s="583"/>
      <c r="N2972" s="583"/>
      <c r="O2972" s="583"/>
      <c r="P2972" s="583"/>
      <c r="Q2972" s="583"/>
      <c r="R2972" s="583"/>
      <c r="S2972" s="583"/>
      <c r="T2972" s="583"/>
      <c r="U2972" s="583"/>
      <c r="V2972" s="583"/>
      <c r="W2972" s="583"/>
      <c r="X2972" s="583"/>
      <c r="Y2972" s="583"/>
      <c r="Z2972" s="583"/>
      <c r="AA2972" s="583"/>
      <c r="AB2972" s="22">
        <f t="shared" si="904"/>
        <v>0</v>
      </c>
      <c r="AC2972" s="23">
        <v>0</v>
      </c>
      <c r="AD2972" s="35"/>
      <c r="AE2972" s="35"/>
      <c r="AF2972" s="35"/>
      <c r="AG2972" s="35"/>
      <c r="AH2972" s="35"/>
      <c r="AI2972" s="35"/>
      <c r="AJ2972" s="35"/>
      <c r="AK2972" s="35"/>
      <c r="AL2972" s="35"/>
      <c r="AM2972" s="35"/>
      <c r="AN2972" s="35"/>
      <c r="AO2972" s="35"/>
      <c r="AP2972" s="35">
        <v>1</v>
      </c>
      <c r="AQ2972" s="35"/>
      <c r="AR2972" s="35"/>
      <c r="AS2972" s="35"/>
      <c r="AT2972" s="35"/>
      <c r="AU2972" s="35"/>
      <c r="AV2972" s="35"/>
      <c r="AW2972" s="35"/>
      <c r="AX2972" s="35"/>
      <c r="AY2972" s="35"/>
      <c r="AZ2972" s="35"/>
      <c r="BA2972" s="35"/>
      <c r="BB2972" s="22">
        <f t="shared" si="905"/>
        <v>1</v>
      </c>
      <c r="BC2972" s="23">
        <v>0</v>
      </c>
      <c r="BD2972" s="130">
        <f t="shared" ref="BD2972" si="913">AB2972+BB2972</f>
        <v>1</v>
      </c>
      <c r="BE2972" s="130">
        <f t="shared" ref="BE2972" si="914">AC2972+BC2972</f>
        <v>0</v>
      </c>
      <c r="BF2972" s="195" t="e">
        <f t="shared" ref="BF2972" si="915">BD2972/BE2972*100</f>
        <v>#DIV/0!</v>
      </c>
      <c r="BG2972" s="373"/>
    </row>
    <row r="2973" spans="1:59" s="46" customFormat="1" ht="15.95" customHeight="1">
      <c r="A2973" s="176">
        <v>52</v>
      </c>
      <c r="B2973" s="31" t="s">
        <v>4215</v>
      </c>
      <c r="C2973" s="32" t="s">
        <v>4216</v>
      </c>
      <c r="D2973" s="583"/>
      <c r="E2973" s="583"/>
      <c r="F2973" s="583"/>
      <c r="G2973" s="583"/>
      <c r="H2973" s="583"/>
      <c r="I2973" s="583"/>
      <c r="J2973" s="583"/>
      <c r="K2973" s="583"/>
      <c r="L2973" s="583"/>
      <c r="M2973" s="583"/>
      <c r="N2973" s="583"/>
      <c r="O2973" s="583"/>
      <c r="P2973" s="583"/>
      <c r="Q2973" s="583"/>
      <c r="R2973" s="583"/>
      <c r="S2973" s="583"/>
      <c r="T2973" s="583"/>
      <c r="U2973" s="583"/>
      <c r="V2973" s="583"/>
      <c r="W2973" s="583"/>
      <c r="X2973" s="583"/>
      <c r="Y2973" s="583"/>
      <c r="Z2973" s="583"/>
      <c r="AA2973" s="583"/>
      <c r="AB2973" s="22">
        <f t="shared" si="904"/>
        <v>0</v>
      </c>
      <c r="AC2973" s="23">
        <v>0</v>
      </c>
      <c r="AD2973" s="35"/>
      <c r="AE2973" s="35"/>
      <c r="AF2973" s="35"/>
      <c r="AG2973" s="35"/>
      <c r="AH2973" s="35"/>
      <c r="AI2973" s="35"/>
      <c r="AJ2973" s="35"/>
      <c r="AK2973" s="35"/>
      <c r="AL2973" s="35"/>
      <c r="AM2973" s="35"/>
      <c r="AN2973" s="35"/>
      <c r="AO2973" s="35"/>
      <c r="AP2973" s="35">
        <v>2</v>
      </c>
      <c r="AQ2973" s="35"/>
      <c r="AR2973" s="35"/>
      <c r="AS2973" s="35"/>
      <c r="AT2973" s="35"/>
      <c r="AU2973" s="35"/>
      <c r="AV2973" s="35"/>
      <c r="AW2973" s="35"/>
      <c r="AX2973" s="35"/>
      <c r="AY2973" s="35"/>
      <c r="AZ2973" s="35"/>
      <c r="BA2973" s="35"/>
      <c r="BB2973" s="22">
        <f t="shared" si="905"/>
        <v>2</v>
      </c>
      <c r="BC2973" s="23">
        <v>0</v>
      </c>
      <c r="BD2973" s="130">
        <f t="shared" ref="BD2973" si="916">AB2973+BB2973</f>
        <v>2</v>
      </c>
      <c r="BE2973" s="130">
        <f t="shared" ref="BE2973" si="917">AC2973+BC2973</f>
        <v>0</v>
      </c>
      <c r="BF2973" s="195" t="e">
        <f t="shared" ref="BF2973" si="918">BD2973/BE2973*100</f>
        <v>#DIV/0!</v>
      </c>
      <c r="BG2973" s="373"/>
    </row>
    <row r="2974" spans="1:59" s="46" customFormat="1" ht="15.95" customHeight="1">
      <c r="A2974" s="176">
        <v>53</v>
      </c>
      <c r="B2974" s="31" t="s">
        <v>1479</v>
      </c>
      <c r="C2974" s="32" t="s">
        <v>2520</v>
      </c>
      <c r="D2974" s="231"/>
      <c r="E2974" s="231"/>
      <c r="F2974" s="231"/>
      <c r="G2974" s="231"/>
      <c r="H2974" s="231"/>
      <c r="I2974" s="231"/>
      <c r="J2974" s="231"/>
      <c r="K2974" s="231"/>
      <c r="L2974" s="231"/>
      <c r="M2974" s="231"/>
      <c r="N2974" s="231"/>
      <c r="O2974" s="231"/>
      <c r="P2974" s="231"/>
      <c r="Q2974" s="231"/>
      <c r="R2974" s="231"/>
      <c r="S2974" s="231"/>
      <c r="T2974" s="231"/>
      <c r="U2974" s="231"/>
      <c r="V2974" s="231"/>
      <c r="W2974" s="231"/>
      <c r="X2974" s="231"/>
      <c r="Y2974" s="231"/>
      <c r="Z2974" s="231"/>
      <c r="AA2974" s="231"/>
      <c r="AB2974" s="22">
        <f t="shared" si="904"/>
        <v>0</v>
      </c>
      <c r="AC2974" s="23">
        <v>0</v>
      </c>
      <c r="AD2974" s="35"/>
      <c r="AE2974" s="35"/>
      <c r="AF2974" s="35"/>
      <c r="AG2974" s="35"/>
      <c r="AH2974" s="35"/>
      <c r="AI2974" s="35"/>
      <c r="AJ2974" s="35"/>
      <c r="AK2974" s="35"/>
      <c r="AL2974" s="35"/>
      <c r="AM2974" s="35"/>
      <c r="AN2974" s="35"/>
      <c r="AO2974" s="35"/>
      <c r="AP2974" s="35">
        <v>2</v>
      </c>
      <c r="AQ2974" s="35"/>
      <c r="AR2974" s="35"/>
      <c r="AS2974" s="35"/>
      <c r="AT2974" s="35"/>
      <c r="AU2974" s="35"/>
      <c r="AV2974" s="35"/>
      <c r="AW2974" s="35"/>
      <c r="AX2974" s="35"/>
      <c r="AY2974" s="35"/>
      <c r="AZ2974" s="35"/>
      <c r="BA2974" s="35"/>
      <c r="BB2974" s="22">
        <f t="shared" si="905"/>
        <v>2</v>
      </c>
      <c r="BC2974" s="23">
        <v>7</v>
      </c>
      <c r="BD2974" s="130">
        <f t="shared" si="906"/>
        <v>2</v>
      </c>
      <c r="BE2974" s="130">
        <f t="shared" si="907"/>
        <v>7</v>
      </c>
      <c r="BF2974" s="195">
        <f t="shared" si="908"/>
        <v>28.571428571428569</v>
      </c>
      <c r="BG2974" s="373">
        <f>BE2974-BD2974</f>
        <v>5</v>
      </c>
    </row>
    <row r="2975" spans="1:59" s="46" customFormat="1" ht="15.95" customHeight="1">
      <c r="A2975" s="176">
        <v>54</v>
      </c>
      <c r="B2975" s="31" t="s">
        <v>1480</v>
      </c>
      <c r="C2975" s="32" t="s">
        <v>1481</v>
      </c>
      <c r="D2975" s="528"/>
      <c r="E2975" s="528"/>
      <c r="F2975" s="528"/>
      <c r="G2975" s="528"/>
      <c r="H2975" s="528">
        <v>1</v>
      </c>
      <c r="I2975" s="528"/>
      <c r="J2975" s="528"/>
      <c r="K2975" s="528"/>
      <c r="L2975" s="528">
        <v>4</v>
      </c>
      <c r="M2975" s="528"/>
      <c r="N2975" s="528"/>
      <c r="O2975" s="528"/>
      <c r="P2975" s="528">
        <v>1</v>
      </c>
      <c r="Q2975" s="528"/>
      <c r="R2975" s="528"/>
      <c r="S2975" s="528"/>
      <c r="T2975" s="528"/>
      <c r="U2975" s="528"/>
      <c r="V2975" s="528"/>
      <c r="W2975" s="528"/>
      <c r="X2975" s="528"/>
      <c r="Y2975" s="528"/>
      <c r="Z2975" s="528"/>
      <c r="AA2975" s="528"/>
      <c r="AB2975" s="22">
        <f t="shared" si="904"/>
        <v>6</v>
      </c>
      <c r="AC2975" s="23">
        <v>0</v>
      </c>
      <c r="AD2975" s="35"/>
      <c r="AE2975" s="35"/>
      <c r="AF2975" s="35"/>
      <c r="AG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  <c r="AX2975" s="35"/>
      <c r="AY2975" s="35"/>
      <c r="AZ2975" s="35"/>
      <c r="BA2975" s="35"/>
      <c r="BB2975" s="22">
        <f t="shared" si="905"/>
        <v>0</v>
      </c>
      <c r="BC2975" s="23">
        <v>0</v>
      </c>
      <c r="BD2975" s="130">
        <f t="shared" si="906"/>
        <v>6</v>
      </c>
      <c r="BE2975" s="130">
        <f t="shared" si="907"/>
        <v>0</v>
      </c>
      <c r="BF2975" s="195" t="e">
        <f t="shared" si="908"/>
        <v>#DIV/0!</v>
      </c>
      <c r="BG2975" s="373"/>
    </row>
    <row r="2976" spans="1:59" s="46" customFormat="1" ht="15.95" customHeight="1">
      <c r="A2976" s="176">
        <v>55</v>
      </c>
      <c r="B2976" s="31" t="s">
        <v>1482</v>
      </c>
      <c r="C2976" s="32" t="s">
        <v>1483</v>
      </c>
      <c r="D2976" s="536"/>
      <c r="E2976" s="536"/>
      <c r="F2976" s="536"/>
      <c r="G2976" s="536"/>
      <c r="H2976" s="536"/>
      <c r="I2976" s="536"/>
      <c r="J2976" s="536"/>
      <c r="K2976" s="536"/>
      <c r="L2976" s="536">
        <v>1</v>
      </c>
      <c r="M2976" s="536"/>
      <c r="N2976" s="536"/>
      <c r="O2976" s="536"/>
      <c r="P2976" s="536"/>
      <c r="Q2976" s="536"/>
      <c r="R2976" s="536"/>
      <c r="S2976" s="536"/>
      <c r="T2976" s="536"/>
      <c r="U2976" s="536"/>
      <c r="V2976" s="536"/>
      <c r="W2976" s="536"/>
      <c r="X2976" s="536"/>
      <c r="Y2976" s="536"/>
      <c r="Z2976" s="536"/>
      <c r="AA2976" s="536"/>
      <c r="AB2976" s="22">
        <f t="shared" si="904"/>
        <v>1</v>
      </c>
      <c r="AC2976" s="23">
        <v>1</v>
      </c>
      <c r="AD2976" s="35"/>
      <c r="AE2976" s="35"/>
      <c r="AF2976" s="35"/>
      <c r="AG2976" s="35"/>
      <c r="AH2976" s="35">
        <v>1</v>
      </c>
      <c r="AI2976" s="35"/>
      <c r="AJ2976" s="35"/>
      <c r="AK2976" s="35"/>
      <c r="AL2976" s="35">
        <v>16</v>
      </c>
      <c r="AM2976" s="35"/>
      <c r="AN2976" s="35"/>
      <c r="AO2976" s="35"/>
      <c r="AP2976" s="35">
        <v>1</v>
      </c>
      <c r="AQ2976" s="35"/>
      <c r="AR2976" s="35"/>
      <c r="AS2976" s="35"/>
      <c r="AT2976" s="35"/>
      <c r="AU2976" s="35"/>
      <c r="AV2976" s="35"/>
      <c r="AW2976" s="35"/>
      <c r="AX2976" s="35"/>
      <c r="AY2976" s="35"/>
      <c r="AZ2976" s="35"/>
      <c r="BA2976" s="35"/>
      <c r="BB2976" s="22">
        <f t="shared" si="905"/>
        <v>18</v>
      </c>
      <c r="BC2976" s="23">
        <v>34</v>
      </c>
      <c r="BD2976" s="130">
        <f t="shared" si="906"/>
        <v>19</v>
      </c>
      <c r="BE2976" s="130">
        <f t="shared" si="907"/>
        <v>35</v>
      </c>
      <c r="BF2976" s="195">
        <f t="shared" si="908"/>
        <v>54.285714285714285</v>
      </c>
      <c r="BG2976" s="373">
        <f>BE2976-BD2976</f>
        <v>16</v>
      </c>
    </row>
    <row r="2977" spans="1:59" s="46" customFormat="1" ht="15.95" customHeight="1">
      <c r="A2977" s="176">
        <v>56</v>
      </c>
      <c r="B2977" s="31" t="s">
        <v>1311</v>
      </c>
      <c r="C2977" s="32" t="s">
        <v>1484</v>
      </c>
      <c r="D2977" s="256"/>
      <c r="E2977" s="256"/>
      <c r="F2977" s="256"/>
      <c r="G2977" s="256"/>
      <c r="H2977" s="256"/>
      <c r="I2977" s="256"/>
      <c r="J2977" s="256"/>
      <c r="K2977" s="256"/>
      <c r="L2977" s="256"/>
      <c r="M2977" s="256"/>
      <c r="N2977" s="256"/>
      <c r="O2977" s="256"/>
      <c r="P2977" s="256"/>
      <c r="Q2977" s="256"/>
      <c r="R2977" s="256"/>
      <c r="S2977" s="256"/>
      <c r="T2977" s="256"/>
      <c r="U2977" s="256"/>
      <c r="V2977" s="256"/>
      <c r="W2977" s="256"/>
      <c r="X2977" s="256"/>
      <c r="Y2977" s="256"/>
      <c r="Z2977" s="256"/>
      <c r="AA2977" s="256"/>
      <c r="AB2977" s="22">
        <f t="shared" si="904"/>
        <v>0</v>
      </c>
      <c r="AC2977" s="23">
        <v>0</v>
      </c>
      <c r="AD2977" s="35"/>
      <c r="AE2977" s="35"/>
      <c r="AF2977" s="35"/>
      <c r="AG2977" s="35"/>
      <c r="AH2977" s="35"/>
      <c r="AI2977" s="35"/>
      <c r="AJ2977" s="35"/>
      <c r="AK2977" s="35"/>
      <c r="AL2977" s="35">
        <v>1</v>
      </c>
      <c r="AM2977" s="35"/>
      <c r="AN2977" s="35"/>
      <c r="AO2977" s="35"/>
      <c r="AP2977" s="35">
        <v>3</v>
      </c>
      <c r="AQ2977" s="35"/>
      <c r="AR2977" s="35"/>
      <c r="AS2977" s="35"/>
      <c r="AT2977" s="35"/>
      <c r="AU2977" s="35"/>
      <c r="AV2977" s="35"/>
      <c r="AW2977" s="35"/>
      <c r="AX2977" s="35"/>
      <c r="AY2977" s="35"/>
      <c r="AZ2977" s="35"/>
      <c r="BA2977" s="35"/>
      <c r="BB2977" s="22">
        <f t="shared" si="905"/>
        <v>4</v>
      </c>
      <c r="BC2977" s="23">
        <v>5</v>
      </c>
      <c r="BD2977" s="130">
        <f t="shared" si="906"/>
        <v>4</v>
      </c>
      <c r="BE2977" s="130">
        <f t="shared" si="907"/>
        <v>5</v>
      </c>
      <c r="BF2977" s="195">
        <f t="shared" si="908"/>
        <v>80</v>
      </c>
      <c r="BG2977" s="373">
        <f>BE2977-BD2977</f>
        <v>1</v>
      </c>
    </row>
    <row r="2978" spans="1:59" s="46" customFormat="1" ht="15.95" customHeight="1">
      <c r="A2978" s="176">
        <v>57</v>
      </c>
      <c r="B2978" s="31" t="s">
        <v>3837</v>
      </c>
      <c r="C2978" s="32" t="s">
        <v>3838</v>
      </c>
      <c r="D2978" s="289"/>
      <c r="E2978" s="289"/>
      <c r="F2978" s="289"/>
      <c r="G2978" s="289"/>
      <c r="H2978" s="289"/>
      <c r="I2978" s="289"/>
      <c r="J2978" s="289"/>
      <c r="K2978" s="289"/>
      <c r="L2978" s="289"/>
      <c r="M2978" s="289"/>
      <c r="N2978" s="289"/>
      <c r="O2978" s="289"/>
      <c r="P2978" s="289"/>
      <c r="Q2978" s="289"/>
      <c r="R2978" s="289"/>
      <c r="S2978" s="289"/>
      <c r="T2978" s="289"/>
      <c r="U2978" s="289"/>
      <c r="V2978" s="289"/>
      <c r="W2978" s="289"/>
      <c r="X2978" s="289"/>
      <c r="Y2978" s="289"/>
      <c r="Z2978" s="289"/>
      <c r="AA2978" s="289"/>
      <c r="AB2978" s="22">
        <f t="shared" si="904"/>
        <v>0</v>
      </c>
      <c r="AC2978" s="23">
        <v>0</v>
      </c>
      <c r="AD2978" s="35"/>
      <c r="AE2978" s="35"/>
      <c r="AF2978" s="35"/>
      <c r="AG2978" s="35"/>
      <c r="AH2978" s="35"/>
      <c r="AI2978" s="35"/>
      <c r="AJ2978" s="35"/>
      <c r="AK2978" s="35">
        <v>1</v>
      </c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  <c r="AX2978" s="35"/>
      <c r="AY2978" s="35"/>
      <c r="AZ2978" s="35"/>
      <c r="BA2978" s="35"/>
      <c r="BB2978" s="22">
        <f t="shared" si="905"/>
        <v>1</v>
      </c>
      <c r="BC2978" s="23">
        <v>0</v>
      </c>
      <c r="BD2978" s="130">
        <f t="shared" si="906"/>
        <v>1</v>
      </c>
      <c r="BE2978" s="130">
        <f t="shared" si="907"/>
        <v>0</v>
      </c>
      <c r="BF2978" s="195" t="e">
        <f t="shared" si="908"/>
        <v>#DIV/0!</v>
      </c>
      <c r="BG2978" s="373"/>
    </row>
    <row r="2979" spans="1:59" s="46" customFormat="1" ht="15.95" customHeight="1">
      <c r="A2979" s="176">
        <v>58</v>
      </c>
      <c r="B2979" s="31" t="s">
        <v>1487</v>
      </c>
      <c r="C2979" s="34" t="s">
        <v>1488</v>
      </c>
      <c r="D2979" s="231"/>
      <c r="E2979" s="231"/>
      <c r="F2979" s="231"/>
      <c r="G2979" s="231"/>
      <c r="H2979" s="231"/>
      <c r="I2979" s="231"/>
      <c r="J2979" s="231"/>
      <c r="K2979" s="231"/>
      <c r="L2979" s="231"/>
      <c r="M2979" s="231"/>
      <c r="N2979" s="231"/>
      <c r="O2979" s="231"/>
      <c r="P2979" s="231"/>
      <c r="Q2979" s="231"/>
      <c r="R2979" s="231"/>
      <c r="S2979" s="231"/>
      <c r="T2979" s="231"/>
      <c r="U2979" s="231"/>
      <c r="V2979" s="231"/>
      <c r="W2979" s="231"/>
      <c r="X2979" s="231"/>
      <c r="Y2979" s="231"/>
      <c r="Z2979" s="231"/>
      <c r="AA2979" s="231"/>
      <c r="AB2979" s="22">
        <f t="shared" si="904"/>
        <v>0</v>
      </c>
      <c r="AC2979" s="23">
        <v>0</v>
      </c>
      <c r="AD2979" s="35"/>
      <c r="AE2979" s="35"/>
      <c r="AF2979" s="35"/>
      <c r="AG2979" s="35"/>
      <c r="AH2979" s="35"/>
      <c r="AI2979" s="35"/>
      <c r="AJ2979" s="35"/>
      <c r="AK2979" s="35"/>
      <c r="AL2979" s="35"/>
      <c r="AM2979" s="35"/>
      <c r="AN2979" s="35"/>
      <c r="AO2979" s="35"/>
      <c r="AP2979" s="35">
        <v>1</v>
      </c>
      <c r="AQ2979" s="35"/>
      <c r="AR2979" s="35"/>
      <c r="AS2979" s="35"/>
      <c r="AT2979" s="35"/>
      <c r="AU2979" s="35"/>
      <c r="AV2979" s="35"/>
      <c r="AW2979" s="35"/>
      <c r="AX2979" s="35"/>
      <c r="AY2979" s="35"/>
      <c r="AZ2979" s="35"/>
      <c r="BA2979" s="35"/>
      <c r="BB2979" s="22">
        <f t="shared" si="905"/>
        <v>1</v>
      </c>
      <c r="BC2979" s="23">
        <v>5</v>
      </c>
      <c r="BD2979" s="130">
        <f t="shared" si="906"/>
        <v>1</v>
      </c>
      <c r="BE2979" s="130">
        <f t="shared" si="907"/>
        <v>5</v>
      </c>
      <c r="BF2979" s="195">
        <f t="shared" si="908"/>
        <v>20</v>
      </c>
      <c r="BG2979" s="373">
        <f>BE2979-BD2979</f>
        <v>4</v>
      </c>
    </row>
    <row r="2980" spans="1:59" s="46" customFormat="1" ht="15.95" customHeight="1">
      <c r="A2980" s="176">
        <v>59</v>
      </c>
      <c r="B2980" s="31" t="s">
        <v>466</v>
      </c>
      <c r="C2980" s="34" t="s">
        <v>2107</v>
      </c>
      <c r="D2980" s="231"/>
      <c r="E2980" s="231"/>
      <c r="F2980" s="231"/>
      <c r="G2980" s="231"/>
      <c r="H2980" s="231"/>
      <c r="I2980" s="231"/>
      <c r="J2980" s="231"/>
      <c r="K2980" s="231"/>
      <c r="L2980" s="231"/>
      <c r="M2980" s="231"/>
      <c r="N2980" s="231"/>
      <c r="O2980" s="231"/>
      <c r="P2980" s="231"/>
      <c r="Q2980" s="231"/>
      <c r="R2980" s="231"/>
      <c r="S2980" s="231"/>
      <c r="T2980" s="231"/>
      <c r="U2980" s="231"/>
      <c r="V2980" s="231"/>
      <c r="W2980" s="231"/>
      <c r="X2980" s="231"/>
      <c r="Y2980" s="231"/>
      <c r="Z2980" s="231"/>
      <c r="AA2980" s="231"/>
      <c r="AB2980" s="22">
        <f t="shared" si="904"/>
        <v>0</v>
      </c>
      <c r="AC2980" s="23">
        <v>0</v>
      </c>
      <c r="AD2980" s="35"/>
      <c r="AE2980" s="35"/>
      <c r="AF2980" s="35"/>
      <c r="AG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  <c r="AX2980" s="35"/>
      <c r="AY2980" s="35"/>
      <c r="AZ2980" s="35"/>
      <c r="BA2980" s="35"/>
      <c r="BB2980" s="22">
        <f t="shared" si="905"/>
        <v>0</v>
      </c>
      <c r="BC2980" s="23">
        <v>3</v>
      </c>
      <c r="BD2980" s="130">
        <f t="shared" si="906"/>
        <v>0</v>
      </c>
      <c r="BE2980" s="130">
        <f t="shared" si="907"/>
        <v>3</v>
      </c>
      <c r="BF2980" s="195">
        <f t="shared" si="908"/>
        <v>0</v>
      </c>
      <c r="BG2980" s="373">
        <f>BE2980-BD2980</f>
        <v>3</v>
      </c>
    </row>
    <row r="2981" spans="1:59" s="46" customFormat="1" ht="15.95" customHeight="1">
      <c r="A2981" s="176">
        <v>60</v>
      </c>
      <c r="B2981" s="31" t="s">
        <v>3552</v>
      </c>
      <c r="C2981" s="32" t="s">
        <v>3551</v>
      </c>
      <c r="D2981" s="328"/>
      <c r="E2981" s="328"/>
      <c r="F2981" s="328"/>
      <c r="G2981" s="328"/>
      <c r="H2981" s="328"/>
      <c r="I2981" s="328"/>
      <c r="J2981" s="328"/>
      <c r="K2981" s="328"/>
      <c r="L2981" s="328"/>
      <c r="M2981" s="328"/>
      <c r="N2981" s="328"/>
      <c r="O2981" s="328"/>
      <c r="P2981" s="328"/>
      <c r="Q2981" s="328"/>
      <c r="R2981" s="328"/>
      <c r="S2981" s="328"/>
      <c r="T2981" s="328"/>
      <c r="U2981" s="328"/>
      <c r="V2981" s="328"/>
      <c r="W2981" s="328"/>
      <c r="X2981" s="328"/>
      <c r="Y2981" s="328"/>
      <c r="Z2981" s="328"/>
      <c r="AA2981" s="328"/>
      <c r="AB2981" s="22">
        <f t="shared" si="904"/>
        <v>0</v>
      </c>
      <c r="AC2981" s="23">
        <v>0</v>
      </c>
      <c r="AD2981" s="35"/>
      <c r="AE2981" s="35"/>
      <c r="AF2981" s="35"/>
      <c r="AG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  <c r="AX2981" s="35"/>
      <c r="AY2981" s="35"/>
      <c r="AZ2981" s="35"/>
      <c r="BA2981" s="35"/>
      <c r="BB2981" s="22">
        <f t="shared" si="905"/>
        <v>0</v>
      </c>
      <c r="BC2981" s="23">
        <v>1</v>
      </c>
      <c r="BD2981" s="130">
        <f t="shared" si="906"/>
        <v>0</v>
      </c>
      <c r="BE2981" s="130">
        <f t="shared" si="907"/>
        <v>1</v>
      </c>
      <c r="BF2981" s="195">
        <f t="shared" si="908"/>
        <v>0</v>
      </c>
      <c r="BG2981" s="373">
        <f>BE2981-BD2981</f>
        <v>1</v>
      </c>
    </row>
    <row r="2982" spans="1:59" s="46" customFormat="1" ht="15.95" customHeight="1">
      <c r="A2982" s="176">
        <v>61</v>
      </c>
      <c r="B2982" s="31" t="s">
        <v>2108</v>
      </c>
      <c r="C2982" s="34" t="s">
        <v>2109</v>
      </c>
      <c r="D2982" s="231"/>
      <c r="E2982" s="231"/>
      <c r="F2982" s="231"/>
      <c r="G2982" s="231"/>
      <c r="H2982" s="231"/>
      <c r="I2982" s="231"/>
      <c r="J2982" s="231"/>
      <c r="K2982" s="231"/>
      <c r="L2982" s="231"/>
      <c r="M2982" s="231"/>
      <c r="N2982" s="231"/>
      <c r="O2982" s="231"/>
      <c r="P2982" s="231"/>
      <c r="Q2982" s="231"/>
      <c r="R2982" s="231"/>
      <c r="S2982" s="231"/>
      <c r="T2982" s="231"/>
      <c r="U2982" s="231"/>
      <c r="V2982" s="231"/>
      <c r="W2982" s="231"/>
      <c r="X2982" s="231"/>
      <c r="Y2982" s="231"/>
      <c r="Z2982" s="231"/>
      <c r="AA2982" s="231"/>
      <c r="AB2982" s="22">
        <f t="shared" si="904"/>
        <v>0</v>
      </c>
      <c r="AC2982" s="23">
        <v>0</v>
      </c>
      <c r="AD2982" s="35"/>
      <c r="AE2982" s="35"/>
      <c r="AF2982" s="35"/>
      <c r="AG2982" s="35"/>
      <c r="AH2982" s="35">
        <v>60</v>
      </c>
      <c r="AI2982" s="35"/>
      <c r="AJ2982" s="35"/>
      <c r="AK2982" s="35"/>
      <c r="AL2982" s="35">
        <v>80</v>
      </c>
      <c r="AM2982" s="35"/>
      <c r="AN2982" s="35"/>
      <c r="AO2982" s="35"/>
      <c r="AP2982" s="35">
        <v>168</v>
      </c>
      <c r="AQ2982" s="35"/>
      <c r="AR2982" s="35"/>
      <c r="AS2982" s="35"/>
      <c r="AT2982" s="35"/>
      <c r="AU2982" s="35"/>
      <c r="AV2982" s="35"/>
      <c r="AW2982" s="35"/>
      <c r="AX2982" s="35"/>
      <c r="AY2982" s="35"/>
      <c r="AZ2982" s="35"/>
      <c r="BA2982" s="35"/>
      <c r="BB2982" s="22">
        <f t="shared" si="905"/>
        <v>308</v>
      </c>
      <c r="BC2982" s="23">
        <v>4822</v>
      </c>
      <c r="BD2982" s="130">
        <f t="shared" si="906"/>
        <v>308</v>
      </c>
      <c r="BE2982" s="130">
        <f t="shared" si="907"/>
        <v>4822</v>
      </c>
      <c r="BF2982" s="195">
        <f t="shared" si="908"/>
        <v>6.3873911240149326</v>
      </c>
      <c r="BG2982" s="373">
        <f>BE2982-BD2982</f>
        <v>4514</v>
      </c>
    </row>
    <row r="2983" spans="1:59" s="46" customFormat="1" ht="15.95" customHeight="1">
      <c r="A2983" s="176">
        <v>62</v>
      </c>
      <c r="B2983" s="31" t="s">
        <v>3554</v>
      </c>
      <c r="C2983" s="32" t="s">
        <v>3556</v>
      </c>
      <c r="D2983" s="231"/>
      <c r="E2983" s="231"/>
      <c r="F2983" s="231"/>
      <c r="G2983" s="231"/>
      <c r="H2983" s="231"/>
      <c r="I2983" s="231"/>
      <c r="J2983" s="231"/>
      <c r="K2983" s="231"/>
      <c r="L2983" s="231"/>
      <c r="M2983" s="231"/>
      <c r="N2983" s="231"/>
      <c r="O2983" s="231"/>
      <c r="P2983" s="231"/>
      <c r="Q2983" s="231"/>
      <c r="R2983" s="231"/>
      <c r="S2983" s="231"/>
      <c r="T2983" s="231"/>
      <c r="U2983" s="231"/>
      <c r="V2983" s="231"/>
      <c r="W2983" s="231"/>
      <c r="X2983" s="231"/>
      <c r="Y2983" s="231"/>
      <c r="Z2983" s="231"/>
      <c r="AA2983" s="231"/>
      <c r="AB2983" s="22">
        <f t="shared" si="904"/>
        <v>0</v>
      </c>
      <c r="AC2983" s="23">
        <v>0</v>
      </c>
      <c r="AD2983" s="35"/>
      <c r="AE2983" s="35"/>
      <c r="AF2983" s="35"/>
      <c r="AG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  <c r="AX2983" s="35"/>
      <c r="AY2983" s="35"/>
      <c r="AZ2983" s="35"/>
      <c r="BA2983" s="35"/>
      <c r="BB2983" s="22">
        <f t="shared" si="905"/>
        <v>0</v>
      </c>
      <c r="BC2983" s="23">
        <v>1</v>
      </c>
      <c r="BD2983" s="130">
        <f t="shared" si="906"/>
        <v>0</v>
      </c>
      <c r="BE2983" s="130">
        <f t="shared" si="907"/>
        <v>1</v>
      </c>
      <c r="BF2983" s="195">
        <f t="shared" si="908"/>
        <v>0</v>
      </c>
      <c r="BG2983" s="373">
        <f>BE2983-BD2983</f>
        <v>1</v>
      </c>
    </row>
    <row r="2984" spans="1:59" s="46" customFormat="1" ht="15.95" customHeight="1">
      <c r="A2984" s="176">
        <v>63</v>
      </c>
      <c r="B2984" s="31" t="s">
        <v>1428</v>
      </c>
      <c r="C2984" s="32" t="s">
        <v>1429</v>
      </c>
      <c r="D2984" s="528"/>
      <c r="E2984" s="528"/>
      <c r="F2984" s="528"/>
      <c r="G2984" s="528"/>
      <c r="H2984" s="528">
        <v>1</v>
      </c>
      <c r="I2984" s="528"/>
      <c r="J2984" s="528"/>
      <c r="K2984" s="528"/>
      <c r="L2984" s="528">
        <v>1</v>
      </c>
      <c r="M2984" s="528"/>
      <c r="N2984" s="528"/>
      <c r="O2984" s="528"/>
      <c r="P2984" s="528">
        <v>2</v>
      </c>
      <c r="Q2984" s="528"/>
      <c r="R2984" s="528"/>
      <c r="S2984" s="528"/>
      <c r="T2984" s="528"/>
      <c r="U2984" s="528"/>
      <c r="V2984" s="528"/>
      <c r="W2984" s="528"/>
      <c r="X2984" s="528"/>
      <c r="Y2984" s="528"/>
      <c r="Z2984" s="528"/>
      <c r="AA2984" s="528"/>
      <c r="AB2984" s="22">
        <f t="shared" si="904"/>
        <v>4</v>
      </c>
      <c r="AC2984" s="23">
        <v>0</v>
      </c>
      <c r="AD2984" s="35"/>
      <c r="AE2984" s="35"/>
      <c r="AF2984" s="35"/>
      <c r="AG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  <c r="AX2984" s="35"/>
      <c r="AY2984" s="35"/>
      <c r="AZ2984" s="35"/>
      <c r="BA2984" s="35"/>
      <c r="BB2984" s="22">
        <f t="shared" si="905"/>
        <v>0</v>
      </c>
      <c r="BC2984" s="23">
        <v>0</v>
      </c>
      <c r="BD2984" s="130">
        <f t="shared" si="906"/>
        <v>4</v>
      </c>
      <c r="BE2984" s="130">
        <f t="shared" si="907"/>
        <v>0</v>
      </c>
      <c r="BF2984" s="195" t="e">
        <f t="shared" si="908"/>
        <v>#DIV/0!</v>
      </c>
      <c r="BG2984" s="373"/>
    </row>
    <row r="2985" spans="1:59" s="46" customFormat="1" ht="15.95" customHeight="1">
      <c r="A2985" s="176">
        <v>64</v>
      </c>
      <c r="B2985" s="31" t="s">
        <v>2110</v>
      </c>
      <c r="C2985" s="32" t="s">
        <v>2111</v>
      </c>
      <c r="D2985" s="231">
        <v>1</v>
      </c>
      <c r="E2985" s="231"/>
      <c r="F2985" s="231"/>
      <c r="G2985" s="231"/>
      <c r="H2985" s="231">
        <v>5</v>
      </c>
      <c r="I2985" s="231"/>
      <c r="J2985" s="231"/>
      <c r="K2985" s="231"/>
      <c r="L2985" s="231">
        <v>29</v>
      </c>
      <c r="M2985" s="231"/>
      <c r="N2985" s="231"/>
      <c r="O2985" s="231"/>
      <c r="P2985" s="231">
        <v>14</v>
      </c>
      <c r="Q2985" s="231"/>
      <c r="R2985" s="231"/>
      <c r="S2985" s="231"/>
      <c r="T2985" s="231"/>
      <c r="U2985" s="231"/>
      <c r="V2985" s="231"/>
      <c r="W2985" s="231"/>
      <c r="X2985" s="231"/>
      <c r="Y2985" s="231"/>
      <c r="Z2985" s="231"/>
      <c r="AA2985" s="231"/>
      <c r="AB2985" s="22">
        <f t="shared" si="904"/>
        <v>49</v>
      </c>
      <c r="AC2985" s="23">
        <v>55</v>
      </c>
      <c r="AD2985" s="35"/>
      <c r="AE2985" s="35"/>
      <c r="AF2985" s="35"/>
      <c r="AG2985" s="35"/>
      <c r="AH2985" s="35">
        <v>1</v>
      </c>
      <c r="AI2985" s="35"/>
      <c r="AJ2985" s="35"/>
      <c r="AK2985" s="35"/>
      <c r="AL2985" s="35">
        <v>2</v>
      </c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  <c r="AX2985" s="35"/>
      <c r="AY2985" s="35"/>
      <c r="AZ2985" s="35"/>
      <c r="BA2985" s="35"/>
      <c r="BB2985" s="22">
        <f t="shared" si="905"/>
        <v>3</v>
      </c>
      <c r="BC2985" s="23">
        <v>3</v>
      </c>
      <c r="BD2985" s="130">
        <f t="shared" si="906"/>
        <v>52</v>
      </c>
      <c r="BE2985" s="130">
        <f t="shared" si="907"/>
        <v>58</v>
      </c>
      <c r="BF2985" s="195">
        <f t="shared" si="908"/>
        <v>89.65517241379311</v>
      </c>
      <c r="BG2985" s="373">
        <f>BE2985-BD2985</f>
        <v>6</v>
      </c>
    </row>
    <row r="2986" spans="1:59" s="46" customFormat="1" ht="15.95" customHeight="1">
      <c r="A2986" s="176">
        <v>65</v>
      </c>
      <c r="B2986" s="31" t="s">
        <v>1312</v>
      </c>
      <c r="C2986" s="32" t="s">
        <v>1489</v>
      </c>
      <c r="D2986" s="231"/>
      <c r="E2986" s="231"/>
      <c r="F2986" s="231"/>
      <c r="G2986" s="231"/>
      <c r="H2986" s="231"/>
      <c r="I2986" s="231"/>
      <c r="J2986" s="231"/>
      <c r="K2986" s="231"/>
      <c r="L2986" s="231"/>
      <c r="M2986" s="231"/>
      <c r="N2986" s="231"/>
      <c r="O2986" s="231"/>
      <c r="P2986" s="231">
        <v>2</v>
      </c>
      <c r="Q2986" s="231"/>
      <c r="R2986" s="231"/>
      <c r="S2986" s="231"/>
      <c r="T2986" s="231"/>
      <c r="U2986" s="231"/>
      <c r="V2986" s="231"/>
      <c r="W2986" s="231"/>
      <c r="X2986" s="231"/>
      <c r="Y2986" s="231"/>
      <c r="Z2986" s="231"/>
      <c r="AA2986" s="231"/>
      <c r="AB2986" s="22">
        <f t="shared" si="904"/>
        <v>2</v>
      </c>
      <c r="AC2986" s="23">
        <v>1</v>
      </c>
      <c r="AD2986" s="35"/>
      <c r="AE2986" s="35"/>
      <c r="AF2986" s="35"/>
      <c r="AG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  <c r="AX2986" s="35"/>
      <c r="AY2986" s="35"/>
      <c r="AZ2986" s="35"/>
      <c r="BA2986" s="35"/>
      <c r="BB2986" s="22">
        <f t="shared" si="905"/>
        <v>0</v>
      </c>
      <c r="BC2986" s="23">
        <v>0</v>
      </c>
      <c r="BD2986" s="130">
        <f t="shared" si="906"/>
        <v>2</v>
      </c>
      <c r="BE2986" s="130">
        <f t="shared" si="907"/>
        <v>1</v>
      </c>
      <c r="BF2986" s="195">
        <f t="shared" si="908"/>
        <v>200</v>
      </c>
      <c r="BG2986" s="373">
        <f>BE2986-BD2986</f>
        <v>-1</v>
      </c>
    </row>
    <row r="2987" spans="1:59" s="46" customFormat="1" ht="15.95" customHeight="1">
      <c r="A2987" s="176">
        <v>66</v>
      </c>
      <c r="B2987" s="31" t="s">
        <v>4217</v>
      </c>
      <c r="C2987" s="32" t="s">
        <v>4218</v>
      </c>
      <c r="D2987" s="583"/>
      <c r="E2987" s="583"/>
      <c r="F2987" s="583"/>
      <c r="G2987" s="583"/>
      <c r="H2987" s="583"/>
      <c r="I2987" s="583"/>
      <c r="J2987" s="583"/>
      <c r="K2987" s="583"/>
      <c r="L2987" s="583"/>
      <c r="M2987" s="583"/>
      <c r="N2987" s="583"/>
      <c r="O2987" s="583"/>
      <c r="P2987" s="583"/>
      <c r="Q2987" s="583"/>
      <c r="R2987" s="583"/>
      <c r="S2987" s="583"/>
      <c r="T2987" s="583"/>
      <c r="U2987" s="583"/>
      <c r="V2987" s="583"/>
      <c r="W2987" s="583"/>
      <c r="X2987" s="583"/>
      <c r="Y2987" s="583"/>
      <c r="Z2987" s="583"/>
      <c r="AA2987" s="583"/>
      <c r="AB2987" s="22">
        <f t="shared" si="904"/>
        <v>0</v>
      </c>
      <c r="AC2987" s="23">
        <v>0</v>
      </c>
      <c r="AD2987" s="35"/>
      <c r="AE2987" s="35"/>
      <c r="AF2987" s="35"/>
      <c r="AG2987" s="35"/>
      <c r="AH2987" s="35"/>
      <c r="AI2987" s="35"/>
      <c r="AJ2987" s="35"/>
      <c r="AK2987" s="35"/>
      <c r="AL2987" s="35"/>
      <c r="AM2987" s="35"/>
      <c r="AN2987" s="35"/>
      <c r="AO2987" s="35"/>
      <c r="AP2987" s="35">
        <v>1</v>
      </c>
      <c r="AQ2987" s="35"/>
      <c r="AR2987" s="35"/>
      <c r="AS2987" s="35"/>
      <c r="AT2987" s="35"/>
      <c r="AU2987" s="35"/>
      <c r="AV2987" s="35"/>
      <c r="AW2987" s="35"/>
      <c r="AX2987" s="35"/>
      <c r="AY2987" s="35"/>
      <c r="AZ2987" s="35"/>
      <c r="BA2987" s="35"/>
      <c r="BB2987" s="22">
        <f t="shared" si="905"/>
        <v>1</v>
      </c>
      <c r="BC2987" s="23">
        <v>0</v>
      </c>
      <c r="BD2987" s="130">
        <f t="shared" ref="BD2987" si="919">AB2987+BB2987</f>
        <v>1</v>
      </c>
      <c r="BE2987" s="130">
        <f t="shared" ref="BE2987" si="920">AC2987+BC2987</f>
        <v>0</v>
      </c>
      <c r="BF2987" s="195" t="e">
        <f t="shared" ref="BF2987" si="921">BD2987/BE2987*100</f>
        <v>#DIV/0!</v>
      </c>
      <c r="BG2987" s="373"/>
    </row>
    <row r="2988" spans="1:59" s="46" customFormat="1" ht="15.95" customHeight="1">
      <c r="A2988" s="176">
        <v>67</v>
      </c>
      <c r="B2988" s="31" t="s">
        <v>3839</v>
      </c>
      <c r="C2988" s="32" t="s">
        <v>3840</v>
      </c>
      <c r="D2988" s="536"/>
      <c r="E2988" s="536"/>
      <c r="F2988" s="536"/>
      <c r="G2988" s="536"/>
      <c r="H2988" s="536"/>
      <c r="I2988" s="536"/>
      <c r="J2988" s="536"/>
      <c r="K2988" s="536"/>
      <c r="L2988" s="536"/>
      <c r="M2988" s="536"/>
      <c r="N2988" s="536"/>
      <c r="O2988" s="536"/>
      <c r="P2988" s="536"/>
      <c r="Q2988" s="536"/>
      <c r="R2988" s="536"/>
      <c r="S2988" s="536"/>
      <c r="T2988" s="536"/>
      <c r="U2988" s="536"/>
      <c r="V2988" s="536"/>
      <c r="W2988" s="536"/>
      <c r="X2988" s="536"/>
      <c r="Y2988" s="536"/>
      <c r="Z2988" s="536"/>
      <c r="AA2988" s="536"/>
      <c r="AB2988" s="22">
        <f t="shared" si="904"/>
        <v>0</v>
      </c>
      <c r="AC2988" s="23">
        <v>0</v>
      </c>
      <c r="AD2988" s="35"/>
      <c r="AE2988" s="35"/>
      <c r="AF2988" s="35"/>
      <c r="AG2988" s="35"/>
      <c r="AH2988" s="35"/>
      <c r="AI2988" s="35"/>
      <c r="AJ2988" s="35"/>
      <c r="AK2988" s="35">
        <v>1</v>
      </c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  <c r="AX2988" s="35"/>
      <c r="AY2988" s="35"/>
      <c r="AZ2988" s="35"/>
      <c r="BA2988" s="35"/>
      <c r="BB2988" s="22">
        <f t="shared" si="905"/>
        <v>1</v>
      </c>
      <c r="BC2988" s="23">
        <v>0</v>
      </c>
      <c r="BD2988" s="130">
        <f t="shared" si="906"/>
        <v>1</v>
      </c>
      <c r="BE2988" s="130">
        <f t="shared" si="907"/>
        <v>0</v>
      </c>
      <c r="BF2988" s="195" t="e">
        <f t="shared" si="908"/>
        <v>#DIV/0!</v>
      </c>
      <c r="BG2988" s="373"/>
    </row>
    <row r="2989" spans="1:59" s="46" customFormat="1" ht="15.95" customHeight="1">
      <c r="A2989" s="176">
        <v>68</v>
      </c>
      <c r="B2989" s="31" t="s">
        <v>3028</v>
      </c>
      <c r="C2989" s="32" t="s">
        <v>3029</v>
      </c>
      <c r="D2989" s="231"/>
      <c r="E2989" s="231"/>
      <c r="F2989" s="231"/>
      <c r="G2989" s="231"/>
      <c r="H2989" s="231"/>
      <c r="I2989" s="231"/>
      <c r="J2989" s="231"/>
      <c r="K2989" s="231"/>
      <c r="L2989" s="231"/>
      <c r="M2989" s="231"/>
      <c r="N2989" s="231"/>
      <c r="O2989" s="231"/>
      <c r="P2989" s="231"/>
      <c r="Q2989" s="231"/>
      <c r="R2989" s="231"/>
      <c r="S2989" s="231"/>
      <c r="T2989" s="231"/>
      <c r="U2989" s="231"/>
      <c r="V2989" s="231"/>
      <c r="W2989" s="231"/>
      <c r="X2989" s="231"/>
      <c r="Y2989" s="231"/>
      <c r="Z2989" s="231"/>
      <c r="AA2989" s="231"/>
      <c r="AB2989" s="22">
        <f t="shared" si="904"/>
        <v>0</v>
      </c>
      <c r="AC2989" s="23">
        <v>0</v>
      </c>
      <c r="AD2989" s="35"/>
      <c r="AE2989" s="35"/>
      <c r="AF2989" s="35"/>
      <c r="AG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  <c r="AX2989" s="35"/>
      <c r="AY2989" s="35"/>
      <c r="AZ2989" s="35"/>
      <c r="BA2989" s="35"/>
      <c r="BB2989" s="22">
        <f t="shared" si="905"/>
        <v>0</v>
      </c>
      <c r="BC2989" s="23">
        <v>1</v>
      </c>
      <c r="BD2989" s="130">
        <f t="shared" si="906"/>
        <v>0</v>
      </c>
      <c r="BE2989" s="130">
        <f t="shared" si="907"/>
        <v>1</v>
      </c>
      <c r="BF2989" s="195">
        <f t="shared" si="908"/>
        <v>0</v>
      </c>
      <c r="BG2989" s="373">
        <f t="shared" ref="BG2989:BG3021" si="922">BE2989-BD2989</f>
        <v>1</v>
      </c>
    </row>
    <row r="2990" spans="1:59" s="46" customFormat="1" ht="15.95" customHeight="1">
      <c r="A2990" s="176">
        <v>69</v>
      </c>
      <c r="B2990" s="31" t="s">
        <v>1556</v>
      </c>
      <c r="C2990" s="32" t="s">
        <v>1557</v>
      </c>
      <c r="D2990" s="231"/>
      <c r="E2990" s="231"/>
      <c r="F2990" s="231"/>
      <c r="G2990" s="231"/>
      <c r="H2990" s="231"/>
      <c r="I2990" s="231"/>
      <c r="J2990" s="231"/>
      <c r="K2990" s="231"/>
      <c r="L2990" s="231"/>
      <c r="M2990" s="231"/>
      <c r="N2990" s="231"/>
      <c r="O2990" s="231"/>
      <c r="P2990" s="231"/>
      <c r="Q2990" s="231"/>
      <c r="R2990" s="231"/>
      <c r="S2990" s="231"/>
      <c r="T2990" s="231"/>
      <c r="U2990" s="231"/>
      <c r="V2990" s="231"/>
      <c r="W2990" s="231"/>
      <c r="X2990" s="231"/>
      <c r="Y2990" s="231"/>
      <c r="Z2990" s="231"/>
      <c r="AA2990" s="231"/>
      <c r="AB2990" s="22">
        <f t="shared" ref="AB2990:AB3022" si="923">SUM(D2990:AA2990)</f>
        <v>0</v>
      </c>
      <c r="AC2990" s="23">
        <v>0</v>
      </c>
      <c r="AD2990" s="35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  <c r="AX2990" s="35"/>
      <c r="AY2990" s="35"/>
      <c r="AZ2990" s="35"/>
      <c r="BA2990" s="35"/>
      <c r="BB2990" s="22">
        <f t="shared" ref="BB2990:BB3022" si="924">SUM(AD2990:BA2990)</f>
        <v>0</v>
      </c>
      <c r="BC2990" s="23">
        <v>1</v>
      </c>
      <c r="BD2990" s="130">
        <f t="shared" ref="BD2990:BD3022" si="925">AB2990+BB2990</f>
        <v>0</v>
      </c>
      <c r="BE2990" s="130">
        <f t="shared" ref="BE2990:BE3022" si="926">AC2990+BC2990</f>
        <v>1</v>
      </c>
      <c r="BF2990" s="195">
        <f t="shared" ref="BF2990:BF3022" si="927">BD2990/BE2990*100</f>
        <v>0</v>
      </c>
      <c r="BG2990" s="373">
        <f t="shared" si="922"/>
        <v>1</v>
      </c>
    </row>
    <row r="2991" spans="1:59" s="46" customFormat="1" ht="15.95" customHeight="1">
      <c r="A2991" s="176">
        <v>70</v>
      </c>
      <c r="B2991" s="31" t="s">
        <v>337</v>
      </c>
      <c r="C2991" s="32" t="s">
        <v>338</v>
      </c>
      <c r="D2991" s="231"/>
      <c r="E2991" s="231"/>
      <c r="F2991" s="231"/>
      <c r="G2991" s="231"/>
      <c r="H2991" s="231"/>
      <c r="I2991" s="231"/>
      <c r="J2991" s="231"/>
      <c r="K2991" s="231"/>
      <c r="L2991" s="231"/>
      <c r="M2991" s="231"/>
      <c r="N2991" s="231"/>
      <c r="O2991" s="231"/>
      <c r="P2991" s="231">
        <v>1</v>
      </c>
      <c r="Q2991" s="231"/>
      <c r="R2991" s="231"/>
      <c r="S2991" s="231"/>
      <c r="T2991" s="231"/>
      <c r="U2991" s="231"/>
      <c r="V2991" s="231"/>
      <c r="W2991" s="231"/>
      <c r="X2991" s="231"/>
      <c r="Y2991" s="231"/>
      <c r="Z2991" s="231"/>
      <c r="AA2991" s="231"/>
      <c r="AB2991" s="22">
        <f t="shared" si="923"/>
        <v>1</v>
      </c>
      <c r="AC2991" s="23">
        <v>1</v>
      </c>
      <c r="AD2991" s="35"/>
      <c r="AE2991" s="35"/>
      <c r="AF2991" s="35"/>
      <c r="AG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  <c r="AX2991" s="35"/>
      <c r="AY2991" s="35"/>
      <c r="AZ2991" s="35"/>
      <c r="BA2991" s="35"/>
      <c r="BB2991" s="22">
        <f t="shared" si="924"/>
        <v>0</v>
      </c>
      <c r="BC2991" s="23">
        <v>0</v>
      </c>
      <c r="BD2991" s="130">
        <f t="shared" si="925"/>
        <v>1</v>
      </c>
      <c r="BE2991" s="130">
        <f t="shared" si="926"/>
        <v>1</v>
      </c>
      <c r="BF2991" s="195">
        <f t="shared" si="927"/>
        <v>100</v>
      </c>
      <c r="BG2991" s="373">
        <f t="shared" si="922"/>
        <v>0</v>
      </c>
    </row>
    <row r="2992" spans="1:59" s="46" customFormat="1" ht="15.95" customHeight="1">
      <c r="A2992" s="176">
        <v>71</v>
      </c>
      <c r="B2992" s="31" t="s">
        <v>1314</v>
      </c>
      <c r="C2992" s="32" t="s">
        <v>1490</v>
      </c>
      <c r="D2992" s="231">
        <v>30</v>
      </c>
      <c r="E2992" s="231"/>
      <c r="F2992" s="231"/>
      <c r="G2992" s="231"/>
      <c r="H2992" s="231">
        <v>33</v>
      </c>
      <c r="I2992" s="231"/>
      <c r="J2992" s="231"/>
      <c r="K2992" s="231"/>
      <c r="L2992" s="231">
        <v>455</v>
      </c>
      <c r="M2992" s="231"/>
      <c r="N2992" s="231"/>
      <c r="O2992" s="231"/>
      <c r="P2992" s="231">
        <v>371</v>
      </c>
      <c r="Q2992" s="231"/>
      <c r="R2992" s="231"/>
      <c r="S2992" s="231"/>
      <c r="T2992" s="231"/>
      <c r="U2992" s="231"/>
      <c r="V2992" s="231"/>
      <c r="W2992" s="231"/>
      <c r="X2992" s="231"/>
      <c r="Y2992" s="231"/>
      <c r="Z2992" s="231"/>
      <c r="AA2992" s="231"/>
      <c r="AB2992" s="22">
        <f t="shared" si="923"/>
        <v>889</v>
      </c>
      <c r="AC2992" s="23">
        <v>1175</v>
      </c>
      <c r="AD2992" s="35"/>
      <c r="AE2992" s="35"/>
      <c r="AF2992" s="35"/>
      <c r="AG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  <c r="AX2992" s="35"/>
      <c r="AY2992" s="35"/>
      <c r="AZ2992" s="35"/>
      <c r="BA2992" s="35"/>
      <c r="BB2992" s="22">
        <f t="shared" si="924"/>
        <v>0</v>
      </c>
      <c r="BC2992" s="23">
        <v>0</v>
      </c>
      <c r="BD2992" s="130">
        <f t="shared" si="925"/>
        <v>889</v>
      </c>
      <c r="BE2992" s="130">
        <f t="shared" si="926"/>
        <v>1175</v>
      </c>
      <c r="BF2992" s="195">
        <f t="shared" si="927"/>
        <v>75.659574468085111</v>
      </c>
      <c r="BG2992" s="373">
        <f t="shared" si="922"/>
        <v>286</v>
      </c>
    </row>
    <row r="2993" spans="1:59" s="46" customFormat="1" ht="15.95" customHeight="1">
      <c r="A2993" s="176">
        <v>72</v>
      </c>
      <c r="B2993" s="31" t="s">
        <v>1491</v>
      </c>
      <c r="C2993" s="34" t="s">
        <v>1492</v>
      </c>
      <c r="D2993" s="231"/>
      <c r="E2993" s="231"/>
      <c r="F2993" s="231"/>
      <c r="G2993" s="231"/>
      <c r="H2993" s="231"/>
      <c r="I2993" s="231"/>
      <c r="J2993" s="231"/>
      <c r="K2993" s="231"/>
      <c r="L2993" s="231"/>
      <c r="M2993" s="231"/>
      <c r="N2993" s="231"/>
      <c r="O2993" s="231"/>
      <c r="P2993" s="231"/>
      <c r="Q2993" s="231"/>
      <c r="R2993" s="231"/>
      <c r="S2993" s="231"/>
      <c r="T2993" s="231"/>
      <c r="U2993" s="231"/>
      <c r="V2993" s="231"/>
      <c r="W2993" s="231"/>
      <c r="X2993" s="231"/>
      <c r="Y2993" s="231"/>
      <c r="Z2993" s="231"/>
      <c r="AA2993" s="231"/>
      <c r="AB2993" s="22">
        <f t="shared" si="923"/>
        <v>0</v>
      </c>
      <c r="AC2993" s="23">
        <v>0</v>
      </c>
      <c r="AD2993" s="35"/>
      <c r="AE2993" s="35"/>
      <c r="AF2993" s="35"/>
      <c r="AG2993" s="35"/>
      <c r="AH2993" s="35"/>
      <c r="AI2993" s="35"/>
      <c r="AJ2993" s="35"/>
      <c r="AK2993" s="35"/>
      <c r="AL2993" s="35">
        <v>3</v>
      </c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  <c r="AX2993" s="35"/>
      <c r="AY2993" s="35"/>
      <c r="AZ2993" s="35"/>
      <c r="BA2993" s="35"/>
      <c r="BB2993" s="22">
        <f t="shared" si="924"/>
        <v>3</v>
      </c>
      <c r="BC2993" s="23">
        <v>2</v>
      </c>
      <c r="BD2993" s="130">
        <f t="shared" si="925"/>
        <v>3</v>
      </c>
      <c r="BE2993" s="130">
        <f t="shared" si="926"/>
        <v>2</v>
      </c>
      <c r="BF2993" s="195">
        <f t="shared" si="927"/>
        <v>150</v>
      </c>
      <c r="BG2993" s="373">
        <f t="shared" si="922"/>
        <v>-1</v>
      </c>
    </row>
    <row r="2994" spans="1:59" s="46" customFormat="1" ht="15.95" customHeight="1">
      <c r="A2994" s="176">
        <v>73</v>
      </c>
      <c r="B2994" s="31" t="s">
        <v>3553</v>
      </c>
      <c r="C2994" s="32" t="s">
        <v>3555</v>
      </c>
      <c r="D2994" s="327"/>
      <c r="E2994" s="327"/>
      <c r="F2994" s="327"/>
      <c r="G2994" s="327"/>
      <c r="H2994" s="327"/>
      <c r="I2994" s="327"/>
      <c r="J2994" s="327"/>
      <c r="K2994" s="327"/>
      <c r="L2994" s="327"/>
      <c r="M2994" s="327"/>
      <c r="N2994" s="327"/>
      <c r="O2994" s="327"/>
      <c r="P2994" s="327"/>
      <c r="Q2994" s="327"/>
      <c r="R2994" s="327"/>
      <c r="S2994" s="327"/>
      <c r="T2994" s="327"/>
      <c r="U2994" s="327"/>
      <c r="V2994" s="327"/>
      <c r="W2994" s="327"/>
      <c r="X2994" s="327"/>
      <c r="Y2994" s="327"/>
      <c r="Z2994" s="327"/>
      <c r="AA2994" s="327"/>
      <c r="AB2994" s="22">
        <f t="shared" si="923"/>
        <v>0</v>
      </c>
      <c r="AC2994" s="23">
        <v>0</v>
      </c>
      <c r="AD2994" s="35"/>
      <c r="AE2994" s="35"/>
      <c r="AF2994" s="35"/>
      <c r="AG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  <c r="AX2994" s="35"/>
      <c r="AY2994" s="35"/>
      <c r="AZ2994" s="35"/>
      <c r="BA2994" s="35"/>
      <c r="BB2994" s="22">
        <f t="shared" si="924"/>
        <v>0</v>
      </c>
      <c r="BC2994" s="23">
        <v>1</v>
      </c>
      <c r="BD2994" s="130">
        <f t="shared" si="925"/>
        <v>0</v>
      </c>
      <c r="BE2994" s="130">
        <f t="shared" si="926"/>
        <v>1</v>
      </c>
      <c r="BF2994" s="195">
        <f t="shared" si="927"/>
        <v>0</v>
      </c>
      <c r="BG2994" s="373">
        <f t="shared" si="922"/>
        <v>1</v>
      </c>
    </row>
    <row r="2995" spans="1:59" s="46" customFormat="1" ht="15.95" customHeight="1">
      <c r="A2995" s="176">
        <v>74</v>
      </c>
      <c r="B2995" s="31" t="s">
        <v>4219</v>
      </c>
      <c r="C2995" s="32" t="s">
        <v>4220</v>
      </c>
      <c r="D2995" s="583"/>
      <c r="E2995" s="583"/>
      <c r="F2995" s="583"/>
      <c r="G2995" s="583"/>
      <c r="H2995" s="583"/>
      <c r="I2995" s="583"/>
      <c r="J2995" s="583"/>
      <c r="K2995" s="583"/>
      <c r="L2995" s="583"/>
      <c r="M2995" s="583"/>
      <c r="N2995" s="583"/>
      <c r="O2995" s="583"/>
      <c r="P2995" s="583"/>
      <c r="Q2995" s="583"/>
      <c r="R2995" s="583"/>
      <c r="S2995" s="583"/>
      <c r="T2995" s="583"/>
      <c r="U2995" s="583"/>
      <c r="V2995" s="583"/>
      <c r="W2995" s="583"/>
      <c r="X2995" s="583"/>
      <c r="Y2995" s="583"/>
      <c r="Z2995" s="583"/>
      <c r="AA2995" s="583"/>
      <c r="AB2995" s="22">
        <f t="shared" si="923"/>
        <v>0</v>
      </c>
      <c r="AC2995" s="23">
        <v>0</v>
      </c>
      <c r="AD2995" s="35"/>
      <c r="AE2995" s="35"/>
      <c r="AF2995" s="35"/>
      <c r="AG2995" s="35"/>
      <c r="AH2995" s="35"/>
      <c r="AI2995" s="35"/>
      <c r="AJ2995" s="35"/>
      <c r="AK2995" s="35"/>
      <c r="AL2995" s="35"/>
      <c r="AM2995" s="35"/>
      <c r="AN2995" s="35"/>
      <c r="AO2995" s="35"/>
      <c r="AP2995" s="35">
        <v>1</v>
      </c>
      <c r="AQ2995" s="35"/>
      <c r="AR2995" s="35"/>
      <c r="AS2995" s="35"/>
      <c r="AT2995" s="35"/>
      <c r="AU2995" s="35"/>
      <c r="AV2995" s="35"/>
      <c r="AW2995" s="35"/>
      <c r="AX2995" s="35"/>
      <c r="AY2995" s="35"/>
      <c r="AZ2995" s="35"/>
      <c r="BA2995" s="35"/>
      <c r="BB2995" s="22">
        <f t="shared" si="924"/>
        <v>1</v>
      </c>
      <c r="BC2995" s="23">
        <v>0</v>
      </c>
      <c r="BD2995" s="130">
        <f t="shared" ref="BD2995" si="928">AB2995+BB2995</f>
        <v>1</v>
      </c>
      <c r="BE2995" s="130">
        <f t="shared" ref="BE2995" si="929">AC2995+BC2995</f>
        <v>0</v>
      </c>
      <c r="BF2995" s="195" t="e">
        <f t="shared" ref="BF2995" si="930">BD2995/BE2995*100</f>
        <v>#DIV/0!</v>
      </c>
      <c r="BG2995" s="373"/>
    </row>
    <row r="2996" spans="1:59" s="46" customFormat="1" ht="15.95" customHeight="1">
      <c r="A2996" s="176">
        <v>75</v>
      </c>
      <c r="B2996" s="31" t="s">
        <v>2934</v>
      </c>
      <c r="C2996" s="34" t="s">
        <v>2935</v>
      </c>
      <c r="D2996" s="231"/>
      <c r="E2996" s="231"/>
      <c r="F2996" s="231"/>
      <c r="G2996" s="231"/>
      <c r="H2996" s="231"/>
      <c r="I2996" s="231"/>
      <c r="J2996" s="231"/>
      <c r="K2996" s="231"/>
      <c r="L2996" s="231"/>
      <c r="M2996" s="231"/>
      <c r="N2996" s="231"/>
      <c r="O2996" s="231"/>
      <c r="P2996" s="231"/>
      <c r="Q2996" s="231"/>
      <c r="R2996" s="231"/>
      <c r="S2996" s="231"/>
      <c r="T2996" s="231"/>
      <c r="U2996" s="231"/>
      <c r="V2996" s="231"/>
      <c r="W2996" s="231"/>
      <c r="X2996" s="231"/>
      <c r="Y2996" s="231"/>
      <c r="Z2996" s="231"/>
      <c r="AA2996" s="231"/>
      <c r="AB2996" s="22">
        <f t="shared" si="923"/>
        <v>0</v>
      </c>
      <c r="AC2996" s="23">
        <v>0</v>
      </c>
      <c r="AD2996" s="35"/>
      <c r="AE2996" s="35"/>
      <c r="AF2996" s="35"/>
      <c r="AG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  <c r="AX2996" s="35"/>
      <c r="AY2996" s="35"/>
      <c r="AZ2996" s="35"/>
      <c r="BA2996" s="35"/>
      <c r="BB2996" s="22">
        <f t="shared" si="924"/>
        <v>0</v>
      </c>
      <c r="BC2996" s="23">
        <v>1</v>
      </c>
      <c r="BD2996" s="130">
        <f t="shared" si="925"/>
        <v>0</v>
      </c>
      <c r="BE2996" s="130">
        <f t="shared" si="926"/>
        <v>1</v>
      </c>
      <c r="BF2996" s="195">
        <f t="shared" si="927"/>
        <v>0</v>
      </c>
      <c r="BG2996" s="373">
        <f t="shared" si="922"/>
        <v>1</v>
      </c>
    </row>
    <row r="2997" spans="1:59" s="46" customFormat="1" ht="15.95" customHeight="1">
      <c r="A2997" s="176">
        <v>76</v>
      </c>
      <c r="B2997" s="31" t="s">
        <v>814</v>
      </c>
      <c r="C2997" s="34" t="s">
        <v>1493</v>
      </c>
      <c r="D2997" s="231"/>
      <c r="E2997" s="231"/>
      <c r="F2997" s="231"/>
      <c r="G2997" s="231"/>
      <c r="H2997" s="231"/>
      <c r="I2997" s="231"/>
      <c r="J2997" s="231"/>
      <c r="K2997" s="231"/>
      <c r="L2997" s="231"/>
      <c r="M2997" s="231"/>
      <c r="N2997" s="231"/>
      <c r="O2997" s="231"/>
      <c r="P2997" s="231"/>
      <c r="Q2997" s="231"/>
      <c r="R2997" s="231"/>
      <c r="S2997" s="231"/>
      <c r="T2997" s="231"/>
      <c r="U2997" s="231"/>
      <c r="V2997" s="231"/>
      <c r="W2997" s="231"/>
      <c r="X2997" s="231"/>
      <c r="Y2997" s="231"/>
      <c r="Z2997" s="231"/>
      <c r="AA2997" s="231"/>
      <c r="AB2997" s="22">
        <f t="shared" si="923"/>
        <v>0</v>
      </c>
      <c r="AC2997" s="23">
        <v>0</v>
      </c>
      <c r="AD2997" s="35"/>
      <c r="AE2997" s="35"/>
      <c r="AF2997" s="35"/>
      <c r="AG2997" s="35"/>
      <c r="AH2997" s="35">
        <v>1</v>
      </c>
      <c r="AI2997" s="35"/>
      <c r="AJ2997" s="35"/>
      <c r="AK2997" s="35"/>
      <c r="AL2997" s="35">
        <v>42</v>
      </c>
      <c r="AM2997" s="35"/>
      <c r="AN2997" s="35"/>
      <c r="AO2997" s="35"/>
      <c r="AP2997" s="35">
        <v>29</v>
      </c>
      <c r="AQ2997" s="35"/>
      <c r="AR2997" s="35"/>
      <c r="AS2997" s="35"/>
      <c r="AT2997" s="35"/>
      <c r="AU2997" s="35"/>
      <c r="AV2997" s="35"/>
      <c r="AW2997" s="35"/>
      <c r="AX2997" s="35"/>
      <c r="AY2997" s="35"/>
      <c r="AZ2997" s="35"/>
      <c r="BA2997" s="35"/>
      <c r="BB2997" s="22">
        <f t="shared" si="924"/>
        <v>72</v>
      </c>
      <c r="BC2997" s="23">
        <v>304</v>
      </c>
      <c r="BD2997" s="130">
        <f t="shared" si="925"/>
        <v>72</v>
      </c>
      <c r="BE2997" s="130">
        <f t="shared" si="926"/>
        <v>304</v>
      </c>
      <c r="BF2997" s="195">
        <f t="shared" si="927"/>
        <v>23.684210526315788</v>
      </c>
      <c r="BG2997" s="373">
        <f t="shared" si="922"/>
        <v>232</v>
      </c>
    </row>
    <row r="2998" spans="1:59" s="46" customFormat="1" ht="15.95" customHeight="1">
      <c r="A2998" s="176">
        <v>77</v>
      </c>
      <c r="B2998" s="31" t="s">
        <v>1494</v>
      </c>
      <c r="C2998" s="34" t="s">
        <v>3215</v>
      </c>
      <c r="D2998" s="231"/>
      <c r="E2998" s="231"/>
      <c r="F2998" s="231"/>
      <c r="G2998" s="231"/>
      <c r="H2998" s="231">
        <v>18</v>
      </c>
      <c r="I2998" s="231"/>
      <c r="J2998" s="231"/>
      <c r="K2998" s="231"/>
      <c r="L2998" s="231">
        <v>47</v>
      </c>
      <c r="M2998" s="231"/>
      <c r="N2998" s="231"/>
      <c r="O2998" s="231"/>
      <c r="P2998" s="231"/>
      <c r="Q2998" s="231"/>
      <c r="R2998" s="231"/>
      <c r="S2998" s="231"/>
      <c r="T2998" s="231"/>
      <c r="U2998" s="231"/>
      <c r="V2998" s="231"/>
      <c r="W2998" s="231"/>
      <c r="X2998" s="231"/>
      <c r="Y2998" s="231"/>
      <c r="Z2998" s="231"/>
      <c r="AA2998" s="231"/>
      <c r="AB2998" s="22">
        <f t="shared" si="923"/>
        <v>65</v>
      </c>
      <c r="AC2998" s="23">
        <v>1</v>
      </c>
      <c r="AD2998" s="35"/>
      <c r="AE2998" s="35"/>
      <c r="AF2998" s="35"/>
      <c r="AG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  <c r="AX2998" s="35"/>
      <c r="AY2998" s="35"/>
      <c r="AZ2998" s="35"/>
      <c r="BA2998" s="35"/>
      <c r="BB2998" s="22">
        <f t="shared" si="924"/>
        <v>0</v>
      </c>
      <c r="BC2998" s="23">
        <v>0</v>
      </c>
      <c r="BD2998" s="130">
        <f t="shared" si="925"/>
        <v>65</v>
      </c>
      <c r="BE2998" s="130">
        <f t="shared" si="926"/>
        <v>1</v>
      </c>
      <c r="BF2998" s="195">
        <f t="shared" si="927"/>
        <v>6500</v>
      </c>
      <c r="BG2998" s="373">
        <f t="shared" si="922"/>
        <v>-64</v>
      </c>
    </row>
    <row r="2999" spans="1:59" s="46" customFormat="1" ht="15.95" customHeight="1">
      <c r="A2999" s="176">
        <v>78</v>
      </c>
      <c r="B2999" s="31" t="s">
        <v>1318</v>
      </c>
      <c r="C2999" s="34" t="s">
        <v>1319</v>
      </c>
      <c r="D2999" s="289">
        <v>23</v>
      </c>
      <c r="E2999" s="289"/>
      <c r="F2999" s="289"/>
      <c r="G2999" s="289"/>
      <c r="H2999" s="289"/>
      <c r="I2999" s="289"/>
      <c r="J2999" s="289"/>
      <c r="K2999" s="289"/>
      <c r="L2999" s="289"/>
      <c r="M2999" s="289"/>
      <c r="N2999" s="289"/>
      <c r="O2999" s="289"/>
      <c r="P2999" s="289">
        <v>39</v>
      </c>
      <c r="Q2999" s="289"/>
      <c r="R2999" s="289"/>
      <c r="S2999" s="289"/>
      <c r="T2999" s="289"/>
      <c r="U2999" s="289"/>
      <c r="V2999" s="289"/>
      <c r="W2999" s="289"/>
      <c r="X2999" s="289"/>
      <c r="Y2999" s="289"/>
      <c r="Z2999" s="289"/>
      <c r="AA2999" s="289"/>
      <c r="AB2999" s="22">
        <f t="shared" si="923"/>
        <v>62</v>
      </c>
      <c r="AC2999" s="23">
        <v>28</v>
      </c>
      <c r="AD2999" s="35"/>
      <c r="AE2999" s="35"/>
      <c r="AF2999" s="35"/>
      <c r="AG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  <c r="AX2999" s="35"/>
      <c r="AY2999" s="35"/>
      <c r="AZ2999" s="35"/>
      <c r="BA2999" s="35"/>
      <c r="BB2999" s="22">
        <f t="shared" si="924"/>
        <v>0</v>
      </c>
      <c r="BC2999" s="23">
        <v>0</v>
      </c>
      <c r="BD2999" s="130">
        <f t="shared" si="925"/>
        <v>62</v>
      </c>
      <c r="BE2999" s="130">
        <f t="shared" si="926"/>
        <v>28</v>
      </c>
      <c r="BF2999" s="195">
        <f t="shared" si="927"/>
        <v>221.42857142857144</v>
      </c>
      <c r="BG2999" s="373">
        <f t="shared" si="922"/>
        <v>-34</v>
      </c>
    </row>
    <row r="3000" spans="1:59" s="46" customFormat="1" ht="15.95" customHeight="1">
      <c r="A3000" s="176">
        <v>79</v>
      </c>
      <c r="B3000" s="31" t="s">
        <v>1495</v>
      </c>
      <c r="C3000" s="32" t="s">
        <v>1496</v>
      </c>
      <c r="D3000" s="231"/>
      <c r="E3000" s="231"/>
      <c r="F3000" s="231"/>
      <c r="G3000" s="231"/>
      <c r="H3000" s="231"/>
      <c r="I3000" s="231"/>
      <c r="J3000" s="231"/>
      <c r="K3000" s="231"/>
      <c r="L3000" s="231"/>
      <c r="M3000" s="231"/>
      <c r="N3000" s="231"/>
      <c r="O3000" s="231"/>
      <c r="P3000" s="231">
        <v>1</v>
      </c>
      <c r="Q3000" s="231"/>
      <c r="R3000" s="231"/>
      <c r="S3000" s="231"/>
      <c r="T3000" s="231"/>
      <c r="U3000" s="231"/>
      <c r="V3000" s="231"/>
      <c r="W3000" s="231"/>
      <c r="X3000" s="231"/>
      <c r="Y3000" s="231"/>
      <c r="Z3000" s="231"/>
      <c r="AA3000" s="231"/>
      <c r="AB3000" s="22">
        <f t="shared" si="923"/>
        <v>1</v>
      </c>
      <c r="AC3000" s="23">
        <v>0</v>
      </c>
      <c r="AD3000" s="35"/>
      <c r="AE3000" s="35"/>
      <c r="AF3000" s="35"/>
      <c r="AG3000" s="35"/>
      <c r="AH3000" s="35"/>
      <c r="AI3000" s="35"/>
      <c r="AJ3000" s="35"/>
      <c r="AK3000" s="35"/>
      <c r="AL3000" s="35">
        <v>1</v>
      </c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  <c r="AX3000" s="35"/>
      <c r="AY3000" s="35"/>
      <c r="AZ3000" s="35"/>
      <c r="BA3000" s="35"/>
      <c r="BB3000" s="22">
        <f t="shared" si="924"/>
        <v>1</v>
      </c>
      <c r="BC3000" s="23">
        <v>36</v>
      </c>
      <c r="BD3000" s="130">
        <f t="shared" si="925"/>
        <v>2</v>
      </c>
      <c r="BE3000" s="130">
        <f t="shared" si="926"/>
        <v>36</v>
      </c>
      <c r="BF3000" s="195">
        <f t="shared" si="927"/>
        <v>5.5555555555555554</v>
      </c>
      <c r="BG3000" s="373">
        <f t="shared" si="922"/>
        <v>34</v>
      </c>
    </row>
    <row r="3001" spans="1:59" s="46" customFormat="1" ht="15.95" customHeight="1">
      <c r="A3001" s="176">
        <v>80</v>
      </c>
      <c r="B3001" s="31" t="s">
        <v>2512</v>
      </c>
      <c r="C3001" s="32" t="s">
        <v>2513</v>
      </c>
      <c r="D3001" s="328"/>
      <c r="E3001" s="328"/>
      <c r="F3001" s="328"/>
      <c r="G3001" s="328"/>
      <c r="H3001" s="328"/>
      <c r="I3001" s="328"/>
      <c r="J3001" s="328"/>
      <c r="K3001" s="328"/>
      <c r="L3001" s="328"/>
      <c r="M3001" s="328"/>
      <c r="N3001" s="328"/>
      <c r="O3001" s="328"/>
      <c r="P3001" s="328"/>
      <c r="Q3001" s="328"/>
      <c r="R3001" s="328"/>
      <c r="S3001" s="328"/>
      <c r="T3001" s="328"/>
      <c r="U3001" s="328"/>
      <c r="V3001" s="328"/>
      <c r="W3001" s="328"/>
      <c r="X3001" s="328"/>
      <c r="Y3001" s="328"/>
      <c r="Z3001" s="328"/>
      <c r="AA3001" s="328"/>
      <c r="AB3001" s="22">
        <f t="shared" si="923"/>
        <v>0</v>
      </c>
      <c r="AC3001" s="23">
        <v>0</v>
      </c>
      <c r="AD3001" s="35"/>
      <c r="AE3001" s="35"/>
      <c r="AF3001" s="35"/>
      <c r="AG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  <c r="AX3001" s="35"/>
      <c r="AY3001" s="35"/>
      <c r="AZ3001" s="35"/>
      <c r="BA3001" s="35"/>
      <c r="BB3001" s="22">
        <f t="shared" si="924"/>
        <v>0</v>
      </c>
      <c r="BC3001" s="23">
        <v>1</v>
      </c>
      <c r="BD3001" s="130">
        <f t="shared" si="925"/>
        <v>0</v>
      </c>
      <c r="BE3001" s="130">
        <f t="shared" si="926"/>
        <v>1</v>
      </c>
      <c r="BF3001" s="195">
        <f t="shared" si="927"/>
        <v>0</v>
      </c>
      <c r="BG3001" s="373">
        <f t="shared" si="922"/>
        <v>1</v>
      </c>
    </row>
    <row r="3002" spans="1:59" s="46" customFormat="1" ht="15.95" customHeight="1">
      <c r="A3002" s="176">
        <v>81</v>
      </c>
      <c r="B3002" s="31" t="s">
        <v>1569</v>
      </c>
      <c r="C3002" s="32" t="s">
        <v>1733</v>
      </c>
      <c r="D3002" s="231"/>
      <c r="E3002" s="231"/>
      <c r="F3002" s="231"/>
      <c r="G3002" s="231"/>
      <c r="H3002" s="231"/>
      <c r="I3002" s="231"/>
      <c r="J3002" s="231"/>
      <c r="K3002" s="231"/>
      <c r="L3002" s="231"/>
      <c r="M3002" s="231"/>
      <c r="N3002" s="231"/>
      <c r="O3002" s="231"/>
      <c r="P3002" s="231"/>
      <c r="Q3002" s="231"/>
      <c r="R3002" s="231"/>
      <c r="S3002" s="231"/>
      <c r="T3002" s="231"/>
      <c r="U3002" s="231"/>
      <c r="V3002" s="231"/>
      <c r="W3002" s="231"/>
      <c r="X3002" s="231"/>
      <c r="Y3002" s="231"/>
      <c r="Z3002" s="231"/>
      <c r="AA3002" s="231"/>
      <c r="AB3002" s="22">
        <f t="shared" si="923"/>
        <v>0</v>
      </c>
      <c r="AC3002" s="23">
        <v>1</v>
      </c>
      <c r="AD3002" s="35"/>
      <c r="AE3002" s="35"/>
      <c r="AF3002" s="35"/>
      <c r="AG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  <c r="AX3002" s="35"/>
      <c r="AY3002" s="35"/>
      <c r="AZ3002" s="35"/>
      <c r="BA3002" s="35"/>
      <c r="BB3002" s="22">
        <f t="shared" si="924"/>
        <v>0</v>
      </c>
      <c r="BC3002" s="23">
        <v>0</v>
      </c>
      <c r="BD3002" s="130">
        <f t="shared" si="925"/>
        <v>0</v>
      </c>
      <c r="BE3002" s="130">
        <f t="shared" si="926"/>
        <v>1</v>
      </c>
      <c r="BF3002" s="195">
        <f t="shared" si="927"/>
        <v>0</v>
      </c>
      <c r="BG3002" s="373">
        <f t="shared" si="922"/>
        <v>1</v>
      </c>
    </row>
    <row r="3003" spans="1:59" s="46" customFormat="1" ht="15.95" customHeight="1">
      <c r="A3003" s="176">
        <v>82</v>
      </c>
      <c r="B3003" s="31" t="s">
        <v>1571</v>
      </c>
      <c r="C3003" s="32" t="s">
        <v>1734</v>
      </c>
      <c r="D3003" s="231"/>
      <c r="E3003" s="231"/>
      <c r="F3003" s="231"/>
      <c r="G3003" s="231"/>
      <c r="H3003" s="231"/>
      <c r="I3003" s="231"/>
      <c r="J3003" s="231"/>
      <c r="K3003" s="231"/>
      <c r="L3003" s="231"/>
      <c r="M3003" s="231"/>
      <c r="N3003" s="231"/>
      <c r="O3003" s="231"/>
      <c r="P3003" s="231"/>
      <c r="Q3003" s="231"/>
      <c r="R3003" s="231"/>
      <c r="S3003" s="231"/>
      <c r="T3003" s="231"/>
      <c r="U3003" s="231"/>
      <c r="V3003" s="231"/>
      <c r="W3003" s="231"/>
      <c r="X3003" s="231"/>
      <c r="Y3003" s="231"/>
      <c r="Z3003" s="231"/>
      <c r="AA3003" s="231"/>
      <c r="AB3003" s="22">
        <f t="shared" si="923"/>
        <v>0</v>
      </c>
      <c r="AC3003" s="23">
        <v>1</v>
      </c>
      <c r="AD3003" s="35"/>
      <c r="AE3003" s="35"/>
      <c r="AF3003" s="35"/>
      <c r="AG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  <c r="AX3003" s="35"/>
      <c r="AY3003" s="35"/>
      <c r="AZ3003" s="35"/>
      <c r="BA3003" s="35"/>
      <c r="BB3003" s="22">
        <f t="shared" si="924"/>
        <v>0</v>
      </c>
      <c r="BC3003" s="23">
        <v>0</v>
      </c>
      <c r="BD3003" s="130">
        <f t="shared" si="925"/>
        <v>0</v>
      </c>
      <c r="BE3003" s="130">
        <f t="shared" si="926"/>
        <v>1</v>
      </c>
      <c r="BF3003" s="195">
        <f t="shared" si="927"/>
        <v>0</v>
      </c>
      <c r="BG3003" s="373">
        <f t="shared" si="922"/>
        <v>1</v>
      </c>
    </row>
    <row r="3004" spans="1:59" s="46" customFormat="1" ht="15.95" customHeight="1">
      <c r="A3004" s="176">
        <v>83</v>
      </c>
      <c r="B3004" s="31" t="s">
        <v>1573</v>
      </c>
      <c r="C3004" s="32" t="s">
        <v>2837</v>
      </c>
      <c r="D3004" s="327"/>
      <c r="E3004" s="327"/>
      <c r="F3004" s="327"/>
      <c r="G3004" s="327"/>
      <c r="H3004" s="327"/>
      <c r="I3004" s="327"/>
      <c r="J3004" s="327"/>
      <c r="K3004" s="327"/>
      <c r="L3004" s="327"/>
      <c r="M3004" s="327"/>
      <c r="N3004" s="327"/>
      <c r="O3004" s="327"/>
      <c r="P3004" s="327"/>
      <c r="Q3004" s="327"/>
      <c r="R3004" s="327"/>
      <c r="S3004" s="327"/>
      <c r="T3004" s="327"/>
      <c r="U3004" s="327"/>
      <c r="V3004" s="327"/>
      <c r="W3004" s="327"/>
      <c r="X3004" s="327"/>
      <c r="Y3004" s="327"/>
      <c r="Z3004" s="327"/>
      <c r="AA3004" s="327"/>
      <c r="AB3004" s="22">
        <f t="shared" si="923"/>
        <v>0</v>
      </c>
      <c r="AC3004" s="23">
        <v>1</v>
      </c>
      <c r="AD3004" s="35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  <c r="AX3004" s="35"/>
      <c r="AY3004" s="35"/>
      <c r="AZ3004" s="35"/>
      <c r="BA3004" s="35"/>
      <c r="BB3004" s="22">
        <f t="shared" si="924"/>
        <v>0</v>
      </c>
      <c r="BC3004" s="23">
        <v>0</v>
      </c>
      <c r="BD3004" s="130">
        <f t="shared" si="925"/>
        <v>0</v>
      </c>
      <c r="BE3004" s="130">
        <f t="shared" si="926"/>
        <v>1</v>
      </c>
      <c r="BF3004" s="195">
        <f t="shared" si="927"/>
        <v>0</v>
      </c>
      <c r="BG3004" s="373">
        <f t="shared" si="922"/>
        <v>1</v>
      </c>
    </row>
    <row r="3005" spans="1:59" s="46" customFormat="1" ht="15.95" customHeight="1">
      <c r="A3005" s="176">
        <v>84</v>
      </c>
      <c r="B3005" s="31" t="s">
        <v>1575</v>
      </c>
      <c r="C3005" s="32" t="s">
        <v>1736</v>
      </c>
      <c r="D3005" s="276"/>
      <c r="E3005" s="276"/>
      <c r="F3005" s="276"/>
      <c r="G3005" s="276"/>
      <c r="H3005" s="276"/>
      <c r="I3005" s="276"/>
      <c r="J3005" s="276"/>
      <c r="K3005" s="276"/>
      <c r="L3005" s="276"/>
      <c r="M3005" s="276"/>
      <c r="N3005" s="276"/>
      <c r="O3005" s="276"/>
      <c r="P3005" s="276"/>
      <c r="Q3005" s="276"/>
      <c r="R3005" s="276"/>
      <c r="S3005" s="276"/>
      <c r="T3005" s="276"/>
      <c r="U3005" s="276"/>
      <c r="V3005" s="276"/>
      <c r="W3005" s="276"/>
      <c r="X3005" s="276"/>
      <c r="Y3005" s="276"/>
      <c r="Z3005" s="276"/>
      <c r="AA3005" s="276"/>
      <c r="AB3005" s="22">
        <f t="shared" si="923"/>
        <v>0</v>
      </c>
      <c r="AC3005" s="23">
        <v>1</v>
      </c>
      <c r="AD3005" s="35"/>
      <c r="AE3005" s="35"/>
      <c r="AF3005" s="35"/>
      <c r="AG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  <c r="AX3005" s="35"/>
      <c r="AY3005" s="35"/>
      <c r="AZ3005" s="35"/>
      <c r="BA3005" s="35"/>
      <c r="BB3005" s="22">
        <f t="shared" si="924"/>
        <v>0</v>
      </c>
      <c r="BC3005" s="23">
        <v>0</v>
      </c>
      <c r="BD3005" s="130">
        <f t="shared" si="925"/>
        <v>0</v>
      </c>
      <c r="BE3005" s="130">
        <f t="shared" si="926"/>
        <v>1</v>
      </c>
      <c r="BF3005" s="195">
        <f t="shared" si="927"/>
        <v>0</v>
      </c>
      <c r="BG3005" s="373">
        <f t="shared" si="922"/>
        <v>1</v>
      </c>
    </row>
    <row r="3006" spans="1:59" s="46" customFormat="1" ht="15.95" customHeight="1">
      <c r="A3006" s="176">
        <v>85</v>
      </c>
      <c r="B3006" s="31" t="s">
        <v>1577</v>
      </c>
      <c r="C3006" s="32" t="s">
        <v>1737</v>
      </c>
      <c r="D3006" s="276"/>
      <c r="E3006" s="276"/>
      <c r="F3006" s="276"/>
      <c r="G3006" s="276"/>
      <c r="H3006" s="276"/>
      <c r="I3006" s="276"/>
      <c r="J3006" s="276"/>
      <c r="K3006" s="276"/>
      <c r="L3006" s="276"/>
      <c r="M3006" s="276"/>
      <c r="N3006" s="276"/>
      <c r="O3006" s="276"/>
      <c r="P3006" s="276"/>
      <c r="Q3006" s="276"/>
      <c r="R3006" s="276"/>
      <c r="S3006" s="276"/>
      <c r="T3006" s="276"/>
      <c r="U3006" s="276"/>
      <c r="V3006" s="276"/>
      <c r="W3006" s="276"/>
      <c r="X3006" s="276"/>
      <c r="Y3006" s="276"/>
      <c r="Z3006" s="276"/>
      <c r="AA3006" s="276"/>
      <c r="AB3006" s="22">
        <f t="shared" si="923"/>
        <v>0</v>
      </c>
      <c r="AC3006" s="23">
        <v>1</v>
      </c>
      <c r="AD3006" s="35"/>
      <c r="AE3006" s="35"/>
      <c r="AF3006" s="35"/>
      <c r="AG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  <c r="AX3006" s="35"/>
      <c r="AY3006" s="35"/>
      <c r="AZ3006" s="35"/>
      <c r="BA3006" s="35"/>
      <c r="BB3006" s="22">
        <f t="shared" si="924"/>
        <v>0</v>
      </c>
      <c r="BC3006" s="23">
        <v>0</v>
      </c>
      <c r="BD3006" s="130">
        <f t="shared" si="925"/>
        <v>0</v>
      </c>
      <c r="BE3006" s="130">
        <f t="shared" si="926"/>
        <v>1</v>
      </c>
      <c r="BF3006" s="195">
        <f t="shared" si="927"/>
        <v>0</v>
      </c>
      <c r="BG3006" s="373">
        <f t="shared" si="922"/>
        <v>1</v>
      </c>
    </row>
    <row r="3007" spans="1:59" s="46" customFormat="1" ht="15.95" customHeight="1">
      <c r="A3007" s="176">
        <v>86</v>
      </c>
      <c r="B3007" s="31" t="s">
        <v>1097</v>
      </c>
      <c r="C3007" s="32" t="s">
        <v>1098</v>
      </c>
      <c r="D3007" s="276"/>
      <c r="E3007" s="276"/>
      <c r="F3007" s="276"/>
      <c r="G3007" s="276"/>
      <c r="H3007" s="276"/>
      <c r="I3007" s="276"/>
      <c r="J3007" s="276"/>
      <c r="K3007" s="276"/>
      <c r="L3007" s="276"/>
      <c r="M3007" s="276"/>
      <c r="N3007" s="276"/>
      <c r="O3007" s="276"/>
      <c r="P3007" s="276"/>
      <c r="Q3007" s="276"/>
      <c r="R3007" s="276"/>
      <c r="S3007" s="276"/>
      <c r="T3007" s="276"/>
      <c r="U3007" s="276"/>
      <c r="V3007" s="276"/>
      <c r="W3007" s="276"/>
      <c r="X3007" s="276"/>
      <c r="Y3007" s="276"/>
      <c r="Z3007" s="276"/>
      <c r="AA3007" s="276"/>
      <c r="AB3007" s="22">
        <f t="shared" si="923"/>
        <v>0</v>
      </c>
      <c r="AC3007" s="23">
        <v>1</v>
      </c>
      <c r="AD3007" s="35"/>
      <c r="AE3007" s="35"/>
      <c r="AF3007" s="35"/>
      <c r="AG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  <c r="AX3007" s="35"/>
      <c r="AY3007" s="35"/>
      <c r="AZ3007" s="35"/>
      <c r="BA3007" s="35"/>
      <c r="BB3007" s="22">
        <f t="shared" si="924"/>
        <v>0</v>
      </c>
      <c r="BC3007" s="23">
        <v>0</v>
      </c>
      <c r="BD3007" s="130">
        <f t="shared" si="925"/>
        <v>0</v>
      </c>
      <c r="BE3007" s="130">
        <f t="shared" si="926"/>
        <v>1</v>
      </c>
      <c r="BF3007" s="195">
        <f t="shared" si="927"/>
        <v>0</v>
      </c>
      <c r="BG3007" s="373">
        <f t="shared" si="922"/>
        <v>1</v>
      </c>
    </row>
    <row r="3008" spans="1:59" s="46" customFormat="1" ht="15.95" customHeight="1">
      <c r="A3008" s="176">
        <v>87</v>
      </c>
      <c r="B3008" s="31" t="s">
        <v>819</v>
      </c>
      <c r="C3008" s="32" t="s">
        <v>1074</v>
      </c>
      <c r="D3008" s="276"/>
      <c r="E3008" s="276"/>
      <c r="F3008" s="276"/>
      <c r="G3008" s="276"/>
      <c r="H3008" s="276"/>
      <c r="I3008" s="276"/>
      <c r="J3008" s="276"/>
      <c r="K3008" s="276"/>
      <c r="L3008" s="276"/>
      <c r="M3008" s="276"/>
      <c r="N3008" s="276"/>
      <c r="O3008" s="276"/>
      <c r="P3008" s="276"/>
      <c r="Q3008" s="276"/>
      <c r="R3008" s="276"/>
      <c r="S3008" s="276"/>
      <c r="T3008" s="276"/>
      <c r="U3008" s="276"/>
      <c r="V3008" s="276"/>
      <c r="W3008" s="276"/>
      <c r="X3008" s="276"/>
      <c r="Y3008" s="276"/>
      <c r="Z3008" s="276"/>
      <c r="AA3008" s="276"/>
      <c r="AB3008" s="22">
        <f t="shared" si="923"/>
        <v>0</v>
      </c>
      <c r="AC3008" s="23">
        <v>0</v>
      </c>
      <c r="AD3008" s="35"/>
      <c r="AE3008" s="35"/>
      <c r="AF3008" s="35"/>
      <c r="AG3008" s="35"/>
      <c r="AH3008" s="35">
        <f>1+262</f>
        <v>263</v>
      </c>
      <c r="AI3008" s="35"/>
      <c r="AJ3008" s="35"/>
      <c r="AK3008" s="35"/>
      <c r="AL3008" s="35">
        <f>1+1019</f>
        <v>1020</v>
      </c>
      <c r="AM3008" s="35"/>
      <c r="AN3008" s="35"/>
      <c r="AO3008" s="35"/>
      <c r="AP3008" s="35">
        <f>6+706</f>
        <v>712</v>
      </c>
      <c r="AQ3008" s="35"/>
      <c r="AR3008" s="35"/>
      <c r="AS3008" s="35"/>
      <c r="AT3008" s="35"/>
      <c r="AU3008" s="35"/>
      <c r="AV3008" s="35"/>
      <c r="AW3008" s="35"/>
      <c r="AX3008" s="35"/>
      <c r="AY3008" s="35"/>
      <c r="AZ3008" s="35"/>
      <c r="BA3008" s="35"/>
      <c r="BB3008" s="22">
        <f t="shared" si="924"/>
        <v>1995</v>
      </c>
      <c r="BC3008" s="23">
        <v>4522</v>
      </c>
      <c r="BD3008" s="130">
        <f t="shared" si="925"/>
        <v>1995</v>
      </c>
      <c r="BE3008" s="130">
        <f t="shared" si="926"/>
        <v>4522</v>
      </c>
      <c r="BF3008" s="195">
        <f t="shared" si="927"/>
        <v>44.117647058823529</v>
      </c>
      <c r="BG3008" s="373">
        <f t="shared" si="922"/>
        <v>2527</v>
      </c>
    </row>
    <row r="3009" spans="1:59" s="46" customFormat="1" ht="15.95" customHeight="1">
      <c r="A3009" s="176">
        <v>88</v>
      </c>
      <c r="B3009" s="31" t="s">
        <v>1324</v>
      </c>
      <c r="C3009" s="32" t="s">
        <v>1325</v>
      </c>
      <c r="D3009" s="276">
        <v>3</v>
      </c>
      <c r="E3009" s="276"/>
      <c r="F3009" s="276"/>
      <c r="G3009" s="276"/>
      <c r="H3009" s="276">
        <v>2</v>
      </c>
      <c r="I3009" s="276"/>
      <c r="J3009" s="276"/>
      <c r="K3009" s="276"/>
      <c r="L3009" s="276">
        <v>7</v>
      </c>
      <c r="M3009" s="276"/>
      <c r="N3009" s="276"/>
      <c r="O3009" s="276"/>
      <c r="P3009" s="276">
        <v>5</v>
      </c>
      <c r="Q3009" s="276"/>
      <c r="R3009" s="276"/>
      <c r="S3009" s="276"/>
      <c r="T3009" s="276"/>
      <c r="U3009" s="276"/>
      <c r="V3009" s="276"/>
      <c r="W3009" s="276"/>
      <c r="X3009" s="276"/>
      <c r="Y3009" s="276"/>
      <c r="Z3009" s="276"/>
      <c r="AA3009" s="276"/>
      <c r="AB3009" s="22">
        <f t="shared" si="923"/>
        <v>17</v>
      </c>
      <c r="AC3009" s="23">
        <v>14</v>
      </c>
      <c r="AD3009" s="35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  <c r="AX3009" s="35"/>
      <c r="AY3009" s="35"/>
      <c r="AZ3009" s="35"/>
      <c r="BA3009" s="35"/>
      <c r="BB3009" s="22">
        <f t="shared" si="924"/>
        <v>0</v>
      </c>
      <c r="BC3009" s="23">
        <v>0</v>
      </c>
      <c r="BD3009" s="130">
        <f t="shared" si="925"/>
        <v>17</v>
      </c>
      <c r="BE3009" s="130">
        <f t="shared" si="926"/>
        <v>14</v>
      </c>
      <c r="BF3009" s="195">
        <f t="shared" si="927"/>
        <v>121.42857142857142</v>
      </c>
      <c r="BG3009" s="373">
        <f t="shared" si="922"/>
        <v>-3</v>
      </c>
    </row>
    <row r="3010" spans="1:59" s="46" customFormat="1" ht="15.95" customHeight="1">
      <c r="A3010" s="176">
        <v>89</v>
      </c>
      <c r="B3010" s="31" t="s">
        <v>1047</v>
      </c>
      <c r="C3010" s="32" t="s">
        <v>1326</v>
      </c>
      <c r="D3010" s="366"/>
      <c r="E3010" s="366"/>
      <c r="F3010" s="366"/>
      <c r="G3010" s="366"/>
      <c r="H3010" s="366">
        <v>2</v>
      </c>
      <c r="I3010" s="366"/>
      <c r="J3010" s="366"/>
      <c r="K3010" s="366"/>
      <c r="L3010" s="366">
        <v>5</v>
      </c>
      <c r="M3010" s="366"/>
      <c r="N3010" s="366"/>
      <c r="O3010" s="366"/>
      <c r="P3010" s="366">
        <v>7</v>
      </c>
      <c r="Q3010" s="366"/>
      <c r="R3010" s="366"/>
      <c r="S3010" s="366"/>
      <c r="T3010" s="366"/>
      <c r="U3010" s="366"/>
      <c r="V3010" s="366"/>
      <c r="W3010" s="366"/>
      <c r="X3010" s="366"/>
      <c r="Y3010" s="366"/>
      <c r="Z3010" s="366"/>
      <c r="AA3010" s="366"/>
      <c r="AB3010" s="22">
        <f t="shared" si="923"/>
        <v>14</v>
      </c>
      <c r="AC3010" s="23">
        <v>5</v>
      </c>
      <c r="AD3010" s="35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  <c r="AX3010" s="35"/>
      <c r="AY3010" s="35"/>
      <c r="AZ3010" s="35"/>
      <c r="BA3010" s="35"/>
      <c r="BB3010" s="22">
        <f t="shared" si="924"/>
        <v>0</v>
      </c>
      <c r="BC3010" s="23">
        <v>1</v>
      </c>
      <c r="BD3010" s="130">
        <f t="shared" si="925"/>
        <v>14</v>
      </c>
      <c r="BE3010" s="130">
        <f t="shared" si="926"/>
        <v>6</v>
      </c>
      <c r="BF3010" s="195">
        <f t="shared" si="927"/>
        <v>233.33333333333334</v>
      </c>
      <c r="BG3010" s="373">
        <f t="shared" si="922"/>
        <v>-8</v>
      </c>
    </row>
    <row r="3011" spans="1:59" s="46" customFormat="1" ht="15.95" customHeight="1">
      <c r="A3011" s="176">
        <v>90</v>
      </c>
      <c r="B3011" s="31" t="s">
        <v>1327</v>
      </c>
      <c r="C3011" s="32" t="s">
        <v>1328</v>
      </c>
      <c r="D3011" s="366"/>
      <c r="E3011" s="366"/>
      <c r="F3011" s="366"/>
      <c r="G3011" s="366"/>
      <c r="H3011" s="366">
        <v>2</v>
      </c>
      <c r="I3011" s="366"/>
      <c r="J3011" s="366"/>
      <c r="K3011" s="366"/>
      <c r="L3011" s="366">
        <v>4</v>
      </c>
      <c r="M3011" s="366"/>
      <c r="N3011" s="366"/>
      <c r="O3011" s="366"/>
      <c r="P3011" s="366">
        <v>4</v>
      </c>
      <c r="Q3011" s="366"/>
      <c r="R3011" s="366"/>
      <c r="S3011" s="366"/>
      <c r="T3011" s="366"/>
      <c r="U3011" s="366"/>
      <c r="V3011" s="366"/>
      <c r="W3011" s="366"/>
      <c r="X3011" s="366"/>
      <c r="Y3011" s="366"/>
      <c r="Z3011" s="366"/>
      <c r="AA3011" s="366"/>
      <c r="AB3011" s="22">
        <f t="shared" si="923"/>
        <v>10</v>
      </c>
      <c r="AC3011" s="23">
        <v>4</v>
      </c>
      <c r="AD3011" s="35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  <c r="AX3011" s="35"/>
      <c r="AY3011" s="35"/>
      <c r="AZ3011" s="35"/>
      <c r="BA3011" s="35"/>
      <c r="BB3011" s="22">
        <f t="shared" si="924"/>
        <v>0</v>
      </c>
      <c r="BC3011" s="23">
        <v>0</v>
      </c>
      <c r="BD3011" s="130">
        <f t="shared" si="925"/>
        <v>10</v>
      </c>
      <c r="BE3011" s="130">
        <f t="shared" si="926"/>
        <v>4</v>
      </c>
      <c r="BF3011" s="195">
        <f t="shared" si="927"/>
        <v>250</v>
      </c>
      <c r="BG3011" s="373">
        <f t="shared" si="922"/>
        <v>-6</v>
      </c>
    </row>
    <row r="3012" spans="1:59" s="46" customFormat="1" ht="15.95" customHeight="1">
      <c r="A3012" s="176">
        <v>91</v>
      </c>
      <c r="B3012" s="31" t="s">
        <v>945</v>
      </c>
      <c r="C3012" s="32" t="s">
        <v>946</v>
      </c>
      <c r="D3012" s="366"/>
      <c r="E3012" s="366"/>
      <c r="F3012" s="366"/>
      <c r="G3012" s="366"/>
      <c r="H3012" s="366"/>
      <c r="I3012" s="366"/>
      <c r="J3012" s="366"/>
      <c r="K3012" s="366"/>
      <c r="L3012" s="366"/>
      <c r="M3012" s="366"/>
      <c r="N3012" s="366"/>
      <c r="O3012" s="366"/>
      <c r="P3012" s="366"/>
      <c r="Q3012" s="366"/>
      <c r="R3012" s="366"/>
      <c r="S3012" s="366"/>
      <c r="T3012" s="366"/>
      <c r="U3012" s="366"/>
      <c r="V3012" s="366"/>
      <c r="W3012" s="366"/>
      <c r="X3012" s="366"/>
      <c r="Y3012" s="366"/>
      <c r="Z3012" s="366"/>
      <c r="AA3012" s="366"/>
      <c r="AB3012" s="22">
        <f t="shared" si="923"/>
        <v>0</v>
      </c>
      <c r="AC3012" s="23">
        <v>0</v>
      </c>
      <c r="AD3012" s="35"/>
      <c r="AE3012" s="35"/>
      <c r="AF3012" s="35"/>
      <c r="AG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  <c r="AX3012" s="35"/>
      <c r="AY3012" s="35"/>
      <c r="AZ3012" s="35"/>
      <c r="BA3012" s="35"/>
      <c r="BB3012" s="22">
        <f t="shared" si="924"/>
        <v>0</v>
      </c>
      <c r="BC3012" s="23">
        <v>1</v>
      </c>
      <c r="BD3012" s="130">
        <f t="shared" si="925"/>
        <v>0</v>
      </c>
      <c r="BE3012" s="130">
        <f t="shared" si="926"/>
        <v>1</v>
      </c>
      <c r="BF3012" s="195">
        <f t="shared" si="927"/>
        <v>0</v>
      </c>
      <c r="BG3012" s="373">
        <f t="shared" si="922"/>
        <v>1</v>
      </c>
    </row>
    <row r="3013" spans="1:59" s="46" customFormat="1" ht="15.95" customHeight="1">
      <c r="A3013" s="176">
        <v>92</v>
      </c>
      <c r="B3013" s="31" t="s">
        <v>1375</v>
      </c>
      <c r="C3013" s="32" t="s">
        <v>3203</v>
      </c>
      <c r="D3013" s="366"/>
      <c r="E3013" s="366"/>
      <c r="F3013" s="366"/>
      <c r="G3013" s="366"/>
      <c r="H3013" s="366"/>
      <c r="I3013" s="366"/>
      <c r="J3013" s="366"/>
      <c r="K3013" s="366"/>
      <c r="L3013" s="366"/>
      <c r="M3013" s="366"/>
      <c r="N3013" s="366"/>
      <c r="O3013" s="366"/>
      <c r="P3013" s="366"/>
      <c r="Q3013" s="366"/>
      <c r="R3013" s="366"/>
      <c r="S3013" s="366"/>
      <c r="T3013" s="366"/>
      <c r="U3013" s="366"/>
      <c r="V3013" s="366"/>
      <c r="W3013" s="366"/>
      <c r="X3013" s="366"/>
      <c r="Y3013" s="366"/>
      <c r="Z3013" s="366"/>
      <c r="AA3013" s="366"/>
      <c r="AB3013" s="22">
        <f t="shared" si="923"/>
        <v>0</v>
      </c>
      <c r="AC3013" s="23">
        <v>0</v>
      </c>
      <c r="AD3013" s="35"/>
      <c r="AE3013" s="35"/>
      <c r="AF3013" s="35"/>
      <c r="AG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  <c r="AX3013" s="35"/>
      <c r="AY3013" s="35"/>
      <c r="AZ3013" s="35"/>
      <c r="BA3013" s="35"/>
      <c r="BB3013" s="22">
        <f t="shared" si="924"/>
        <v>0</v>
      </c>
      <c r="BC3013" s="23">
        <v>4</v>
      </c>
      <c r="BD3013" s="130">
        <f t="shared" si="925"/>
        <v>0</v>
      </c>
      <c r="BE3013" s="130">
        <f t="shared" si="926"/>
        <v>4</v>
      </c>
      <c r="BF3013" s="195">
        <f t="shared" si="927"/>
        <v>0</v>
      </c>
      <c r="BG3013" s="373">
        <f t="shared" si="922"/>
        <v>4</v>
      </c>
    </row>
    <row r="3014" spans="1:59" s="46" customFormat="1" ht="15.95" customHeight="1">
      <c r="A3014" s="176">
        <v>93</v>
      </c>
      <c r="B3014" s="31" t="s">
        <v>1099</v>
      </c>
      <c r="C3014" s="32" t="s">
        <v>1100</v>
      </c>
      <c r="D3014" s="231"/>
      <c r="E3014" s="231"/>
      <c r="F3014" s="231"/>
      <c r="G3014" s="231"/>
      <c r="H3014" s="231"/>
      <c r="I3014" s="231"/>
      <c r="J3014" s="231"/>
      <c r="K3014" s="231"/>
      <c r="L3014" s="231"/>
      <c r="M3014" s="231"/>
      <c r="N3014" s="231"/>
      <c r="O3014" s="231"/>
      <c r="P3014" s="231"/>
      <c r="Q3014" s="231"/>
      <c r="R3014" s="231"/>
      <c r="S3014" s="231"/>
      <c r="T3014" s="231"/>
      <c r="U3014" s="231"/>
      <c r="V3014" s="231"/>
      <c r="W3014" s="231"/>
      <c r="X3014" s="231"/>
      <c r="Y3014" s="231"/>
      <c r="Z3014" s="231"/>
      <c r="AA3014" s="231"/>
      <c r="AB3014" s="22">
        <f t="shared" si="923"/>
        <v>0</v>
      </c>
      <c r="AC3014" s="23">
        <v>0</v>
      </c>
      <c r="AD3014" s="35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  <c r="AX3014" s="35"/>
      <c r="AY3014" s="35"/>
      <c r="AZ3014" s="35"/>
      <c r="BA3014" s="35"/>
      <c r="BB3014" s="22">
        <f t="shared" si="924"/>
        <v>0</v>
      </c>
      <c r="BC3014" s="23">
        <v>22</v>
      </c>
      <c r="BD3014" s="130">
        <f t="shared" si="925"/>
        <v>0</v>
      </c>
      <c r="BE3014" s="130">
        <f t="shared" si="926"/>
        <v>22</v>
      </c>
      <c r="BF3014" s="195">
        <f t="shared" si="927"/>
        <v>0</v>
      </c>
      <c r="BG3014" s="373">
        <f t="shared" si="922"/>
        <v>22</v>
      </c>
    </row>
    <row r="3015" spans="1:59" s="46" customFormat="1" ht="15.95" customHeight="1">
      <c r="A3015" s="176">
        <v>94</v>
      </c>
      <c r="B3015" s="31" t="s">
        <v>821</v>
      </c>
      <c r="C3015" s="32" t="s">
        <v>1594</v>
      </c>
      <c r="D3015" s="231"/>
      <c r="E3015" s="231"/>
      <c r="F3015" s="231"/>
      <c r="G3015" s="231"/>
      <c r="H3015" s="231"/>
      <c r="I3015" s="231"/>
      <c r="J3015" s="231"/>
      <c r="K3015" s="231"/>
      <c r="L3015" s="231"/>
      <c r="M3015" s="231"/>
      <c r="N3015" s="231"/>
      <c r="O3015" s="231"/>
      <c r="P3015" s="231"/>
      <c r="Q3015" s="231"/>
      <c r="R3015" s="231"/>
      <c r="S3015" s="231"/>
      <c r="T3015" s="231"/>
      <c r="U3015" s="231"/>
      <c r="V3015" s="231"/>
      <c r="W3015" s="231"/>
      <c r="X3015" s="231"/>
      <c r="Y3015" s="231"/>
      <c r="Z3015" s="231"/>
      <c r="AA3015" s="231"/>
      <c r="AB3015" s="22">
        <f t="shared" si="923"/>
        <v>0</v>
      </c>
      <c r="AC3015" s="23">
        <v>0</v>
      </c>
      <c r="AD3015" s="35"/>
      <c r="AE3015" s="35"/>
      <c r="AF3015" s="35"/>
      <c r="AG3015" s="35"/>
      <c r="AH3015" s="35">
        <v>2</v>
      </c>
      <c r="AI3015" s="35"/>
      <c r="AJ3015" s="35"/>
      <c r="AK3015" s="35"/>
      <c r="AL3015" s="35">
        <v>6</v>
      </c>
      <c r="AM3015" s="35"/>
      <c r="AN3015" s="35"/>
      <c r="AO3015" s="35"/>
      <c r="AP3015" s="35">
        <v>14</v>
      </c>
      <c r="AQ3015" s="35"/>
      <c r="AR3015" s="35"/>
      <c r="AS3015" s="35"/>
      <c r="AT3015" s="35"/>
      <c r="AU3015" s="35"/>
      <c r="AV3015" s="35"/>
      <c r="AW3015" s="35"/>
      <c r="AX3015" s="35"/>
      <c r="AY3015" s="35"/>
      <c r="AZ3015" s="35"/>
      <c r="BA3015" s="35"/>
      <c r="BB3015" s="22">
        <f t="shared" si="924"/>
        <v>22</v>
      </c>
      <c r="BC3015" s="23">
        <v>16</v>
      </c>
      <c r="BD3015" s="130">
        <f t="shared" si="925"/>
        <v>22</v>
      </c>
      <c r="BE3015" s="130">
        <f t="shared" si="926"/>
        <v>16</v>
      </c>
      <c r="BF3015" s="195">
        <f t="shared" si="927"/>
        <v>137.5</v>
      </c>
      <c r="BG3015" s="373">
        <f t="shared" si="922"/>
        <v>-6</v>
      </c>
    </row>
    <row r="3016" spans="1:59" s="46" customFormat="1" ht="15.95" customHeight="1">
      <c r="A3016" s="176">
        <v>95</v>
      </c>
      <c r="B3016" s="31" t="s">
        <v>1010</v>
      </c>
      <c r="C3016" s="32" t="s">
        <v>1011</v>
      </c>
      <c r="D3016" s="327"/>
      <c r="E3016" s="327"/>
      <c r="F3016" s="327"/>
      <c r="G3016" s="327"/>
      <c r="H3016" s="327"/>
      <c r="I3016" s="327"/>
      <c r="J3016" s="327"/>
      <c r="K3016" s="327"/>
      <c r="L3016" s="327"/>
      <c r="M3016" s="327"/>
      <c r="N3016" s="327"/>
      <c r="O3016" s="327"/>
      <c r="P3016" s="327"/>
      <c r="Q3016" s="327"/>
      <c r="R3016" s="327"/>
      <c r="S3016" s="327"/>
      <c r="T3016" s="327"/>
      <c r="U3016" s="327"/>
      <c r="V3016" s="327"/>
      <c r="W3016" s="327"/>
      <c r="X3016" s="327"/>
      <c r="Y3016" s="327"/>
      <c r="Z3016" s="327"/>
      <c r="AA3016" s="327"/>
      <c r="AB3016" s="22">
        <f t="shared" si="923"/>
        <v>0</v>
      </c>
      <c r="AC3016" s="23">
        <v>0</v>
      </c>
      <c r="AD3016" s="35"/>
      <c r="AE3016" s="35"/>
      <c r="AF3016" s="35"/>
      <c r="AG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  <c r="AX3016" s="35"/>
      <c r="AY3016" s="35"/>
      <c r="AZ3016" s="35"/>
      <c r="BA3016" s="35"/>
      <c r="BB3016" s="22">
        <f t="shared" si="924"/>
        <v>0</v>
      </c>
      <c r="BC3016" s="23">
        <v>1</v>
      </c>
      <c r="BD3016" s="130">
        <f t="shared" si="925"/>
        <v>0</v>
      </c>
      <c r="BE3016" s="130">
        <f t="shared" si="926"/>
        <v>1</v>
      </c>
      <c r="BF3016" s="195">
        <f t="shared" si="927"/>
        <v>0</v>
      </c>
      <c r="BG3016" s="373">
        <f t="shared" si="922"/>
        <v>1</v>
      </c>
    </row>
    <row r="3017" spans="1:59" s="46" customFormat="1" ht="15.95" customHeight="1">
      <c r="A3017" s="176">
        <v>96</v>
      </c>
      <c r="B3017" s="31" t="s">
        <v>1377</v>
      </c>
      <c r="C3017" s="32" t="s">
        <v>2112</v>
      </c>
      <c r="D3017" s="231"/>
      <c r="E3017" s="231"/>
      <c r="F3017" s="231"/>
      <c r="G3017" s="231"/>
      <c r="H3017" s="231"/>
      <c r="I3017" s="231"/>
      <c r="J3017" s="231"/>
      <c r="K3017" s="231"/>
      <c r="L3017" s="231"/>
      <c r="M3017" s="231"/>
      <c r="N3017" s="231"/>
      <c r="O3017" s="231"/>
      <c r="P3017" s="231"/>
      <c r="Q3017" s="231"/>
      <c r="R3017" s="231"/>
      <c r="S3017" s="231"/>
      <c r="T3017" s="231"/>
      <c r="U3017" s="231"/>
      <c r="V3017" s="231"/>
      <c r="W3017" s="231"/>
      <c r="X3017" s="231"/>
      <c r="Y3017" s="231"/>
      <c r="Z3017" s="231"/>
      <c r="AA3017" s="231"/>
      <c r="AB3017" s="22">
        <f t="shared" si="923"/>
        <v>0</v>
      </c>
      <c r="AC3017" s="23">
        <v>0</v>
      </c>
      <c r="AD3017" s="35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  <c r="AX3017" s="35"/>
      <c r="AY3017" s="35"/>
      <c r="AZ3017" s="35"/>
      <c r="BA3017" s="35"/>
      <c r="BB3017" s="22">
        <f t="shared" si="924"/>
        <v>0</v>
      </c>
      <c r="BC3017" s="23">
        <v>21</v>
      </c>
      <c r="BD3017" s="130">
        <f t="shared" si="925"/>
        <v>0</v>
      </c>
      <c r="BE3017" s="130">
        <f t="shared" si="926"/>
        <v>21</v>
      </c>
      <c r="BF3017" s="195">
        <f t="shared" si="927"/>
        <v>0</v>
      </c>
      <c r="BG3017" s="373">
        <f t="shared" si="922"/>
        <v>21</v>
      </c>
    </row>
    <row r="3018" spans="1:59" s="46" customFormat="1" ht="15.95" customHeight="1">
      <c r="A3018" s="176">
        <v>97</v>
      </c>
      <c r="B3018" s="31" t="s">
        <v>823</v>
      </c>
      <c r="C3018" s="32" t="s">
        <v>824</v>
      </c>
      <c r="D3018" s="231"/>
      <c r="E3018" s="231"/>
      <c r="F3018" s="231"/>
      <c r="G3018" s="231"/>
      <c r="H3018" s="231"/>
      <c r="I3018" s="231"/>
      <c r="J3018" s="231"/>
      <c r="K3018" s="231"/>
      <c r="L3018" s="231"/>
      <c r="M3018" s="231"/>
      <c r="N3018" s="231"/>
      <c r="O3018" s="231"/>
      <c r="P3018" s="231"/>
      <c r="Q3018" s="231"/>
      <c r="R3018" s="231"/>
      <c r="S3018" s="231"/>
      <c r="T3018" s="231"/>
      <c r="U3018" s="231"/>
      <c r="V3018" s="231"/>
      <c r="W3018" s="231"/>
      <c r="X3018" s="231"/>
      <c r="Y3018" s="231"/>
      <c r="Z3018" s="231"/>
      <c r="AA3018" s="231"/>
      <c r="AB3018" s="22">
        <f t="shared" si="923"/>
        <v>0</v>
      </c>
      <c r="AC3018" s="23">
        <v>0</v>
      </c>
      <c r="AD3018" s="35"/>
      <c r="AE3018" s="35"/>
      <c r="AF3018" s="35"/>
      <c r="AG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  <c r="AX3018" s="35"/>
      <c r="AY3018" s="35"/>
      <c r="AZ3018" s="35"/>
      <c r="BA3018" s="35"/>
      <c r="BB3018" s="22">
        <f t="shared" si="924"/>
        <v>0</v>
      </c>
      <c r="BC3018" s="23">
        <v>14</v>
      </c>
      <c r="BD3018" s="130">
        <f t="shared" si="925"/>
        <v>0</v>
      </c>
      <c r="BE3018" s="130">
        <f t="shared" si="926"/>
        <v>14</v>
      </c>
      <c r="BF3018" s="195">
        <f t="shared" si="927"/>
        <v>0</v>
      </c>
      <c r="BG3018" s="373">
        <f t="shared" si="922"/>
        <v>14</v>
      </c>
    </row>
    <row r="3019" spans="1:59" s="46" customFormat="1" ht="15.95" customHeight="1">
      <c r="A3019" s="176">
        <v>98</v>
      </c>
      <c r="B3019" s="31" t="s">
        <v>825</v>
      </c>
      <c r="C3019" s="32" t="s">
        <v>907</v>
      </c>
      <c r="D3019" s="274"/>
      <c r="E3019" s="274"/>
      <c r="F3019" s="274"/>
      <c r="G3019" s="274"/>
      <c r="H3019" s="274"/>
      <c r="I3019" s="274"/>
      <c r="J3019" s="274"/>
      <c r="K3019" s="274"/>
      <c r="L3019" s="274"/>
      <c r="M3019" s="274"/>
      <c r="N3019" s="274"/>
      <c r="O3019" s="274"/>
      <c r="P3019" s="274"/>
      <c r="Q3019" s="274"/>
      <c r="R3019" s="274"/>
      <c r="S3019" s="274"/>
      <c r="T3019" s="274"/>
      <c r="U3019" s="274"/>
      <c r="V3019" s="274"/>
      <c r="W3019" s="274"/>
      <c r="X3019" s="274"/>
      <c r="Y3019" s="274"/>
      <c r="Z3019" s="274"/>
      <c r="AA3019" s="274"/>
      <c r="AB3019" s="22">
        <f t="shared" si="923"/>
        <v>0</v>
      </c>
      <c r="AC3019" s="23">
        <v>0</v>
      </c>
      <c r="AD3019" s="35"/>
      <c r="AE3019" s="35"/>
      <c r="AF3019" s="35"/>
      <c r="AG3019" s="35"/>
      <c r="AH3019" s="35">
        <f>1+22</f>
        <v>23</v>
      </c>
      <c r="AI3019" s="35"/>
      <c r="AJ3019" s="35"/>
      <c r="AK3019" s="35"/>
      <c r="AL3019" s="35">
        <f>1+85</f>
        <v>86</v>
      </c>
      <c r="AM3019" s="35"/>
      <c r="AN3019" s="35"/>
      <c r="AO3019" s="35"/>
      <c r="AP3019" s="35">
        <f>6+78</f>
        <v>84</v>
      </c>
      <c r="AQ3019" s="35"/>
      <c r="AR3019" s="35"/>
      <c r="AS3019" s="35"/>
      <c r="AT3019" s="35"/>
      <c r="AU3019" s="35"/>
      <c r="AV3019" s="35"/>
      <c r="AW3019" s="35"/>
      <c r="AX3019" s="35"/>
      <c r="AY3019" s="35"/>
      <c r="AZ3019" s="35"/>
      <c r="BA3019" s="35"/>
      <c r="BB3019" s="22">
        <f t="shared" si="924"/>
        <v>193</v>
      </c>
      <c r="BC3019" s="23">
        <v>544</v>
      </c>
      <c r="BD3019" s="130">
        <f t="shared" si="925"/>
        <v>193</v>
      </c>
      <c r="BE3019" s="130">
        <f t="shared" si="926"/>
        <v>544</v>
      </c>
      <c r="BF3019" s="195">
        <f t="shared" si="927"/>
        <v>35.477941176470587</v>
      </c>
      <c r="BG3019" s="373">
        <f t="shared" si="922"/>
        <v>351</v>
      </c>
    </row>
    <row r="3020" spans="1:59" s="46" customFormat="1" ht="15.95" customHeight="1">
      <c r="A3020" s="176">
        <v>99</v>
      </c>
      <c r="B3020" s="31" t="s">
        <v>827</v>
      </c>
      <c r="C3020" s="32" t="s">
        <v>828</v>
      </c>
      <c r="D3020" s="231"/>
      <c r="E3020" s="231"/>
      <c r="F3020" s="231"/>
      <c r="G3020" s="231"/>
      <c r="H3020" s="231"/>
      <c r="I3020" s="231"/>
      <c r="J3020" s="231"/>
      <c r="K3020" s="231"/>
      <c r="L3020" s="231"/>
      <c r="M3020" s="231"/>
      <c r="N3020" s="231"/>
      <c r="O3020" s="231"/>
      <c r="P3020" s="231"/>
      <c r="Q3020" s="231"/>
      <c r="R3020" s="231"/>
      <c r="S3020" s="231"/>
      <c r="T3020" s="231"/>
      <c r="U3020" s="231"/>
      <c r="V3020" s="231"/>
      <c r="W3020" s="231"/>
      <c r="X3020" s="231"/>
      <c r="Y3020" s="231"/>
      <c r="Z3020" s="231"/>
      <c r="AA3020" s="231"/>
      <c r="AB3020" s="22">
        <f t="shared" si="923"/>
        <v>0</v>
      </c>
      <c r="AC3020" s="23">
        <v>0</v>
      </c>
      <c r="AD3020" s="35"/>
      <c r="AE3020" s="35"/>
      <c r="AF3020" s="35"/>
      <c r="AG3020" s="35"/>
      <c r="AH3020" s="35"/>
      <c r="AI3020" s="35"/>
      <c r="AJ3020" s="35"/>
      <c r="AK3020" s="35"/>
      <c r="AL3020" s="35"/>
      <c r="AM3020" s="35"/>
      <c r="AN3020" s="35"/>
      <c r="AO3020" s="35"/>
      <c r="AP3020" s="35">
        <v>2</v>
      </c>
      <c r="AQ3020" s="35"/>
      <c r="AR3020" s="35"/>
      <c r="AS3020" s="35"/>
      <c r="AT3020" s="35"/>
      <c r="AU3020" s="35"/>
      <c r="AV3020" s="35"/>
      <c r="AW3020" s="35"/>
      <c r="AX3020" s="35"/>
      <c r="AY3020" s="35"/>
      <c r="AZ3020" s="35"/>
      <c r="BA3020" s="35"/>
      <c r="BB3020" s="22">
        <f t="shared" si="924"/>
        <v>2</v>
      </c>
      <c r="BC3020" s="23">
        <v>13</v>
      </c>
      <c r="BD3020" s="130">
        <f t="shared" si="925"/>
        <v>2</v>
      </c>
      <c r="BE3020" s="130">
        <f t="shared" si="926"/>
        <v>13</v>
      </c>
      <c r="BF3020" s="195">
        <f t="shared" si="927"/>
        <v>15.384615384615385</v>
      </c>
      <c r="BG3020" s="373">
        <f t="shared" si="922"/>
        <v>11</v>
      </c>
    </row>
    <row r="3021" spans="1:59" s="46" customFormat="1" ht="15.95" customHeight="1">
      <c r="A3021" s="176">
        <v>100</v>
      </c>
      <c r="B3021" s="31" t="s">
        <v>829</v>
      </c>
      <c r="C3021" s="32" t="s">
        <v>830</v>
      </c>
      <c r="D3021" s="231"/>
      <c r="E3021" s="231"/>
      <c r="F3021" s="231"/>
      <c r="G3021" s="231"/>
      <c r="H3021" s="231"/>
      <c r="I3021" s="231"/>
      <c r="J3021" s="231"/>
      <c r="K3021" s="231"/>
      <c r="L3021" s="231"/>
      <c r="M3021" s="231"/>
      <c r="N3021" s="231"/>
      <c r="O3021" s="231"/>
      <c r="P3021" s="231"/>
      <c r="Q3021" s="231"/>
      <c r="R3021" s="231"/>
      <c r="S3021" s="231"/>
      <c r="T3021" s="231"/>
      <c r="U3021" s="231"/>
      <c r="V3021" s="231"/>
      <c r="W3021" s="231"/>
      <c r="X3021" s="231"/>
      <c r="Y3021" s="231"/>
      <c r="Z3021" s="231"/>
      <c r="AA3021" s="231"/>
      <c r="AB3021" s="22">
        <f t="shared" si="923"/>
        <v>0</v>
      </c>
      <c r="AC3021" s="23">
        <v>0</v>
      </c>
      <c r="AD3021" s="35"/>
      <c r="AE3021" s="35"/>
      <c r="AF3021" s="35"/>
      <c r="AG3021" s="35"/>
      <c r="AH3021" s="35"/>
      <c r="AI3021" s="35"/>
      <c r="AJ3021" s="35"/>
      <c r="AK3021" s="35"/>
      <c r="AL3021" s="35"/>
      <c r="AM3021" s="35"/>
      <c r="AN3021" s="35"/>
      <c r="AO3021" s="35"/>
      <c r="AP3021" s="35">
        <v>2</v>
      </c>
      <c r="AQ3021" s="35"/>
      <c r="AR3021" s="35"/>
      <c r="AS3021" s="35"/>
      <c r="AT3021" s="35"/>
      <c r="AU3021" s="35"/>
      <c r="AV3021" s="35"/>
      <c r="AW3021" s="35"/>
      <c r="AX3021" s="35"/>
      <c r="AY3021" s="35"/>
      <c r="AZ3021" s="35"/>
      <c r="BA3021" s="35"/>
      <c r="BB3021" s="22">
        <f t="shared" si="924"/>
        <v>2</v>
      </c>
      <c r="BC3021" s="23">
        <v>11</v>
      </c>
      <c r="BD3021" s="130">
        <f t="shared" si="925"/>
        <v>2</v>
      </c>
      <c r="BE3021" s="130">
        <f t="shared" si="926"/>
        <v>11</v>
      </c>
      <c r="BF3021" s="195">
        <f t="shared" si="927"/>
        <v>18.181818181818183</v>
      </c>
      <c r="BG3021" s="373">
        <f t="shared" si="922"/>
        <v>9</v>
      </c>
    </row>
    <row r="3022" spans="1:59" s="46" customFormat="1" ht="15.95" customHeight="1">
      <c r="A3022" s="176">
        <v>101</v>
      </c>
      <c r="B3022" s="31" t="s">
        <v>835</v>
      </c>
      <c r="C3022" s="32" t="s">
        <v>2041</v>
      </c>
      <c r="D3022" s="231"/>
      <c r="E3022" s="231"/>
      <c r="F3022" s="231"/>
      <c r="G3022" s="231"/>
      <c r="H3022" s="231"/>
      <c r="I3022" s="231"/>
      <c r="J3022" s="231"/>
      <c r="K3022" s="231"/>
      <c r="L3022" s="231"/>
      <c r="M3022" s="231"/>
      <c r="N3022" s="231"/>
      <c r="O3022" s="231"/>
      <c r="P3022" s="231"/>
      <c r="Q3022" s="231"/>
      <c r="R3022" s="231"/>
      <c r="S3022" s="231"/>
      <c r="T3022" s="231"/>
      <c r="U3022" s="231"/>
      <c r="V3022" s="231"/>
      <c r="W3022" s="231"/>
      <c r="X3022" s="231"/>
      <c r="Y3022" s="231"/>
      <c r="Z3022" s="231"/>
      <c r="AA3022" s="231"/>
      <c r="AB3022" s="22">
        <f t="shared" si="923"/>
        <v>0</v>
      </c>
      <c r="AC3022" s="23">
        <v>0</v>
      </c>
      <c r="AD3022" s="35"/>
      <c r="AE3022" s="35"/>
      <c r="AF3022" s="35"/>
      <c r="AG3022" s="35"/>
      <c r="AH3022" s="35">
        <v>1</v>
      </c>
      <c r="AI3022" s="35"/>
      <c r="AJ3022" s="35"/>
      <c r="AK3022" s="35"/>
      <c r="AL3022" s="35">
        <v>9</v>
      </c>
      <c r="AM3022" s="35"/>
      <c r="AN3022" s="35"/>
      <c r="AO3022" s="35"/>
      <c r="AP3022" s="35">
        <v>7</v>
      </c>
      <c r="AQ3022" s="35"/>
      <c r="AR3022" s="35"/>
      <c r="AS3022" s="35"/>
      <c r="AT3022" s="35"/>
      <c r="AU3022" s="35"/>
      <c r="AV3022" s="35"/>
      <c r="AW3022" s="35"/>
      <c r="AX3022" s="35"/>
      <c r="AY3022" s="35"/>
      <c r="AZ3022" s="35"/>
      <c r="BA3022" s="35"/>
      <c r="BB3022" s="22">
        <f t="shared" si="924"/>
        <v>17</v>
      </c>
      <c r="BC3022" s="23">
        <v>146</v>
      </c>
      <c r="BD3022" s="130">
        <f t="shared" si="925"/>
        <v>17</v>
      </c>
      <c r="BE3022" s="130">
        <f t="shared" si="926"/>
        <v>146</v>
      </c>
      <c r="BF3022" s="195">
        <f t="shared" si="927"/>
        <v>11.643835616438356</v>
      </c>
      <c r="BG3022" s="373">
        <f t="shared" ref="BG3022:BG3053" si="931">BE3022-BD3022</f>
        <v>129</v>
      </c>
    </row>
    <row r="3023" spans="1:59" s="46" customFormat="1" ht="15.95" customHeight="1">
      <c r="A3023" s="176">
        <v>102</v>
      </c>
      <c r="B3023" s="31" t="s">
        <v>1379</v>
      </c>
      <c r="C3023" s="32" t="s">
        <v>1996</v>
      </c>
      <c r="D3023" s="231"/>
      <c r="E3023" s="231"/>
      <c r="F3023" s="231"/>
      <c r="G3023" s="231"/>
      <c r="H3023" s="231"/>
      <c r="I3023" s="231"/>
      <c r="J3023" s="231"/>
      <c r="K3023" s="231"/>
      <c r="L3023" s="231"/>
      <c r="M3023" s="231"/>
      <c r="N3023" s="231"/>
      <c r="O3023" s="231"/>
      <c r="P3023" s="231"/>
      <c r="Q3023" s="231"/>
      <c r="R3023" s="231"/>
      <c r="S3023" s="231"/>
      <c r="T3023" s="231"/>
      <c r="U3023" s="231"/>
      <c r="V3023" s="231"/>
      <c r="W3023" s="231"/>
      <c r="X3023" s="231"/>
      <c r="Y3023" s="231"/>
      <c r="Z3023" s="231"/>
      <c r="AA3023" s="231"/>
      <c r="AB3023" s="22">
        <f t="shared" ref="AB3023:AB3054" si="932">SUM(D3023:AA3023)</f>
        <v>0</v>
      </c>
      <c r="AC3023" s="23">
        <v>0</v>
      </c>
      <c r="AD3023" s="35"/>
      <c r="AE3023" s="35"/>
      <c r="AF3023" s="35"/>
      <c r="AG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  <c r="AX3023" s="35"/>
      <c r="AY3023" s="35"/>
      <c r="AZ3023" s="35"/>
      <c r="BA3023" s="35"/>
      <c r="BB3023" s="22">
        <f t="shared" ref="BB3023:BB3054" si="933">SUM(AD3023:BA3023)</f>
        <v>0</v>
      </c>
      <c r="BC3023" s="23">
        <v>3</v>
      </c>
      <c r="BD3023" s="130">
        <f t="shared" ref="BD3023:BD3054" si="934">AB3023+BB3023</f>
        <v>0</v>
      </c>
      <c r="BE3023" s="130">
        <f t="shared" ref="BE3023:BE3054" si="935">AC3023+BC3023</f>
        <v>3</v>
      </c>
      <c r="BF3023" s="195">
        <f t="shared" ref="BF3023:BF3054" si="936">BD3023/BE3023*100</f>
        <v>0</v>
      </c>
      <c r="BG3023" s="373">
        <f t="shared" si="931"/>
        <v>3</v>
      </c>
    </row>
    <row r="3024" spans="1:59" s="46" customFormat="1" ht="15.95" customHeight="1">
      <c r="A3024" s="176">
        <v>103</v>
      </c>
      <c r="B3024" s="31" t="s">
        <v>1013</v>
      </c>
      <c r="C3024" s="32" t="s">
        <v>1632</v>
      </c>
      <c r="D3024" s="231"/>
      <c r="E3024" s="231"/>
      <c r="F3024" s="231"/>
      <c r="G3024" s="231"/>
      <c r="H3024" s="231"/>
      <c r="I3024" s="231"/>
      <c r="J3024" s="231"/>
      <c r="K3024" s="231"/>
      <c r="L3024" s="231"/>
      <c r="M3024" s="231"/>
      <c r="N3024" s="231"/>
      <c r="O3024" s="231"/>
      <c r="P3024" s="231"/>
      <c r="Q3024" s="231"/>
      <c r="R3024" s="231"/>
      <c r="S3024" s="231"/>
      <c r="T3024" s="231"/>
      <c r="U3024" s="231"/>
      <c r="V3024" s="231"/>
      <c r="W3024" s="231"/>
      <c r="X3024" s="231"/>
      <c r="Y3024" s="231"/>
      <c r="Z3024" s="231"/>
      <c r="AA3024" s="231"/>
      <c r="AB3024" s="22">
        <f t="shared" si="932"/>
        <v>0</v>
      </c>
      <c r="AC3024" s="23">
        <v>0</v>
      </c>
      <c r="AD3024" s="35"/>
      <c r="AE3024" s="35"/>
      <c r="AF3024" s="35"/>
      <c r="AG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  <c r="AX3024" s="35"/>
      <c r="AY3024" s="35"/>
      <c r="AZ3024" s="35"/>
      <c r="BA3024" s="35"/>
      <c r="BB3024" s="22">
        <f t="shared" si="933"/>
        <v>0</v>
      </c>
      <c r="BC3024" s="23">
        <v>61</v>
      </c>
      <c r="BD3024" s="130">
        <f t="shared" si="934"/>
        <v>0</v>
      </c>
      <c r="BE3024" s="130">
        <f t="shared" si="935"/>
        <v>61</v>
      </c>
      <c r="BF3024" s="195">
        <f t="shared" si="936"/>
        <v>0</v>
      </c>
      <c r="BG3024" s="373">
        <f t="shared" si="931"/>
        <v>61</v>
      </c>
    </row>
    <row r="3025" spans="1:59" s="46" customFormat="1" ht="15.95" customHeight="1">
      <c r="A3025" s="176">
        <v>104</v>
      </c>
      <c r="B3025" s="31" t="s">
        <v>837</v>
      </c>
      <c r="C3025" s="32" t="s">
        <v>908</v>
      </c>
      <c r="D3025" s="231"/>
      <c r="E3025" s="231"/>
      <c r="F3025" s="231"/>
      <c r="G3025" s="231"/>
      <c r="H3025" s="231"/>
      <c r="I3025" s="231"/>
      <c r="J3025" s="231"/>
      <c r="K3025" s="231"/>
      <c r="L3025" s="231"/>
      <c r="M3025" s="231"/>
      <c r="N3025" s="231"/>
      <c r="O3025" s="231"/>
      <c r="P3025" s="231"/>
      <c r="Q3025" s="231"/>
      <c r="R3025" s="231"/>
      <c r="S3025" s="231"/>
      <c r="T3025" s="231"/>
      <c r="U3025" s="231"/>
      <c r="V3025" s="231"/>
      <c r="W3025" s="231"/>
      <c r="X3025" s="231"/>
      <c r="Y3025" s="231"/>
      <c r="Z3025" s="231"/>
      <c r="AA3025" s="231"/>
      <c r="AB3025" s="22">
        <f t="shared" si="932"/>
        <v>0</v>
      </c>
      <c r="AC3025" s="23">
        <v>0</v>
      </c>
      <c r="AD3025" s="35"/>
      <c r="AE3025" s="35"/>
      <c r="AF3025" s="35"/>
      <c r="AG3025" s="35"/>
      <c r="AH3025" s="35"/>
      <c r="AI3025" s="35"/>
      <c r="AJ3025" s="35"/>
      <c r="AK3025" s="35"/>
      <c r="AL3025" s="35">
        <v>6</v>
      </c>
      <c r="AM3025" s="35"/>
      <c r="AN3025" s="35"/>
      <c r="AO3025" s="35"/>
      <c r="AP3025" s="35">
        <v>10</v>
      </c>
      <c r="AQ3025" s="35"/>
      <c r="AR3025" s="35"/>
      <c r="AS3025" s="35"/>
      <c r="AT3025" s="35"/>
      <c r="AU3025" s="35"/>
      <c r="AV3025" s="35"/>
      <c r="AW3025" s="35"/>
      <c r="AX3025" s="35"/>
      <c r="AY3025" s="35"/>
      <c r="AZ3025" s="35"/>
      <c r="BA3025" s="35"/>
      <c r="BB3025" s="22">
        <f t="shared" si="933"/>
        <v>16</v>
      </c>
      <c r="BC3025" s="23">
        <v>140</v>
      </c>
      <c r="BD3025" s="130">
        <f t="shared" si="934"/>
        <v>16</v>
      </c>
      <c r="BE3025" s="130">
        <f t="shared" si="935"/>
        <v>140</v>
      </c>
      <c r="BF3025" s="195">
        <f t="shared" si="936"/>
        <v>11.428571428571429</v>
      </c>
      <c r="BG3025" s="373">
        <f t="shared" si="931"/>
        <v>124</v>
      </c>
    </row>
    <row r="3026" spans="1:59" s="46" customFormat="1" ht="15.95" customHeight="1">
      <c r="A3026" s="176">
        <v>105</v>
      </c>
      <c r="B3026" s="31" t="s">
        <v>839</v>
      </c>
      <c r="C3026" s="32" t="s">
        <v>840</v>
      </c>
      <c r="D3026" s="231"/>
      <c r="E3026" s="231"/>
      <c r="F3026" s="231"/>
      <c r="G3026" s="231"/>
      <c r="H3026" s="231"/>
      <c r="I3026" s="231"/>
      <c r="J3026" s="231"/>
      <c r="K3026" s="231"/>
      <c r="L3026" s="231"/>
      <c r="M3026" s="231"/>
      <c r="N3026" s="231"/>
      <c r="O3026" s="231"/>
      <c r="P3026" s="231"/>
      <c r="Q3026" s="231"/>
      <c r="R3026" s="231"/>
      <c r="S3026" s="231"/>
      <c r="T3026" s="231"/>
      <c r="U3026" s="231"/>
      <c r="V3026" s="231"/>
      <c r="W3026" s="231"/>
      <c r="X3026" s="231"/>
      <c r="Y3026" s="231"/>
      <c r="Z3026" s="231"/>
      <c r="AA3026" s="231"/>
      <c r="AB3026" s="22">
        <f t="shared" si="932"/>
        <v>0</v>
      </c>
      <c r="AC3026" s="23">
        <v>0</v>
      </c>
      <c r="AD3026" s="35"/>
      <c r="AE3026" s="35"/>
      <c r="AF3026" s="35"/>
      <c r="AG3026" s="35"/>
      <c r="AH3026" s="35"/>
      <c r="AI3026" s="35"/>
      <c r="AJ3026" s="35"/>
      <c r="AK3026" s="35"/>
      <c r="AL3026" s="35">
        <v>1</v>
      </c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  <c r="AX3026" s="35"/>
      <c r="AY3026" s="35"/>
      <c r="AZ3026" s="35"/>
      <c r="BA3026" s="35"/>
      <c r="BB3026" s="22">
        <f t="shared" si="933"/>
        <v>1</v>
      </c>
      <c r="BC3026" s="23">
        <v>30</v>
      </c>
      <c r="BD3026" s="130">
        <f t="shared" si="934"/>
        <v>1</v>
      </c>
      <c r="BE3026" s="130">
        <f t="shared" si="935"/>
        <v>30</v>
      </c>
      <c r="BF3026" s="195">
        <f t="shared" si="936"/>
        <v>3.3333333333333335</v>
      </c>
      <c r="BG3026" s="373">
        <f t="shared" si="931"/>
        <v>29</v>
      </c>
    </row>
    <row r="3027" spans="1:59" s="46" customFormat="1" ht="15.95" customHeight="1">
      <c r="A3027" s="176">
        <v>106</v>
      </c>
      <c r="B3027" s="31" t="s">
        <v>909</v>
      </c>
      <c r="C3027" s="32" t="s">
        <v>910</v>
      </c>
      <c r="D3027" s="231"/>
      <c r="E3027" s="231"/>
      <c r="F3027" s="231"/>
      <c r="G3027" s="231"/>
      <c r="H3027" s="231"/>
      <c r="I3027" s="231"/>
      <c r="J3027" s="231"/>
      <c r="K3027" s="231"/>
      <c r="L3027" s="231"/>
      <c r="M3027" s="231"/>
      <c r="N3027" s="231"/>
      <c r="O3027" s="231"/>
      <c r="P3027" s="231"/>
      <c r="Q3027" s="231"/>
      <c r="R3027" s="231"/>
      <c r="S3027" s="231"/>
      <c r="T3027" s="231"/>
      <c r="U3027" s="231"/>
      <c r="V3027" s="231"/>
      <c r="W3027" s="231"/>
      <c r="X3027" s="231"/>
      <c r="Y3027" s="231"/>
      <c r="Z3027" s="231"/>
      <c r="AA3027" s="231"/>
      <c r="AB3027" s="22">
        <f t="shared" si="932"/>
        <v>0</v>
      </c>
      <c r="AC3027" s="23">
        <v>0</v>
      </c>
      <c r="AD3027" s="35"/>
      <c r="AE3027" s="35"/>
      <c r="AF3027" s="35"/>
      <c r="AG3027" s="35"/>
      <c r="AH3027" s="35">
        <v>2</v>
      </c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  <c r="AX3027" s="35"/>
      <c r="AY3027" s="35"/>
      <c r="AZ3027" s="35"/>
      <c r="BA3027" s="35"/>
      <c r="BB3027" s="22">
        <f t="shared" si="933"/>
        <v>2</v>
      </c>
      <c r="BC3027" s="23">
        <v>398</v>
      </c>
      <c r="BD3027" s="130">
        <f t="shared" si="934"/>
        <v>2</v>
      </c>
      <c r="BE3027" s="130">
        <f t="shared" si="935"/>
        <v>398</v>
      </c>
      <c r="BF3027" s="195">
        <f t="shared" si="936"/>
        <v>0.50251256281407031</v>
      </c>
      <c r="BG3027" s="373">
        <f t="shared" si="931"/>
        <v>396</v>
      </c>
    </row>
    <row r="3028" spans="1:59" s="46" customFormat="1" ht="15.95" customHeight="1">
      <c r="A3028" s="176">
        <v>107</v>
      </c>
      <c r="B3028" s="31" t="s">
        <v>841</v>
      </c>
      <c r="C3028" s="32" t="s">
        <v>842</v>
      </c>
      <c r="D3028" s="231"/>
      <c r="E3028" s="231"/>
      <c r="F3028" s="231"/>
      <c r="G3028" s="231"/>
      <c r="H3028" s="231"/>
      <c r="I3028" s="231"/>
      <c r="J3028" s="231"/>
      <c r="K3028" s="231"/>
      <c r="L3028" s="231"/>
      <c r="M3028" s="231"/>
      <c r="N3028" s="231"/>
      <c r="O3028" s="231"/>
      <c r="P3028" s="231"/>
      <c r="Q3028" s="231"/>
      <c r="R3028" s="231"/>
      <c r="S3028" s="231"/>
      <c r="T3028" s="231"/>
      <c r="U3028" s="231"/>
      <c r="V3028" s="231"/>
      <c r="W3028" s="231"/>
      <c r="X3028" s="231"/>
      <c r="Y3028" s="231"/>
      <c r="Z3028" s="231"/>
      <c r="AA3028" s="231"/>
      <c r="AB3028" s="22">
        <f t="shared" si="932"/>
        <v>0</v>
      </c>
      <c r="AC3028" s="23">
        <v>0</v>
      </c>
      <c r="AD3028" s="35"/>
      <c r="AE3028" s="35"/>
      <c r="AF3028" s="35"/>
      <c r="AG3028" s="35"/>
      <c r="AH3028" s="35"/>
      <c r="AI3028" s="35"/>
      <c r="AJ3028" s="35"/>
      <c r="AK3028" s="35"/>
      <c r="AL3028" s="35"/>
      <c r="AM3028" s="35"/>
      <c r="AN3028" s="35"/>
      <c r="AO3028" s="35"/>
      <c r="AP3028" s="35">
        <v>1</v>
      </c>
      <c r="AQ3028" s="35"/>
      <c r="AR3028" s="35"/>
      <c r="AS3028" s="35"/>
      <c r="AT3028" s="35"/>
      <c r="AU3028" s="35"/>
      <c r="AV3028" s="35"/>
      <c r="AW3028" s="35"/>
      <c r="AX3028" s="35"/>
      <c r="AY3028" s="35"/>
      <c r="AZ3028" s="35"/>
      <c r="BA3028" s="35"/>
      <c r="BB3028" s="22">
        <f t="shared" si="933"/>
        <v>1</v>
      </c>
      <c r="BC3028" s="23">
        <v>134</v>
      </c>
      <c r="BD3028" s="130">
        <f t="shared" si="934"/>
        <v>1</v>
      </c>
      <c r="BE3028" s="130">
        <f t="shared" si="935"/>
        <v>134</v>
      </c>
      <c r="BF3028" s="195">
        <f t="shared" si="936"/>
        <v>0.74626865671641784</v>
      </c>
      <c r="BG3028" s="373">
        <f t="shared" si="931"/>
        <v>133</v>
      </c>
    </row>
    <row r="3029" spans="1:59" s="46" customFormat="1" ht="15.95" customHeight="1">
      <c r="A3029" s="176">
        <v>108</v>
      </c>
      <c r="B3029" s="31" t="s">
        <v>1112</v>
      </c>
      <c r="C3029" s="32" t="s">
        <v>1499</v>
      </c>
      <c r="D3029" s="231"/>
      <c r="E3029" s="231"/>
      <c r="F3029" s="231"/>
      <c r="G3029" s="231"/>
      <c r="H3029" s="231"/>
      <c r="I3029" s="231"/>
      <c r="J3029" s="231"/>
      <c r="K3029" s="231"/>
      <c r="L3029" s="231"/>
      <c r="M3029" s="231"/>
      <c r="N3029" s="231"/>
      <c r="O3029" s="231"/>
      <c r="P3029" s="231"/>
      <c r="Q3029" s="231"/>
      <c r="R3029" s="231"/>
      <c r="S3029" s="231"/>
      <c r="T3029" s="231"/>
      <c r="U3029" s="231"/>
      <c r="V3029" s="231"/>
      <c r="W3029" s="231"/>
      <c r="X3029" s="231"/>
      <c r="Y3029" s="231"/>
      <c r="Z3029" s="231"/>
      <c r="AA3029" s="231"/>
      <c r="AB3029" s="22">
        <f t="shared" si="932"/>
        <v>0</v>
      </c>
      <c r="AC3029" s="23">
        <v>0</v>
      </c>
      <c r="AD3029" s="35"/>
      <c r="AE3029" s="35"/>
      <c r="AF3029" s="35"/>
      <c r="AG3029" s="35"/>
      <c r="AH3029" s="35"/>
      <c r="AI3029" s="35"/>
      <c r="AJ3029" s="35"/>
      <c r="AK3029" s="35"/>
      <c r="AL3029" s="35">
        <v>11</v>
      </c>
      <c r="AM3029" s="35"/>
      <c r="AN3029" s="35"/>
      <c r="AO3029" s="35"/>
      <c r="AP3029" s="35">
        <v>4</v>
      </c>
      <c r="AQ3029" s="35"/>
      <c r="AR3029" s="35"/>
      <c r="AS3029" s="35"/>
      <c r="AT3029" s="35"/>
      <c r="AU3029" s="35"/>
      <c r="AV3029" s="35"/>
      <c r="AW3029" s="35"/>
      <c r="AX3029" s="35"/>
      <c r="AY3029" s="35"/>
      <c r="AZ3029" s="35"/>
      <c r="BA3029" s="35"/>
      <c r="BB3029" s="22">
        <f t="shared" si="933"/>
        <v>15</v>
      </c>
      <c r="BC3029" s="23">
        <v>414</v>
      </c>
      <c r="BD3029" s="130">
        <f t="shared" si="934"/>
        <v>15</v>
      </c>
      <c r="BE3029" s="130">
        <f t="shared" si="935"/>
        <v>414</v>
      </c>
      <c r="BF3029" s="195">
        <f t="shared" si="936"/>
        <v>3.6231884057971016</v>
      </c>
      <c r="BG3029" s="373">
        <f t="shared" si="931"/>
        <v>399</v>
      </c>
    </row>
    <row r="3030" spans="1:59" s="46" customFormat="1" ht="15.95" customHeight="1">
      <c r="A3030" s="176">
        <v>109</v>
      </c>
      <c r="B3030" s="31" t="s">
        <v>2065</v>
      </c>
      <c r="C3030" s="34" t="s">
        <v>2083</v>
      </c>
      <c r="D3030" s="231"/>
      <c r="E3030" s="231"/>
      <c r="F3030" s="231"/>
      <c r="G3030" s="231"/>
      <c r="H3030" s="231"/>
      <c r="I3030" s="231"/>
      <c r="J3030" s="231"/>
      <c r="K3030" s="231"/>
      <c r="L3030" s="231"/>
      <c r="M3030" s="231"/>
      <c r="N3030" s="231"/>
      <c r="O3030" s="231"/>
      <c r="P3030" s="231"/>
      <c r="Q3030" s="231"/>
      <c r="R3030" s="231"/>
      <c r="S3030" s="231"/>
      <c r="T3030" s="231"/>
      <c r="U3030" s="231"/>
      <c r="V3030" s="231"/>
      <c r="W3030" s="231"/>
      <c r="X3030" s="231"/>
      <c r="Y3030" s="231"/>
      <c r="Z3030" s="231"/>
      <c r="AA3030" s="231"/>
      <c r="AB3030" s="22">
        <f t="shared" si="932"/>
        <v>0</v>
      </c>
      <c r="AC3030" s="23">
        <v>0</v>
      </c>
      <c r="AD3030" s="35"/>
      <c r="AE3030" s="35"/>
      <c r="AF3030" s="35"/>
      <c r="AG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  <c r="AX3030" s="35"/>
      <c r="AY3030" s="35"/>
      <c r="AZ3030" s="35"/>
      <c r="BA3030" s="35"/>
      <c r="BB3030" s="22">
        <f t="shared" si="933"/>
        <v>0</v>
      </c>
      <c r="BC3030" s="23">
        <v>10</v>
      </c>
      <c r="BD3030" s="130">
        <f t="shared" si="934"/>
        <v>0</v>
      </c>
      <c r="BE3030" s="130">
        <f t="shared" si="935"/>
        <v>10</v>
      </c>
      <c r="BF3030" s="195">
        <f t="shared" si="936"/>
        <v>0</v>
      </c>
      <c r="BG3030" s="373">
        <f t="shared" si="931"/>
        <v>10</v>
      </c>
    </row>
    <row r="3031" spans="1:59" s="46" customFormat="1" ht="15.95" customHeight="1">
      <c r="A3031" s="176">
        <v>110</v>
      </c>
      <c r="B3031" s="31" t="s">
        <v>1187</v>
      </c>
      <c r="C3031" s="34" t="s">
        <v>1188</v>
      </c>
      <c r="D3031" s="231"/>
      <c r="E3031" s="231"/>
      <c r="F3031" s="231"/>
      <c r="G3031" s="231"/>
      <c r="H3031" s="231"/>
      <c r="I3031" s="231"/>
      <c r="J3031" s="231"/>
      <c r="K3031" s="231"/>
      <c r="L3031" s="231"/>
      <c r="M3031" s="231"/>
      <c r="N3031" s="231"/>
      <c r="O3031" s="231"/>
      <c r="P3031" s="231"/>
      <c r="Q3031" s="231"/>
      <c r="R3031" s="231"/>
      <c r="S3031" s="231"/>
      <c r="T3031" s="231"/>
      <c r="U3031" s="231"/>
      <c r="V3031" s="231"/>
      <c r="W3031" s="231"/>
      <c r="X3031" s="231"/>
      <c r="Y3031" s="231"/>
      <c r="Z3031" s="231"/>
      <c r="AA3031" s="231"/>
      <c r="AB3031" s="22">
        <f t="shared" si="932"/>
        <v>0</v>
      </c>
      <c r="AC3031" s="23">
        <v>0</v>
      </c>
      <c r="AD3031" s="35"/>
      <c r="AE3031" s="35"/>
      <c r="AF3031" s="35"/>
      <c r="AG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  <c r="AX3031" s="35"/>
      <c r="AY3031" s="35"/>
      <c r="AZ3031" s="35"/>
      <c r="BA3031" s="35"/>
      <c r="BB3031" s="22">
        <f t="shared" si="933"/>
        <v>0</v>
      </c>
      <c r="BC3031" s="23">
        <v>1</v>
      </c>
      <c r="BD3031" s="130">
        <f t="shared" si="934"/>
        <v>0</v>
      </c>
      <c r="BE3031" s="130">
        <f t="shared" si="935"/>
        <v>1</v>
      </c>
      <c r="BF3031" s="195">
        <f t="shared" si="936"/>
        <v>0</v>
      </c>
      <c r="BG3031" s="373">
        <f t="shared" si="931"/>
        <v>1</v>
      </c>
    </row>
    <row r="3032" spans="1:59" s="46" customFormat="1" ht="15.95" customHeight="1">
      <c r="A3032" s="176">
        <v>111</v>
      </c>
      <c r="B3032" s="31" t="s">
        <v>913</v>
      </c>
      <c r="C3032" s="34" t="s">
        <v>2831</v>
      </c>
      <c r="D3032" s="231"/>
      <c r="E3032" s="231"/>
      <c r="F3032" s="231"/>
      <c r="G3032" s="231"/>
      <c r="H3032" s="231"/>
      <c r="I3032" s="231"/>
      <c r="J3032" s="231"/>
      <c r="K3032" s="231"/>
      <c r="L3032" s="231"/>
      <c r="M3032" s="231"/>
      <c r="N3032" s="231"/>
      <c r="O3032" s="231"/>
      <c r="P3032" s="231"/>
      <c r="Q3032" s="231"/>
      <c r="R3032" s="231"/>
      <c r="S3032" s="231"/>
      <c r="T3032" s="231"/>
      <c r="U3032" s="231"/>
      <c r="V3032" s="231"/>
      <c r="W3032" s="231"/>
      <c r="X3032" s="231"/>
      <c r="Y3032" s="231"/>
      <c r="Z3032" s="231"/>
      <c r="AA3032" s="231"/>
      <c r="AB3032" s="22">
        <f t="shared" si="932"/>
        <v>0</v>
      </c>
      <c r="AC3032" s="23">
        <v>0</v>
      </c>
      <c r="AD3032" s="35"/>
      <c r="AE3032" s="35"/>
      <c r="AF3032" s="35"/>
      <c r="AG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  <c r="AX3032" s="35"/>
      <c r="AY3032" s="35"/>
      <c r="AZ3032" s="35"/>
      <c r="BA3032" s="35"/>
      <c r="BB3032" s="22">
        <f t="shared" si="933"/>
        <v>0</v>
      </c>
      <c r="BC3032" s="23">
        <v>1</v>
      </c>
      <c r="BD3032" s="130">
        <f t="shared" si="934"/>
        <v>0</v>
      </c>
      <c r="BE3032" s="130">
        <f t="shared" si="935"/>
        <v>1</v>
      </c>
      <c r="BF3032" s="195">
        <f t="shared" si="936"/>
        <v>0</v>
      </c>
      <c r="BG3032" s="373">
        <f t="shared" si="931"/>
        <v>1</v>
      </c>
    </row>
    <row r="3033" spans="1:59" s="46" customFormat="1" ht="15.95" customHeight="1">
      <c r="A3033" s="176">
        <v>112</v>
      </c>
      <c r="B3033" s="31" t="s">
        <v>845</v>
      </c>
      <c r="C3033" s="34" t="s">
        <v>948</v>
      </c>
      <c r="D3033" s="231"/>
      <c r="E3033" s="231"/>
      <c r="F3033" s="231"/>
      <c r="G3033" s="231"/>
      <c r="H3033" s="231"/>
      <c r="I3033" s="231"/>
      <c r="J3033" s="231"/>
      <c r="K3033" s="231"/>
      <c r="L3033" s="231"/>
      <c r="M3033" s="231"/>
      <c r="N3033" s="231"/>
      <c r="O3033" s="231"/>
      <c r="P3033" s="231"/>
      <c r="Q3033" s="231"/>
      <c r="R3033" s="231"/>
      <c r="S3033" s="231"/>
      <c r="T3033" s="231"/>
      <c r="U3033" s="231"/>
      <c r="V3033" s="231"/>
      <c r="W3033" s="231"/>
      <c r="X3033" s="231"/>
      <c r="Y3033" s="231"/>
      <c r="Z3033" s="231"/>
      <c r="AA3033" s="231"/>
      <c r="AB3033" s="22">
        <f t="shared" si="932"/>
        <v>0</v>
      </c>
      <c r="AC3033" s="23">
        <v>0</v>
      </c>
      <c r="AD3033" s="35"/>
      <c r="AE3033" s="35"/>
      <c r="AF3033" s="35"/>
      <c r="AG3033" s="35"/>
      <c r="AH3033" s="35">
        <v>27</v>
      </c>
      <c r="AI3033" s="35"/>
      <c r="AJ3033" s="35"/>
      <c r="AK3033" s="35"/>
      <c r="AL3033" s="35">
        <v>87</v>
      </c>
      <c r="AM3033" s="35"/>
      <c r="AN3033" s="35"/>
      <c r="AO3033" s="35"/>
      <c r="AP3033" s="35">
        <f>2+97</f>
        <v>99</v>
      </c>
      <c r="AQ3033" s="35"/>
      <c r="AR3033" s="35"/>
      <c r="AS3033" s="35"/>
      <c r="AT3033" s="35"/>
      <c r="AU3033" s="35"/>
      <c r="AV3033" s="35"/>
      <c r="AW3033" s="35"/>
      <c r="AX3033" s="35"/>
      <c r="AY3033" s="35"/>
      <c r="AZ3033" s="35"/>
      <c r="BA3033" s="35"/>
      <c r="BB3033" s="22">
        <f t="shared" si="933"/>
        <v>213</v>
      </c>
      <c r="BC3033" s="23">
        <v>526</v>
      </c>
      <c r="BD3033" s="130">
        <f t="shared" si="934"/>
        <v>213</v>
      </c>
      <c r="BE3033" s="130">
        <f t="shared" si="935"/>
        <v>526</v>
      </c>
      <c r="BF3033" s="195">
        <f t="shared" si="936"/>
        <v>40.49429657794677</v>
      </c>
      <c r="BG3033" s="373">
        <f t="shared" si="931"/>
        <v>313</v>
      </c>
    </row>
    <row r="3034" spans="1:59" s="46" customFormat="1" ht="15.95" customHeight="1">
      <c r="A3034" s="176">
        <v>113</v>
      </c>
      <c r="B3034" s="31" t="s">
        <v>1075</v>
      </c>
      <c r="C3034" s="32" t="s">
        <v>1500</v>
      </c>
      <c r="D3034" s="231"/>
      <c r="E3034" s="231"/>
      <c r="F3034" s="231"/>
      <c r="G3034" s="231"/>
      <c r="H3034" s="231"/>
      <c r="I3034" s="231"/>
      <c r="J3034" s="231"/>
      <c r="K3034" s="231"/>
      <c r="L3034" s="231"/>
      <c r="M3034" s="231"/>
      <c r="N3034" s="231"/>
      <c r="O3034" s="231"/>
      <c r="P3034" s="231"/>
      <c r="Q3034" s="231"/>
      <c r="R3034" s="231"/>
      <c r="S3034" s="231"/>
      <c r="T3034" s="231"/>
      <c r="U3034" s="231"/>
      <c r="V3034" s="231"/>
      <c r="W3034" s="231"/>
      <c r="X3034" s="231"/>
      <c r="Y3034" s="231"/>
      <c r="Z3034" s="231"/>
      <c r="AA3034" s="231"/>
      <c r="AB3034" s="22">
        <f t="shared" si="932"/>
        <v>0</v>
      </c>
      <c r="AC3034" s="23">
        <v>0</v>
      </c>
      <c r="AD3034" s="35"/>
      <c r="AE3034" s="35"/>
      <c r="AF3034" s="35"/>
      <c r="AG3034" s="35"/>
      <c r="AH3034" s="35">
        <f>1+7</f>
        <v>8</v>
      </c>
      <c r="AI3034" s="35"/>
      <c r="AJ3034" s="35"/>
      <c r="AK3034" s="35"/>
      <c r="AL3034" s="35">
        <f>1+15</f>
        <v>16</v>
      </c>
      <c r="AM3034" s="35"/>
      <c r="AN3034" s="35"/>
      <c r="AO3034" s="35"/>
      <c r="AP3034" s="35">
        <f>4+13</f>
        <v>17</v>
      </c>
      <c r="AQ3034" s="35"/>
      <c r="AR3034" s="35"/>
      <c r="AS3034" s="35"/>
      <c r="AT3034" s="35"/>
      <c r="AU3034" s="35"/>
      <c r="AV3034" s="35"/>
      <c r="AW3034" s="35"/>
      <c r="AX3034" s="35"/>
      <c r="AY3034" s="35"/>
      <c r="AZ3034" s="35"/>
      <c r="BA3034" s="35"/>
      <c r="BB3034" s="22">
        <f t="shared" si="933"/>
        <v>41</v>
      </c>
      <c r="BC3034" s="23">
        <v>60</v>
      </c>
      <c r="BD3034" s="130">
        <f t="shared" si="934"/>
        <v>41</v>
      </c>
      <c r="BE3034" s="130">
        <f t="shared" si="935"/>
        <v>60</v>
      </c>
      <c r="BF3034" s="195">
        <f t="shared" si="936"/>
        <v>68.333333333333329</v>
      </c>
      <c r="BG3034" s="373">
        <f t="shared" si="931"/>
        <v>19</v>
      </c>
    </row>
    <row r="3035" spans="1:59" s="46" customFormat="1" ht="15.95" customHeight="1">
      <c r="A3035" s="176">
        <v>114</v>
      </c>
      <c r="B3035" s="37" t="s">
        <v>2067</v>
      </c>
      <c r="C3035" s="38" t="s">
        <v>2225</v>
      </c>
      <c r="D3035" s="274"/>
      <c r="E3035" s="274"/>
      <c r="F3035" s="274"/>
      <c r="G3035" s="274"/>
      <c r="H3035" s="274"/>
      <c r="I3035" s="274"/>
      <c r="J3035" s="274"/>
      <c r="K3035" s="274"/>
      <c r="L3035" s="274"/>
      <c r="M3035" s="274"/>
      <c r="N3035" s="274"/>
      <c r="O3035" s="274"/>
      <c r="P3035" s="274"/>
      <c r="Q3035" s="274"/>
      <c r="R3035" s="274"/>
      <c r="S3035" s="274"/>
      <c r="T3035" s="274"/>
      <c r="U3035" s="274"/>
      <c r="V3035" s="274"/>
      <c r="W3035" s="274"/>
      <c r="X3035" s="274"/>
      <c r="Y3035" s="274"/>
      <c r="Z3035" s="274"/>
      <c r="AA3035" s="274"/>
      <c r="AB3035" s="22">
        <f t="shared" si="932"/>
        <v>0</v>
      </c>
      <c r="AC3035" s="23">
        <v>0</v>
      </c>
      <c r="AD3035" s="35"/>
      <c r="AE3035" s="35"/>
      <c r="AF3035" s="35"/>
      <c r="AG3035" s="35"/>
      <c r="AH3035" s="35">
        <v>1</v>
      </c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  <c r="AX3035" s="35"/>
      <c r="AY3035" s="35"/>
      <c r="AZ3035" s="35"/>
      <c r="BA3035" s="35"/>
      <c r="BB3035" s="22">
        <f t="shared" si="933"/>
        <v>1</v>
      </c>
      <c r="BC3035" s="23">
        <v>2</v>
      </c>
      <c r="BD3035" s="130">
        <f t="shared" si="934"/>
        <v>1</v>
      </c>
      <c r="BE3035" s="130">
        <f t="shared" si="935"/>
        <v>2</v>
      </c>
      <c r="BF3035" s="195">
        <f t="shared" si="936"/>
        <v>50</v>
      </c>
      <c r="BG3035" s="373">
        <f t="shared" si="931"/>
        <v>1</v>
      </c>
    </row>
    <row r="3036" spans="1:59" s="46" customFormat="1" ht="15.95" customHeight="1">
      <c r="A3036" s="176">
        <v>115</v>
      </c>
      <c r="B3036" s="31" t="s">
        <v>1244</v>
      </c>
      <c r="C3036" s="32" t="s">
        <v>2481</v>
      </c>
      <c r="D3036" s="231"/>
      <c r="E3036" s="231"/>
      <c r="F3036" s="231"/>
      <c r="G3036" s="231"/>
      <c r="H3036" s="231"/>
      <c r="I3036" s="231"/>
      <c r="J3036" s="231"/>
      <c r="K3036" s="231"/>
      <c r="L3036" s="231"/>
      <c r="M3036" s="231"/>
      <c r="N3036" s="231"/>
      <c r="O3036" s="231"/>
      <c r="P3036" s="231"/>
      <c r="Q3036" s="231"/>
      <c r="R3036" s="231"/>
      <c r="S3036" s="231"/>
      <c r="T3036" s="231"/>
      <c r="U3036" s="231"/>
      <c r="V3036" s="231"/>
      <c r="W3036" s="231"/>
      <c r="X3036" s="231"/>
      <c r="Y3036" s="231"/>
      <c r="Z3036" s="231"/>
      <c r="AA3036" s="231"/>
      <c r="AB3036" s="22">
        <f t="shared" si="932"/>
        <v>0</v>
      </c>
      <c r="AC3036" s="23">
        <v>0</v>
      </c>
      <c r="AD3036" s="35"/>
      <c r="AE3036" s="35"/>
      <c r="AF3036" s="35"/>
      <c r="AG3036" s="35"/>
      <c r="AH3036" s="35">
        <v>1</v>
      </c>
      <c r="AI3036" s="35"/>
      <c r="AJ3036" s="35"/>
      <c r="AK3036" s="35"/>
      <c r="AL3036" s="35">
        <v>1</v>
      </c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  <c r="AX3036" s="35"/>
      <c r="AY3036" s="35"/>
      <c r="AZ3036" s="35"/>
      <c r="BA3036" s="35"/>
      <c r="BB3036" s="22">
        <f t="shared" si="933"/>
        <v>2</v>
      </c>
      <c r="BC3036" s="23">
        <v>1</v>
      </c>
      <c r="BD3036" s="130">
        <f t="shared" si="934"/>
        <v>2</v>
      </c>
      <c r="BE3036" s="130">
        <f t="shared" si="935"/>
        <v>1</v>
      </c>
      <c r="BF3036" s="195">
        <f t="shared" si="936"/>
        <v>200</v>
      </c>
      <c r="BG3036" s="373">
        <f t="shared" si="931"/>
        <v>-1</v>
      </c>
    </row>
    <row r="3037" spans="1:59" s="46" customFormat="1" ht="15.95" customHeight="1">
      <c r="A3037" s="176">
        <v>116</v>
      </c>
      <c r="B3037" s="31" t="s">
        <v>1384</v>
      </c>
      <c r="C3037" s="32" t="s">
        <v>2001</v>
      </c>
      <c r="D3037" s="231"/>
      <c r="E3037" s="231"/>
      <c r="F3037" s="231"/>
      <c r="G3037" s="231"/>
      <c r="H3037" s="231"/>
      <c r="I3037" s="231"/>
      <c r="J3037" s="231"/>
      <c r="K3037" s="231"/>
      <c r="L3037" s="231"/>
      <c r="M3037" s="231"/>
      <c r="N3037" s="231"/>
      <c r="O3037" s="231"/>
      <c r="P3037" s="231"/>
      <c r="Q3037" s="231"/>
      <c r="R3037" s="231"/>
      <c r="S3037" s="231"/>
      <c r="T3037" s="231"/>
      <c r="U3037" s="231"/>
      <c r="V3037" s="231"/>
      <c r="W3037" s="231"/>
      <c r="X3037" s="231"/>
      <c r="Y3037" s="231"/>
      <c r="Z3037" s="231"/>
      <c r="AA3037" s="231"/>
      <c r="AB3037" s="22">
        <f t="shared" si="932"/>
        <v>0</v>
      </c>
      <c r="AC3037" s="23">
        <v>0</v>
      </c>
      <c r="AD3037" s="35"/>
      <c r="AE3037" s="35"/>
      <c r="AF3037" s="35"/>
      <c r="AG3037" s="35"/>
      <c r="AH3037" s="35">
        <v>1</v>
      </c>
      <c r="AI3037" s="35"/>
      <c r="AJ3037" s="35"/>
      <c r="AK3037" s="35"/>
      <c r="AL3037" s="35">
        <v>3</v>
      </c>
      <c r="AM3037" s="35"/>
      <c r="AN3037" s="35"/>
      <c r="AO3037" s="35"/>
      <c r="AP3037" s="35">
        <v>3</v>
      </c>
      <c r="AQ3037" s="35"/>
      <c r="AR3037" s="35"/>
      <c r="AS3037" s="35"/>
      <c r="AT3037" s="35"/>
      <c r="AU3037" s="35"/>
      <c r="AV3037" s="35"/>
      <c r="AW3037" s="35"/>
      <c r="AX3037" s="35"/>
      <c r="AY3037" s="35"/>
      <c r="AZ3037" s="35"/>
      <c r="BA3037" s="35"/>
      <c r="BB3037" s="22">
        <f t="shared" si="933"/>
        <v>7</v>
      </c>
      <c r="BC3037" s="23">
        <v>16</v>
      </c>
      <c r="BD3037" s="130">
        <f t="shared" si="934"/>
        <v>7</v>
      </c>
      <c r="BE3037" s="130">
        <f t="shared" si="935"/>
        <v>16</v>
      </c>
      <c r="BF3037" s="195">
        <f t="shared" si="936"/>
        <v>43.75</v>
      </c>
      <c r="BG3037" s="373">
        <f t="shared" si="931"/>
        <v>9</v>
      </c>
    </row>
    <row r="3038" spans="1:59" s="46" customFormat="1" ht="15.95" customHeight="1">
      <c r="A3038" s="176">
        <v>117</v>
      </c>
      <c r="B3038" s="31" t="s">
        <v>1246</v>
      </c>
      <c r="C3038" s="32" t="s">
        <v>1247</v>
      </c>
      <c r="D3038" s="231"/>
      <c r="E3038" s="231"/>
      <c r="F3038" s="231"/>
      <c r="G3038" s="231"/>
      <c r="H3038" s="231"/>
      <c r="I3038" s="231"/>
      <c r="J3038" s="231"/>
      <c r="K3038" s="231"/>
      <c r="L3038" s="231"/>
      <c r="M3038" s="231"/>
      <c r="N3038" s="231"/>
      <c r="O3038" s="231"/>
      <c r="P3038" s="231"/>
      <c r="Q3038" s="231"/>
      <c r="R3038" s="231"/>
      <c r="S3038" s="231"/>
      <c r="T3038" s="231"/>
      <c r="U3038" s="231"/>
      <c r="V3038" s="231"/>
      <c r="W3038" s="231"/>
      <c r="X3038" s="231"/>
      <c r="Y3038" s="231"/>
      <c r="Z3038" s="231"/>
      <c r="AA3038" s="231"/>
      <c r="AB3038" s="22">
        <f t="shared" si="932"/>
        <v>0</v>
      </c>
      <c r="AC3038" s="23">
        <v>0</v>
      </c>
      <c r="AD3038" s="35"/>
      <c r="AE3038" s="35"/>
      <c r="AF3038" s="35"/>
      <c r="AG3038" s="35"/>
      <c r="AH3038" s="35">
        <v>2</v>
      </c>
      <c r="AI3038" s="35"/>
      <c r="AJ3038" s="35"/>
      <c r="AK3038" s="35"/>
      <c r="AL3038" s="35">
        <v>6</v>
      </c>
      <c r="AM3038" s="35"/>
      <c r="AN3038" s="35"/>
      <c r="AO3038" s="35"/>
      <c r="AP3038" s="35">
        <v>3</v>
      </c>
      <c r="AQ3038" s="35"/>
      <c r="AR3038" s="35"/>
      <c r="AS3038" s="35"/>
      <c r="AT3038" s="35"/>
      <c r="AU3038" s="35"/>
      <c r="AV3038" s="35"/>
      <c r="AW3038" s="35"/>
      <c r="AX3038" s="35"/>
      <c r="AY3038" s="35"/>
      <c r="AZ3038" s="35"/>
      <c r="BA3038" s="35"/>
      <c r="BB3038" s="22">
        <f t="shared" si="933"/>
        <v>11</v>
      </c>
      <c r="BC3038" s="23">
        <v>7</v>
      </c>
      <c r="BD3038" s="130">
        <f t="shared" si="934"/>
        <v>11</v>
      </c>
      <c r="BE3038" s="130">
        <f t="shared" si="935"/>
        <v>7</v>
      </c>
      <c r="BF3038" s="195">
        <f t="shared" si="936"/>
        <v>157.14285714285714</v>
      </c>
      <c r="BG3038" s="373">
        <f t="shared" si="931"/>
        <v>-4</v>
      </c>
    </row>
    <row r="3039" spans="1:59" s="46" customFormat="1" ht="15.95" customHeight="1">
      <c r="A3039" s="176">
        <v>118</v>
      </c>
      <c r="B3039" s="31" t="s">
        <v>1248</v>
      </c>
      <c r="C3039" s="32" t="s">
        <v>2042</v>
      </c>
      <c r="D3039" s="231"/>
      <c r="E3039" s="231"/>
      <c r="F3039" s="231"/>
      <c r="G3039" s="231"/>
      <c r="H3039" s="231"/>
      <c r="I3039" s="231"/>
      <c r="J3039" s="231"/>
      <c r="K3039" s="231"/>
      <c r="L3039" s="231"/>
      <c r="M3039" s="231"/>
      <c r="N3039" s="231"/>
      <c r="O3039" s="231"/>
      <c r="P3039" s="231"/>
      <c r="Q3039" s="231"/>
      <c r="R3039" s="231"/>
      <c r="S3039" s="231"/>
      <c r="T3039" s="231"/>
      <c r="U3039" s="231"/>
      <c r="V3039" s="231"/>
      <c r="W3039" s="231"/>
      <c r="X3039" s="231"/>
      <c r="Y3039" s="231"/>
      <c r="Z3039" s="231"/>
      <c r="AA3039" s="231"/>
      <c r="AB3039" s="22">
        <f t="shared" si="932"/>
        <v>0</v>
      </c>
      <c r="AC3039" s="23">
        <v>0</v>
      </c>
      <c r="AD3039" s="35"/>
      <c r="AE3039" s="35"/>
      <c r="AF3039" s="35"/>
      <c r="AG3039" s="35"/>
      <c r="AH3039" s="35">
        <v>6</v>
      </c>
      <c r="AI3039" s="35"/>
      <c r="AJ3039" s="35"/>
      <c r="AK3039" s="35"/>
      <c r="AL3039" s="35">
        <f>1+17</f>
        <v>18</v>
      </c>
      <c r="AM3039" s="35"/>
      <c r="AN3039" s="35"/>
      <c r="AO3039" s="35"/>
      <c r="AP3039" s="35">
        <v>17</v>
      </c>
      <c r="AQ3039" s="35"/>
      <c r="AR3039" s="35"/>
      <c r="AS3039" s="35"/>
      <c r="AT3039" s="35"/>
      <c r="AU3039" s="35"/>
      <c r="AV3039" s="35"/>
      <c r="AW3039" s="35"/>
      <c r="AX3039" s="35"/>
      <c r="AY3039" s="35"/>
      <c r="AZ3039" s="35"/>
      <c r="BA3039" s="35"/>
      <c r="BB3039" s="22">
        <f t="shared" si="933"/>
        <v>41</v>
      </c>
      <c r="BC3039" s="23">
        <v>44</v>
      </c>
      <c r="BD3039" s="130">
        <f t="shared" si="934"/>
        <v>41</v>
      </c>
      <c r="BE3039" s="130">
        <f t="shared" si="935"/>
        <v>44</v>
      </c>
      <c r="BF3039" s="195">
        <f t="shared" si="936"/>
        <v>93.181818181818173</v>
      </c>
      <c r="BG3039" s="373">
        <f t="shared" si="931"/>
        <v>3</v>
      </c>
    </row>
    <row r="3040" spans="1:59" s="46" customFormat="1" ht="15.95" customHeight="1">
      <c r="A3040" s="176">
        <v>119</v>
      </c>
      <c r="B3040" s="31" t="s">
        <v>1385</v>
      </c>
      <c r="C3040" s="32" t="s">
        <v>2216</v>
      </c>
      <c r="D3040" s="231"/>
      <c r="E3040" s="231"/>
      <c r="F3040" s="231"/>
      <c r="G3040" s="231"/>
      <c r="H3040" s="231"/>
      <c r="I3040" s="231"/>
      <c r="J3040" s="231"/>
      <c r="K3040" s="231"/>
      <c r="L3040" s="231"/>
      <c r="M3040" s="231"/>
      <c r="N3040" s="231"/>
      <c r="O3040" s="231"/>
      <c r="P3040" s="231"/>
      <c r="Q3040" s="231"/>
      <c r="R3040" s="231"/>
      <c r="S3040" s="231"/>
      <c r="T3040" s="231"/>
      <c r="U3040" s="231"/>
      <c r="V3040" s="231"/>
      <c r="W3040" s="231"/>
      <c r="X3040" s="231"/>
      <c r="Y3040" s="231"/>
      <c r="Z3040" s="231"/>
      <c r="AA3040" s="231"/>
      <c r="AB3040" s="22">
        <f t="shared" si="932"/>
        <v>0</v>
      </c>
      <c r="AC3040" s="23">
        <v>0</v>
      </c>
      <c r="AD3040" s="35"/>
      <c r="AE3040" s="35"/>
      <c r="AF3040" s="35"/>
      <c r="AG3040" s="35"/>
      <c r="AH3040" s="35"/>
      <c r="AI3040" s="35"/>
      <c r="AJ3040" s="35"/>
      <c r="AK3040" s="35"/>
      <c r="AL3040" s="35"/>
      <c r="AM3040" s="35"/>
      <c r="AN3040" s="35"/>
      <c r="AO3040" s="35"/>
      <c r="AP3040" s="35">
        <v>1</v>
      </c>
      <c r="AQ3040" s="35"/>
      <c r="AR3040" s="35"/>
      <c r="AS3040" s="35"/>
      <c r="AT3040" s="35"/>
      <c r="AU3040" s="35"/>
      <c r="AV3040" s="35"/>
      <c r="AW3040" s="35"/>
      <c r="AX3040" s="35"/>
      <c r="AY3040" s="35"/>
      <c r="AZ3040" s="35"/>
      <c r="BA3040" s="35"/>
      <c r="BB3040" s="22">
        <f t="shared" si="933"/>
        <v>1</v>
      </c>
      <c r="BC3040" s="23">
        <v>3</v>
      </c>
      <c r="BD3040" s="130">
        <f t="shared" si="934"/>
        <v>1</v>
      </c>
      <c r="BE3040" s="130">
        <f t="shared" si="935"/>
        <v>3</v>
      </c>
      <c r="BF3040" s="195">
        <f t="shared" si="936"/>
        <v>33.333333333333329</v>
      </c>
      <c r="BG3040" s="373">
        <f t="shared" si="931"/>
        <v>2</v>
      </c>
    </row>
    <row r="3041" spans="1:59" s="46" customFormat="1" ht="15.95" customHeight="1">
      <c r="A3041" s="176">
        <v>120</v>
      </c>
      <c r="B3041" s="31" t="s">
        <v>1337</v>
      </c>
      <c r="C3041" s="32" t="s">
        <v>1386</v>
      </c>
      <c r="D3041" s="231"/>
      <c r="E3041" s="231"/>
      <c r="F3041" s="231"/>
      <c r="G3041" s="231"/>
      <c r="H3041" s="231"/>
      <c r="I3041" s="231"/>
      <c r="J3041" s="231"/>
      <c r="K3041" s="231"/>
      <c r="L3041" s="231"/>
      <c r="M3041" s="231"/>
      <c r="N3041" s="231"/>
      <c r="O3041" s="231"/>
      <c r="P3041" s="231"/>
      <c r="Q3041" s="231"/>
      <c r="R3041" s="231"/>
      <c r="S3041" s="231"/>
      <c r="T3041" s="231"/>
      <c r="U3041" s="231"/>
      <c r="V3041" s="231"/>
      <c r="W3041" s="231"/>
      <c r="X3041" s="231"/>
      <c r="Y3041" s="231"/>
      <c r="Z3041" s="231"/>
      <c r="AA3041" s="231"/>
      <c r="AB3041" s="22">
        <f t="shared" si="932"/>
        <v>0</v>
      </c>
      <c r="AC3041" s="23">
        <v>0</v>
      </c>
      <c r="AD3041" s="35"/>
      <c r="AE3041" s="35"/>
      <c r="AF3041" s="35"/>
      <c r="AG3041" s="35"/>
      <c r="AH3041" s="35">
        <v>3</v>
      </c>
      <c r="AI3041" s="35"/>
      <c r="AJ3041" s="35"/>
      <c r="AK3041" s="35"/>
      <c r="AL3041" s="35">
        <v>11</v>
      </c>
      <c r="AM3041" s="35"/>
      <c r="AN3041" s="35"/>
      <c r="AO3041" s="35"/>
      <c r="AP3041" s="35">
        <v>21</v>
      </c>
      <c r="AQ3041" s="35"/>
      <c r="AR3041" s="35"/>
      <c r="AS3041" s="35"/>
      <c r="AT3041" s="35"/>
      <c r="AU3041" s="35"/>
      <c r="AV3041" s="35"/>
      <c r="AW3041" s="35"/>
      <c r="AX3041" s="35"/>
      <c r="AY3041" s="35"/>
      <c r="AZ3041" s="35"/>
      <c r="BA3041" s="35"/>
      <c r="BB3041" s="22">
        <f t="shared" si="933"/>
        <v>35</v>
      </c>
      <c r="BC3041" s="23">
        <v>148</v>
      </c>
      <c r="BD3041" s="130">
        <f t="shared" si="934"/>
        <v>35</v>
      </c>
      <c r="BE3041" s="130">
        <f t="shared" si="935"/>
        <v>148</v>
      </c>
      <c r="BF3041" s="195">
        <f t="shared" si="936"/>
        <v>23.648648648648649</v>
      </c>
      <c r="BG3041" s="373">
        <f t="shared" si="931"/>
        <v>113</v>
      </c>
    </row>
    <row r="3042" spans="1:59" s="46" customFormat="1" ht="15.95" customHeight="1">
      <c r="A3042" s="176">
        <v>121</v>
      </c>
      <c r="B3042" s="31" t="s">
        <v>1388</v>
      </c>
      <c r="C3042" s="32" t="s">
        <v>1389</v>
      </c>
      <c r="D3042" s="231"/>
      <c r="E3042" s="231"/>
      <c r="F3042" s="231"/>
      <c r="G3042" s="231"/>
      <c r="H3042" s="231"/>
      <c r="I3042" s="231"/>
      <c r="J3042" s="231"/>
      <c r="K3042" s="231"/>
      <c r="L3042" s="231"/>
      <c r="M3042" s="231"/>
      <c r="N3042" s="231"/>
      <c r="O3042" s="231"/>
      <c r="P3042" s="231"/>
      <c r="Q3042" s="231"/>
      <c r="R3042" s="231"/>
      <c r="S3042" s="231"/>
      <c r="T3042" s="231"/>
      <c r="U3042" s="231"/>
      <c r="V3042" s="231"/>
      <c r="W3042" s="231"/>
      <c r="X3042" s="231"/>
      <c r="Y3042" s="231"/>
      <c r="Z3042" s="231"/>
      <c r="AA3042" s="231"/>
      <c r="AB3042" s="22">
        <f t="shared" si="932"/>
        <v>0</v>
      </c>
      <c r="AC3042" s="23">
        <v>0</v>
      </c>
      <c r="AD3042" s="35"/>
      <c r="AE3042" s="35"/>
      <c r="AF3042" s="35"/>
      <c r="AG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  <c r="AX3042" s="35"/>
      <c r="AY3042" s="35"/>
      <c r="AZ3042" s="35"/>
      <c r="BA3042" s="35"/>
      <c r="BB3042" s="22">
        <f t="shared" si="933"/>
        <v>0</v>
      </c>
      <c r="BC3042" s="23">
        <v>8</v>
      </c>
      <c r="BD3042" s="130">
        <f t="shared" si="934"/>
        <v>0</v>
      </c>
      <c r="BE3042" s="130">
        <f t="shared" si="935"/>
        <v>8</v>
      </c>
      <c r="BF3042" s="195">
        <f t="shared" si="936"/>
        <v>0</v>
      </c>
      <c r="BG3042" s="373">
        <f t="shared" si="931"/>
        <v>8</v>
      </c>
    </row>
    <row r="3043" spans="1:59" s="46" customFormat="1" ht="15.95" customHeight="1">
      <c r="A3043" s="176">
        <v>122</v>
      </c>
      <c r="B3043" s="31" t="s">
        <v>1597</v>
      </c>
      <c r="C3043" s="32" t="s">
        <v>3204</v>
      </c>
      <c r="D3043" s="231"/>
      <c r="E3043" s="231"/>
      <c r="F3043" s="231"/>
      <c r="G3043" s="231"/>
      <c r="H3043" s="231"/>
      <c r="I3043" s="231"/>
      <c r="J3043" s="231"/>
      <c r="K3043" s="231"/>
      <c r="L3043" s="231"/>
      <c r="M3043" s="231"/>
      <c r="N3043" s="231"/>
      <c r="O3043" s="231"/>
      <c r="P3043" s="231"/>
      <c r="Q3043" s="231"/>
      <c r="R3043" s="231"/>
      <c r="S3043" s="231"/>
      <c r="T3043" s="231"/>
      <c r="U3043" s="231"/>
      <c r="V3043" s="231"/>
      <c r="W3043" s="231"/>
      <c r="X3043" s="231"/>
      <c r="Y3043" s="231"/>
      <c r="Z3043" s="231"/>
      <c r="AA3043" s="231"/>
      <c r="AB3043" s="22">
        <f t="shared" si="932"/>
        <v>0</v>
      </c>
      <c r="AC3043" s="23">
        <v>0</v>
      </c>
      <c r="AD3043" s="35"/>
      <c r="AE3043" s="35"/>
      <c r="AF3043" s="35"/>
      <c r="AG3043" s="35"/>
      <c r="AH3043" s="35">
        <v>6</v>
      </c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  <c r="AX3043" s="35"/>
      <c r="AY3043" s="35"/>
      <c r="AZ3043" s="35"/>
      <c r="BA3043" s="35"/>
      <c r="BB3043" s="22">
        <f t="shared" si="933"/>
        <v>6</v>
      </c>
      <c r="BC3043" s="23">
        <v>2</v>
      </c>
      <c r="BD3043" s="130">
        <f t="shared" si="934"/>
        <v>6</v>
      </c>
      <c r="BE3043" s="130">
        <f t="shared" si="935"/>
        <v>2</v>
      </c>
      <c r="BF3043" s="195">
        <f t="shared" si="936"/>
        <v>300</v>
      </c>
      <c r="BG3043" s="373">
        <f t="shared" si="931"/>
        <v>-4</v>
      </c>
    </row>
    <row r="3044" spans="1:59" s="46" customFormat="1" ht="15.95" customHeight="1">
      <c r="A3044" s="176">
        <v>123</v>
      </c>
      <c r="B3044" s="31" t="s">
        <v>1390</v>
      </c>
      <c r="C3044" s="32" t="s">
        <v>2261</v>
      </c>
      <c r="D3044" s="231"/>
      <c r="E3044" s="231"/>
      <c r="F3044" s="231"/>
      <c r="G3044" s="231"/>
      <c r="H3044" s="231"/>
      <c r="I3044" s="231"/>
      <c r="J3044" s="231"/>
      <c r="K3044" s="231"/>
      <c r="L3044" s="231"/>
      <c r="M3044" s="231"/>
      <c r="N3044" s="231"/>
      <c r="O3044" s="231"/>
      <c r="P3044" s="231"/>
      <c r="Q3044" s="231"/>
      <c r="R3044" s="231"/>
      <c r="S3044" s="231"/>
      <c r="T3044" s="231"/>
      <c r="U3044" s="231"/>
      <c r="V3044" s="231"/>
      <c r="W3044" s="231"/>
      <c r="X3044" s="231"/>
      <c r="Y3044" s="231"/>
      <c r="Z3044" s="231"/>
      <c r="AA3044" s="231"/>
      <c r="AB3044" s="22">
        <f t="shared" si="932"/>
        <v>0</v>
      </c>
      <c r="AC3044" s="23">
        <v>0</v>
      </c>
      <c r="AD3044" s="35"/>
      <c r="AE3044" s="35"/>
      <c r="AF3044" s="35"/>
      <c r="AG3044" s="35"/>
      <c r="AH3044" s="35">
        <v>1</v>
      </c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  <c r="AX3044" s="35"/>
      <c r="AY3044" s="35"/>
      <c r="AZ3044" s="35"/>
      <c r="BA3044" s="35"/>
      <c r="BB3044" s="22">
        <f t="shared" si="933"/>
        <v>1</v>
      </c>
      <c r="BC3044" s="23">
        <v>1</v>
      </c>
      <c r="BD3044" s="130">
        <f t="shared" si="934"/>
        <v>1</v>
      </c>
      <c r="BE3044" s="130">
        <f t="shared" si="935"/>
        <v>1</v>
      </c>
      <c r="BF3044" s="195">
        <f t="shared" si="936"/>
        <v>100</v>
      </c>
      <c r="BG3044" s="373">
        <f t="shared" si="931"/>
        <v>0</v>
      </c>
    </row>
    <row r="3045" spans="1:59" s="46" customFormat="1" ht="15.95" customHeight="1">
      <c r="A3045" s="176">
        <v>124</v>
      </c>
      <c r="B3045" s="31" t="s">
        <v>1501</v>
      </c>
      <c r="C3045" s="32" t="s">
        <v>1502</v>
      </c>
      <c r="D3045" s="231"/>
      <c r="E3045" s="231"/>
      <c r="F3045" s="231"/>
      <c r="G3045" s="231"/>
      <c r="H3045" s="231"/>
      <c r="I3045" s="231"/>
      <c r="J3045" s="231"/>
      <c r="K3045" s="231"/>
      <c r="L3045" s="231"/>
      <c r="M3045" s="231"/>
      <c r="N3045" s="231"/>
      <c r="O3045" s="231"/>
      <c r="P3045" s="231"/>
      <c r="Q3045" s="231"/>
      <c r="R3045" s="231"/>
      <c r="S3045" s="231"/>
      <c r="T3045" s="231"/>
      <c r="U3045" s="231"/>
      <c r="V3045" s="231"/>
      <c r="W3045" s="231"/>
      <c r="X3045" s="231"/>
      <c r="Y3045" s="231"/>
      <c r="Z3045" s="231"/>
      <c r="AA3045" s="231"/>
      <c r="AB3045" s="22">
        <f t="shared" si="932"/>
        <v>0</v>
      </c>
      <c r="AC3045" s="23">
        <v>0</v>
      </c>
      <c r="AD3045" s="35"/>
      <c r="AE3045" s="35"/>
      <c r="AF3045" s="35"/>
      <c r="AG3045" s="35"/>
      <c r="AH3045" s="35"/>
      <c r="AI3045" s="35"/>
      <c r="AJ3045" s="35"/>
      <c r="AK3045" s="35"/>
      <c r="AL3045" s="35">
        <v>1</v>
      </c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  <c r="AX3045" s="35"/>
      <c r="AY3045" s="35"/>
      <c r="AZ3045" s="35"/>
      <c r="BA3045" s="35"/>
      <c r="BB3045" s="22">
        <f t="shared" si="933"/>
        <v>1</v>
      </c>
      <c r="BC3045" s="23">
        <v>1</v>
      </c>
      <c r="BD3045" s="130">
        <f t="shared" si="934"/>
        <v>1</v>
      </c>
      <c r="BE3045" s="130">
        <f t="shared" si="935"/>
        <v>1</v>
      </c>
      <c r="BF3045" s="195">
        <f t="shared" si="936"/>
        <v>100</v>
      </c>
      <c r="BG3045" s="373">
        <f t="shared" si="931"/>
        <v>0</v>
      </c>
    </row>
    <row r="3046" spans="1:59" s="46" customFormat="1" ht="15.95" customHeight="1">
      <c r="A3046" s="176">
        <v>125</v>
      </c>
      <c r="B3046" s="31" t="s">
        <v>1393</v>
      </c>
      <c r="C3046" s="32" t="s">
        <v>1392</v>
      </c>
      <c r="D3046" s="327"/>
      <c r="E3046" s="327"/>
      <c r="F3046" s="327"/>
      <c r="G3046" s="327"/>
      <c r="H3046" s="327"/>
      <c r="I3046" s="327"/>
      <c r="J3046" s="327"/>
      <c r="K3046" s="327"/>
      <c r="L3046" s="327"/>
      <c r="M3046" s="327"/>
      <c r="N3046" s="327"/>
      <c r="O3046" s="327"/>
      <c r="P3046" s="327"/>
      <c r="Q3046" s="327"/>
      <c r="R3046" s="327"/>
      <c r="S3046" s="327"/>
      <c r="T3046" s="327"/>
      <c r="U3046" s="327"/>
      <c r="V3046" s="327"/>
      <c r="W3046" s="327"/>
      <c r="X3046" s="327"/>
      <c r="Y3046" s="327"/>
      <c r="Z3046" s="327"/>
      <c r="AA3046" s="327"/>
      <c r="AB3046" s="22">
        <f t="shared" si="932"/>
        <v>0</v>
      </c>
      <c r="AC3046" s="23">
        <v>0</v>
      </c>
      <c r="AD3046" s="35"/>
      <c r="AE3046" s="35"/>
      <c r="AF3046" s="35"/>
      <c r="AG3046" s="35"/>
      <c r="AH3046" s="35"/>
      <c r="AI3046" s="35"/>
      <c r="AJ3046" s="35"/>
      <c r="AK3046" s="35"/>
      <c r="AL3046" s="35">
        <v>3</v>
      </c>
      <c r="AM3046" s="35"/>
      <c r="AN3046" s="35"/>
      <c r="AO3046" s="35"/>
      <c r="AP3046" s="35">
        <v>2</v>
      </c>
      <c r="AQ3046" s="35"/>
      <c r="AR3046" s="35"/>
      <c r="AS3046" s="35"/>
      <c r="AT3046" s="35"/>
      <c r="AU3046" s="35"/>
      <c r="AV3046" s="35"/>
      <c r="AW3046" s="35"/>
      <c r="AX3046" s="35"/>
      <c r="AY3046" s="35"/>
      <c r="AZ3046" s="35"/>
      <c r="BA3046" s="35"/>
      <c r="BB3046" s="22">
        <f t="shared" si="933"/>
        <v>5</v>
      </c>
      <c r="BC3046" s="23">
        <v>10</v>
      </c>
      <c r="BD3046" s="130">
        <f t="shared" si="934"/>
        <v>5</v>
      </c>
      <c r="BE3046" s="130">
        <f t="shared" si="935"/>
        <v>10</v>
      </c>
      <c r="BF3046" s="195">
        <f t="shared" si="936"/>
        <v>50</v>
      </c>
      <c r="BG3046" s="373">
        <f t="shared" si="931"/>
        <v>5</v>
      </c>
    </row>
    <row r="3047" spans="1:59" s="46" customFormat="1" ht="15.95" customHeight="1">
      <c r="A3047" s="176">
        <v>126</v>
      </c>
      <c r="B3047" s="31" t="s">
        <v>1077</v>
      </c>
      <c r="C3047" s="32" t="s">
        <v>2043</v>
      </c>
      <c r="D3047" s="231"/>
      <c r="E3047" s="231"/>
      <c r="F3047" s="231"/>
      <c r="G3047" s="231"/>
      <c r="H3047" s="231"/>
      <c r="I3047" s="231"/>
      <c r="J3047" s="231"/>
      <c r="K3047" s="231"/>
      <c r="L3047" s="231"/>
      <c r="M3047" s="231"/>
      <c r="N3047" s="231"/>
      <c r="O3047" s="231"/>
      <c r="P3047" s="231"/>
      <c r="Q3047" s="231"/>
      <c r="R3047" s="231"/>
      <c r="S3047" s="231"/>
      <c r="T3047" s="231"/>
      <c r="U3047" s="231"/>
      <c r="V3047" s="231"/>
      <c r="W3047" s="231"/>
      <c r="X3047" s="231"/>
      <c r="Y3047" s="231"/>
      <c r="Z3047" s="231"/>
      <c r="AA3047" s="231"/>
      <c r="AB3047" s="22">
        <f t="shared" si="932"/>
        <v>0</v>
      </c>
      <c r="AC3047" s="23">
        <v>0</v>
      </c>
      <c r="AD3047" s="35"/>
      <c r="AE3047" s="35"/>
      <c r="AF3047" s="35"/>
      <c r="AG3047" s="35"/>
      <c r="AH3047" s="35"/>
      <c r="AI3047" s="35"/>
      <c r="AJ3047" s="35"/>
      <c r="AK3047" s="35"/>
      <c r="AL3047" s="35"/>
      <c r="AM3047" s="35"/>
      <c r="AN3047" s="35"/>
      <c r="AO3047" s="35"/>
      <c r="AP3047" s="35">
        <v>3</v>
      </c>
      <c r="AQ3047" s="35"/>
      <c r="AR3047" s="35"/>
      <c r="AS3047" s="35"/>
      <c r="AT3047" s="35"/>
      <c r="AU3047" s="35"/>
      <c r="AV3047" s="35"/>
      <c r="AW3047" s="35"/>
      <c r="AX3047" s="35"/>
      <c r="AY3047" s="35"/>
      <c r="AZ3047" s="35"/>
      <c r="BA3047" s="35"/>
      <c r="BB3047" s="22">
        <f t="shared" si="933"/>
        <v>3</v>
      </c>
      <c r="BC3047" s="23">
        <v>14</v>
      </c>
      <c r="BD3047" s="130">
        <f t="shared" si="934"/>
        <v>3</v>
      </c>
      <c r="BE3047" s="130">
        <f t="shared" si="935"/>
        <v>14</v>
      </c>
      <c r="BF3047" s="195">
        <f t="shared" si="936"/>
        <v>21.428571428571427</v>
      </c>
      <c r="BG3047" s="373">
        <f t="shared" si="931"/>
        <v>11</v>
      </c>
    </row>
    <row r="3048" spans="1:59" s="46" customFormat="1" ht="15.95" customHeight="1">
      <c r="A3048" s="176">
        <v>127</v>
      </c>
      <c r="B3048" s="31" t="s">
        <v>1341</v>
      </c>
      <c r="C3048" s="32" t="s">
        <v>2044</v>
      </c>
      <c r="D3048" s="231"/>
      <c r="E3048" s="231"/>
      <c r="F3048" s="231"/>
      <c r="G3048" s="231"/>
      <c r="H3048" s="231"/>
      <c r="I3048" s="231"/>
      <c r="J3048" s="231"/>
      <c r="K3048" s="231"/>
      <c r="L3048" s="231"/>
      <c r="M3048" s="231"/>
      <c r="N3048" s="231"/>
      <c r="O3048" s="231"/>
      <c r="P3048" s="231"/>
      <c r="Q3048" s="231"/>
      <c r="R3048" s="231"/>
      <c r="S3048" s="231"/>
      <c r="T3048" s="231"/>
      <c r="U3048" s="231"/>
      <c r="V3048" s="231"/>
      <c r="W3048" s="231"/>
      <c r="X3048" s="231"/>
      <c r="Y3048" s="231"/>
      <c r="Z3048" s="231"/>
      <c r="AA3048" s="231"/>
      <c r="AB3048" s="22">
        <f t="shared" si="932"/>
        <v>0</v>
      </c>
      <c r="AC3048" s="23">
        <v>0</v>
      </c>
      <c r="AD3048" s="35"/>
      <c r="AE3048" s="35"/>
      <c r="AF3048" s="35"/>
      <c r="AG3048" s="35"/>
      <c r="AH3048" s="35"/>
      <c r="AI3048" s="35"/>
      <c r="AJ3048" s="35"/>
      <c r="AK3048" s="35"/>
      <c r="AL3048" s="35">
        <v>2</v>
      </c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  <c r="AX3048" s="35"/>
      <c r="AY3048" s="35"/>
      <c r="AZ3048" s="35"/>
      <c r="BA3048" s="35"/>
      <c r="BB3048" s="22">
        <f t="shared" si="933"/>
        <v>2</v>
      </c>
      <c r="BC3048" s="23">
        <v>7</v>
      </c>
      <c r="BD3048" s="130">
        <f t="shared" si="934"/>
        <v>2</v>
      </c>
      <c r="BE3048" s="130">
        <f t="shared" si="935"/>
        <v>7</v>
      </c>
      <c r="BF3048" s="195">
        <f t="shared" si="936"/>
        <v>28.571428571428569</v>
      </c>
      <c r="BG3048" s="373">
        <f t="shared" si="931"/>
        <v>5</v>
      </c>
    </row>
    <row r="3049" spans="1:59" s="46" customFormat="1" ht="15.95" customHeight="1">
      <c r="A3049" s="176">
        <v>128</v>
      </c>
      <c r="B3049" s="31" t="s">
        <v>1394</v>
      </c>
      <c r="C3049" s="32" t="s">
        <v>1344</v>
      </c>
      <c r="D3049" s="231"/>
      <c r="E3049" s="231"/>
      <c r="F3049" s="231"/>
      <c r="G3049" s="231"/>
      <c r="H3049" s="231"/>
      <c r="I3049" s="231"/>
      <c r="J3049" s="231"/>
      <c r="K3049" s="231"/>
      <c r="L3049" s="231"/>
      <c r="M3049" s="231"/>
      <c r="N3049" s="231"/>
      <c r="O3049" s="231"/>
      <c r="P3049" s="231"/>
      <c r="Q3049" s="231"/>
      <c r="R3049" s="231"/>
      <c r="S3049" s="231"/>
      <c r="T3049" s="231"/>
      <c r="U3049" s="231"/>
      <c r="V3049" s="231"/>
      <c r="W3049" s="231"/>
      <c r="X3049" s="231"/>
      <c r="Y3049" s="231"/>
      <c r="Z3049" s="231"/>
      <c r="AA3049" s="231"/>
      <c r="AB3049" s="22">
        <f t="shared" si="932"/>
        <v>0</v>
      </c>
      <c r="AC3049" s="23">
        <v>0</v>
      </c>
      <c r="AD3049" s="35"/>
      <c r="AE3049" s="35"/>
      <c r="AF3049" s="35"/>
      <c r="AG3049" s="35"/>
      <c r="AH3049" s="35">
        <v>1</v>
      </c>
      <c r="AI3049" s="35"/>
      <c r="AJ3049" s="35"/>
      <c r="AK3049" s="35"/>
      <c r="AL3049" s="35">
        <v>6</v>
      </c>
      <c r="AM3049" s="35"/>
      <c r="AN3049" s="35"/>
      <c r="AO3049" s="35"/>
      <c r="AP3049" s="35">
        <v>3</v>
      </c>
      <c r="AQ3049" s="35"/>
      <c r="AR3049" s="35"/>
      <c r="AS3049" s="35"/>
      <c r="AT3049" s="35"/>
      <c r="AU3049" s="35"/>
      <c r="AV3049" s="35"/>
      <c r="AW3049" s="35"/>
      <c r="AX3049" s="35"/>
      <c r="AY3049" s="35"/>
      <c r="AZ3049" s="35"/>
      <c r="BA3049" s="35"/>
      <c r="BB3049" s="22">
        <f t="shared" si="933"/>
        <v>10</v>
      </c>
      <c r="BC3049" s="23">
        <v>14</v>
      </c>
      <c r="BD3049" s="130">
        <f t="shared" si="934"/>
        <v>10</v>
      </c>
      <c r="BE3049" s="130">
        <f t="shared" si="935"/>
        <v>14</v>
      </c>
      <c r="BF3049" s="195">
        <f t="shared" si="936"/>
        <v>71.428571428571431</v>
      </c>
      <c r="BG3049" s="373">
        <f t="shared" si="931"/>
        <v>4</v>
      </c>
    </row>
    <row r="3050" spans="1:59" s="46" customFormat="1" ht="15.95" customHeight="1">
      <c r="A3050" s="176">
        <v>129</v>
      </c>
      <c r="B3050" s="31" t="s">
        <v>1395</v>
      </c>
      <c r="C3050" s="32" t="s">
        <v>1503</v>
      </c>
      <c r="D3050" s="231"/>
      <c r="E3050" s="231"/>
      <c r="F3050" s="231"/>
      <c r="G3050" s="231"/>
      <c r="H3050" s="231"/>
      <c r="I3050" s="231"/>
      <c r="J3050" s="231"/>
      <c r="K3050" s="231"/>
      <c r="L3050" s="231"/>
      <c r="M3050" s="231"/>
      <c r="N3050" s="231"/>
      <c r="O3050" s="231"/>
      <c r="P3050" s="231"/>
      <c r="Q3050" s="231"/>
      <c r="R3050" s="231"/>
      <c r="S3050" s="231"/>
      <c r="T3050" s="231"/>
      <c r="U3050" s="231"/>
      <c r="V3050" s="231"/>
      <c r="W3050" s="231"/>
      <c r="X3050" s="231"/>
      <c r="Y3050" s="231"/>
      <c r="Z3050" s="231"/>
      <c r="AA3050" s="231"/>
      <c r="AB3050" s="22">
        <f t="shared" si="932"/>
        <v>0</v>
      </c>
      <c r="AC3050" s="23">
        <v>0</v>
      </c>
      <c r="AD3050" s="35"/>
      <c r="AE3050" s="35"/>
      <c r="AF3050" s="35"/>
      <c r="AG3050" s="35"/>
      <c r="AH3050" s="35">
        <v>1</v>
      </c>
      <c r="AI3050" s="35"/>
      <c r="AJ3050" s="35"/>
      <c r="AK3050" s="35"/>
      <c r="AL3050" s="35">
        <v>8</v>
      </c>
      <c r="AM3050" s="35"/>
      <c r="AN3050" s="35"/>
      <c r="AO3050" s="35"/>
      <c r="AP3050" s="35">
        <v>4</v>
      </c>
      <c r="AQ3050" s="35"/>
      <c r="AR3050" s="35"/>
      <c r="AS3050" s="35"/>
      <c r="AT3050" s="35"/>
      <c r="AU3050" s="35"/>
      <c r="AV3050" s="35"/>
      <c r="AW3050" s="35"/>
      <c r="AX3050" s="35"/>
      <c r="AY3050" s="35"/>
      <c r="AZ3050" s="35"/>
      <c r="BA3050" s="35"/>
      <c r="BB3050" s="22">
        <f t="shared" si="933"/>
        <v>13</v>
      </c>
      <c r="BC3050" s="23">
        <v>38</v>
      </c>
      <c r="BD3050" s="130">
        <f t="shared" si="934"/>
        <v>13</v>
      </c>
      <c r="BE3050" s="130">
        <f t="shared" si="935"/>
        <v>38</v>
      </c>
      <c r="BF3050" s="195">
        <f t="shared" si="936"/>
        <v>34.210526315789473</v>
      </c>
      <c r="BG3050" s="373">
        <f t="shared" si="931"/>
        <v>25</v>
      </c>
    </row>
    <row r="3051" spans="1:59" s="46" customFormat="1" ht="15.95" customHeight="1">
      <c r="A3051" s="176">
        <v>130</v>
      </c>
      <c r="B3051" s="31" t="s">
        <v>1396</v>
      </c>
      <c r="C3051" s="32" t="s">
        <v>3205</v>
      </c>
      <c r="D3051" s="231"/>
      <c r="E3051" s="231"/>
      <c r="F3051" s="231"/>
      <c r="G3051" s="231"/>
      <c r="H3051" s="231"/>
      <c r="I3051" s="231"/>
      <c r="J3051" s="231"/>
      <c r="K3051" s="231"/>
      <c r="L3051" s="231"/>
      <c r="M3051" s="231"/>
      <c r="N3051" s="231"/>
      <c r="O3051" s="231"/>
      <c r="P3051" s="231"/>
      <c r="Q3051" s="231"/>
      <c r="R3051" s="231"/>
      <c r="S3051" s="231"/>
      <c r="T3051" s="231"/>
      <c r="U3051" s="231"/>
      <c r="V3051" s="231"/>
      <c r="W3051" s="231"/>
      <c r="X3051" s="231"/>
      <c r="Y3051" s="231"/>
      <c r="Z3051" s="231"/>
      <c r="AA3051" s="231"/>
      <c r="AB3051" s="22">
        <f t="shared" si="932"/>
        <v>0</v>
      </c>
      <c r="AC3051" s="23">
        <v>0</v>
      </c>
      <c r="AD3051" s="35"/>
      <c r="AE3051" s="35"/>
      <c r="AF3051" s="35"/>
      <c r="AG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  <c r="AX3051" s="35"/>
      <c r="AY3051" s="35"/>
      <c r="AZ3051" s="35"/>
      <c r="BA3051" s="35"/>
      <c r="BB3051" s="22">
        <f t="shared" si="933"/>
        <v>0</v>
      </c>
      <c r="BC3051" s="23">
        <v>1</v>
      </c>
      <c r="BD3051" s="130">
        <f t="shared" si="934"/>
        <v>0</v>
      </c>
      <c r="BE3051" s="130">
        <f t="shared" si="935"/>
        <v>1</v>
      </c>
      <c r="BF3051" s="195">
        <f t="shared" si="936"/>
        <v>0</v>
      </c>
      <c r="BG3051" s="373">
        <f t="shared" si="931"/>
        <v>1</v>
      </c>
    </row>
    <row r="3052" spans="1:59" s="46" customFormat="1" ht="15.95" customHeight="1">
      <c r="A3052" s="176">
        <v>131</v>
      </c>
      <c r="B3052" s="31" t="s">
        <v>1343</v>
      </c>
      <c r="C3052" s="32" t="s">
        <v>1503</v>
      </c>
      <c r="D3052" s="231"/>
      <c r="E3052" s="231"/>
      <c r="F3052" s="231"/>
      <c r="G3052" s="231"/>
      <c r="H3052" s="231"/>
      <c r="I3052" s="231"/>
      <c r="J3052" s="231"/>
      <c r="K3052" s="231"/>
      <c r="L3052" s="231"/>
      <c r="M3052" s="231"/>
      <c r="N3052" s="231"/>
      <c r="O3052" s="231"/>
      <c r="P3052" s="231"/>
      <c r="Q3052" s="231"/>
      <c r="R3052" s="231"/>
      <c r="S3052" s="231"/>
      <c r="T3052" s="231"/>
      <c r="U3052" s="231"/>
      <c r="V3052" s="231"/>
      <c r="W3052" s="231"/>
      <c r="X3052" s="231"/>
      <c r="Y3052" s="231"/>
      <c r="Z3052" s="231"/>
      <c r="AA3052" s="231"/>
      <c r="AB3052" s="22">
        <f t="shared" si="932"/>
        <v>0</v>
      </c>
      <c r="AC3052" s="23">
        <v>0</v>
      </c>
      <c r="AD3052" s="35"/>
      <c r="AE3052" s="35"/>
      <c r="AF3052" s="35"/>
      <c r="AG3052" s="35"/>
      <c r="AH3052" s="35"/>
      <c r="AI3052" s="35"/>
      <c r="AJ3052" s="35"/>
      <c r="AK3052" s="35"/>
      <c r="AL3052" s="35">
        <v>3</v>
      </c>
      <c r="AM3052" s="35"/>
      <c r="AN3052" s="35"/>
      <c r="AO3052" s="35"/>
      <c r="AP3052" s="35">
        <v>3</v>
      </c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22">
        <f t="shared" si="933"/>
        <v>6</v>
      </c>
      <c r="BC3052" s="23">
        <v>10</v>
      </c>
      <c r="BD3052" s="130">
        <f t="shared" si="934"/>
        <v>6</v>
      </c>
      <c r="BE3052" s="130">
        <f t="shared" si="935"/>
        <v>10</v>
      </c>
      <c r="BF3052" s="195">
        <f t="shared" si="936"/>
        <v>60</v>
      </c>
      <c r="BG3052" s="373">
        <f t="shared" si="931"/>
        <v>4</v>
      </c>
    </row>
    <row r="3053" spans="1:59" s="46" customFormat="1" ht="15.95" customHeight="1">
      <c r="A3053" s="176">
        <v>132</v>
      </c>
      <c r="B3053" s="31" t="s">
        <v>2005</v>
      </c>
      <c r="C3053" s="32" t="s">
        <v>3206</v>
      </c>
      <c r="D3053" s="231"/>
      <c r="E3053" s="231"/>
      <c r="F3053" s="231"/>
      <c r="G3053" s="231"/>
      <c r="H3053" s="231"/>
      <c r="I3053" s="231"/>
      <c r="J3053" s="231"/>
      <c r="K3053" s="231"/>
      <c r="L3053" s="231"/>
      <c r="M3053" s="231"/>
      <c r="N3053" s="231"/>
      <c r="O3053" s="231"/>
      <c r="P3053" s="231"/>
      <c r="Q3053" s="231"/>
      <c r="R3053" s="231"/>
      <c r="S3053" s="231"/>
      <c r="T3053" s="231"/>
      <c r="U3053" s="231"/>
      <c r="V3053" s="231"/>
      <c r="W3053" s="231"/>
      <c r="X3053" s="231"/>
      <c r="Y3053" s="231"/>
      <c r="Z3053" s="231"/>
      <c r="AA3053" s="231"/>
      <c r="AB3053" s="22">
        <f t="shared" si="932"/>
        <v>0</v>
      </c>
      <c r="AC3053" s="23">
        <v>0</v>
      </c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22">
        <f t="shared" si="933"/>
        <v>0</v>
      </c>
      <c r="BC3053" s="23">
        <v>1</v>
      </c>
      <c r="BD3053" s="130">
        <f t="shared" si="934"/>
        <v>0</v>
      </c>
      <c r="BE3053" s="130">
        <f t="shared" si="935"/>
        <v>1</v>
      </c>
      <c r="BF3053" s="195">
        <f t="shared" si="936"/>
        <v>0</v>
      </c>
      <c r="BG3053" s="373">
        <f t="shared" si="931"/>
        <v>1</v>
      </c>
    </row>
    <row r="3054" spans="1:59" s="46" customFormat="1" ht="15.95" customHeight="1">
      <c r="A3054" s="176">
        <v>133</v>
      </c>
      <c r="B3054" s="31" t="s">
        <v>915</v>
      </c>
      <c r="C3054" s="32" t="s">
        <v>1015</v>
      </c>
      <c r="D3054" s="327"/>
      <c r="E3054" s="327"/>
      <c r="F3054" s="327"/>
      <c r="G3054" s="327"/>
      <c r="H3054" s="327"/>
      <c r="I3054" s="327"/>
      <c r="J3054" s="327"/>
      <c r="K3054" s="327"/>
      <c r="L3054" s="327"/>
      <c r="M3054" s="327"/>
      <c r="N3054" s="327"/>
      <c r="O3054" s="327"/>
      <c r="P3054" s="327"/>
      <c r="Q3054" s="327"/>
      <c r="R3054" s="327"/>
      <c r="S3054" s="327"/>
      <c r="T3054" s="327"/>
      <c r="U3054" s="327"/>
      <c r="V3054" s="327"/>
      <c r="W3054" s="327"/>
      <c r="X3054" s="327"/>
      <c r="Y3054" s="327"/>
      <c r="Z3054" s="327"/>
      <c r="AA3054" s="327"/>
      <c r="AB3054" s="22">
        <f t="shared" si="932"/>
        <v>0</v>
      </c>
      <c r="AC3054" s="23">
        <v>0</v>
      </c>
      <c r="AD3054" s="35"/>
      <c r="AE3054" s="35"/>
      <c r="AF3054" s="35"/>
      <c r="AG3054" s="35"/>
      <c r="AH3054" s="35">
        <v>2</v>
      </c>
      <c r="AI3054" s="35"/>
      <c r="AJ3054" s="35"/>
      <c r="AK3054" s="35"/>
      <c r="AL3054" s="35">
        <v>5</v>
      </c>
      <c r="AM3054" s="35"/>
      <c r="AN3054" s="35"/>
      <c r="AO3054" s="35"/>
      <c r="AP3054" s="35">
        <f>2+1</f>
        <v>3</v>
      </c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22">
        <f t="shared" si="933"/>
        <v>10</v>
      </c>
      <c r="BC3054" s="23">
        <v>21</v>
      </c>
      <c r="BD3054" s="130">
        <f t="shared" si="934"/>
        <v>10</v>
      </c>
      <c r="BE3054" s="130">
        <f t="shared" si="935"/>
        <v>21</v>
      </c>
      <c r="BF3054" s="195">
        <f t="shared" si="936"/>
        <v>47.619047619047613</v>
      </c>
      <c r="BG3054" s="373">
        <f t="shared" ref="BG3054:BG3066" si="937">BE3054-BD3054</f>
        <v>11</v>
      </c>
    </row>
    <row r="3055" spans="1:59" s="46" customFormat="1" ht="15.95" customHeight="1">
      <c r="A3055" s="176">
        <v>134</v>
      </c>
      <c r="B3055" s="31" t="s">
        <v>1191</v>
      </c>
      <c r="C3055" s="32" t="s">
        <v>1192</v>
      </c>
      <c r="D3055" s="231"/>
      <c r="E3055" s="231"/>
      <c r="F3055" s="231"/>
      <c r="G3055" s="231"/>
      <c r="H3055" s="231"/>
      <c r="I3055" s="231"/>
      <c r="J3055" s="231"/>
      <c r="K3055" s="231"/>
      <c r="L3055" s="231"/>
      <c r="M3055" s="231"/>
      <c r="N3055" s="231"/>
      <c r="O3055" s="231"/>
      <c r="P3055" s="231">
        <v>2</v>
      </c>
      <c r="Q3055" s="231"/>
      <c r="R3055" s="231"/>
      <c r="S3055" s="231"/>
      <c r="T3055" s="231"/>
      <c r="U3055" s="231"/>
      <c r="V3055" s="231"/>
      <c r="W3055" s="231"/>
      <c r="X3055" s="231"/>
      <c r="Y3055" s="231"/>
      <c r="Z3055" s="231"/>
      <c r="AA3055" s="231"/>
      <c r="AB3055" s="22">
        <f t="shared" ref="AB3055:AB3086" si="938">SUM(D3055:AA3055)</f>
        <v>2</v>
      </c>
      <c r="AC3055" s="23">
        <v>1</v>
      </c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22">
        <f t="shared" ref="BB3055:BB3086" si="939">SUM(AD3055:BA3055)</f>
        <v>0</v>
      </c>
      <c r="BC3055" s="23">
        <v>9</v>
      </c>
      <c r="BD3055" s="130">
        <f t="shared" ref="BD3055:BD3086" si="940">AB3055+BB3055</f>
        <v>2</v>
      </c>
      <c r="BE3055" s="130">
        <f t="shared" ref="BE3055:BE3086" si="941">AC3055+BC3055</f>
        <v>10</v>
      </c>
      <c r="BF3055" s="195">
        <f t="shared" ref="BF3055:BF3086" si="942">BD3055/BE3055*100</f>
        <v>20</v>
      </c>
      <c r="BG3055" s="373">
        <f t="shared" si="937"/>
        <v>8</v>
      </c>
    </row>
    <row r="3056" spans="1:59" s="46" customFormat="1" ht="15.95" customHeight="1">
      <c r="A3056" s="176">
        <v>135</v>
      </c>
      <c r="B3056" s="31" t="s">
        <v>1078</v>
      </c>
      <c r="C3056" s="32" t="s">
        <v>1504</v>
      </c>
      <c r="D3056" s="327"/>
      <c r="E3056" s="327"/>
      <c r="F3056" s="327"/>
      <c r="G3056" s="327"/>
      <c r="H3056" s="327"/>
      <c r="I3056" s="327"/>
      <c r="J3056" s="327"/>
      <c r="K3056" s="327"/>
      <c r="L3056" s="327"/>
      <c r="M3056" s="327"/>
      <c r="N3056" s="327"/>
      <c r="O3056" s="327"/>
      <c r="P3056" s="327"/>
      <c r="Q3056" s="327"/>
      <c r="R3056" s="327"/>
      <c r="S3056" s="327"/>
      <c r="T3056" s="327"/>
      <c r="U3056" s="327"/>
      <c r="V3056" s="327"/>
      <c r="W3056" s="327"/>
      <c r="X3056" s="327"/>
      <c r="Y3056" s="327"/>
      <c r="Z3056" s="327"/>
      <c r="AA3056" s="327"/>
      <c r="AB3056" s="22">
        <f t="shared" si="938"/>
        <v>0</v>
      </c>
      <c r="AC3056" s="23">
        <v>0</v>
      </c>
      <c r="AD3056" s="35"/>
      <c r="AE3056" s="35"/>
      <c r="AF3056" s="35"/>
      <c r="AG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  <c r="AX3056" s="35"/>
      <c r="AY3056" s="35"/>
      <c r="AZ3056" s="35"/>
      <c r="BA3056" s="35"/>
      <c r="BB3056" s="22">
        <f t="shared" si="939"/>
        <v>0</v>
      </c>
      <c r="BC3056" s="23">
        <v>11</v>
      </c>
      <c r="BD3056" s="130">
        <f t="shared" si="940"/>
        <v>0</v>
      </c>
      <c r="BE3056" s="130">
        <f t="shared" si="941"/>
        <v>11</v>
      </c>
      <c r="BF3056" s="195">
        <f t="shared" si="942"/>
        <v>0</v>
      </c>
      <c r="BG3056" s="373">
        <f t="shared" si="937"/>
        <v>11</v>
      </c>
    </row>
    <row r="3057" spans="1:59" s="46" customFormat="1" ht="15.95" customHeight="1">
      <c r="A3057" s="176">
        <v>136</v>
      </c>
      <c r="B3057" s="31" t="s">
        <v>1082</v>
      </c>
      <c r="C3057" s="32" t="s">
        <v>1346</v>
      </c>
      <c r="D3057" s="231"/>
      <c r="E3057" s="231"/>
      <c r="F3057" s="231"/>
      <c r="G3057" s="231"/>
      <c r="H3057" s="231"/>
      <c r="I3057" s="231"/>
      <c r="J3057" s="231"/>
      <c r="K3057" s="231"/>
      <c r="L3057" s="231"/>
      <c r="M3057" s="231"/>
      <c r="N3057" s="231"/>
      <c r="O3057" s="231"/>
      <c r="P3057" s="231"/>
      <c r="Q3057" s="231"/>
      <c r="R3057" s="231"/>
      <c r="S3057" s="231"/>
      <c r="T3057" s="231"/>
      <c r="U3057" s="231"/>
      <c r="V3057" s="231"/>
      <c r="W3057" s="231"/>
      <c r="X3057" s="231"/>
      <c r="Y3057" s="231"/>
      <c r="Z3057" s="231"/>
      <c r="AA3057" s="231"/>
      <c r="AB3057" s="22">
        <f t="shared" si="938"/>
        <v>0</v>
      </c>
      <c r="AC3057" s="23">
        <v>0</v>
      </c>
      <c r="AD3057" s="35"/>
      <c r="AE3057" s="35"/>
      <c r="AF3057" s="35"/>
      <c r="AG3057" s="35"/>
      <c r="AH3057" s="35"/>
      <c r="AI3057" s="35"/>
      <c r="AJ3057" s="35"/>
      <c r="AK3057" s="35"/>
      <c r="AL3057" s="35">
        <v>2</v>
      </c>
      <c r="AM3057" s="35"/>
      <c r="AN3057" s="35"/>
      <c r="AO3057" s="35"/>
      <c r="AP3057" s="35">
        <v>2</v>
      </c>
      <c r="AQ3057" s="35"/>
      <c r="AR3057" s="35"/>
      <c r="AS3057" s="35"/>
      <c r="AT3057" s="35"/>
      <c r="AU3057" s="35"/>
      <c r="AV3057" s="35"/>
      <c r="AW3057" s="35"/>
      <c r="AX3057" s="35"/>
      <c r="AY3057" s="35"/>
      <c r="AZ3057" s="35"/>
      <c r="BA3057" s="35"/>
      <c r="BB3057" s="22">
        <f t="shared" si="939"/>
        <v>4</v>
      </c>
      <c r="BC3057" s="23">
        <v>7</v>
      </c>
      <c r="BD3057" s="130">
        <f t="shared" si="940"/>
        <v>4</v>
      </c>
      <c r="BE3057" s="130">
        <f t="shared" si="941"/>
        <v>7</v>
      </c>
      <c r="BF3057" s="195">
        <f t="shared" si="942"/>
        <v>57.142857142857139</v>
      </c>
      <c r="BG3057" s="373">
        <f t="shared" si="937"/>
        <v>3</v>
      </c>
    </row>
    <row r="3058" spans="1:59" s="46" customFormat="1" ht="15.95" customHeight="1">
      <c r="A3058" s="176">
        <v>137</v>
      </c>
      <c r="B3058" s="31" t="s">
        <v>2298</v>
      </c>
      <c r="C3058" s="32" t="s">
        <v>2299</v>
      </c>
      <c r="D3058" s="231"/>
      <c r="E3058" s="231"/>
      <c r="F3058" s="231"/>
      <c r="G3058" s="231"/>
      <c r="H3058" s="231"/>
      <c r="I3058" s="231"/>
      <c r="J3058" s="231"/>
      <c r="K3058" s="231"/>
      <c r="L3058" s="231"/>
      <c r="M3058" s="231"/>
      <c r="N3058" s="231"/>
      <c r="O3058" s="231"/>
      <c r="P3058" s="231"/>
      <c r="Q3058" s="231"/>
      <c r="R3058" s="231"/>
      <c r="S3058" s="231"/>
      <c r="T3058" s="231"/>
      <c r="U3058" s="231"/>
      <c r="V3058" s="231"/>
      <c r="W3058" s="231"/>
      <c r="X3058" s="231"/>
      <c r="Y3058" s="231"/>
      <c r="Z3058" s="231"/>
      <c r="AA3058" s="231"/>
      <c r="AB3058" s="22">
        <f t="shared" si="938"/>
        <v>0</v>
      </c>
      <c r="AC3058" s="23">
        <v>0</v>
      </c>
      <c r="AD3058" s="35"/>
      <c r="AE3058" s="35"/>
      <c r="AF3058" s="35"/>
      <c r="AG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  <c r="AX3058" s="35"/>
      <c r="AY3058" s="35"/>
      <c r="AZ3058" s="35"/>
      <c r="BA3058" s="35"/>
      <c r="BB3058" s="22">
        <f t="shared" si="939"/>
        <v>0</v>
      </c>
      <c r="BC3058" s="23">
        <v>1</v>
      </c>
      <c r="BD3058" s="130">
        <f t="shared" si="940"/>
        <v>0</v>
      </c>
      <c r="BE3058" s="130">
        <f t="shared" si="941"/>
        <v>1</v>
      </c>
      <c r="BF3058" s="195">
        <f t="shared" si="942"/>
        <v>0</v>
      </c>
      <c r="BG3058" s="373">
        <f t="shared" si="937"/>
        <v>1</v>
      </c>
    </row>
    <row r="3059" spans="1:59" s="46" customFormat="1" ht="15.95" customHeight="1">
      <c r="A3059" s="176">
        <v>138</v>
      </c>
      <c r="B3059" s="31" t="s">
        <v>949</v>
      </c>
      <c r="C3059" s="32" t="s">
        <v>1196</v>
      </c>
      <c r="D3059" s="231"/>
      <c r="E3059" s="231"/>
      <c r="F3059" s="231"/>
      <c r="G3059" s="231"/>
      <c r="H3059" s="231"/>
      <c r="I3059" s="231"/>
      <c r="J3059" s="231"/>
      <c r="K3059" s="231"/>
      <c r="L3059" s="231"/>
      <c r="M3059" s="231"/>
      <c r="N3059" s="231"/>
      <c r="O3059" s="231"/>
      <c r="P3059" s="231"/>
      <c r="Q3059" s="231"/>
      <c r="R3059" s="231"/>
      <c r="S3059" s="231"/>
      <c r="T3059" s="231"/>
      <c r="U3059" s="231"/>
      <c r="V3059" s="231"/>
      <c r="W3059" s="231"/>
      <c r="X3059" s="231"/>
      <c r="Y3059" s="231"/>
      <c r="Z3059" s="231"/>
      <c r="AA3059" s="231"/>
      <c r="AB3059" s="22">
        <f t="shared" si="938"/>
        <v>0</v>
      </c>
      <c r="AC3059" s="23">
        <v>0</v>
      </c>
      <c r="AD3059" s="35"/>
      <c r="AE3059" s="35"/>
      <c r="AF3059" s="35"/>
      <c r="AG3059" s="35"/>
      <c r="AH3059" s="35">
        <v>1</v>
      </c>
      <c r="AI3059" s="35"/>
      <c r="AJ3059" s="35"/>
      <c r="AK3059" s="35"/>
      <c r="AL3059" s="35">
        <v>1</v>
      </c>
      <c r="AM3059" s="35"/>
      <c r="AN3059" s="35"/>
      <c r="AO3059" s="35"/>
      <c r="AP3059" s="35">
        <v>1</v>
      </c>
      <c r="AQ3059" s="35"/>
      <c r="AR3059" s="35"/>
      <c r="AS3059" s="35"/>
      <c r="AT3059" s="35"/>
      <c r="AU3059" s="35"/>
      <c r="AV3059" s="35"/>
      <c r="AW3059" s="35"/>
      <c r="AX3059" s="35"/>
      <c r="AY3059" s="35"/>
      <c r="AZ3059" s="35"/>
      <c r="BA3059" s="35"/>
      <c r="BB3059" s="22">
        <f t="shared" si="939"/>
        <v>3</v>
      </c>
      <c r="BC3059" s="23">
        <v>5</v>
      </c>
      <c r="BD3059" s="130">
        <f t="shared" si="940"/>
        <v>3</v>
      </c>
      <c r="BE3059" s="130">
        <f t="shared" si="941"/>
        <v>5</v>
      </c>
      <c r="BF3059" s="195">
        <f t="shared" si="942"/>
        <v>60</v>
      </c>
      <c r="BG3059" s="373">
        <f t="shared" si="937"/>
        <v>2</v>
      </c>
    </row>
    <row r="3060" spans="1:59" s="46" customFormat="1" ht="15.95" customHeight="1">
      <c r="A3060" s="176">
        <v>139</v>
      </c>
      <c r="B3060" s="31" t="s">
        <v>1197</v>
      </c>
      <c r="C3060" s="32" t="s">
        <v>1198</v>
      </c>
      <c r="D3060" s="231"/>
      <c r="E3060" s="231"/>
      <c r="F3060" s="231"/>
      <c r="G3060" s="231"/>
      <c r="H3060" s="231"/>
      <c r="I3060" s="231"/>
      <c r="J3060" s="231"/>
      <c r="K3060" s="231"/>
      <c r="L3060" s="231"/>
      <c r="M3060" s="231"/>
      <c r="N3060" s="231"/>
      <c r="O3060" s="231"/>
      <c r="P3060" s="231"/>
      <c r="Q3060" s="231"/>
      <c r="R3060" s="231"/>
      <c r="S3060" s="231"/>
      <c r="T3060" s="231"/>
      <c r="U3060" s="231"/>
      <c r="V3060" s="231"/>
      <c r="W3060" s="231"/>
      <c r="X3060" s="231"/>
      <c r="Y3060" s="231"/>
      <c r="Z3060" s="231"/>
      <c r="AA3060" s="231"/>
      <c r="AB3060" s="22">
        <f t="shared" si="938"/>
        <v>0</v>
      </c>
      <c r="AC3060" s="23">
        <v>0</v>
      </c>
      <c r="AD3060" s="35"/>
      <c r="AE3060" s="35"/>
      <c r="AF3060" s="35"/>
      <c r="AG3060" s="35"/>
      <c r="AH3060" s="35">
        <v>4</v>
      </c>
      <c r="AI3060" s="35"/>
      <c r="AJ3060" s="35"/>
      <c r="AK3060" s="35"/>
      <c r="AL3060" s="35">
        <v>2</v>
      </c>
      <c r="AM3060" s="35"/>
      <c r="AN3060" s="35"/>
      <c r="AO3060" s="35"/>
      <c r="AP3060" s="35">
        <v>7</v>
      </c>
      <c r="AQ3060" s="35"/>
      <c r="AR3060" s="35"/>
      <c r="AS3060" s="35"/>
      <c r="AT3060" s="35"/>
      <c r="AU3060" s="35"/>
      <c r="AV3060" s="35"/>
      <c r="AW3060" s="35"/>
      <c r="AX3060" s="35"/>
      <c r="AY3060" s="35"/>
      <c r="AZ3060" s="35"/>
      <c r="BA3060" s="35"/>
      <c r="BB3060" s="22">
        <f t="shared" si="939"/>
        <v>13</v>
      </c>
      <c r="BC3060" s="23">
        <v>25</v>
      </c>
      <c r="BD3060" s="130">
        <f t="shared" si="940"/>
        <v>13</v>
      </c>
      <c r="BE3060" s="130">
        <f t="shared" si="941"/>
        <v>25</v>
      </c>
      <c r="BF3060" s="195">
        <f t="shared" si="942"/>
        <v>52</v>
      </c>
      <c r="BG3060" s="373">
        <f t="shared" si="937"/>
        <v>12</v>
      </c>
    </row>
    <row r="3061" spans="1:59" s="46" customFormat="1" ht="15.95" customHeight="1">
      <c r="A3061" s="176">
        <v>140</v>
      </c>
      <c r="B3061" s="31" t="s">
        <v>1251</v>
      </c>
      <c r="C3061" s="32" t="s">
        <v>1252</v>
      </c>
      <c r="D3061" s="268"/>
      <c r="E3061" s="268"/>
      <c r="F3061" s="268"/>
      <c r="G3061" s="268"/>
      <c r="H3061" s="268"/>
      <c r="I3061" s="268"/>
      <c r="J3061" s="268"/>
      <c r="K3061" s="268"/>
      <c r="L3061" s="268"/>
      <c r="M3061" s="268"/>
      <c r="N3061" s="268"/>
      <c r="O3061" s="268"/>
      <c r="P3061" s="268"/>
      <c r="Q3061" s="268"/>
      <c r="R3061" s="268"/>
      <c r="S3061" s="268"/>
      <c r="T3061" s="268"/>
      <c r="U3061" s="268"/>
      <c r="V3061" s="268"/>
      <c r="W3061" s="268"/>
      <c r="X3061" s="268"/>
      <c r="Y3061" s="268"/>
      <c r="Z3061" s="268"/>
      <c r="AA3061" s="268"/>
      <c r="AB3061" s="22">
        <f t="shared" si="938"/>
        <v>0</v>
      </c>
      <c r="AC3061" s="23">
        <v>0</v>
      </c>
      <c r="AD3061" s="35"/>
      <c r="AE3061" s="35"/>
      <c r="AF3061" s="35"/>
      <c r="AG3061" s="35"/>
      <c r="AH3061" s="35">
        <v>1</v>
      </c>
      <c r="AI3061" s="35"/>
      <c r="AJ3061" s="35"/>
      <c r="AK3061" s="35"/>
      <c r="AL3061" s="35">
        <v>1</v>
      </c>
      <c r="AM3061" s="35"/>
      <c r="AN3061" s="35"/>
      <c r="AO3061" s="35"/>
      <c r="AP3061" s="35">
        <v>1</v>
      </c>
      <c r="AQ3061" s="35"/>
      <c r="AR3061" s="35"/>
      <c r="AS3061" s="35"/>
      <c r="AT3061" s="35"/>
      <c r="AU3061" s="35"/>
      <c r="AV3061" s="35"/>
      <c r="AW3061" s="35"/>
      <c r="AX3061" s="35"/>
      <c r="AY3061" s="35"/>
      <c r="AZ3061" s="35"/>
      <c r="BA3061" s="35"/>
      <c r="BB3061" s="22">
        <f t="shared" si="939"/>
        <v>3</v>
      </c>
      <c r="BC3061" s="23">
        <v>6</v>
      </c>
      <c r="BD3061" s="130">
        <f t="shared" si="940"/>
        <v>3</v>
      </c>
      <c r="BE3061" s="130">
        <f t="shared" si="941"/>
        <v>6</v>
      </c>
      <c r="BF3061" s="195">
        <f t="shared" si="942"/>
        <v>50</v>
      </c>
      <c r="BG3061" s="373">
        <f t="shared" si="937"/>
        <v>3</v>
      </c>
    </row>
    <row r="3062" spans="1:59" s="46" customFormat="1" ht="15.95" customHeight="1">
      <c r="A3062" s="176">
        <v>141</v>
      </c>
      <c r="B3062" s="31" t="s">
        <v>1016</v>
      </c>
      <c r="C3062" s="32" t="s">
        <v>1017</v>
      </c>
      <c r="D3062" s="231"/>
      <c r="E3062" s="231"/>
      <c r="F3062" s="231"/>
      <c r="G3062" s="231"/>
      <c r="H3062" s="231"/>
      <c r="I3062" s="231"/>
      <c r="J3062" s="231"/>
      <c r="K3062" s="231"/>
      <c r="L3062" s="231"/>
      <c r="M3062" s="231"/>
      <c r="N3062" s="231"/>
      <c r="O3062" s="231"/>
      <c r="P3062" s="231"/>
      <c r="Q3062" s="231"/>
      <c r="R3062" s="231"/>
      <c r="S3062" s="231"/>
      <c r="T3062" s="231"/>
      <c r="U3062" s="231"/>
      <c r="V3062" s="231"/>
      <c r="W3062" s="231"/>
      <c r="X3062" s="231"/>
      <c r="Y3062" s="231"/>
      <c r="Z3062" s="231"/>
      <c r="AA3062" s="231"/>
      <c r="AB3062" s="22">
        <f t="shared" si="938"/>
        <v>0</v>
      </c>
      <c r="AC3062" s="23">
        <v>0</v>
      </c>
      <c r="AD3062" s="35"/>
      <c r="AE3062" s="35"/>
      <c r="AF3062" s="35"/>
      <c r="AG3062" s="35"/>
      <c r="AH3062" s="35">
        <v>1</v>
      </c>
      <c r="AI3062" s="35"/>
      <c r="AJ3062" s="35"/>
      <c r="AK3062" s="35"/>
      <c r="AL3062" s="35">
        <v>6</v>
      </c>
      <c r="AM3062" s="35"/>
      <c r="AN3062" s="35"/>
      <c r="AO3062" s="35"/>
      <c r="AP3062" s="35">
        <v>11</v>
      </c>
      <c r="AQ3062" s="35"/>
      <c r="AR3062" s="35"/>
      <c r="AS3062" s="35"/>
      <c r="AT3062" s="35"/>
      <c r="AU3062" s="35"/>
      <c r="AV3062" s="35"/>
      <c r="AW3062" s="35"/>
      <c r="AX3062" s="35"/>
      <c r="AY3062" s="35"/>
      <c r="AZ3062" s="35"/>
      <c r="BA3062" s="35"/>
      <c r="BB3062" s="22">
        <f t="shared" si="939"/>
        <v>18</v>
      </c>
      <c r="BC3062" s="23">
        <v>84</v>
      </c>
      <c r="BD3062" s="130">
        <f t="shared" si="940"/>
        <v>18</v>
      </c>
      <c r="BE3062" s="130">
        <f t="shared" si="941"/>
        <v>84</v>
      </c>
      <c r="BF3062" s="195">
        <f t="shared" si="942"/>
        <v>21.428571428571427</v>
      </c>
      <c r="BG3062" s="373">
        <f t="shared" si="937"/>
        <v>66</v>
      </c>
    </row>
    <row r="3063" spans="1:59" s="46" customFormat="1" ht="15.95" customHeight="1">
      <c r="A3063" s="176">
        <v>142</v>
      </c>
      <c r="B3063" s="31" t="s">
        <v>1347</v>
      </c>
      <c r="C3063" s="32" t="s">
        <v>1348</v>
      </c>
      <c r="D3063" s="231"/>
      <c r="E3063" s="231"/>
      <c r="F3063" s="231"/>
      <c r="G3063" s="231"/>
      <c r="H3063" s="231"/>
      <c r="I3063" s="231"/>
      <c r="J3063" s="231"/>
      <c r="K3063" s="231"/>
      <c r="L3063" s="231"/>
      <c r="M3063" s="231"/>
      <c r="N3063" s="231"/>
      <c r="O3063" s="231"/>
      <c r="P3063" s="231"/>
      <c r="Q3063" s="231"/>
      <c r="R3063" s="231"/>
      <c r="S3063" s="231"/>
      <c r="T3063" s="231"/>
      <c r="U3063" s="231"/>
      <c r="V3063" s="231"/>
      <c r="W3063" s="231"/>
      <c r="X3063" s="231"/>
      <c r="Y3063" s="231"/>
      <c r="Z3063" s="231"/>
      <c r="AA3063" s="231"/>
      <c r="AB3063" s="22">
        <f t="shared" si="938"/>
        <v>0</v>
      </c>
      <c r="AC3063" s="23">
        <v>0</v>
      </c>
      <c r="AD3063" s="35"/>
      <c r="AE3063" s="35"/>
      <c r="AF3063" s="35"/>
      <c r="AG3063" s="35"/>
      <c r="AH3063" s="35">
        <f>1+1</f>
        <v>2</v>
      </c>
      <c r="AI3063" s="35"/>
      <c r="AJ3063" s="35"/>
      <c r="AK3063" s="35"/>
      <c r="AL3063" s="35">
        <v>2</v>
      </c>
      <c r="AM3063" s="35"/>
      <c r="AN3063" s="35"/>
      <c r="AO3063" s="35"/>
      <c r="AP3063" s="35">
        <v>3</v>
      </c>
      <c r="AQ3063" s="35"/>
      <c r="AR3063" s="35"/>
      <c r="AS3063" s="35"/>
      <c r="AT3063" s="35"/>
      <c r="AU3063" s="35"/>
      <c r="AV3063" s="35"/>
      <c r="AW3063" s="35"/>
      <c r="AX3063" s="35"/>
      <c r="AY3063" s="35"/>
      <c r="AZ3063" s="35"/>
      <c r="BA3063" s="35"/>
      <c r="BB3063" s="22">
        <f t="shared" si="939"/>
        <v>7</v>
      </c>
      <c r="BC3063" s="23">
        <v>8</v>
      </c>
      <c r="BD3063" s="130">
        <f t="shared" si="940"/>
        <v>7</v>
      </c>
      <c r="BE3063" s="130">
        <f t="shared" si="941"/>
        <v>8</v>
      </c>
      <c r="BF3063" s="195">
        <f t="shared" si="942"/>
        <v>87.5</v>
      </c>
      <c r="BG3063" s="373">
        <f t="shared" si="937"/>
        <v>1</v>
      </c>
    </row>
    <row r="3064" spans="1:59" s="46" customFormat="1" ht="15.95" customHeight="1">
      <c r="A3064" s="176">
        <v>143</v>
      </c>
      <c r="B3064" s="31" t="s">
        <v>950</v>
      </c>
      <c r="C3064" s="32" t="s">
        <v>951</v>
      </c>
      <c r="D3064" s="231"/>
      <c r="E3064" s="231"/>
      <c r="F3064" s="231"/>
      <c r="G3064" s="231"/>
      <c r="H3064" s="231"/>
      <c r="I3064" s="231"/>
      <c r="J3064" s="231"/>
      <c r="K3064" s="231"/>
      <c r="L3064" s="231"/>
      <c r="M3064" s="231"/>
      <c r="N3064" s="231"/>
      <c r="O3064" s="231"/>
      <c r="P3064" s="231"/>
      <c r="Q3064" s="231"/>
      <c r="R3064" s="231"/>
      <c r="S3064" s="231"/>
      <c r="T3064" s="231"/>
      <c r="U3064" s="231"/>
      <c r="V3064" s="231"/>
      <c r="W3064" s="231"/>
      <c r="X3064" s="231"/>
      <c r="Y3064" s="231"/>
      <c r="Z3064" s="231"/>
      <c r="AA3064" s="231"/>
      <c r="AB3064" s="22">
        <f t="shared" si="938"/>
        <v>0</v>
      </c>
      <c r="AC3064" s="23">
        <v>0</v>
      </c>
      <c r="AD3064" s="35"/>
      <c r="AE3064" s="35"/>
      <c r="AF3064" s="35"/>
      <c r="AG3064" s="35"/>
      <c r="AH3064" s="35">
        <v>4</v>
      </c>
      <c r="AI3064" s="35"/>
      <c r="AJ3064" s="35"/>
      <c r="AK3064" s="35"/>
      <c r="AL3064" s="35">
        <v>21</v>
      </c>
      <c r="AM3064" s="35"/>
      <c r="AN3064" s="35"/>
      <c r="AO3064" s="35"/>
      <c r="AP3064" s="35">
        <v>21</v>
      </c>
      <c r="AQ3064" s="35"/>
      <c r="AR3064" s="35"/>
      <c r="AS3064" s="35"/>
      <c r="AT3064" s="35"/>
      <c r="AU3064" s="35"/>
      <c r="AV3064" s="35"/>
      <c r="AW3064" s="35"/>
      <c r="AX3064" s="35"/>
      <c r="AY3064" s="35"/>
      <c r="AZ3064" s="35"/>
      <c r="BA3064" s="35"/>
      <c r="BB3064" s="22">
        <f t="shared" si="939"/>
        <v>46</v>
      </c>
      <c r="BC3064" s="23">
        <v>102</v>
      </c>
      <c r="BD3064" s="130">
        <f t="shared" si="940"/>
        <v>46</v>
      </c>
      <c r="BE3064" s="130">
        <f t="shared" si="941"/>
        <v>102</v>
      </c>
      <c r="BF3064" s="195">
        <f t="shared" si="942"/>
        <v>45.098039215686278</v>
      </c>
      <c r="BG3064" s="373">
        <f t="shared" si="937"/>
        <v>56</v>
      </c>
    </row>
    <row r="3065" spans="1:59" s="46" customFormat="1" ht="15.95" customHeight="1">
      <c r="A3065" s="176">
        <v>144</v>
      </c>
      <c r="B3065" s="31" t="s">
        <v>952</v>
      </c>
      <c r="C3065" s="32" t="s">
        <v>953</v>
      </c>
      <c r="D3065" s="231"/>
      <c r="E3065" s="231"/>
      <c r="F3065" s="231"/>
      <c r="G3065" s="231"/>
      <c r="H3065" s="231"/>
      <c r="I3065" s="231"/>
      <c r="J3065" s="231"/>
      <c r="K3065" s="231"/>
      <c r="L3065" s="231"/>
      <c r="M3065" s="231"/>
      <c r="N3065" s="231"/>
      <c r="O3065" s="231"/>
      <c r="P3065" s="231"/>
      <c r="Q3065" s="231"/>
      <c r="R3065" s="231"/>
      <c r="S3065" s="231"/>
      <c r="T3065" s="231"/>
      <c r="U3065" s="231"/>
      <c r="V3065" s="231"/>
      <c r="W3065" s="231"/>
      <c r="X3065" s="231"/>
      <c r="Y3065" s="231"/>
      <c r="Z3065" s="231"/>
      <c r="AA3065" s="231"/>
      <c r="AB3065" s="22">
        <f t="shared" si="938"/>
        <v>0</v>
      </c>
      <c r="AC3065" s="23">
        <v>0</v>
      </c>
      <c r="AD3065" s="35"/>
      <c r="AE3065" s="35"/>
      <c r="AF3065" s="35"/>
      <c r="AG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  <c r="AX3065" s="35"/>
      <c r="AY3065" s="35"/>
      <c r="AZ3065" s="35"/>
      <c r="BA3065" s="35"/>
      <c r="BB3065" s="22">
        <f t="shared" si="939"/>
        <v>0</v>
      </c>
      <c r="BC3065" s="23">
        <v>4</v>
      </c>
      <c r="BD3065" s="130">
        <f t="shared" si="940"/>
        <v>0</v>
      </c>
      <c r="BE3065" s="130">
        <f t="shared" si="941"/>
        <v>4</v>
      </c>
      <c r="BF3065" s="195">
        <f t="shared" si="942"/>
        <v>0</v>
      </c>
      <c r="BG3065" s="373">
        <f t="shared" si="937"/>
        <v>4</v>
      </c>
    </row>
    <row r="3066" spans="1:59" s="46" customFormat="1" ht="15.95" customHeight="1">
      <c r="A3066" s="176">
        <v>145</v>
      </c>
      <c r="B3066" s="31" t="s">
        <v>954</v>
      </c>
      <c r="C3066" s="32" t="s">
        <v>968</v>
      </c>
      <c r="D3066" s="231"/>
      <c r="E3066" s="231"/>
      <c r="F3066" s="231"/>
      <c r="G3066" s="231"/>
      <c r="H3066" s="231"/>
      <c r="I3066" s="231"/>
      <c r="J3066" s="231"/>
      <c r="K3066" s="231"/>
      <c r="L3066" s="231"/>
      <c r="M3066" s="231"/>
      <c r="N3066" s="231"/>
      <c r="O3066" s="231"/>
      <c r="P3066" s="231"/>
      <c r="Q3066" s="231"/>
      <c r="R3066" s="231"/>
      <c r="S3066" s="231"/>
      <c r="T3066" s="231"/>
      <c r="U3066" s="231"/>
      <c r="V3066" s="231"/>
      <c r="W3066" s="231"/>
      <c r="X3066" s="231"/>
      <c r="Y3066" s="231"/>
      <c r="Z3066" s="231"/>
      <c r="AA3066" s="231"/>
      <c r="AB3066" s="22">
        <f t="shared" si="938"/>
        <v>0</v>
      </c>
      <c r="AC3066" s="23">
        <v>0</v>
      </c>
      <c r="AD3066" s="35"/>
      <c r="AE3066" s="35"/>
      <c r="AF3066" s="35"/>
      <c r="AG3066" s="35"/>
      <c r="AH3066" s="35"/>
      <c r="AI3066" s="35"/>
      <c r="AJ3066" s="35"/>
      <c r="AK3066" s="35"/>
      <c r="AL3066" s="35">
        <v>1</v>
      </c>
      <c r="AM3066" s="35"/>
      <c r="AN3066" s="35"/>
      <c r="AO3066" s="35"/>
      <c r="AP3066" s="35">
        <v>1</v>
      </c>
      <c r="AQ3066" s="35"/>
      <c r="AR3066" s="35"/>
      <c r="AS3066" s="35"/>
      <c r="AT3066" s="35"/>
      <c r="AU3066" s="35"/>
      <c r="AV3066" s="35"/>
      <c r="AW3066" s="35"/>
      <c r="AX3066" s="35"/>
      <c r="AY3066" s="35"/>
      <c r="AZ3066" s="35"/>
      <c r="BA3066" s="35"/>
      <c r="BB3066" s="22">
        <f t="shared" si="939"/>
        <v>2</v>
      </c>
      <c r="BC3066" s="23">
        <v>3</v>
      </c>
      <c r="BD3066" s="130">
        <f t="shared" si="940"/>
        <v>2</v>
      </c>
      <c r="BE3066" s="130">
        <f t="shared" si="941"/>
        <v>3</v>
      </c>
      <c r="BF3066" s="195">
        <f t="shared" si="942"/>
        <v>66.666666666666657</v>
      </c>
      <c r="BG3066" s="373">
        <f t="shared" si="937"/>
        <v>1</v>
      </c>
    </row>
    <row r="3067" spans="1:59" s="46" customFormat="1" ht="15.95" customHeight="1">
      <c r="A3067" s="176">
        <v>146</v>
      </c>
      <c r="B3067" s="31" t="s">
        <v>1349</v>
      </c>
      <c r="C3067" s="32" t="s">
        <v>2609</v>
      </c>
      <c r="D3067" s="552"/>
      <c r="E3067" s="552"/>
      <c r="F3067" s="552"/>
      <c r="G3067" s="552"/>
      <c r="H3067" s="552"/>
      <c r="I3067" s="552"/>
      <c r="J3067" s="552"/>
      <c r="K3067" s="552"/>
      <c r="L3067" s="552"/>
      <c r="M3067" s="552"/>
      <c r="N3067" s="552"/>
      <c r="O3067" s="552"/>
      <c r="P3067" s="552"/>
      <c r="Q3067" s="552"/>
      <c r="R3067" s="552"/>
      <c r="S3067" s="552"/>
      <c r="T3067" s="552"/>
      <c r="U3067" s="552"/>
      <c r="V3067" s="552"/>
      <c r="W3067" s="552"/>
      <c r="X3067" s="552"/>
      <c r="Y3067" s="552"/>
      <c r="Z3067" s="552"/>
      <c r="AA3067" s="552"/>
      <c r="AB3067" s="22">
        <f t="shared" si="938"/>
        <v>0</v>
      </c>
      <c r="AC3067" s="23">
        <v>0</v>
      </c>
      <c r="AD3067" s="35"/>
      <c r="AE3067" s="35"/>
      <c r="AF3067" s="35"/>
      <c r="AG3067" s="35"/>
      <c r="AH3067" s="35"/>
      <c r="AI3067" s="35"/>
      <c r="AJ3067" s="35"/>
      <c r="AK3067" s="35"/>
      <c r="AL3067" s="35">
        <v>1</v>
      </c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  <c r="AX3067" s="35"/>
      <c r="AY3067" s="35"/>
      <c r="AZ3067" s="35"/>
      <c r="BA3067" s="35"/>
      <c r="BB3067" s="22">
        <f t="shared" si="939"/>
        <v>1</v>
      </c>
      <c r="BC3067" s="23">
        <v>0</v>
      </c>
      <c r="BD3067" s="130">
        <f t="shared" si="940"/>
        <v>1</v>
      </c>
      <c r="BE3067" s="130">
        <f t="shared" si="941"/>
        <v>0</v>
      </c>
      <c r="BF3067" s="195" t="e">
        <f t="shared" si="942"/>
        <v>#DIV/0!</v>
      </c>
      <c r="BG3067" s="373"/>
    </row>
    <row r="3068" spans="1:59" s="46" customFormat="1" ht="15.95" customHeight="1">
      <c r="A3068" s="176">
        <v>147</v>
      </c>
      <c r="B3068" s="31" t="s">
        <v>847</v>
      </c>
      <c r="C3068" s="32" t="s">
        <v>848</v>
      </c>
      <c r="D3068" s="231"/>
      <c r="E3068" s="231"/>
      <c r="F3068" s="231"/>
      <c r="G3068" s="231"/>
      <c r="H3068" s="231"/>
      <c r="I3068" s="231"/>
      <c r="J3068" s="231"/>
      <c r="K3068" s="231"/>
      <c r="L3068" s="231"/>
      <c r="M3068" s="231"/>
      <c r="N3068" s="231"/>
      <c r="O3068" s="231"/>
      <c r="P3068" s="231"/>
      <c r="Q3068" s="231"/>
      <c r="R3068" s="231"/>
      <c r="S3068" s="231"/>
      <c r="T3068" s="231"/>
      <c r="U3068" s="231"/>
      <c r="V3068" s="231"/>
      <c r="W3068" s="231"/>
      <c r="X3068" s="231"/>
      <c r="Y3068" s="231"/>
      <c r="Z3068" s="231"/>
      <c r="AA3068" s="231"/>
      <c r="AB3068" s="22">
        <f t="shared" si="938"/>
        <v>0</v>
      </c>
      <c r="AC3068" s="23">
        <v>0</v>
      </c>
      <c r="AD3068" s="35"/>
      <c r="AE3068" s="35"/>
      <c r="AF3068" s="35"/>
      <c r="AG3068" s="35"/>
      <c r="AH3068" s="35"/>
      <c r="AI3068" s="35"/>
      <c r="AJ3068" s="35"/>
      <c r="AK3068" s="35"/>
      <c r="AL3068" s="35">
        <v>1</v>
      </c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  <c r="AX3068" s="35"/>
      <c r="AY3068" s="35"/>
      <c r="AZ3068" s="35"/>
      <c r="BA3068" s="35"/>
      <c r="BB3068" s="22">
        <f t="shared" si="939"/>
        <v>1</v>
      </c>
      <c r="BC3068" s="23">
        <v>3</v>
      </c>
      <c r="BD3068" s="130">
        <f t="shared" si="940"/>
        <v>1</v>
      </c>
      <c r="BE3068" s="130">
        <f t="shared" si="941"/>
        <v>3</v>
      </c>
      <c r="BF3068" s="195">
        <f t="shared" si="942"/>
        <v>33.333333333333329</v>
      </c>
      <c r="BG3068" s="373">
        <f t="shared" ref="BG3068:BG3077" si="943">BE3068-BD3068</f>
        <v>2</v>
      </c>
    </row>
    <row r="3069" spans="1:59" s="46" customFormat="1" ht="15.95" customHeight="1">
      <c r="A3069" s="176">
        <v>148</v>
      </c>
      <c r="B3069" s="31" t="s">
        <v>4185</v>
      </c>
      <c r="C3069" s="32" t="s">
        <v>3557</v>
      </c>
      <c r="D3069" s="231"/>
      <c r="E3069" s="231"/>
      <c r="F3069" s="231"/>
      <c r="G3069" s="231"/>
      <c r="H3069" s="231"/>
      <c r="I3069" s="231"/>
      <c r="J3069" s="231"/>
      <c r="K3069" s="231"/>
      <c r="L3069" s="231"/>
      <c r="M3069" s="231"/>
      <c r="N3069" s="231"/>
      <c r="O3069" s="231"/>
      <c r="P3069" s="231"/>
      <c r="Q3069" s="231"/>
      <c r="R3069" s="231"/>
      <c r="S3069" s="231"/>
      <c r="T3069" s="231"/>
      <c r="U3069" s="231"/>
      <c r="V3069" s="231"/>
      <c r="W3069" s="231"/>
      <c r="X3069" s="231"/>
      <c r="Y3069" s="231"/>
      <c r="Z3069" s="231"/>
      <c r="AA3069" s="231"/>
      <c r="AB3069" s="22">
        <f t="shared" si="938"/>
        <v>0</v>
      </c>
      <c r="AC3069" s="23">
        <v>0</v>
      </c>
      <c r="AD3069" s="35"/>
      <c r="AE3069" s="35"/>
      <c r="AF3069" s="35"/>
      <c r="AG3069" s="35"/>
      <c r="AH3069" s="35"/>
      <c r="AI3069" s="35"/>
      <c r="AJ3069" s="35"/>
      <c r="AK3069" s="35"/>
      <c r="AL3069" s="35">
        <v>1</v>
      </c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  <c r="AX3069" s="35"/>
      <c r="AY3069" s="35"/>
      <c r="AZ3069" s="35"/>
      <c r="BA3069" s="35"/>
      <c r="BB3069" s="22">
        <f t="shared" si="939"/>
        <v>1</v>
      </c>
      <c r="BC3069" s="23">
        <v>1</v>
      </c>
      <c r="BD3069" s="130">
        <f t="shared" si="940"/>
        <v>1</v>
      </c>
      <c r="BE3069" s="130">
        <f t="shared" si="941"/>
        <v>1</v>
      </c>
      <c r="BF3069" s="195">
        <f t="shared" si="942"/>
        <v>100</v>
      </c>
      <c r="BG3069" s="373">
        <f t="shared" si="943"/>
        <v>0</v>
      </c>
    </row>
    <row r="3070" spans="1:59" s="46" customFormat="1" ht="15.95" customHeight="1">
      <c r="A3070" s="176">
        <v>149</v>
      </c>
      <c r="B3070" s="31" t="s">
        <v>957</v>
      </c>
      <c r="C3070" s="32" t="s">
        <v>958</v>
      </c>
      <c r="D3070" s="231"/>
      <c r="E3070" s="231"/>
      <c r="F3070" s="231"/>
      <c r="G3070" s="231"/>
      <c r="H3070" s="231"/>
      <c r="I3070" s="231"/>
      <c r="J3070" s="231"/>
      <c r="K3070" s="231"/>
      <c r="L3070" s="231"/>
      <c r="M3070" s="231"/>
      <c r="N3070" s="231"/>
      <c r="O3070" s="231"/>
      <c r="P3070" s="231"/>
      <c r="Q3070" s="231"/>
      <c r="R3070" s="231"/>
      <c r="S3070" s="231"/>
      <c r="T3070" s="231"/>
      <c r="U3070" s="231"/>
      <c r="V3070" s="231"/>
      <c r="W3070" s="231"/>
      <c r="X3070" s="231"/>
      <c r="Y3070" s="231"/>
      <c r="Z3070" s="231"/>
      <c r="AA3070" s="231"/>
      <c r="AB3070" s="22">
        <f t="shared" si="938"/>
        <v>0</v>
      </c>
      <c r="AC3070" s="23">
        <v>0</v>
      </c>
      <c r="AD3070" s="35"/>
      <c r="AE3070" s="35"/>
      <c r="AF3070" s="35"/>
      <c r="AG3070" s="35"/>
      <c r="AH3070" s="35"/>
      <c r="AI3070" s="35"/>
      <c r="AJ3070" s="35"/>
      <c r="AK3070" s="35"/>
      <c r="AL3070" s="35"/>
      <c r="AM3070" s="35"/>
      <c r="AN3070" s="35"/>
      <c r="AO3070" s="35"/>
      <c r="AP3070" s="35">
        <v>1</v>
      </c>
      <c r="AQ3070" s="35"/>
      <c r="AR3070" s="35"/>
      <c r="AS3070" s="35"/>
      <c r="AT3070" s="35"/>
      <c r="AU3070" s="35"/>
      <c r="AV3070" s="35"/>
      <c r="AW3070" s="35"/>
      <c r="AX3070" s="35"/>
      <c r="AY3070" s="35"/>
      <c r="AZ3070" s="35"/>
      <c r="BA3070" s="35"/>
      <c r="BB3070" s="22">
        <f t="shared" si="939"/>
        <v>1</v>
      </c>
      <c r="BC3070" s="23">
        <v>1</v>
      </c>
      <c r="BD3070" s="130">
        <f t="shared" si="940"/>
        <v>1</v>
      </c>
      <c r="BE3070" s="130">
        <f t="shared" si="941"/>
        <v>1</v>
      </c>
      <c r="BF3070" s="195">
        <f t="shared" si="942"/>
        <v>100</v>
      </c>
      <c r="BG3070" s="373">
        <f t="shared" si="943"/>
        <v>0</v>
      </c>
    </row>
    <row r="3071" spans="1:59" s="46" customFormat="1" ht="15.95" customHeight="1">
      <c r="A3071" s="176">
        <v>150</v>
      </c>
      <c r="B3071" s="31" t="s">
        <v>959</v>
      </c>
      <c r="C3071" s="32" t="s">
        <v>960</v>
      </c>
      <c r="D3071" s="231"/>
      <c r="E3071" s="231"/>
      <c r="F3071" s="231"/>
      <c r="G3071" s="231"/>
      <c r="H3071" s="231"/>
      <c r="I3071" s="231"/>
      <c r="J3071" s="231"/>
      <c r="K3071" s="231"/>
      <c r="L3071" s="231"/>
      <c r="M3071" s="231"/>
      <c r="N3071" s="231"/>
      <c r="O3071" s="231"/>
      <c r="P3071" s="231"/>
      <c r="Q3071" s="231"/>
      <c r="R3071" s="231"/>
      <c r="S3071" s="231"/>
      <c r="T3071" s="231"/>
      <c r="U3071" s="231"/>
      <c r="V3071" s="231"/>
      <c r="W3071" s="231"/>
      <c r="X3071" s="231"/>
      <c r="Y3071" s="231"/>
      <c r="Z3071" s="231"/>
      <c r="AA3071" s="231"/>
      <c r="AB3071" s="22">
        <f t="shared" si="938"/>
        <v>0</v>
      </c>
      <c r="AC3071" s="23">
        <v>0</v>
      </c>
      <c r="AD3071" s="35"/>
      <c r="AE3071" s="35"/>
      <c r="AF3071" s="35"/>
      <c r="AG3071" s="35"/>
      <c r="AH3071" s="35"/>
      <c r="AI3071" s="35"/>
      <c r="AJ3071" s="35"/>
      <c r="AK3071" s="35"/>
      <c r="AL3071" s="35">
        <f>1+1</f>
        <v>2</v>
      </c>
      <c r="AM3071" s="35"/>
      <c r="AN3071" s="35"/>
      <c r="AO3071" s="35"/>
      <c r="AP3071" s="35">
        <f>2+1</f>
        <v>3</v>
      </c>
      <c r="AQ3071" s="35"/>
      <c r="AR3071" s="35"/>
      <c r="AS3071" s="35"/>
      <c r="AT3071" s="35"/>
      <c r="AU3071" s="35"/>
      <c r="AV3071" s="35"/>
      <c r="AW3071" s="35"/>
      <c r="AX3071" s="35"/>
      <c r="AY3071" s="35"/>
      <c r="AZ3071" s="35"/>
      <c r="BA3071" s="35"/>
      <c r="BB3071" s="22">
        <f t="shared" si="939"/>
        <v>5</v>
      </c>
      <c r="BC3071" s="23">
        <v>5</v>
      </c>
      <c r="BD3071" s="130">
        <f t="shared" si="940"/>
        <v>5</v>
      </c>
      <c r="BE3071" s="130">
        <f t="shared" si="941"/>
        <v>5</v>
      </c>
      <c r="BF3071" s="195">
        <f t="shared" si="942"/>
        <v>100</v>
      </c>
      <c r="BG3071" s="373">
        <f t="shared" si="943"/>
        <v>0</v>
      </c>
    </row>
    <row r="3072" spans="1:59" s="46" customFormat="1" ht="15.95" customHeight="1">
      <c r="A3072" s="176">
        <v>151</v>
      </c>
      <c r="B3072" s="31" t="s">
        <v>961</v>
      </c>
      <c r="C3072" s="32" t="s">
        <v>962</v>
      </c>
      <c r="D3072" s="231"/>
      <c r="E3072" s="231"/>
      <c r="F3072" s="231"/>
      <c r="G3072" s="231"/>
      <c r="H3072" s="231"/>
      <c r="I3072" s="231"/>
      <c r="J3072" s="231"/>
      <c r="K3072" s="231"/>
      <c r="L3072" s="231"/>
      <c r="M3072" s="231"/>
      <c r="N3072" s="231"/>
      <c r="O3072" s="231"/>
      <c r="P3072" s="231"/>
      <c r="Q3072" s="231"/>
      <c r="R3072" s="231"/>
      <c r="S3072" s="231"/>
      <c r="T3072" s="231"/>
      <c r="U3072" s="231"/>
      <c r="V3072" s="231"/>
      <c r="W3072" s="231"/>
      <c r="X3072" s="231"/>
      <c r="Y3072" s="231"/>
      <c r="Z3072" s="231"/>
      <c r="AA3072" s="231"/>
      <c r="AB3072" s="22">
        <f t="shared" si="938"/>
        <v>0</v>
      </c>
      <c r="AC3072" s="23">
        <v>0</v>
      </c>
      <c r="AD3072" s="35"/>
      <c r="AE3072" s="35"/>
      <c r="AF3072" s="35"/>
      <c r="AG3072" s="35"/>
      <c r="AH3072" s="35"/>
      <c r="AI3072" s="35"/>
      <c r="AJ3072" s="35"/>
      <c r="AK3072" s="35"/>
      <c r="AL3072" s="35">
        <v>2</v>
      </c>
      <c r="AM3072" s="35"/>
      <c r="AN3072" s="35"/>
      <c r="AO3072" s="35"/>
      <c r="AP3072" s="35">
        <v>2</v>
      </c>
      <c r="AQ3072" s="35"/>
      <c r="AR3072" s="35"/>
      <c r="AS3072" s="35"/>
      <c r="AT3072" s="35"/>
      <c r="AU3072" s="35"/>
      <c r="AV3072" s="35"/>
      <c r="AW3072" s="35"/>
      <c r="AX3072" s="35"/>
      <c r="AY3072" s="35"/>
      <c r="AZ3072" s="35"/>
      <c r="BA3072" s="35"/>
      <c r="BB3072" s="22">
        <f t="shared" si="939"/>
        <v>4</v>
      </c>
      <c r="BC3072" s="23">
        <v>8</v>
      </c>
      <c r="BD3072" s="130">
        <f t="shared" si="940"/>
        <v>4</v>
      </c>
      <c r="BE3072" s="130">
        <f t="shared" si="941"/>
        <v>8</v>
      </c>
      <c r="BF3072" s="195">
        <f t="shared" si="942"/>
        <v>50</v>
      </c>
      <c r="BG3072" s="373">
        <f t="shared" si="943"/>
        <v>4</v>
      </c>
    </row>
    <row r="3073" spans="1:59" s="46" customFormat="1" ht="15.95" customHeight="1">
      <c r="A3073" s="176">
        <v>152</v>
      </c>
      <c r="B3073" s="31" t="s">
        <v>1355</v>
      </c>
      <c r="C3073" s="32" t="s">
        <v>1505</v>
      </c>
      <c r="D3073" s="231"/>
      <c r="E3073" s="231"/>
      <c r="F3073" s="231"/>
      <c r="G3073" s="231"/>
      <c r="H3073" s="231"/>
      <c r="I3073" s="231"/>
      <c r="J3073" s="231"/>
      <c r="K3073" s="231"/>
      <c r="L3073" s="231"/>
      <c r="M3073" s="231"/>
      <c r="N3073" s="231"/>
      <c r="O3073" s="231"/>
      <c r="P3073" s="231"/>
      <c r="Q3073" s="231"/>
      <c r="R3073" s="231"/>
      <c r="S3073" s="231"/>
      <c r="T3073" s="231"/>
      <c r="U3073" s="231"/>
      <c r="V3073" s="231"/>
      <c r="W3073" s="231"/>
      <c r="X3073" s="231"/>
      <c r="Y3073" s="231"/>
      <c r="Z3073" s="231"/>
      <c r="AA3073" s="231"/>
      <c r="AB3073" s="22">
        <f t="shared" si="938"/>
        <v>0</v>
      </c>
      <c r="AC3073" s="23">
        <v>0</v>
      </c>
      <c r="AD3073" s="35"/>
      <c r="AE3073" s="35"/>
      <c r="AF3073" s="35"/>
      <c r="AG3073" s="35"/>
      <c r="AH3073" s="35"/>
      <c r="AI3073" s="35"/>
      <c r="AJ3073" s="35"/>
      <c r="AK3073" s="35"/>
      <c r="AL3073" s="35"/>
      <c r="AM3073" s="35"/>
      <c r="AN3073" s="35"/>
      <c r="AO3073" s="35"/>
      <c r="AP3073" s="35">
        <f>2+2</f>
        <v>4</v>
      </c>
      <c r="AQ3073" s="35"/>
      <c r="AR3073" s="35"/>
      <c r="AS3073" s="35"/>
      <c r="AT3073" s="35"/>
      <c r="AU3073" s="35"/>
      <c r="AV3073" s="35"/>
      <c r="AW3073" s="35"/>
      <c r="AX3073" s="35"/>
      <c r="AY3073" s="35"/>
      <c r="AZ3073" s="35"/>
      <c r="BA3073" s="35"/>
      <c r="BB3073" s="22">
        <f t="shared" si="939"/>
        <v>4</v>
      </c>
      <c r="BC3073" s="23">
        <v>10</v>
      </c>
      <c r="BD3073" s="130">
        <f t="shared" si="940"/>
        <v>4</v>
      </c>
      <c r="BE3073" s="130">
        <f t="shared" si="941"/>
        <v>10</v>
      </c>
      <c r="BF3073" s="195">
        <f t="shared" si="942"/>
        <v>40</v>
      </c>
      <c r="BG3073" s="373">
        <f t="shared" si="943"/>
        <v>6</v>
      </c>
    </row>
    <row r="3074" spans="1:59" s="46" customFormat="1" ht="15.95" customHeight="1">
      <c r="A3074" s="176">
        <v>153</v>
      </c>
      <c r="B3074" s="31" t="s">
        <v>963</v>
      </c>
      <c r="C3074" s="32" t="s">
        <v>2020</v>
      </c>
      <c r="D3074" s="231"/>
      <c r="E3074" s="231"/>
      <c r="F3074" s="231"/>
      <c r="G3074" s="231"/>
      <c r="H3074" s="231"/>
      <c r="I3074" s="231"/>
      <c r="J3074" s="231"/>
      <c r="K3074" s="231"/>
      <c r="L3074" s="231"/>
      <c r="M3074" s="231"/>
      <c r="N3074" s="231"/>
      <c r="O3074" s="231"/>
      <c r="P3074" s="231"/>
      <c r="Q3074" s="231"/>
      <c r="R3074" s="231"/>
      <c r="S3074" s="231"/>
      <c r="T3074" s="231"/>
      <c r="U3074" s="231"/>
      <c r="V3074" s="231"/>
      <c r="W3074" s="231"/>
      <c r="X3074" s="231"/>
      <c r="Y3074" s="231"/>
      <c r="Z3074" s="231"/>
      <c r="AA3074" s="231"/>
      <c r="AB3074" s="22">
        <f t="shared" si="938"/>
        <v>0</v>
      </c>
      <c r="AC3074" s="23">
        <v>0</v>
      </c>
      <c r="AD3074" s="35"/>
      <c r="AE3074" s="35"/>
      <c r="AF3074" s="35"/>
      <c r="AG3074" s="35"/>
      <c r="AH3074" s="35"/>
      <c r="AI3074" s="35"/>
      <c r="AJ3074" s="35"/>
      <c r="AK3074" s="35"/>
      <c r="AL3074" s="35">
        <v>1</v>
      </c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  <c r="AX3074" s="35"/>
      <c r="AY3074" s="35"/>
      <c r="AZ3074" s="35"/>
      <c r="BA3074" s="35"/>
      <c r="BB3074" s="22">
        <f t="shared" si="939"/>
        <v>1</v>
      </c>
      <c r="BC3074" s="23">
        <v>7</v>
      </c>
      <c r="BD3074" s="130">
        <f t="shared" si="940"/>
        <v>1</v>
      </c>
      <c r="BE3074" s="130">
        <f t="shared" si="941"/>
        <v>7</v>
      </c>
      <c r="BF3074" s="195">
        <f t="shared" si="942"/>
        <v>14.285714285714285</v>
      </c>
      <c r="BG3074" s="373">
        <f t="shared" si="943"/>
        <v>6</v>
      </c>
    </row>
    <row r="3075" spans="1:59" s="46" customFormat="1" ht="15.95" customHeight="1">
      <c r="A3075" s="176">
        <v>154</v>
      </c>
      <c r="B3075" s="31" t="s">
        <v>965</v>
      </c>
      <c r="C3075" s="32" t="s">
        <v>966</v>
      </c>
      <c r="D3075" s="231"/>
      <c r="E3075" s="231"/>
      <c r="F3075" s="231"/>
      <c r="G3075" s="231"/>
      <c r="H3075" s="231"/>
      <c r="I3075" s="231"/>
      <c r="J3075" s="231"/>
      <c r="K3075" s="231"/>
      <c r="L3075" s="231"/>
      <c r="M3075" s="231"/>
      <c r="N3075" s="231"/>
      <c r="O3075" s="231"/>
      <c r="P3075" s="231"/>
      <c r="Q3075" s="231"/>
      <c r="R3075" s="231"/>
      <c r="S3075" s="231"/>
      <c r="T3075" s="231"/>
      <c r="U3075" s="231"/>
      <c r="V3075" s="231"/>
      <c r="W3075" s="231"/>
      <c r="X3075" s="231"/>
      <c r="Y3075" s="231"/>
      <c r="Z3075" s="231"/>
      <c r="AA3075" s="231"/>
      <c r="AB3075" s="22">
        <f t="shared" si="938"/>
        <v>0</v>
      </c>
      <c r="AC3075" s="23">
        <v>0</v>
      </c>
      <c r="AD3075" s="35"/>
      <c r="AE3075" s="35"/>
      <c r="AF3075" s="35"/>
      <c r="AG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  <c r="AX3075" s="35"/>
      <c r="AY3075" s="35"/>
      <c r="AZ3075" s="35"/>
      <c r="BA3075" s="35"/>
      <c r="BB3075" s="22">
        <f t="shared" si="939"/>
        <v>0</v>
      </c>
      <c r="BC3075" s="23">
        <v>2</v>
      </c>
      <c r="BD3075" s="130">
        <f t="shared" si="940"/>
        <v>0</v>
      </c>
      <c r="BE3075" s="130">
        <f t="shared" si="941"/>
        <v>2</v>
      </c>
      <c r="BF3075" s="195">
        <f t="shared" si="942"/>
        <v>0</v>
      </c>
      <c r="BG3075" s="373">
        <f t="shared" si="943"/>
        <v>2</v>
      </c>
    </row>
    <row r="3076" spans="1:59" s="46" customFormat="1" ht="15.95" customHeight="1">
      <c r="A3076" s="176">
        <v>155</v>
      </c>
      <c r="B3076" s="31" t="s">
        <v>967</v>
      </c>
      <c r="C3076" s="32" t="s">
        <v>968</v>
      </c>
      <c r="D3076" s="231"/>
      <c r="E3076" s="231"/>
      <c r="F3076" s="231"/>
      <c r="G3076" s="231"/>
      <c r="H3076" s="231"/>
      <c r="I3076" s="231"/>
      <c r="J3076" s="231"/>
      <c r="K3076" s="231"/>
      <c r="L3076" s="231"/>
      <c r="M3076" s="231"/>
      <c r="N3076" s="231"/>
      <c r="O3076" s="231"/>
      <c r="P3076" s="231"/>
      <c r="Q3076" s="231"/>
      <c r="R3076" s="231"/>
      <c r="S3076" s="231"/>
      <c r="T3076" s="231"/>
      <c r="U3076" s="231"/>
      <c r="V3076" s="231"/>
      <c r="W3076" s="231"/>
      <c r="X3076" s="231"/>
      <c r="Y3076" s="231"/>
      <c r="Z3076" s="231"/>
      <c r="AA3076" s="231"/>
      <c r="AB3076" s="22">
        <f t="shared" si="938"/>
        <v>0</v>
      </c>
      <c r="AC3076" s="23">
        <v>0</v>
      </c>
      <c r="AD3076" s="35"/>
      <c r="AE3076" s="35"/>
      <c r="AF3076" s="35"/>
      <c r="AG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  <c r="AX3076" s="35"/>
      <c r="AY3076" s="35"/>
      <c r="AZ3076" s="35"/>
      <c r="BA3076" s="35"/>
      <c r="BB3076" s="22">
        <f t="shared" si="939"/>
        <v>0</v>
      </c>
      <c r="BC3076" s="23">
        <v>1</v>
      </c>
      <c r="BD3076" s="130">
        <f t="shared" si="940"/>
        <v>0</v>
      </c>
      <c r="BE3076" s="130">
        <f t="shared" si="941"/>
        <v>1</v>
      </c>
      <c r="BF3076" s="195">
        <f t="shared" si="942"/>
        <v>0</v>
      </c>
      <c r="BG3076" s="373">
        <f t="shared" si="943"/>
        <v>1</v>
      </c>
    </row>
    <row r="3077" spans="1:59" s="46" customFormat="1" ht="15.95" customHeight="1">
      <c r="A3077" s="176">
        <v>156</v>
      </c>
      <c r="B3077" s="31" t="s">
        <v>969</v>
      </c>
      <c r="C3077" s="32" t="s">
        <v>1086</v>
      </c>
      <c r="D3077" s="231"/>
      <c r="E3077" s="231"/>
      <c r="F3077" s="231"/>
      <c r="G3077" s="231"/>
      <c r="H3077" s="231"/>
      <c r="I3077" s="231"/>
      <c r="J3077" s="231"/>
      <c r="K3077" s="231"/>
      <c r="L3077" s="231"/>
      <c r="M3077" s="231"/>
      <c r="N3077" s="231"/>
      <c r="O3077" s="231"/>
      <c r="P3077" s="231"/>
      <c r="Q3077" s="231"/>
      <c r="R3077" s="231"/>
      <c r="S3077" s="231"/>
      <c r="T3077" s="231"/>
      <c r="U3077" s="231"/>
      <c r="V3077" s="231"/>
      <c r="W3077" s="231"/>
      <c r="X3077" s="231"/>
      <c r="Y3077" s="231"/>
      <c r="Z3077" s="231"/>
      <c r="AA3077" s="231"/>
      <c r="AB3077" s="22">
        <f t="shared" si="938"/>
        <v>0</v>
      </c>
      <c r="AC3077" s="23">
        <v>0</v>
      </c>
      <c r="AD3077" s="35"/>
      <c r="AE3077" s="35"/>
      <c r="AF3077" s="35"/>
      <c r="AG3077" s="35"/>
      <c r="AH3077" s="35"/>
      <c r="AI3077" s="35"/>
      <c r="AJ3077" s="35"/>
      <c r="AK3077" s="35"/>
      <c r="AL3077" s="35"/>
      <c r="AM3077" s="35"/>
      <c r="AN3077" s="35"/>
      <c r="AO3077" s="35"/>
      <c r="AP3077" s="35">
        <v>4</v>
      </c>
      <c r="AQ3077" s="35"/>
      <c r="AR3077" s="35"/>
      <c r="AS3077" s="35"/>
      <c r="AT3077" s="35"/>
      <c r="AU3077" s="35"/>
      <c r="AV3077" s="35"/>
      <c r="AW3077" s="35"/>
      <c r="AX3077" s="35"/>
      <c r="AY3077" s="35"/>
      <c r="AZ3077" s="35"/>
      <c r="BA3077" s="35"/>
      <c r="BB3077" s="22">
        <f t="shared" si="939"/>
        <v>4</v>
      </c>
      <c r="BC3077" s="23">
        <v>24</v>
      </c>
      <c r="BD3077" s="130">
        <f t="shared" si="940"/>
        <v>4</v>
      </c>
      <c r="BE3077" s="130">
        <f t="shared" si="941"/>
        <v>24</v>
      </c>
      <c r="BF3077" s="195">
        <f t="shared" si="942"/>
        <v>16.666666666666664</v>
      </c>
      <c r="BG3077" s="373">
        <f t="shared" si="943"/>
        <v>20</v>
      </c>
    </row>
    <row r="3078" spans="1:59" s="46" customFormat="1" ht="15.95" customHeight="1">
      <c r="A3078" s="176">
        <v>157</v>
      </c>
      <c r="B3078" s="31" t="s">
        <v>1049</v>
      </c>
      <c r="C3078" s="32" t="s">
        <v>1050</v>
      </c>
      <c r="D3078" s="552"/>
      <c r="E3078" s="552"/>
      <c r="F3078" s="552"/>
      <c r="G3078" s="552"/>
      <c r="H3078" s="552"/>
      <c r="I3078" s="552"/>
      <c r="J3078" s="552"/>
      <c r="K3078" s="552"/>
      <c r="L3078" s="552"/>
      <c r="M3078" s="552"/>
      <c r="N3078" s="552"/>
      <c r="O3078" s="552"/>
      <c r="P3078" s="552"/>
      <c r="Q3078" s="552"/>
      <c r="R3078" s="552"/>
      <c r="S3078" s="552"/>
      <c r="T3078" s="552"/>
      <c r="U3078" s="552"/>
      <c r="V3078" s="552"/>
      <c r="W3078" s="552"/>
      <c r="X3078" s="552"/>
      <c r="Y3078" s="552"/>
      <c r="Z3078" s="552"/>
      <c r="AA3078" s="552"/>
      <c r="AB3078" s="22">
        <f t="shared" si="938"/>
        <v>0</v>
      </c>
      <c r="AC3078" s="23">
        <v>0</v>
      </c>
      <c r="AD3078" s="35"/>
      <c r="AE3078" s="35"/>
      <c r="AF3078" s="35"/>
      <c r="AG3078" s="35"/>
      <c r="AH3078" s="35"/>
      <c r="AI3078" s="35"/>
      <c r="AJ3078" s="35"/>
      <c r="AK3078" s="35"/>
      <c r="AL3078" s="35">
        <v>18</v>
      </c>
      <c r="AM3078" s="35"/>
      <c r="AN3078" s="35"/>
      <c r="AO3078" s="35"/>
      <c r="AP3078" s="35">
        <v>8</v>
      </c>
      <c r="AQ3078" s="35"/>
      <c r="AR3078" s="35"/>
      <c r="AS3078" s="35"/>
      <c r="AT3078" s="35"/>
      <c r="AU3078" s="35"/>
      <c r="AV3078" s="35"/>
      <c r="AW3078" s="35"/>
      <c r="AX3078" s="35"/>
      <c r="AY3078" s="35"/>
      <c r="AZ3078" s="35"/>
      <c r="BA3078" s="35"/>
      <c r="BB3078" s="22">
        <f t="shared" si="939"/>
        <v>26</v>
      </c>
      <c r="BC3078" s="23">
        <v>0</v>
      </c>
      <c r="BD3078" s="130">
        <f t="shared" si="940"/>
        <v>26</v>
      </c>
      <c r="BE3078" s="130">
        <f t="shared" si="941"/>
        <v>0</v>
      </c>
      <c r="BF3078" s="195" t="e">
        <f t="shared" si="942"/>
        <v>#DIV/0!</v>
      </c>
      <c r="BG3078" s="373"/>
    </row>
    <row r="3079" spans="1:59" s="46" customFormat="1" ht="15.95" customHeight="1">
      <c r="A3079" s="176">
        <v>158</v>
      </c>
      <c r="B3079" s="31" t="s">
        <v>851</v>
      </c>
      <c r="C3079" s="32" t="s">
        <v>1359</v>
      </c>
      <c r="D3079" s="290"/>
      <c r="E3079" s="290"/>
      <c r="F3079" s="290"/>
      <c r="G3079" s="290"/>
      <c r="H3079" s="290"/>
      <c r="I3079" s="290"/>
      <c r="J3079" s="290"/>
      <c r="K3079" s="290"/>
      <c r="L3079" s="290"/>
      <c r="M3079" s="290"/>
      <c r="N3079" s="290"/>
      <c r="O3079" s="290"/>
      <c r="P3079" s="290"/>
      <c r="Q3079" s="290"/>
      <c r="R3079" s="290"/>
      <c r="S3079" s="290"/>
      <c r="T3079" s="290"/>
      <c r="U3079" s="290"/>
      <c r="V3079" s="290"/>
      <c r="W3079" s="290"/>
      <c r="X3079" s="290"/>
      <c r="Y3079" s="290"/>
      <c r="Z3079" s="290"/>
      <c r="AA3079" s="290"/>
      <c r="AB3079" s="22">
        <f t="shared" si="938"/>
        <v>0</v>
      </c>
      <c r="AC3079" s="23">
        <v>0</v>
      </c>
      <c r="AD3079" s="35"/>
      <c r="AE3079" s="35"/>
      <c r="AF3079" s="35"/>
      <c r="AG3079" s="35"/>
      <c r="AH3079" s="35"/>
      <c r="AI3079" s="35"/>
      <c r="AJ3079" s="35"/>
      <c r="AK3079" s="35"/>
      <c r="AL3079" s="35">
        <v>136</v>
      </c>
      <c r="AM3079" s="35"/>
      <c r="AN3079" s="35"/>
      <c r="AO3079" s="35"/>
      <c r="AP3079" s="35">
        <v>36</v>
      </c>
      <c r="AQ3079" s="35"/>
      <c r="AR3079" s="35"/>
      <c r="AS3079" s="35"/>
      <c r="AT3079" s="35"/>
      <c r="AU3079" s="35"/>
      <c r="AV3079" s="35"/>
      <c r="AW3079" s="35"/>
      <c r="AX3079" s="35"/>
      <c r="AY3079" s="35"/>
      <c r="AZ3079" s="35"/>
      <c r="BA3079" s="35"/>
      <c r="BB3079" s="22">
        <f t="shared" si="939"/>
        <v>172</v>
      </c>
      <c r="BC3079" s="23">
        <v>1267</v>
      </c>
      <c r="BD3079" s="130">
        <f t="shared" si="940"/>
        <v>172</v>
      </c>
      <c r="BE3079" s="130">
        <f t="shared" si="941"/>
        <v>1267</v>
      </c>
      <c r="BF3079" s="195">
        <f t="shared" si="942"/>
        <v>13.575374901341753</v>
      </c>
      <c r="BG3079" s="373">
        <f t="shared" ref="BG3079:BG3108" si="944">BE3079-BD3079</f>
        <v>1095</v>
      </c>
    </row>
    <row r="3080" spans="1:59" s="46" customFormat="1" ht="15.95" customHeight="1">
      <c r="A3080" s="176">
        <v>159</v>
      </c>
      <c r="B3080" s="31" t="s">
        <v>1513</v>
      </c>
      <c r="C3080" s="32" t="s">
        <v>2832</v>
      </c>
      <c r="D3080" s="231"/>
      <c r="E3080" s="231"/>
      <c r="F3080" s="231"/>
      <c r="G3080" s="231"/>
      <c r="H3080" s="231"/>
      <c r="I3080" s="231"/>
      <c r="J3080" s="231"/>
      <c r="K3080" s="231"/>
      <c r="L3080" s="231"/>
      <c r="M3080" s="231"/>
      <c r="N3080" s="231"/>
      <c r="O3080" s="231"/>
      <c r="P3080" s="231"/>
      <c r="Q3080" s="231"/>
      <c r="R3080" s="231"/>
      <c r="S3080" s="231"/>
      <c r="T3080" s="231"/>
      <c r="U3080" s="231"/>
      <c r="V3080" s="231"/>
      <c r="W3080" s="231"/>
      <c r="X3080" s="231"/>
      <c r="Y3080" s="231"/>
      <c r="Z3080" s="231"/>
      <c r="AA3080" s="231"/>
      <c r="AB3080" s="22">
        <f t="shared" si="938"/>
        <v>0</v>
      </c>
      <c r="AC3080" s="23">
        <v>0</v>
      </c>
      <c r="AD3080" s="35"/>
      <c r="AE3080" s="35"/>
      <c r="AF3080" s="35"/>
      <c r="AG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  <c r="AX3080" s="35"/>
      <c r="AY3080" s="35"/>
      <c r="AZ3080" s="35"/>
      <c r="BA3080" s="35"/>
      <c r="BB3080" s="22">
        <f t="shared" si="939"/>
        <v>0</v>
      </c>
      <c r="BC3080" s="23">
        <v>1</v>
      </c>
      <c r="BD3080" s="130">
        <f t="shared" si="940"/>
        <v>0</v>
      </c>
      <c r="BE3080" s="130">
        <f t="shared" si="941"/>
        <v>1</v>
      </c>
      <c r="BF3080" s="195">
        <f t="shared" si="942"/>
        <v>0</v>
      </c>
      <c r="BG3080" s="373">
        <f t="shared" si="944"/>
        <v>1</v>
      </c>
    </row>
    <row r="3081" spans="1:59" s="46" customFormat="1" ht="15.95" customHeight="1">
      <c r="A3081" s="176">
        <v>160</v>
      </c>
      <c r="B3081" s="31" t="s">
        <v>1118</v>
      </c>
      <c r="C3081" s="32" t="s">
        <v>1119</v>
      </c>
      <c r="D3081" s="231"/>
      <c r="E3081" s="231"/>
      <c r="F3081" s="231"/>
      <c r="G3081" s="231"/>
      <c r="H3081" s="231"/>
      <c r="I3081" s="231"/>
      <c r="J3081" s="231"/>
      <c r="K3081" s="231"/>
      <c r="L3081" s="231"/>
      <c r="M3081" s="231"/>
      <c r="N3081" s="231"/>
      <c r="O3081" s="231"/>
      <c r="P3081" s="231"/>
      <c r="Q3081" s="231"/>
      <c r="R3081" s="231"/>
      <c r="S3081" s="231"/>
      <c r="T3081" s="231"/>
      <c r="U3081" s="231"/>
      <c r="V3081" s="231"/>
      <c r="W3081" s="231"/>
      <c r="X3081" s="231"/>
      <c r="Y3081" s="231"/>
      <c r="Z3081" s="231"/>
      <c r="AA3081" s="231"/>
      <c r="AB3081" s="22">
        <f t="shared" si="938"/>
        <v>0</v>
      </c>
      <c r="AC3081" s="23">
        <v>0</v>
      </c>
      <c r="AD3081" s="35"/>
      <c r="AE3081" s="35"/>
      <c r="AF3081" s="35"/>
      <c r="AG3081" s="35"/>
      <c r="AH3081" s="35"/>
      <c r="AI3081" s="35"/>
      <c r="AJ3081" s="35"/>
      <c r="AK3081" s="35"/>
      <c r="AL3081" s="35">
        <v>1</v>
      </c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  <c r="AX3081" s="35"/>
      <c r="AY3081" s="35"/>
      <c r="AZ3081" s="35"/>
      <c r="BA3081" s="35"/>
      <c r="BB3081" s="22">
        <f t="shared" si="939"/>
        <v>1</v>
      </c>
      <c r="BC3081" s="23">
        <v>121</v>
      </c>
      <c r="BD3081" s="130">
        <f t="shared" si="940"/>
        <v>1</v>
      </c>
      <c r="BE3081" s="130">
        <f t="shared" si="941"/>
        <v>121</v>
      </c>
      <c r="BF3081" s="195">
        <f t="shared" si="942"/>
        <v>0.82644628099173556</v>
      </c>
      <c r="BG3081" s="373">
        <f t="shared" si="944"/>
        <v>120</v>
      </c>
    </row>
    <row r="3082" spans="1:59" s="46" customFormat="1" ht="15.95" customHeight="1">
      <c r="A3082" s="176">
        <v>161</v>
      </c>
      <c r="B3082" s="31" t="s">
        <v>1867</v>
      </c>
      <c r="C3082" s="32" t="s">
        <v>1868</v>
      </c>
      <c r="D3082" s="327"/>
      <c r="E3082" s="327"/>
      <c r="F3082" s="327"/>
      <c r="G3082" s="327"/>
      <c r="H3082" s="327"/>
      <c r="I3082" s="327"/>
      <c r="J3082" s="327"/>
      <c r="K3082" s="327"/>
      <c r="L3082" s="327"/>
      <c r="M3082" s="327"/>
      <c r="N3082" s="327"/>
      <c r="O3082" s="327"/>
      <c r="P3082" s="327"/>
      <c r="Q3082" s="327"/>
      <c r="R3082" s="327"/>
      <c r="S3082" s="327"/>
      <c r="T3082" s="327"/>
      <c r="U3082" s="327"/>
      <c r="V3082" s="327"/>
      <c r="W3082" s="327"/>
      <c r="X3082" s="327"/>
      <c r="Y3082" s="327"/>
      <c r="Z3082" s="327"/>
      <c r="AA3082" s="327"/>
      <c r="AB3082" s="22">
        <f t="shared" si="938"/>
        <v>0</v>
      </c>
      <c r="AC3082" s="23">
        <v>0</v>
      </c>
      <c r="AD3082" s="35"/>
      <c r="AE3082" s="35"/>
      <c r="AF3082" s="35"/>
      <c r="AG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  <c r="AX3082" s="35"/>
      <c r="AY3082" s="35"/>
      <c r="AZ3082" s="35"/>
      <c r="BA3082" s="35"/>
      <c r="BB3082" s="22">
        <f t="shared" si="939"/>
        <v>0</v>
      </c>
      <c r="BC3082" s="23">
        <v>13</v>
      </c>
      <c r="BD3082" s="130">
        <f t="shared" si="940"/>
        <v>0</v>
      </c>
      <c r="BE3082" s="130">
        <f t="shared" si="941"/>
        <v>13</v>
      </c>
      <c r="BF3082" s="195">
        <f t="shared" si="942"/>
        <v>0</v>
      </c>
      <c r="BG3082" s="373">
        <f t="shared" si="944"/>
        <v>13</v>
      </c>
    </row>
    <row r="3083" spans="1:59" s="46" customFormat="1" ht="15.95" customHeight="1">
      <c r="A3083" s="176">
        <v>162</v>
      </c>
      <c r="B3083" s="31" t="s">
        <v>1088</v>
      </c>
      <c r="C3083" s="32" t="s">
        <v>1089</v>
      </c>
      <c r="D3083" s="231"/>
      <c r="E3083" s="231"/>
      <c r="F3083" s="231"/>
      <c r="G3083" s="231"/>
      <c r="H3083" s="231"/>
      <c r="I3083" s="231"/>
      <c r="J3083" s="231"/>
      <c r="K3083" s="231"/>
      <c r="L3083" s="231"/>
      <c r="M3083" s="231"/>
      <c r="N3083" s="231"/>
      <c r="O3083" s="231"/>
      <c r="P3083" s="231"/>
      <c r="Q3083" s="231"/>
      <c r="R3083" s="231"/>
      <c r="S3083" s="231"/>
      <c r="T3083" s="231"/>
      <c r="U3083" s="231"/>
      <c r="V3083" s="231"/>
      <c r="W3083" s="231"/>
      <c r="X3083" s="231"/>
      <c r="Y3083" s="231"/>
      <c r="Z3083" s="231"/>
      <c r="AA3083" s="231"/>
      <c r="AB3083" s="22">
        <f t="shared" si="938"/>
        <v>0</v>
      </c>
      <c r="AC3083" s="23">
        <v>0</v>
      </c>
      <c r="AD3083" s="35"/>
      <c r="AE3083" s="35"/>
      <c r="AF3083" s="35"/>
      <c r="AG3083" s="35"/>
      <c r="AH3083" s="35">
        <v>12</v>
      </c>
      <c r="AI3083" s="35"/>
      <c r="AJ3083" s="35"/>
      <c r="AK3083" s="35"/>
      <c r="AL3083" s="35">
        <v>53</v>
      </c>
      <c r="AM3083" s="35"/>
      <c r="AN3083" s="35"/>
      <c r="AO3083" s="35"/>
      <c r="AP3083" s="35">
        <v>83</v>
      </c>
      <c r="AQ3083" s="35"/>
      <c r="AR3083" s="35"/>
      <c r="AS3083" s="35"/>
      <c r="AT3083" s="35"/>
      <c r="AU3083" s="35"/>
      <c r="AV3083" s="35"/>
      <c r="AW3083" s="35"/>
      <c r="AX3083" s="35"/>
      <c r="AY3083" s="35"/>
      <c r="AZ3083" s="35"/>
      <c r="BA3083" s="35"/>
      <c r="BB3083" s="22">
        <f t="shared" si="939"/>
        <v>148</v>
      </c>
      <c r="BC3083" s="23">
        <v>756</v>
      </c>
      <c r="BD3083" s="130">
        <f t="shared" si="940"/>
        <v>148</v>
      </c>
      <c r="BE3083" s="130">
        <f t="shared" si="941"/>
        <v>756</v>
      </c>
      <c r="BF3083" s="195">
        <f t="shared" si="942"/>
        <v>19.576719576719576</v>
      </c>
      <c r="BG3083" s="373">
        <f t="shared" si="944"/>
        <v>608</v>
      </c>
    </row>
    <row r="3084" spans="1:59" s="46" customFormat="1" ht="15.95" customHeight="1">
      <c r="A3084" s="176">
        <v>163</v>
      </c>
      <c r="B3084" s="31" t="s">
        <v>1773</v>
      </c>
      <c r="C3084" s="32" t="s">
        <v>2475</v>
      </c>
      <c r="D3084" s="327"/>
      <c r="E3084" s="327"/>
      <c r="F3084" s="327"/>
      <c r="G3084" s="327"/>
      <c r="H3084" s="327"/>
      <c r="I3084" s="327"/>
      <c r="J3084" s="327"/>
      <c r="K3084" s="327"/>
      <c r="L3084" s="327"/>
      <c r="M3084" s="327"/>
      <c r="N3084" s="327"/>
      <c r="O3084" s="327"/>
      <c r="P3084" s="327"/>
      <c r="Q3084" s="327"/>
      <c r="R3084" s="327"/>
      <c r="S3084" s="327"/>
      <c r="T3084" s="327"/>
      <c r="U3084" s="327"/>
      <c r="V3084" s="327"/>
      <c r="W3084" s="327"/>
      <c r="X3084" s="327"/>
      <c r="Y3084" s="327"/>
      <c r="Z3084" s="327"/>
      <c r="AA3084" s="327"/>
      <c r="AB3084" s="22">
        <f t="shared" si="938"/>
        <v>0</v>
      </c>
      <c r="AC3084" s="23">
        <v>0</v>
      </c>
      <c r="AD3084" s="35"/>
      <c r="AE3084" s="35"/>
      <c r="AF3084" s="35"/>
      <c r="AG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  <c r="AX3084" s="35"/>
      <c r="AY3084" s="35"/>
      <c r="AZ3084" s="35"/>
      <c r="BA3084" s="35"/>
      <c r="BB3084" s="22">
        <f t="shared" si="939"/>
        <v>0</v>
      </c>
      <c r="BC3084" s="23">
        <v>2</v>
      </c>
      <c r="BD3084" s="130">
        <f t="shared" si="940"/>
        <v>0</v>
      </c>
      <c r="BE3084" s="130">
        <f t="shared" si="941"/>
        <v>2</v>
      </c>
      <c r="BF3084" s="195">
        <f t="shared" si="942"/>
        <v>0</v>
      </c>
      <c r="BG3084" s="373">
        <f t="shared" si="944"/>
        <v>2</v>
      </c>
    </row>
    <row r="3085" spans="1:59" s="46" customFormat="1" ht="15.95" customHeight="1">
      <c r="A3085" s="176">
        <v>164</v>
      </c>
      <c r="B3085" s="31" t="s">
        <v>1018</v>
      </c>
      <c r="C3085" s="32" t="s">
        <v>1019</v>
      </c>
      <c r="D3085" s="231"/>
      <c r="E3085" s="231"/>
      <c r="F3085" s="231"/>
      <c r="G3085" s="231"/>
      <c r="H3085" s="231"/>
      <c r="I3085" s="231"/>
      <c r="J3085" s="231"/>
      <c r="K3085" s="231"/>
      <c r="L3085" s="231"/>
      <c r="M3085" s="231"/>
      <c r="N3085" s="231"/>
      <c r="O3085" s="231"/>
      <c r="P3085" s="231"/>
      <c r="Q3085" s="231"/>
      <c r="R3085" s="231"/>
      <c r="S3085" s="231"/>
      <c r="T3085" s="231"/>
      <c r="U3085" s="231"/>
      <c r="V3085" s="231"/>
      <c r="W3085" s="231"/>
      <c r="X3085" s="231"/>
      <c r="Y3085" s="231"/>
      <c r="Z3085" s="231"/>
      <c r="AA3085" s="231"/>
      <c r="AB3085" s="22">
        <f t="shared" si="938"/>
        <v>0</v>
      </c>
      <c r="AC3085" s="23">
        <v>0</v>
      </c>
      <c r="AD3085" s="35"/>
      <c r="AE3085" s="35"/>
      <c r="AF3085" s="35"/>
      <c r="AG3085" s="35"/>
      <c r="AH3085" s="35"/>
      <c r="AI3085" s="35"/>
      <c r="AJ3085" s="35"/>
      <c r="AK3085" s="35"/>
      <c r="AL3085" s="35">
        <v>1</v>
      </c>
      <c r="AM3085" s="35"/>
      <c r="AN3085" s="35"/>
      <c r="AO3085" s="35"/>
      <c r="AP3085" s="35">
        <v>1</v>
      </c>
      <c r="AQ3085" s="35"/>
      <c r="AR3085" s="35"/>
      <c r="AS3085" s="35"/>
      <c r="AT3085" s="35"/>
      <c r="AU3085" s="35"/>
      <c r="AV3085" s="35"/>
      <c r="AW3085" s="35"/>
      <c r="AX3085" s="35"/>
      <c r="AY3085" s="35"/>
      <c r="AZ3085" s="35"/>
      <c r="BA3085" s="35"/>
      <c r="BB3085" s="22">
        <f t="shared" si="939"/>
        <v>2</v>
      </c>
      <c r="BC3085" s="23">
        <v>3</v>
      </c>
      <c r="BD3085" s="130">
        <f t="shared" si="940"/>
        <v>2</v>
      </c>
      <c r="BE3085" s="130">
        <f t="shared" si="941"/>
        <v>3</v>
      </c>
      <c r="BF3085" s="195">
        <f t="shared" si="942"/>
        <v>66.666666666666657</v>
      </c>
      <c r="BG3085" s="373">
        <f t="shared" si="944"/>
        <v>1</v>
      </c>
    </row>
    <row r="3086" spans="1:59" s="46" customFormat="1" ht="15.95" customHeight="1">
      <c r="A3086" s="176">
        <v>165</v>
      </c>
      <c r="B3086" s="31" t="s">
        <v>2603</v>
      </c>
      <c r="C3086" s="32" t="s">
        <v>2628</v>
      </c>
      <c r="D3086" s="275"/>
      <c r="E3086" s="275"/>
      <c r="F3086" s="275"/>
      <c r="G3086" s="275"/>
      <c r="H3086" s="275"/>
      <c r="I3086" s="275"/>
      <c r="J3086" s="275"/>
      <c r="K3086" s="275"/>
      <c r="L3086" s="275"/>
      <c r="M3086" s="275"/>
      <c r="N3086" s="275"/>
      <c r="O3086" s="275"/>
      <c r="P3086" s="275"/>
      <c r="Q3086" s="275"/>
      <c r="R3086" s="275"/>
      <c r="S3086" s="275"/>
      <c r="T3086" s="275"/>
      <c r="U3086" s="275"/>
      <c r="V3086" s="275"/>
      <c r="W3086" s="275"/>
      <c r="X3086" s="275"/>
      <c r="Y3086" s="275"/>
      <c r="Z3086" s="275"/>
      <c r="AA3086" s="275"/>
      <c r="AB3086" s="22">
        <f t="shared" si="938"/>
        <v>0</v>
      </c>
      <c r="AC3086" s="23">
        <v>0</v>
      </c>
      <c r="AD3086" s="35"/>
      <c r="AE3086" s="35"/>
      <c r="AF3086" s="35"/>
      <c r="AG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  <c r="AX3086" s="35"/>
      <c r="AY3086" s="35"/>
      <c r="AZ3086" s="35"/>
      <c r="BA3086" s="35"/>
      <c r="BB3086" s="22">
        <f t="shared" si="939"/>
        <v>0</v>
      </c>
      <c r="BC3086" s="23">
        <v>1</v>
      </c>
      <c r="BD3086" s="130">
        <f t="shared" si="940"/>
        <v>0</v>
      </c>
      <c r="BE3086" s="130">
        <f t="shared" si="941"/>
        <v>1</v>
      </c>
      <c r="BF3086" s="195">
        <f t="shared" si="942"/>
        <v>0</v>
      </c>
      <c r="BG3086" s="373">
        <f t="shared" si="944"/>
        <v>1</v>
      </c>
    </row>
    <row r="3087" spans="1:59" s="46" customFormat="1" ht="15.95" customHeight="1">
      <c r="A3087" s="176">
        <v>166</v>
      </c>
      <c r="B3087" s="31" t="s">
        <v>1051</v>
      </c>
      <c r="C3087" s="34" t="s">
        <v>2262</v>
      </c>
      <c r="D3087" s="231"/>
      <c r="E3087" s="231"/>
      <c r="F3087" s="231"/>
      <c r="G3087" s="231"/>
      <c r="H3087" s="231"/>
      <c r="I3087" s="231"/>
      <c r="J3087" s="231"/>
      <c r="K3087" s="231"/>
      <c r="L3087" s="231"/>
      <c r="M3087" s="231"/>
      <c r="N3087" s="231"/>
      <c r="O3087" s="231"/>
      <c r="P3087" s="231"/>
      <c r="Q3087" s="231"/>
      <c r="R3087" s="231"/>
      <c r="S3087" s="231"/>
      <c r="T3087" s="231"/>
      <c r="U3087" s="231"/>
      <c r="V3087" s="231"/>
      <c r="W3087" s="231"/>
      <c r="X3087" s="231"/>
      <c r="Y3087" s="231"/>
      <c r="Z3087" s="231"/>
      <c r="AA3087" s="231"/>
      <c r="AB3087" s="22">
        <f t="shared" ref="AB3087:AB3108" si="945">SUM(D3087:AA3087)</f>
        <v>0</v>
      </c>
      <c r="AC3087" s="23">
        <v>0</v>
      </c>
      <c r="AD3087" s="35"/>
      <c r="AE3087" s="35"/>
      <c r="AF3087" s="35"/>
      <c r="AG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  <c r="AX3087" s="35"/>
      <c r="AY3087" s="35"/>
      <c r="AZ3087" s="35"/>
      <c r="BA3087" s="35"/>
      <c r="BB3087" s="22">
        <f t="shared" ref="BB3087:BB3108" si="946">SUM(AD3087:BA3087)</f>
        <v>0</v>
      </c>
      <c r="BC3087" s="23">
        <v>3</v>
      </c>
      <c r="BD3087" s="130">
        <f t="shared" ref="BD3087:BD3108" si="947">AB3087+BB3087</f>
        <v>0</v>
      </c>
      <c r="BE3087" s="130">
        <f t="shared" ref="BE3087:BE3108" si="948">AC3087+BC3087</f>
        <v>3</v>
      </c>
      <c r="BF3087" s="195">
        <f t="shared" ref="BF3087:BF3108" si="949">BD3087/BE3087*100</f>
        <v>0</v>
      </c>
      <c r="BG3087" s="373">
        <f t="shared" si="944"/>
        <v>3</v>
      </c>
    </row>
    <row r="3088" spans="1:59" s="46" customFormat="1" ht="15.95" customHeight="1">
      <c r="A3088" s="176">
        <v>167</v>
      </c>
      <c r="B3088" s="31" t="s">
        <v>854</v>
      </c>
      <c r="C3088" s="34" t="s">
        <v>855</v>
      </c>
      <c r="D3088" s="231">
        <v>1</v>
      </c>
      <c r="E3088" s="231"/>
      <c r="F3088" s="231"/>
      <c r="G3088" s="231"/>
      <c r="H3088" s="231">
        <v>1</v>
      </c>
      <c r="I3088" s="231"/>
      <c r="J3088" s="231"/>
      <c r="K3088" s="231"/>
      <c r="L3088" s="231">
        <v>3</v>
      </c>
      <c r="M3088" s="231"/>
      <c r="N3088" s="231"/>
      <c r="O3088" s="231"/>
      <c r="P3088" s="231">
        <v>10</v>
      </c>
      <c r="Q3088" s="231"/>
      <c r="R3088" s="231"/>
      <c r="S3088" s="231"/>
      <c r="T3088" s="231"/>
      <c r="U3088" s="231"/>
      <c r="V3088" s="231"/>
      <c r="W3088" s="231"/>
      <c r="X3088" s="231"/>
      <c r="Y3088" s="231"/>
      <c r="Z3088" s="231"/>
      <c r="AA3088" s="231"/>
      <c r="AB3088" s="22">
        <f t="shared" si="945"/>
        <v>15</v>
      </c>
      <c r="AC3088" s="23">
        <v>1</v>
      </c>
      <c r="AD3088" s="35"/>
      <c r="AE3088" s="35"/>
      <c r="AF3088" s="35"/>
      <c r="AG3088" s="35"/>
      <c r="AH3088" s="35">
        <v>124</v>
      </c>
      <c r="AI3088" s="35"/>
      <c r="AJ3088" s="35"/>
      <c r="AK3088" s="35"/>
      <c r="AL3088" s="35">
        <f>2+178</f>
        <v>180</v>
      </c>
      <c r="AM3088" s="35"/>
      <c r="AN3088" s="35"/>
      <c r="AO3088" s="35"/>
      <c r="AP3088" s="35">
        <v>332</v>
      </c>
      <c r="AQ3088" s="35"/>
      <c r="AR3088" s="35"/>
      <c r="AS3088" s="35"/>
      <c r="AT3088" s="35"/>
      <c r="AU3088" s="35"/>
      <c r="AV3088" s="35"/>
      <c r="AW3088" s="35"/>
      <c r="AX3088" s="35"/>
      <c r="AY3088" s="35"/>
      <c r="AZ3088" s="35"/>
      <c r="BA3088" s="35"/>
      <c r="BB3088" s="22">
        <f t="shared" si="946"/>
        <v>636</v>
      </c>
      <c r="BC3088" s="23">
        <v>3382</v>
      </c>
      <c r="BD3088" s="130">
        <f t="shared" si="947"/>
        <v>651</v>
      </c>
      <c r="BE3088" s="130">
        <f t="shared" si="948"/>
        <v>3383</v>
      </c>
      <c r="BF3088" s="195">
        <f t="shared" si="949"/>
        <v>19.243275199527048</v>
      </c>
      <c r="BG3088" s="373">
        <f t="shared" si="944"/>
        <v>2732</v>
      </c>
    </row>
    <row r="3089" spans="1:59" s="46" customFormat="1" ht="15.95" customHeight="1">
      <c r="A3089" s="176">
        <v>168</v>
      </c>
      <c r="B3089" s="31" t="s">
        <v>856</v>
      </c>
      <c r="C3089" s="34" t="s">
        <v>1506</v>
      </c>
      <c r="D3089" s="231"/>
      <c r="E3089" s="231"/>
      <c r="F3089" s="231"/>
      <c r="G3089" s="231"/>
      <c r="H3089" s="231"/>
      <c r="I3089" s="231"/>
      <c r="J3089" s="231"/>
      <c r="K3089" s="231"/>
      <c r="L3089" s="231"/>
      <c r="M3089" s="231"/>
      <c r="N3089" s="231"/>
      <c r="O3089" s="231"/>
      <c r="P3089" s="231"/>
      <c r="Q3089" s="231"/>
      <c r="R3089" s="231"/>
      <c r="S3089" s="231"/>
      <c r="T3089" s="231"/>
      <c r="U3089" s="231"/>
      <c r="V3089" s="231"/>
      <c r="W3089" s="231"/>
      <c r="X3089" s="231"/>
      <c r="Y3089" s="231"/>
      <c r="Z3089" s="231"/>
      <c r="AA3089" s="231"/>
      <c r="AB3089" s="22">
        <f t="shared" si="945"/>
        <v>0</v>
      </c>
      <c r="AC3089" s="23">
        <v>0</v>
      </c>
      <c r="AD3089" s="35"/>
      <c r="AE3089" s="35"/>
      <c r="AF3089" s="35"/>
      <c r="AG3089" s="35"/>
      <c r="AH3089" s="35">
        <v>333</v>
      </c>
      <c r="AI3089" s="35"/>
      <c r="AJ3089" s="35"/>
      <c r="AK3089" s="35"/>
      <c r="AL3089" s="35">
        <v>1307</v>
      </c>
      <c r="AM3089" s="35"/>
      <c r="AN3089" s="35"/>
      <c r="AO3089" s="35"/>
      <c r="AP3089" s="35">
        <v>1573</v>
      </c>
      <c r="AQ3089" s="35"/>
      <c r="AR3089" s="35"/>
      <c r="AS3089" s="35"/>
      <c r="AT3089" s="35"/>
      <c r="AU3089" s="35"/>
      <c r="AV3089" s="35"/>
      <c r="AW3089" s="35"/>
      <c r="AX3089" s="35"/>
      <c r="AY3089" s="35"/>
      <c r="AZ3089" s="35"/>
      <c r="BA3089" s="35"/>
      <c r="BB3089" s="22">
        <f t="shared" si="946"/>
        <v>3213</v>
      </c>
      <c r="BC3089" s="23">
        <v>11710</v>
      </c>
      <c r="BD3089" s="130">
        <f t="shared" si="947"/>
        <v>3213</v>
      </c>
      <c r="BE3089" s="130">
        <f t="shared" si="948"/>
        <v>11710</v>
      </c>
      <c r="BF3089" s="195">
        <f t="shared" si="949"/>
        <v>27.438087105038427</v>
      </c>
      <c r="BG3089" s="373">
        <f t="shared" si="944"/>
        <v>8497</v>
      </c>
    </row>
    <row r="3090" spans="1:59" s="46" customFormat="1" ht="15.95" customHeight="1">
      <c r="A3090" s="176">
        <v>169</v>
      </c>
      <c r="B3090" s="31" t="s">
        <v>1022</v>
      </c>
      <c r="C3090" s="34" t="s">
        <v>2045</v>
      </c>
      <c r="D3090" s="231"/>
      <c r="E3090" s="231"/>
      <c r="F3090" s="231"/>
      <c r="G3090" s="231"/>
      <c r="H3090" s="231"/>
      <c r="I3090" s="231"/>
      <c r="J3090" s="231"/>
      <c r="K3090" s="231"/>
      <c r="L3090" s="231"/>
      <c r="M3090" s="231"/>
      <c r="N3090" s="231"/>
      <c r="O3090" s="231"/>
      <c r="P3090" s="231"/>
      <c r="Q3090" s="231"/>
      <c r="R3090" s="231"/>
      <c r="S3090" s="231"/>
      <c r="T3090" s="231"/>
      <c r="U3090" s="231"/>
      <c r="V3090" s="231"/>
      <c r="W3090" s="231"/>
      <c r="X3090" s="231"/>
      <c r="Y3090" s="231"/>
      <c r="Z3090" s="231"/>
      <c r="AA3090" s="231"/>
      <c r="AB3090" s="22">
        <f t="shared" si="945"/>
        <v>0</v>
      </c>
      <c r="AC3090" s="23">
        <v>0</v>
      </c>
      <c r="AD3090" s="35"/>
      <c r="AE3090" s="35"/>
      <c r="AF3090" s="35"/>
      <c r="AG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  <c r="AX3090" s="35"/>
      <c r="AY3090" s="35"/>
      <c r="AZ3090" s="35"/>
      <c r="BA3090" s="35"/>
      <c r="BB3090" s="22">
        <f t="shared" si="946"/>
        <v>0</v>
      </c>
      <c r="BC3090" s="23">
        <v>7</v>
      </c>
      <c r="BD3090" s="130">
        <f t="shared" si="947"/>
        <v>0</v>
      </c>
      <c r="BE3090" s="130">
        <f t="shared" si="948"/>
        <v>7</v>
      </c>
      <c r="BF3090" s="195">
        <f t="shared" si="949"/>
        <v>0</v>
      </c>
      <c r="BG3090" s="373">
        <f t="shared" si="944"/>
        <v>7</v>
      </c>
    </row>
    <row r="3091" spans="1:59" s="46" customFormat="1" ht="15.95" customHeight="1">
      <c r="A3091" s="176">
        <v>170</v>
      </c>
      <c r="B3091" s="31" t="s">
        <v>1024</v>
      </c>
      <c r="C3091" s="34" t="s">
        <v>1644</v>
      </c>
      <c r="D3091" s="231"/>
      <c r="E3091" s="231"/>
      <c r="F3091" s="231"/>
      <c r="G3091" s="231"/>
      <c r="H3091" s="231"/>
      <c r="I3091" s="231"/>
      <c r="J3091" s="231"/>
      <c r="K3091" s="231"/>
      <c r="L3091" s="231"/>
      <c r="M3091" s="231"/>
      <c r="N3091" s="231"/>
      <c r="O3091" s="231"/>
      <c r="P3091" s="231"/>
      <c r="Q3091" s="231"/>
      <c r="R3091" s="231"/>
      <c r="S3091" s="231"/>
      <c r="T3091" s="231"/>
      <c r="U3091" s="231"/>
      <c r="V3091" s="231"/>
      <c r="W3091" s="231"/>
      <c r="X3091" s="231"/>
      <c r="Y3091" s="231"/>
      <c r="Z3091" s="231"/>
      <c r="AA3091" s="231"/>
      <c r="AB3091" s="22">
        <f t="shared" si="945"/>
        <v>0</v>
      </c>
      <c r="AC3091" s="23">
        <v>0</v>
      </c>
      <c r="AD3091" s="35"/>
      <c r="AE3091" s="35"/>
      <c r="AF3091" s="35"/>
      <c r="AG3091" s="35"/>
      <c r="AH3091" s="35">
        <v>12</v>
      </c>
      <c r="AI3091" s="35"/>
      <c r="AJ3091" s="35"/>
      <c r="AK3091" s="35"/>
      <c r="AL3091" s="35">
        <v>34</v>
      </c>
      <c r="AM3091" s="35"/>
      <c r="AN3091" s="35"/>
      <c r="AO3091" s="35"/>
      <c r="AP3091" s="35">
        <v>44</v>
      </c>
      <c r="AQ3091" s="35"/>
      <c r="AR3091" s="35"/>
      <c r="AS3091" s="35"/>
      <c r="AT3091" s="35"/>
      <c r="AU3091" s="35"/>
      <c r="AV3091" s="35"/>
      <c r="AW3091" s="35"/>
      <c r="AX3091" s="35"/>
      <c r="AY3091" s="35"/>
      <c r="AZ3091" s="35"/>
      <c r="BA3091" s="35"/>
      <c r="BB3091" s="22">
        <f t="shared" si="946"/>
        <v>90</v>
      </c>
      <c r="BC3091" s="23">
        <v>207</v>
      </c>
      <c r="BD3091" s="130">
        <f t="shared" si="947"/>
        <v>90</v>
      </c>
      <c r="BE3091" s="130">
        <f t="shared" si="948"/>
        <v>207</v>
      </c>
      <c r="BF3091" s="195">
        <f t="shared" si="949"/>
        <v>43.478260869565219</v>
      </c>
      <c r="BG3091" s="373">
        <f t="shared" si="944"/>
        <v>117</v>
      </c>
    </row>
    <row r="3092" spans="1:59" s="46" customFormat="1" ht="15.95" customHeight="1">
      <c r="A3092" s="176">
        <v>171</v>
      </c>
      <c r="B3092" s="31" t="s">
        <v>1059</v>
      </c>
      <c r="C3092" s="34" t="s">
        <v>1606</v>
      </c>
      <c r="D3092" s="231"/>
      <c r="E3092" s="231"/>
      <c r="F3092" s="231"/>
      <c r="G3092" s="231"/>
      <c r="H3092" s="231"/>
      <c r="I3092" s="231"/>
      <c r="J3092" s="231"/>
      <c r="K3092" s="231"/>
      <c r="L3092" s="231"/>
      <c r="M3092" s="231"/>
      <c r="N3092" s="231"/>
      <c r="O3092" s="231"/>
      <c r="P3092" s="231"/>
      <c r="Q3092" s="231"/>
      <c r="R3092" s="231"/>
      <c r="S3092" s="231"/>
      <c r="T3092" s="231"/>
      <c r="U3092" s="231"/>
      <c r="V3092" s="231"/>
      <c r="W3092" s="231"/>
      <c r="X3092" s="231"/>
      <c r="Y3092" s="231"/>
      <c r="Z3092" s="231"/>
      <c r="AA3092" s="231"/>
      <c r="AB3092" s="22">
        <f t="shared" si="945"/>
        <v>0</v>
      </c>
      <c r="AC3092" s="23">
        <v>0</v>
      </c>
      <c r="AD3092" s="35"/>
      <c r="AE3092" s="35"/>
      <c r="AF3092" s="35"/>
      <c r="AG3092" s="35"/>
      <c r="AH3092" s="35"/>
      <c r="AI3092" s="35"/>
      <c r="AJ3092" s="35"/>
      <c r="AK3092" s="35"/>
      <c r="AL3092" s="35">
        <v>3</v>
      </c>
      <c r="AM3092" s="35"/>
      <c r="AN3092" s="35"/>
      <c r="AO3092" s="35"/>
      <c r="AP3092" s="35">
        <v>3</v>
      </c>
      <c r="AQ3092" s="35"/>
      <c r="AR3092" s="35"/>
      <c r="AS3092" s="35"/>
      <c r="AT3092" s="35"/>
      <c r="AU3092" s="35"/>
      <c r="AV3092" s="35"/>
      <c r="AW3092" s="35"/>
      <c r="AX3092" s="35"/>
      <c r="AY3092" s="35"/>
      <c r="AZ3092" s="35"/>
      <c r="BA3092" s="35"/>
      <c r="BB3092" s="22">
        <f t="shared" si="946"/>
        <v>6</v>
      </c>
      <c r="BC3092" s="23">
        <v>40</v>
      </c>
      <c r="BD3092" s="130">
        <f t="shared" si="947"/>
        <v>6</v>
      </c>
      <c r="BE3092" s="130">
        <f t="shared" si="948"/>
        <v>40</v>
      </c>
      <c r="BF3092" s="195">
        <f t="shared" si="949"/>
        <v>15</v>
      </c>
      <c r="BG3092" s="373">
        <f t="shared" si="944"/>
        <v>34</v>
      </c>
    </row>
    <row r="3093" spans="1:59" s="46" customFormat="1" ht="15.95" customHeight="1">
      <c r="A3093" s="176">
        <v>172</v>
      </c>
      <c r="B3093" s="31" t="s">
        <v>1209</v>
      </c>
      <c r="C3093" s="34" t="s">
        <v>1645</v>
      </c>
      <c r="D3093" s="231"/>
      <c r="E3093" s="231"/>
      <c r="F3093" s="231"/>
      <c r="G3093" s="231"/>
      <c r="H3093" s="231"/>
      <c r="I3093" s="231"/>
      <c r="J3093" s="231"/>
      <c r="K3093" s="231"/>
      <c r="L3093" s="231"/>
      <c r="M3093" s="231"/>
      <c r="N3093" s="231"/>
      <c r="O3093" s="231"/>
      <c r="P3093" s="231"/>
      <c r="Q3093" s="231"/>
      <c r="R3093" s="231"/>
      <c r="S3093" s="231"/>
      <c r="T3093" s="231"/>
      <c r="U3093" s="231"/>
      <c r="V3093" s="231"/>
      <c r="W3093" s="231"/>
      <c r="X3093" s="231"/>
      <c r="Y3093" s="231"/>
      <c r="Z3093" s="231"/>
      <c r="AA3093" s="231"/>
      <c r="AB3093" s="22">
        <f t="shared" si="945"/>
        <v>0</v>
      </c>
      <c r="AC3093" s="23">
        <v>0</v>
      </c>
      <c r="AD3093" s="35"/>
      <c r="AE3093" s="35"/>
      <c r="AF3093" s="35"/>
      <c r="AG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  <c r="AX3093" s="35"/>
      <c r="AY3093" s="35"/>
      <c r="AZ3093" s="35"/>
      <c r="BA3093" s="35"/>
      <c r="BB3093" s="22">
        <f t="shared" si="946"/>
        <v>0</v>
      </c>
      <c r="BC3093" s="23">
        <v>4</v>
      </c>
      <c r="BD3093" s="130">
        <f t="shared" si="947"/>
        <v>0</v>
      </c>
      <c r="BE3093" s="130">
        <f t="shared" si="948"/>
        <v>4</v>
      </c>
      <c r="BF3093" s="195">
        <f t="shared" si="949"/>
        <v>0</v>
      </c>
      <c r="BG3093" s="373">
        <f t="shared" si="944"/>
        <v>4</v>
      </c>
    </row>
    <row r="3094" spans="1:59" s="46" customFormat="1" ht="15.95" customHeight="1">
      <c r="A3094" s="176">
        <v>173</v>
      </c>
      <c r="B3094" s="31" t="s">
        <v>858</v>
      </c>
      <c r="C3094" s="32" t="s">
        <v>859</v>
      </c>
      <c r="D3094" s="231"/>
      <c r="E3094" s="231"/>
      <c r="F3094" s="231"/>
      <c r="G3094" s="231"/>
      <c r="H3094" s="231"/>
      <c r="I3094" s="231"/>
      <c r="J3094" s="231"/>
      <c r="K3094" s="231"/>
      <c r="L3094" s="231"/>
      <c r="M3094" s="231"/>
      <c r="N3094" s="231"/>
      <c r="O3094" s="231"/>
      <c r="P3094" s="231"/>
      <c r="Q3094" s="231"/>
      <c r="R3094" s="231"/>
      <c r="S3094" s="231"/>
      <c r="T3094" s="231"/>
      <c r="U3094" s="231"/>
      <c r="V3094" s="231"/>
      <c r="W3094" s="231"/>
      <c r="X3094" s="231"/>
      <c r="Y3094" s="231"/>
      <c r="Z3094" s="231"/>
      <c r="AA3094" s="231"/>
      <c r="AB3094" s="22">
        <f t="shared" si="945"/>
        <v>0</v>
      </c>
      <c r="AC3094" s="23">
        <v>0</v>
      </c>
      <c r="AD3094" s="35"/>
      <c r="AE3094" s="35"/>
      <c r="AF3094" s="35"/>
      <c r="AG3094" s="35"/>
      <c r="AH3094" s="35">
        <v>343</v>
      </c>
      <c r="AI3094" s="35"/>
      <c r="AJ3094" s="35"/>
      <c r="AK3094" s="35"/>
      <c r="AL3094" s="35">
        <v>1420</v>
      </c>
      <c r="AM3094" s="35"/>
      <c r="AN3094" s="35"/>
      <c r="AO3094" s="35"/>
      <c r="AP3094" s="35">
        <v>1637</v>
      </c>
      <c r="AQ3094" s="35"/>
      <c r="AR3094" s="35"/>
      <c r="AS3094" s="35"/>
      <c r="AT3094" s="35"/>
      <c r="AU3094" s="35"/>
      <c r="AV3094" s="35"/>
      <c r="AW3094" s="35"/>
      <c r="AX3094" s="35"/>
      <c r="AY3094" s="35"/>
      <c r="AZ3094" s="35"/>
      <c r="BA3094" s="35"/>
      <c r="BB3094" s="22">
        <f t="shared" si="946"/>
        <v>3400</v>
      </c>
      <c r="BC3094" s="23">
        <v>12834</v>
      </c>
      <c r="BD3094" s="130">
        <f t="shared" si="947"/>
        <v>3400</v>
      </c>
      <c r="BE3094" s="130">
        <f t="shared" si="948"/>
        <v>12834</v>
      </c>
      <c r="BF3094" s="195">
        <f t="shared" si="949"/>
        <v>26.492130278946547</v>
      </c>
      <c r="BG3094" s="373">
        <f t="shared" si="944"/>
        <v>9434</v>
      </c>
    </row>
    <row r="3095" spans="1:59" s="46" customFormat="1" ht="15.95" customHeight="1">
      <c r="A3095" s="176">
        <v>174</v>
      </c>
      <c r="B3095" s="537" t="s">
        <v>860</v>
      </c>
      <c r="C3095" s="34" t="s">
        <v>1507</v>
      </c>
      <c r="D3095" s="327"/>
      <c r="E3095" s="327"/>
      <c r="F3095" s="327"/>
      <c r="G3095" s="327"/>
      <c r="H3095" s="327"/>
      <c r="I3095" s="327"/>
      <c r="J3095" s="327"/>
      <c r="K3095" s="327"/>
      <c r="L3095" s="327"/>
      <c r="M3095" s="327"/>
      <c r="N3095" s="327"/>
      <c r="O3095" s="327"/>
      <c r="P3095" s="327"/>
      <c r="Q3095" s="327"/>
      <c r="R3095" s="327"/>
      <c r="S3095" s="327"/>
      <c r="T3095" s="327"/>
      <c r="U3095" s="327"/>
      <c r="V3095" s="327"/>
      <c r="W3095" s="327"/>
      <c r="X3095" s="327"/>
      <c r="Y3095" s="327"/>
      <c r="Z3095" s="327"/>
      <c r="AA3095" s="327"/>
      <c r="AB3095" s="22">
        <f t="shared" si="945"/>
        <v>0</v>
      </c>
      <c r="AC3095" s="23">
        <v>0</v>
      </c>
      <c r="AD3095" s="35"/>
      <c r="AE3095" s="35"/>
      <c r="AF3095" s="35"/>
      <c r="AG3095" s="35"/>
      <c r="AH3095" s="35">
        <v>435</v>
      </c>
      <c r="AI3095" s="35"/>
      <c r="AJ3095" s="35"/>
      <c r="AK3095" s="35"/>
      <c r="AL3095" s="35">
        <v>2309</v>
      </c>
      <c r="AM3095" s="35"/>
      <c r="AN3095" s="35"/>
      <c r="AO3095" s="35"/>
      <c r="AP3095" s="35">
        <v>2461</v>
      </c>
      <c r="AQ3095" s="35"/>
      <c r="AR3095" s="35"/>
      <c r="AS3095" s="35"/>
      <c r="AT3095" s="35"/>
      <c r="AU3095" s="35"/>
      <c r="AV3095" s="35"/>
      <c r="AW3095" s="35"/>
      <c r="AX3095" s="35"/>
      <c r="AY3095" s="35"/>
      <c r="AZ3095" s="35"/>
      <c r="BA3095" s="35"/>
      <c r="BB3095" s="22">
        <f t="shared" si="946"/>
        <v>5205</v>
      </c>
      <c r="BC3095" s="23">
        <v>15965</v>
      </c>
      <c r="BD3095" s="130">
        <f t="shared" si="947"/>
        <v>5205</v>
      </c>
      <c r="BE3095" s="130">
        <f t="shared" si="948"/>
        <v>15965</v>
      </c>
      <c r="BF3095" s="195">
        <f t="shared" si="949"/>
        <v>32.602568117757599</v>
      </c>
      <c r="BG3095" s="373">
        <f t="shared" si="944"/>
        <v>10760</v>
      </c>
    </row>
    <row r="3096" spans="1:59" s="46" customFormat="1" ht="15.95" customHeight="1">
      <c r="A3096" s="176">
        <v>175</v>
      </c>
      <c r="B3096" s="31" t="s">
        <v>1026</v>
      </c>
      <c r="C3096" s="34" t="s">
        <v>1976</v>
      </c>
      <c r="D3096" s="231"/>
      <c r="E3096" s="231"/>
      <c r="F3096" s="231"/>
      <c r="G3096" s="231"/>
      <c r="H3096" s="231"/>
      <c r="I3096" s="231"/>
      <c r="J3096" s="231"/>
      <c r="K3096" s="231"/>
      <c r="L3096" s="231"/>
      <c r="M3096" s="231"/>
      <c r="N3096" s="231"/>
      <c r="O3096" s="231"/>
      <c r="P3096" s="231"/>
      <c r="Q3096" s="231"/>
      <c r="R3096" s="231"/>
      <c r="S3096" s="231"/>
      <c r="T3096" s="231"/>
      <c r="U3096" s="231"/>
      <c r="V3096" s="231"/>
      <c r="W3096" s="231"/>
      <c r="X3096" s="231"/>
      <c r="Y3096" s="231"/>
      <c r="Z3096" s="231"/>
      <c r="AA3096" s="231"/>
      <c r="AB3096" s="22">
        <f t="shared" si="945"/>
        <v>0</v>
      </c>
      <c r="AC3096" s="23">
        <v>0</v>
      </c>
      <c r="AD3096" s="35"/>
      <c r="AE3096" s="35"/>
      <c r="AF3096" s="35"/>
      <c r="AG3096" s="35"/>
      <c r="AH3096" s="35"/>
      <c r="AI3096" s="35"/>
      <c r="AJ3096" s="35"/>
      <c r="AK3096" s="35"/>
      <c r="AL3096" s="35"/>
      <c r="AM3096" s="35"/>
      <c r="AN3096" s="35"/>
      <c r="AO3096" s="35"/>
      <c r="AP3096" s="35">
        <v>3</v>
      </c>
      <c r="AQ3096" s="35"/>
      <c r="AR3096" s="35"/>
      <c r="AS3096" s="35"/>
      <c r="AT3096" s="35"/>
      <c r="AU3096" s="35"/>
      <c r="AV3096" s="35"/>
      <c r="AW3096" s="35"/>
      <c r="AX3096" s="35"/>
      <c r="AY3096" s="35"/>
      <c r="AZ3096" s="35"/>
      <c r="BA3096" s="35"/>
      <c r="BB3096" s="22">
        <f t="shared" si="946"/>
        <v>3</v>
      </c>
      <c r="BC3096" s="23">
        <v>157</v>
      </c>
      <c r="BD3096" s="130">
        <f t="shared" si="947"/>
        <v>3</v>
      </c>
      <c r="BE3096" s="130">
        <f t="shared" si="948"/>
        <v>157</v>
      </c>
      <c r="BF3096" s="195">
        <f t="shared" si="949"/>
        <v>1.910828025477707</v>
      </c>
      <c r="BG3096" s="373">
        <f t="shared" si="944"/>
        <v>154</v>
      </c>
    </row>
    <row r="3097" spans="1:59" s="46" customFormat="1" ht="15.95" customHeight="1">
      <c r="A3097" s="176">
        <v>176</v>
      </c>
      <c r="B3097" s="31" t="s">
        <v>862</v>
      </c>
      <c r="C3097" s="34" t="s">
        <v>1508</v>
      </c>
      <c r="D3097" s="231"/>
      <c r="E3097" s="231"/>
      <c r="F3097" s="231"/>
      <c r="G3097" s="231"/>
      <c r="H3097" s="231"/>
      <c r="I3097" s="231"/>
      <c r="J3097" s="231"/>
      <c r="K3097" s="231"/>
      <c r="L3097" s="231"/>
      <c r="M3097" s="231"/>
      <c r="N3097" s="231"/>
      <c r="O3097" s="231"/>
      <c r="P3097" s="231"/>
      <c r="Q3097" s="231"/>
      <c r="R3097" s="231"/>
      <c r="S3097" s="231"/>
      <c r="T3097" s="231"/>
      <c r="U3097" s="231"/>
      <c r="V3097" s="231"/>
      <c r="W3097" s="231"/>
      <c r="X3097" s="231"/>
      <c r="Y3097" s="231"/>
      <c r="Z3097" s="231"/>
      <c r="AA3097" s="231"/>
      <c r="AB3097" s="22">
        <f t="shared" si="945"/>
        <v>0</v>
      </c>
      <c r="AC3097" s="23">
        <v>0</v>
      </c>
      <c r="AD3097" s="35"/>
      <c r="AE3097" s="35"/>
      <c r="AF3097" s="35"/>
      <c r="AG3097" s="35"/>
      <c r="AH3097" s="35">
        <v>299</v>
      </c>
      <c r="AI3097" s="35"/>
      <c r="AJ3097" s="35"/>
      <c r="AK3097" s="35"/>
      <c r="AL3097" s="35">
        <v>1647</v>
      </c>
      <c r="AM3097" s="35"/>
      <c r="AN3097" s="35"/>
      <c r="AO3097" s="35"/>
      <c r="AP3097" s="35">
        <v>1890</v>
      </c>
      <c r="AQ3097" s="35"/>
      <c r="AR3097" s="35"/>
      <c r="AS3097" s="35"/>
      <c r="AT3097" s="35"/>
      <c r="AU3097" s="35"/>
      <c r="AV3097" s="35"/>
      <c r="AW3097" s="35"/>
      <c r="AX3097" s="35"/>
      <c r="AY3097" s="35"/>
      <c r="AZ3097" s="35"/>
      <c r="BA3097" s="35"/>
      <c r="BB3097" s="22">
        <f t="shared" si="946"/>
        <v>3836</v>
      </c>
      <c r="BC3097" s="23">
        <v>9070</v>
      </c>
      <c r="BD3097" s="130">
        <f t="shared" si="947"/>
        <v>3836</v>
      </c>
      <c r="BE3097" s="130">
        <f t="shared" si="948"/>
        <v>9070</v>
      </c>
      <c r="BF3097" s="195">
        <f t="shared" si="949"/>
        <v>42.29327453142227</v>
      </c>
      <c r="BG3097" s="373">
        <f t="shared" si="944"/>
        <v>5234</v>
      </c>
    </row>
    <row r="3098" spans="1:59" s="46" customFormat="1" ht="15.95" customHeight="1">
      <c r="A3098" s="176">
        <v>177</v>
      </c>
      <c r="B3098" s="31" t="s">
        <v>864</v>
      </c>
      <c r="C3098" s="34" t="s">
        <v>1508</v>
      </c>
      <c r="D3098" s="231"/>
      <c r="E3098" s="231"/>
      <c r="F3098" s="231"/>
      <c r="G3098" s="231"/>
      <c r="H3098" s="231"/>
      <c r="I3098" s="231"/>
      <c r="J3098" s="231"/>
      <c r="K3098" s="231"/>
      <c r="L3098" s="231"/>
      <c r="M3098" s="231"/>
      <c r="N3098" s="231"/>
      <c r="O3098" s="231"/>
      <c r="P3098" s="231"/>
      <c r="Q3098" s="231"/>
      <c r="R3098" s="231"/>
      <c r="S3098" s="231"/>
      <c r="T3098" s="231"/>
      <c r="U3098" s="231"/>
      <c r="V3098" s="231"/>
      <c r="W3098" s="231"/>
      <c r="X3098" s="231"/>
      <c r="Y3098" s="231"/>
      <c r="Z3098" s="231"/>
      <c r="AA3098" s="231"/>
      <c r="AB3098" s="22">
        <f t="shared" si="945"/>
        <v>0</v>
      </c>
      <c r="AC3098" s="23">
        <v>0</v>
      </c>
      <c r="AD3098" s="35"/>
      <c r="AE3098" s="35"/>
      <c r="AF3098" s="35"/>
      <c r="AG3098" s="35"/>
      <c r="AH3098" s="35"/>
      <c r="AI3098" s="35"/>
      <c r="AJ3098" s="35"/>
      <c r="AK3098" s="35"/>
      <c r="AL3098" s="35">
        <v>4</v>
      </c>
      <c r="AM3098" s="35"/>
      <c r="AN3098" s="35"/>
      <c r="AO3098" s="35"/>
      <c r="AP3098" s="35">
        <v>32</v>
      </c>
      <c r="AQ3098" s="35"/>
      <c r="AR3098" s="35"/>
      <c r="AS3098" s="35"/>
      <c r="AT3098" s="35"/>
      <c r="AU3098" s="35"/>
      <c r="AV3098" s="35"/>
      <c r="AW3098" s="35"/>
      <c r="AX3098" s="35"/>
      <c r="AY3098" s="35"/>
      <c r="AZ3098" s="35"/>
      <c r="BA3098" s="35"/>
      <c r="BB3098" s="22">
        <f t="shared" si="946"/>
        <v>36</v>
      </c>
      <c r="BC3098" s="23">
        <v>540</v>
      </c>
      <c r="BD3098" s="130">
        <f t="shared" si="947"/>
        <v>36</v>
      </c>
      <c r="BE3098" s="130">
        <f t="shared" si="948"/>
        <v>540</v>
      </c>
      <c r="BF3098" s="195">
        <f t="shared" si="949"/>
        <v>6.666666666666667</v>
      </c>
      <c r="BG3098" s="373">
        <f t="shared" si="944"/>
        <v>504</v>
      </c>
    </row>
    <row r="3099" spans="1:59" s="46" customFormat="1" ht="15.95" customHeight="1">
      <c r="A3099" s="176">
        <v>178</v>
      </c>
      <c r="B3099" s="31" t="s">
        <v>865</v>
      </c>
      <c r="C3099" s="34" t="s">
        <v>2136</v>
      </c>
      <c r="D3099" s="231"/>
      <c r="E3099" s="231"/>
      <c r="F3099" s="231"/>
      <c r="G3099" s="231"/>
      <c r="H3099" s="231"/>
      <c r="I3099" s="231"/>
      <c r="J3099" s="231"/>
      <c r="K3099" s="231"/>
      <c r="L3099" s="231"/>
      <c r="M3099" s="231"/>
      <c r="N3099" s="231"/>
      <c r="O3099" s="231"/>
      <c r="P3099" s="231"/>
      <c r="Q3099" s="231"/>
      <c r="R3099" s="231"/>
      <c r="S3099" s="231"/>
      <c r="T3099" s="231"/>
      <c r="U3099" s="231"/>
      <c r="V3099" s="231"/>
      <c r="W3099" s="231"/>
      <c r="X3099" s="231"/>
      <c r="Y3099" s="231"/>
      <c r="Z3099" s="231"/>
      <c r="AA3099" s="231"/>
      <c r="AB3099" s="22">
        <f t="shared" si="945"/>
        <v>0</v>
      </c>
      <c r="AC3099" s="23">
        <v>0</v>
      </c>
      <c r="AD3099" s="35"/>
      <c r="AE3099" s="35"/>
      <c r="AF3099" s="35"/>
      <c r="AG3099" s="35"/>
      <c r="AH3099" s="35"/>
      <c r="AI3099" s="35"/>
      <c r="AJ3099" s="35"/>
      <c r="AK3099" s="35"/>
      <c r="AL3099" s="35">
        <v>2</v>
      </c>
      <c r="AM3099" s="35"/>
      <c r="AN3099" s="35"/>
      <c r="AO3099" s="35"/>
      <c r="AP3099" s="35">
        <v>4</v>
      </c>
      <c r="AQ3099" s="35"/>
      <c r="AR3099" s="35"/>
      <c r="AS3099" s="35"/>
      <c r="AT3099" s="35"/>
      <c r="AU3099" s="35"/>
      <c r="AV3099" s="35"/>
      <c r="AW3099" s="35"/>
      <c r="AX3099" s="35"/>
      <c r="AY3099" s="35"/>
      <c r="AZ3099" s="35"/>
      <c r="BA3099" s="35"/>
      <c r="BB3099" s="22">
        <f t="shared" si="946"/>
        <v>6</v>
      </c>
      <c r="BC3099" s="23">
        <v>22</v>
      </c>
      <c r="BD3099" s="130">
        <f t="shared" si="947"/>
        <v>6</v>
      </c>
      <c r="BE3099" s="130">
        <f t="shared" si="948"/>
        <v>22</v>
      </c>
      <c r="BF3099" s="195">
        <f t="shared" si="949"/>
        <v>27.27272727272727</v>
      </c>
      <c r="BG3099" s="373">
        <f t="shared" si="944"/>
        <v>16</v>
      </c>
    </row>
    <row r="3100" spans="1:59" s="46" customFormat="1" ht="15.95" customHeight="1">
      <c r="A3100" s="176">
        <v>179</v>
      </c>
      <c r="B3100" s="31" t="s">
        <v>1650</v>
      </c>
      <c r="C3100" s="34" t="s">
        <v>3207</v>
      </c>
      <c r="D3100" s="231"/>
      <c r="E3100" s="231"/>
      <c r="F3100" s="231"/>
      <c r="G3100" s="231"/>
      <c r="H3100" s="231"/>
      <c r="I3100" s="231"/>
      <c r="J3100" s="231"/>
      <c r="K3100" s="231"/>
      <c r="L3100" s="231"/>
      <c r="M3100" s="231"/>
      <c r="N3100" s="231"/>
      <c r="O3100" s="231"/>
      <c r="P3100" s="231"/>
      <c r="Q3100" s="231"/>
      <c r="R3100" s="231"/>
      <c r="S3100" s="231"/>
      <c r="T3100" s="231"/>
      <c r="U3100" s="231"/>
      <c r="V3100" s="231"/>
      <c r="W3100" s="231"/>
      <c r="X3100" s="231"/>
      <c r="Y3100" s="231"/>
      <c r="Z3100" s="231"/>
      <c r="AA3100" s="231"/>
      <c r="AB3100" s="22">
        <f t="shared" si="945"/>
        <v>0</v>
      </c>
      <c r="AC3100" s="23">
        <v>0</v>
      </c>
      <c r="AD3100" s="35"/>
      <c r="AE3100" s="35"/>
      <c r="AF3100" s="35"/>
      <c r="AG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  <c r="AX3100" s="35"/>
      <c r="AY3100" s="35"/>
      <c r="AZ3100" s="35"/>
      <c r="BA3100" s="35"/>
      <c r="BB3100" s="22">
        <f t="shared" si="946"/>
        <v>0</v>
      </c>
      <c r="BC3100" s="23">
        <v>1</v>
      </c>
      <c r="BD3100" s="130">
        <f t="shared" si="947"/>
        <v>0</v>
      </c>
      <c r="BE3100" s="130">
        <f t="shared" si="948"/>
        <v>1</v>
      </c>
      <c r="BF3100" s="195">
        <f t="shared" si="949"/>
        <v>0</v>
      </c>
      <c r="BG3100" s="373">
        <f t="shared" si="944"/>
        <v>1</v>
      </c>
    </row>
    <row r="3101" spans="1:59" s="46" customFormat="1" ht="15.95" customHeight="1">
      <c r="A3101" s="176">
        <v>180</v>
      </c>
      <c r="B3101" s="31" t="s">
        <v>1028</v>
      </c>
      <c r="C3101" s="32" t="s">
        <v>2217</v>
      </c>
      <c r="D3101" s="231"/>
      <c r="E3101" s="231"/>
      <c r="F3101" s="231"/>
      <c r="G3101" s="231"/>
      <c r="H3101" s="231"/>
      <c r="I3101" s="231"/>
      <c r="J3101" s="231"/>
      <c r="K3101" s="231"/>
      <c r="L3101" s="231"/>
      <c r="M3101" s="231"/>
      <c r="N3101" s="231"/>
      <c r="O3101" s="231"/>
      <c r="P3101" s="231"/>
      <c r="Q3101" s="231"/>
      <c r="R3101" s="231"/>
      <c r="S3101" s="231"/>
      <c r="T3101" s="231"/>
      <c r="U3101" s="231"/>
      <c r="V3101" s="231"/>
      <c r="W3101" s="231"/>
      <c r="X3101" s="231"/>
      <c r="Y3101" s="231"/>
      <c r="Z3101" s="231"/>
      <c r="AA3101" s="231"/>
      <c r="AB3101" s="22">
        <f t="shared" si="945"/>
        <v>0</v>
      </c>
      <c r="AC3101" s="23">
        <v>0</v>
      </c>
      <c r="AD3101" s="35"/>
      <c r="AE3101" s="35"/>
      <c r="AF3101" s="35"/>
      <c r="AG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  <c r="AX3101" s="35"/>
      <c r="AY3101" s="35"/>
      <c r="AZ3101" s="35"/>
      <c r="BA3101" s="35"/>
      <c r="BB3101" s="22">
        <f t="shared" si="946"/>
        <v>0</v>
      </c>
      <c r="BC3101" s="23">
        <v>27</v>
      </c>
      <c r="BD3101" s="130">
        <f t="shared" si="947"/>
        <v>0</v>
      </c>
      <c r="BE3101" s="130">
        <f t="shared" si="948"/>
        <v>27</v>
      </c>
      <c r="BF3101" s="195">
        <f t="shared" si="949"/>
        <v>0</v>
      </c>
      <c r="BG3101" s="373">
        <f t="shared" si="944"/>
        <v>27</v>
      </c>
    </row>
    <row r="3102" spans="1:59" s="46" customFormat="1" ht="15.95" customHeight="1">
      <c r="A3102" s="176">
        <v>181</v>
      </c>
      <c r="B3102" s="31" t="s">
        <v>1029</v>
      </c>
      <c r="C3102" s="32" t="s">
        <v>1652</v>
      </c>
      <c r="D3102" s="327"/>
      <c r="E3102" s="327"/>
      <c r="F3102" s="327"/>
      <c r="G3102" s="327"/>
      <c r="H3102" s="327"/>
      <c r="I3102" s="327"/>
      <c r="J3102" s="327"/>
      <c r="K3102" s="327"/>
      <c r="L3102" s="327"/>
      <c r="M3102" s="327"/>
      <c r="N3102" s="327"/>
      <c r="O3102" s="327"/>
      <c r="P3102" s="327"/>
      <c r="Q3102" s="327"/>
      <c r="R3102" s="327"/>
      <c r="S3102" s="327"/>
      <c r="T3102" s="327"/>
      <c r="U3102" s="327"/>
      <c r="V3102" s="327"/>
      <c r="W3102" s="327"/>
      <c r="X3102" s="327"/>
      <c r="Y3102" s="327"/>
      <c r="Z3102" s="327"/>
      <c r="AA3102" s="327"/>
      <c r="AB3102" s="22">
        <f t="shared" si="945"/>
        <v>0</v>
      </c>
      <c r="AC3102" s="23">
        <v>0</v>
      </c>
      <c r="AD3102" s="35"/>
      <c r="AE3102" s="35"/>
      <c r="AF3102" s="35"/>
      <c r="AG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  <c r="AX3102" s="35"/>
      <c r="AY3102" s="35"/>
      <c r="AZ3102" s="35"/>
      <c r="BA3102" s="35"/>
      <c r="BB3102" s="22">
        <f t="shared" si="946"/>
        <v>0</v>
      </c>
      <c r="BC3102" s="23">
        <v>37</v>
      </c>
      <c r="BD3102" s="130">
        <f t="shared" si="947"/>
        <v>0</v>
      </c>
      <c r="BE3102" s="130">
        <f t="shared" si="948"/>
        <v>37</v>
      </c>
      <c r="BF3102" s="195">
        <f t="shared" si="949"/>
        <v>0</v>
      </c>
      <c r="BG3102" s="373">
        <f t="shared" si="944"/>
        <v>37</v>
      </c>
    </row>
    <row r="3103" spans="1:59" s="46" customFormat="1" ht="15.95" customHeight="1">
      <c r="A3103" s="176">
        <v>182</v>
      </c>
      <c r="B3103" s="31" t="s">
        <v>1029</v>
      </c>
      <c r="C3103" s="34" t="s">
        <v>2046</v>
      </c>
      <c r="D3103" s="231"/>
      <c r="E3103" s="231"/>
      <c r="F3103" s="231"/>
      <c r="G3103" s="231"/>
      <c r="H3103" s="231"/>
      <c r="I3103" s="231"/>
      <c r="J3103" s="231"/>
      <c r="K3103" s="231"/>
      <c r="L3103" s="231"/>
      <c r="M3103" s="231"/>
      <c r="N3103" s="231"/>
      <c r="O3103" s="231"/>
      <c r="P3103" s="231"/>
      <c r="Q3103" s="231"/>
      <c r="R3103" s="231"/>
      <c r="S3103" s="231"/>
      <c r="T3103" s="231"/>
      <c r="U3103" s="231"/>
      <c r="V3103" s="231"/>
      <c r="W3103" s="231"/>
      <c r="X3103" s="231"/>
      <c r="Y3103" s="231"/>
      <c r="Z3103" s="231"/>
      <c r="AA3103" s="231"/>
      <c r="AB3103" s="22">
        <f t="shared" si="945"/>
        <v>0</v>
      </c>
      <c r="AC3103" s="23">
        <v>0</v>
      </c>
      <c r="AD3103" s="35"/>
      <c r="AE3103" s="35"/>
      <c r="AF3103" s="35"/>
      <c r="AG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  <c r="AX3103" s="35"/>
      <c r="AY3103" s="35"/>
      <c r="AZ3103" s="35"/>
      <c r="BA3103" s="35"/>
      <c r="BB3103" s="22">
        <f t="shared" si="946"/>
        <v>0</v>
      </c>
      <c r="BC3103" s="23">
        <v>10</v>
      </c>
      <c r="BD3103" s="130">
        <f t="shared" si="947"/>
        <v>0</v>
      </c>
      <c r="BE3103" s="130">
        <f t="shared" si="948"/>
        <v>10</v>
      </c>
      <c r="BF3103" s="195">
        <f t="shared" si="949"/>
        <v>0</v>
      </c>
      <c r="BG3103" s="373">
        <f t="shared" si="944"/>
        <v>10</v>
      </c>
    </row>
    <row r="3104" spans="1:59" s="46" customFormat="1" ht="15.95" customHeight="1">
      <c r="A3104" s="176">
        <v>183</v>
      </c>
      <c r="B3104" s="31" t="s">
        <v>1030</v>
      </c>
      <c r="C3104" s="34" t="s">
        <v>2047</v>
      </c>
      <c r="D3104" s="231"/>
      <c r="E3104" s="231"/>
      <c r="F3104" s="231"/>
      <c r="G3104" s="231"/>
      <c r="H3104" s="231"/>
      <c r="I3104" s="231"/>
      <c r="J3104" s="231"/>
      <c r="K3104" s="231"/>
      <c r="L3104" s="231"/>
      <c r="M3104" s="231"/>
      <c r="N3104" s="231"/>
      <c r="O3104" s="231"/>
      <c r="P3104" s="231"/>
      <c r="Q3104" s="231"/>
      <c r="R3104" s="231"/>
      <c r="S3104" s="231"/>
      <c r="T3104" s="231"/>
      <c r="U3104" s="231"/>
      <c r="V3104" s="231"/>
      <c r="W3104" s="231"/>
      <c r="X3104" s="231"/>
      <c r="Y3104" s="231"/>
      <c r="Z3104" s="231"/>
      <c r="AA3104" s="231"/>
      <c r="AB3104" s="22">
        <f t="shared" si="945"/>
        <v>0</v>
      </c>
      <c r="AC3104" s="23">
        <v>0</v>
      </c>
      <c r="AD3104" s="35"/>
      <c r="AE3104" s="35"/>
      <c r="AF3104" s="35"/>
      <c r="AG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  <c r="AX3104" s="35"/>
      <c r="AY3104" s="35"/>
      <c r="AZ3104" s="35"/>
      <c r="BA3104" s="35"/>
      <c r="BB3104" s="22">
        <f t="shared" si="946"/>
        <v>0</v>
      </c>
      <c r="BC3104" s="23">
        <v>72</v>
      </c>
      <c r="BD3104" s="130">
        <f t="shared" si="947"/>
        <v>0</v>
      </c>
      <c r="BE3104" s="130">
        <f t="shared" si="948"/>
        <v>72</v>
      </c>
      <c r="BF3104" s="195">
        <f t="shared" si="949"/>
        <v>0</v>
      </c>
      <c r="BG3104" s="373">
        <f t="shared" si="944"/>
        <v>72</v>
      </c>
    </row>
    <row r="3105" spans="1:61" s="46" customFormat="1" ht="15.95" customHeight="1">
      <c r="A3105" s="176">
        <v>184</v>
      </c>
      <c r="B3105" s="31" t="s">
        <v>1654</v>
      </c>
      <c r="C3105" s="34" t="s">
        <v>1983</v>
      </c>
      <c r="D3105" s="231"/>
      <c r="E3105" s="231"/>
      <c r="F3105" s="231"/>
      <c r="G3105" s="231"/>
      <c r="H3105" s="231"/>
      <c r="I3105" s="231"/>
      <c r="J3105" s="231"/>
      <c r="K3105" s="231"/>
      <c r="L3105" s="231"/>
      <c r="M3105" s="231"/>
      <c r="N3105" s="231"/>
      <c r="O3105" s="231"/>
      <c r="P3105" s="231"/>
      <c r="Q3105" s="231"/>
      <c r="R3105" s="231"/>
      <c r="S3105" s="231"/>
      <c r="T3105" s="231"/>
      <c r="U3105" s="231"/>
      <c r="V3105" s="231"/>
      <c r="W3105" s="231"/>
      <c r="X3105" s="231"/>
      <c r="Y3105" s="231"/>
      <c r="Z3105" s="231"/>
      <c r="AA3105" s="231"/>
      <c r="AB3105" s="22">
        <f t="shared" si="945"/>
        <v>0</v>
      </c>
      <c r="AC3105" s="23">
        <v>1</v>
      </c>
      <c r="AD3105" s="35"/>
      <c r="AE3105" s="35"/>
      <c r="AF3105" s="35"/>
      <c r="AG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  <c r="AX3105" s="35"/>
      <c r="AY3105" s="35"/>
      <c r="AZ3105" s="35"/>
      <c r="BA3105" s="35"/>
      <c r="BB3105" s="22">
        <f t="shared" si="946"/>
        <v>0</v>
      </c>
      <c r="BC3105" s="23">
        <v>17</v>
      </c>
      <c r="BD3105" s="130">
        <f t="shared" si="947"/>
        <v>0</v>
      </c>
      <c r="BE3105" s="130">
        <f t="shared" si="948"/>
        <v>18</v>
      </c>
      <c r="BF3105" s="195">
        <f t="shared" si="949"/>
        <v>0</v>
      </c>
      <c r="BG3105" s="373">
        <f t="shared" si="944"/>
        <v>18</v>
      </c>
    </row>
    <row r="3106" spans="1:61" s="46" customFormat="1" ht="15.95" customHeight="1">
      <c r="A3106" s="176">
        <v>185</v>
      </c>
      <c r="B3106" s="31" t="s">
        <v>1656</v>
      </c>
      <c r="C3106" s="34" t="s">
        <v>2256</v>
      </c>
      <c r="D3106" s="231"/>
      <c r="E3106" s="231"/>
      <c r="F3106" s="231"/>
      <c r="G3106" s="231"/>
      <c r="H3106" s="231"/>
      <c r="I3106" s="231"/>
      <c r="J3106" s="231"/>
      <c r="K3106" s="231"/>
      <c r="L3106" s="231"/>
      <c r="M3106" s="231"/>
      <c r="N3106" s="231"/>
      <c r="O3106" s="231"/>
      <c r="P3106" s="231"/>
      <c r="Q3106" s="231"/>
      <c r="R3106" s="231"/>
      <c r="S3106" s="231"/>
      <c r="T3106" s="231"/>
      <c r="U3106" s="231"/>
      <c r="V3106" s="231"/>
      <c r="W3106" s="231"/>
      <c r="X3106" s="231"/>
      <c r="Y3106" s="231"/>
      <c r="Z3106" s="231"/>
      <c r="AA3106" s="231"/>
      <c r="AB3106" s="22">
        <f t="shared" si="945"/>
        <v>0</v>
      </c>
      <c r="AC3106" s="23">
        <v>0</v>
      </c>
      <c r="AD3106" s="35"/>
      <c r="AE3106" s="35"/>
      <c r="AF3106" s="35"/>
      <c r="AG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  <c r="AX3106" s="35"/>
      <c r="AY3106" s="35"/>
      <c r="AZ3106" s="35"/>
      <c r="BA3106" s="35"/>
      <c r="BB3106" s="22">
        <f t="shared" si="946"/>
        <v>0</v>
      </c>
      <c r="BC3106" s="23">
        <v>6</v>
      </c>
      <c r="BD3106" s="130">
        <f t="shared" si="947"/>
        <v>0</v>
      </c>
      <c r="BE3106" s="130">
        <f t="shared" si="948"/>
        <v>6</v>
      </c>
      <c r="BF3106" s="195">
        <f t="shared" si="949"/>
        <v>0</v>
      </c>
      <c r="BG3106" s="373">
        <f t="shared" si="944"/>
        <v>6</v>
      </c>
    </row>
    <row r="3107" spans="1:61" s="46" customFormat="1" ht="15.95" customHeight="1">
      <c r="A3107" s="176">
        <v>186</v>
      </c>
      <c r="B3107" s="31" t="s">
        <v>1034</v>
      </c>
      <c r="C3107" s="34" t="s">
        <v>2048</v>
      </c>
      <c r="D3107" s="231"/>
      <c r="E3107" s="231"/>
      <c r="F3107" s="231"/>
      <c r="G3107" s="231"/>
      <c r="H3107" s="231"/>
      <c r="I3107" s="231"/>
      <c r="J3107" s="231"/>
      <c r="K3107" s="231"/>
      <c r="L3107" s="231"/>
      <c r="M3107" s="231"/>
      <c r="N3107" s="231"/>
      <c r="O3107" s="231"/>
      <c r="P3107" s="231"/>
      <c r="Q3107" s="231"/>
      <c r="R3107" s="231"/>
      <c r="S3107" s="231"/>
      <c r="T3107" s="231"/>
      <c r="U3107" s="231"/>
      <c r="V3107" s="231"/>
      <c r="W3107" s="231"/>
      <c r="X3107" s="231"/>
      <c r="Y3107" s="231"/>
      <c r="Z3107" s="231"/>
      <c r="AA3107" s="231"/>
      <c r="AB3107" s="22">
        <f t="shared" si="945"/>
        <v>0</v>
      </c>
      <c r="AC3107" s="23">
        <v>0</v>
      </c>
      <c r="AD3107" s="35"/>
      <c r="AE3107" s="35"/>
      <c r="AF3107" s="35"/>
      <c r="AG3107" s="35"/>
      <c r="AH3107" s="35">
        <v>73</v>
      </c>
      <c r="AI3107" s="35"/>
      <c r="AJ3107" s="35"/>
      <c r="AK3107" s="35"/>
      <c r="AL3107" s="35">
        <v>1126</v>
      </c>
      <c r="AM3107" s="35"/>
      <c r="AN3107" s="35"/>
      <c r="AO3107" s="35"/>
      <c r="AP3107" s="35">
        <v>1224</v>
      </c>
      <c r="AQ3107" s="35"/>
      <c r="AR3107" s="35"/>
      <c r="AS3107" s="35"/>
      <c r="AT3107" s="35"/>
      <c r="AU3107" s="35"/>
      <c r="AV3107" s="35"/>
      <c r="AW3107" s="35"/>
      <c r="AX3107" s="35"/>
      <c r="AY3107" s="35"/>
      <c r="AZ3107" s="35"/>
      <c r="BA3107" s="35"/>
      <c r="BB3107" s="22">
        <f t="shared" si="946"/>
        <v>2423</v>
      </c>
      <c r="BC3107" s="23">
        <v>2065</v>
      </c>
      <c r="BD3107" s="130">
        <f t="shared" si="947"/>
        <v>2423</v>
      </c>
      <c r="BE3107" s="130">
        <f t="shared" si="948"/>
        <v>2065</v>
      </c>
      <c r="BF3107" s="195">
        <f t="shared" si="949"/>
        <v>117.33656174334139</v>
      </c>
      <c r="BG3107" s="373">
        <f t="shared" si="944"/>
        <v>-358</v>
      </c>
    </row>
    <row r="3108" spans="1:61" s="46" customFormat="1" ht="15.95" customHeight="1">
      <c r="A3108" s="176">
        <v>187</v>
      </c>
      <c r="B3108" s="437" t="s">
        <v>3047</v>
      </c>
      <c r="C3108" s="439" t="s">
        <v>3048</v>
      </c>
      <c r="D3108" s="231"/>
      <c r="E3108" s="231"/>
      <c r="F3108" s="231"/>
      <c r="G3108" s="231"/>
      <c r="H3108" s="231"/>
      <c r="I3108" s="231"/>
      <c r="J3108" s="231"/>
      <c r="K3108" s="231"/>
      <c r="L3108" s="231"/>
      <c r="M3108" s="231"/>
      <c r="N3108" s="231"/>
      <c r="O3108" s="231"/>
      <c r="P3108" s="231"/>
      <c r="Q3108" s="231"/>
      <c r="R3108" s="231"/>
      <c r="S3108" s="231"/>
      <c r="T3108" s="231"/>
      <c r="U3108" s="231"/>
      <c r="V3108" s="231"/>
      <c r="W3108" s="231"/>
      <c r="X3108" s="231"/>
      <c r="Y3108" s="231"/>
      <c r="Z3108" s="231"/>
      <c r="AA3108" s="231"/>
      <c r="AB3108" s="22">
        <f t="shared" si="945"/>
        <v>0</v>
      </c>
      <c r="AC3108" s="23">
        <v>362</v>
      </c>
      <c r="AD3108" s="35"/>
      <c r="AE3108" s="35"/>
      <c r="AF3108" s="35"/>
      <c r="AG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  <c r="AX3108" s="35"/>
      <c r="AY3108" s="35"/>
      <c r="AZ3108" s="35"/>
      <c r="BA3108" s="35"/>
      <c r="BB3108" s="22">
        <f t="shared" si="946"/>
        <v>0</v>
      </c>
      <c r="BC3108" s="23">
        <v>0</v>
      </c>
      <c r="BD3108" s="130">
        <f t="shared" si="947"/>
        <v>0</v>
      </c>
      <c r="BE3108" s="130">
        <f t="shared" si="948"/>
        <v>362</v>
      </c>
      <c r="BF3108" s="195">
        <f t="shared" si="949"/>
        <v>0</v>
      </c>
      <c r="BG3108" s="373">
        <f t="shared" si="944"/>
        <v>362</v>
      </c>
    </row>
    <row r="3109" spans="1:61" s="46" customFormat="1" ht="15.95" customHeight="1">
      <c r="A3109" s="636" t="s">
        <v>1509</v>
      </c>
      <c r="B3109" s="637"/>
      <c r="C3109" s="637"/>
      <c r="D3109" s="98">
        <f t="shared" ref="D3109:AI3109" si="950">SUM(D3110:D3158)</f>
        <v>0</v>
      </c>
      <c r="E3109" s="98">
        <f t="shared" si="950"/>
        <v>0</v>
      </c>
      <c r="F3109" s="98">
        <f t="shared" si="950"/>
        <v>0</v>
      </c>
      <c r="G3109" s="98">
        <f t="shared" si="950"/>
        <v>1481</v>
      </c>
      <c r="H3109" s="98">
        <f t="shared" si="950"/>
        <v>23</v>
      </c>
      <c r="I3109" s="98">
        <f t="shared" si="950"/>
        <v>0</v>
      </c>
      <c r="J3109" s="98">
        <f t="shared" si="950"/>
        <v>0</v>
      </c>
      <c r="K3109" s="98">
        <f t="shared" si="950"/>
        <v>983</v>
      </c>
      <c r="L3109" s="98">
        <f t="shared" si="950"/>
        <v>62</v>
      </c>
      <c r="M3109" s="98">
        <f t="shared" si="950"/>
        <v>0</v>
      </c>
      <c r="N3109" s="98">
        <f t="shared" si="950"/>
        <v>0</v>
      </c>
      <c r="O3109" s="98">
        <f t="shared" si="950"/>
        <v>1692</v>
      </c>
      <c r="P3109" s="98">
        <f t="shared" si="950"/>
        <v>2</v>
      </c>
      <c r="Q3109" s="98">
        <f t="shared" si="950"/>
        <v>0</v>
      </c>
      <c r="R3109" s="98">
        <f t="shared" si="950"/>
        <v>0</v>
      </c>
      <c r="S3109" s="98">
        <f t="shared" si="950"/>
        <v>266</v>
      </c>
      <c r="T3109" s="98">
        <f t="shared" si="950"/>
        <v>0</v>
      </c>
      <c r="U3109" s="98">
        <f t="shared" si="950"/>
        <v>0</v>
      </c>
      <c r="V3109" s="98">
        <f t="shared" si="950"/>
        <v>0</v>
      </c>
      <c r="W3109" s="98">
        <f t="shared" si="950"/>
        <v>0</v>
      </c>
      <c r="X3109" s="98">
        <f t="shared" si="950"/>
        <v>0</v>
      </c>
      <c r="Y3109" s="98">
        <f t="shared" si="950"/>
        <v>0</v>
      </c>
      <c r="Z3109" s="98">
        <f t="shared" si="950"/>
        <v>0</v>
      </c>
      <c r="AA3109" s="98">
        <f t="shared" si="950"/>
        <v>0</v>
      </c>
      <c r="AB3109" s="98">
        <f t="shared" si="950"/>
        <v>4509</v>
      </c>
      <c r="AC3109" s="161">
        <f t="shared" si="950"/>
        <v>711</v>
      </c>
      <c r="AD3109" s="130">
        <f t="shared" si="950"/>
        <v>14359</v>
      </c>
      <c r="AE3109" s="130">
        <f t="shared" si="950"/>
        <v>0</v>
      </c>
      <c r="AF3109" s="130">
        <f t="shared" si="950"/>
        <v>0</v>
      </c>
      <c r="AG3109" s="130">
        <f t="shared" si="950"/>
        <v>0</v>
      </c>
      <c r="AH3109" s="130">
        <f t="shared" si="950"/>
        <v>7943</v>
      </c>
      <c r="AI3109" s="130">
        <f t="shared" si="950"/>
        <v>0</v>
      </c>
      <c r="AJ3109" s="130">
        <f t="shared" ref="AJ3109:BC3109" si="951">SUM(AJ3110:AJ3158)</f>
        <v>0</v>
      </c>
      <c r="AK3109" s="130">
        <f t="shared" si="951"/>
        <v>9</v>
      </c>
      <c r="AL3109" s="130">
        <f t="shared" si="951"/>
        <v>4386</v>
      </c>
      <c r="AM3109" s="130">
        <f t="shared" si="951"/>
        <v>0</v>
      </c>
      <c r="AN3109" s="130">
        <f t="shared" si="951"/>
        <v>0</v>
      </c>
      <c r="AO3109" s="130">
        <f t="shared" si="951"/>
        <v>0</v>
      </c>
      <c r="AP3109" s="130">
        <f t="shared" si="951"/>
        <v>2137</v>
      </c>
      <c r="AQ3109" s="130">
        <f t="shared" si="951"/>
        <v>0</v>
      </c>
      <c r="AR3109" s="130">
        <f t="shared" si="951"/>
        <v>0</v>
      </c>
      <c r="AS3109" s="130">
        <f t="shared" si="951"/>
        <v>0</v>
      </c>
      <c r="AT3109" s="130">
        <f t="shared" si="951"/>
        <v>0</v>
      </c>
      <c r="AU3109" s="130">
        <f t="shared" si="951"/>
        <v>0</v>
      </c>
      <c r="AV3109" s="130">
        <f t="shared" si="951"/>
        <v>0</v>
      </c>
      <c r="AW3109" s="130">
        <f t="shared" si="951"/>
        <v>0</v>
      </c>
      <c r="AX3109" s="130">
        <f t="shared" si="951"/>
        <v>0</v>
      </c>
      <c r="AY3109" s="130">
        <f t="shared" si="951"/>
        <v>0</v>
      </c>
      <c r="AZ3109" s="130">
        <f t="shared" si="951"/>
        <v>0</v>
      </c>
      <c r="BA3109" s="130">
        <f t="shared" si="951"/>
        <v>0</v>
      </c>
      <c r="BB3109" s="130">
        <f t="shared" si="951"/>
        <v>28834</v>
      </c>
      <c r="BC3109" s="103">
        <f t="shared" si="951"/>
        <v>18013</v>
      </c>
      <c r="BD3109" s="130">
        <f t="shared" ref="BD3109" si="952">AB3109+BB3109</f>
        <v>33343</v>
      </c>
      <c r="BE3109" s="130">
        <f t="shared" ref="BE3109" si="953">AC3109+BC3109</f>
        <v>18724</v>
      </c>
      <c r="BF3109" s="195">
        <f t="shared" ref="BF3109" si="954">BD3109/BE3109*100</f>
        <v>178.07626575518051</v>
      </c>
      <c r="BG3109" s="375">
        <f t="shared" ref="BG3109:BG3178" si="955">BE3109-BD3109</f>
        <v>-14619</v>
      </c>
    </row>
    <row r="3110" spans="1:61" s="46" customFormat="1" ht="21" customHeight="1">
      <c r="A3110" s="417">
        <v>1</v>
      </c>
      <c r="B3110" s="418" t="s">
        <v>926</v>
      </c>
      <c r="C3110" s="423" t="s">
        <v>927</v>
      </c>
      <c r="D3110" s="329"/>
      <c r="E3110" s="329"/>
      <c r="F3110" s="329"/>
      <c r="G3110" s="329"/>
      <c r="H3110" s="329"/>
      <c r="I3110" s="329"/>
      <c r="J3110" s="329"/>
      <c r="K3110" s="329"/>
      <c r="L3110" s="329"/>
      <c r="M3110" s="329"/>
      <c r="N3110" s="329"/>
      <c r="O3110" s="329"/>
      <c r="P3110" s="329"/>
      <c r="Q3110" s="329"/>
      <c r="R3110" s="329"/>
      <c r="S3110" s="329"/>
      <c r="T3110" s="329"/>
      <c r="U3110" s="329"/>
      <c r="V3110" s="329"/>
      <c r="W3110" s="329"/>
      <c r="X3110" s="329"/>
      <c r="Y3110" s="329"/>
      <c r="Z3110" s="329"/>
      <c r="AA3110" s="329"/>
      <c r="AB3110" s="22">
        <f t="shared" ref="AB3110:AB3141" si="956">SUM(D3110:AA3110)</f>
        <v>0</v>
      </c>
      <c r="AC3110" s="23">
        <v>2</v>
      </c>
      <c r="AD3110" s="35"/>
      <c r="AE3110" s="35"/>
      <c r="AF3110" s="35"/>
      <c r="AG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  <c r="AX3110" s="35"/>
      <c r="AY3110" s="35"/>
      <c r="AZ3110" s="35"/>
      <c r="BA3110" s="35"/>
      <c r="BB3110" s="22">
        <f t="shared" ref="BB3110:BB3141" si="957">SUM(AD3110:BA3110)</f>
        <v>0</v>
      </c>
      <c r="BC3110" s="23">
        <v>0</v>
      </c>
      <c r="BD3110" s="130">
        <f t="shared" ref="BD3110:BD3141" si="958">AB3110+BB3110</f>
        <v>0</v>
      </c>
      <c r="BE3110" s="130">
        <f t="shared" ref="BE3110:BE3141" si="959">AC3110+BC3110</f>
        <v>2</v>
      </c>
      <c r="BF3110" s="195">
        <f t="shared" ref="BF3110:BF3141" si="960">BD3110/BE3110*100</f>
        <v>0</v>
      </c>
      <c r="BG3110" s="373">
        <f t="shared" ref="BG3110:BG3135" si="961">BE3110-BD3110</f>
        <v>2</v>
      </c>
      <c r="BH3110" s="426" t="s">
        <v>3675</v>
      </c>
      <c r="BI3110" s="426"/>
    </row>
    <row r="3111" spans="1:61" s="46" customFormat="1" ht="21" customHeight="1">
      <c r="A3111" s="417">
        <v>2</v>
      </c>
      <c r="B3111" s="418" t="s">
        <v>1266</v>
      </c>
      <c r="C3111" s="419" t="s">
        <v>1267</v>
      </c>
      <c r="D3111" s="231"/>
      <c r="E3111" s="231"/>
      <c r="F3111" s="231"/>
      <c r="G3111" s="231">
        <v>34</v>
      </c>
      <c r="H3111" s="231"/>
      <c r="I3111" s="231"/>
      <c r="J3111" s="231"/>
      <c r="K3111" s="231">
        <v>22</v>
      </c>
      <c r="L3111" s="231"/>
      <c r="M3111" s="231"/>
      <c r="N3111" s="231"/>
      <c r="O3111" s="231">
        <f>29+38</f>
        <v>67</v>
      </c>
      <c r="P3111" s="231"/>
      <c r="Q3111" s="231"/>
      <c r="R3111" s="231"/>
      <c r="S3111" s="231">
        <v>1</v>
      </c>
      <c r="T3111" s="231"/>
      <c r="U3111" s="231"/>
      <c r="V3111" s="231"/>
      <c r="W3111" s="231"/>
      <c r="X3111" s="231"/>
      <c r="Y3111" s="231"/>
      <c r="Z3111" s="231"/>
      <c r="AA3111" s="231"/>
      <c r="AB3111" s="22">
        <f t="shared" si="956"/>
        <v>124</v>
      </c>
      <c r="AC3111" s="23">
        <v>75</v>
      </c>
      <c r="AD3111" s="35"/>
      <c r="AE3111" s="35"/>
      <c r="AF3111" s="35"/>
      <c r="AG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  <c r="AX3111" s="35"/>
      <c r="AY3111" s="35"/>
      <c r="AZ3111" s="35"/>
      <c r="BA3111" s="35"/>
      <c r="BB3111" s="22">
        <f t="shared" si="957"/>
        <v>0</v>
      </c>
      <c r="BC3111" s="23">
        <v>0</v>
      </c>
      <c r="BD3111" s="130">
        <f t="shared" si="958"/>
        <v>124</v>
      </c>
      <c r="BE3111" s="130">
        <f t="shared" si="959"/>
        <v>75</v>
      </c>
      <c r="BF3111" s="195">
        <f t="shared" si="960"/>
        <v>165.33333333333334</v>
      </c>
      <c r="BG3111" s="373">
        <f t="shared" si="961"/>
        <v>-49</v>
      </c>
      <c r="BH3111" s="426" t="s">
        <v>3675</v>
      </c>
      <c r="BI3111" s="421"/>
    </row>
    <row r="3112" spans="1:61" s="46" customFormat="1" ht="21" customHeight="1">
      <c r="A3112" s="417">
        <v>3</v>
      </c>
      <c r="B3112" s="418" t="s">
        <v>2218</v>
      </c>
      <c r="C3112" s="419" t="s">
        <v>2222</v>
      </c>
      <c r="D3112" s="231"/>
      <c r="E3112" s="231"/>
      <c r="F3112" s="231"/>
      <c r="G3112" s="231"/>
      <c r="H3112" s="231"/>
      <c r="I3112" s="231"/>
      <c r="J3112" s="231"/>
      <c r="K3112" s="231"/>
      <c r="L3112" s="231"/>
      <c r="M3112" s="231"/>
      <c r="N3112" s="231"/>
      <c r="O3112" s="231"/>
      <c r="P3112" s="231"/>
      <c r="Q3112" s="231"/>
      <c r="R3112" s="231"/>
      <c r="S3112" s="231"/>
      <c r="T3112" s="231"/>
      <c r="U3112" s="231"/>
      <c r="V3112" s="231"/>
      <c r="W3112" s="231"/>
      <c r="X3112" s="231"/>
      <c r="Y3112" s="231"/>
      <c r="Z3112" s="231"/>
      <c r="AA3112" s="231"/>
      <c r="AB3112" s="22">
        <f t="shared" si="956"/>
        <v>0</v>
      </c>
      <c r="AC3112" s="23">
        <f>3+3</f>
        <v>6</v>
      </c>
      <c r="AD3112" s="35"/>
      <c r="AE3112" s="35"/>
      <c r="AF3112" s="35"/>
      <c r="AG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  <c r="AX3112" s="35"/>
      <c r="AY3112" s="35"/>
      <c r="AZ3112" s="35"/>
      <c r="BA3112" s="35"/>
      <c r="BB3112" s="22">
        <f t="shared" si="957"/>
        <v>0</v>
      </c>
      <c r="BC3112" s="23">
        <v>0</v>
      </c>
      <c r="BD3112" s="130">
        <f t="shared" si="958"/>
        <v>0</v>
      </c>
      <c r="BE3112" s="130">
        <f t="shared" si="959"/>
        <v>6</v>
      </c>
      <c r="BF3112" s="195">
        <f t="shared" si="960"/>
        <v>0</v>
      </c>
      <c r="BG3112" s="373">
        <f t="shared" si="961"/>
        <v>6</v>
      </c>
      <c r="BH3112" s="426" t="s">
        <v>3675</v>
      </c>
      <c r="BI3112" s="421"/>
    </row>
    <row r="3113" spans="1:61" s="46" customFormat="1" ht="21" customHeight="1">
      <c r="A3113" s="417">
        <v>4</v>
      </c>
      <c r="B3113" s="418" t="s">
        <v>2246</v>
      </c>
      <c r="C3113" s="419" t="s">
        <v>2247</v>
      </c>
      <c r="D3113" s="231"/>
      <c r="E3113" s="231"/>
      <c r="F3113" s="231"/>
      <c r="G3113" s="231">
        <v>1447</v>
      </c>
      <c r="H3113" s="231"/>
      <c r="I3113" s="231"/>
      <c r="J3113" s="231"/>
      <c r="K3113" s="231">
        <f>37+924</f>
        <v>961</v>
      </c>
      <c r="L3113" s="231"/>
      <c r="M3113" s="231"/>
      <c r="N3113" s="231"/>
      <c r="O3113" s="231">
        <f>940+594+91</f>
        <v>1625</v>
      </c>
      <c r="P3113" s="231"/>
      <c r="Q3113" s="231"/>
      <c r="R3113" s="231"/>
      <c r="S3113" s="231">
        <f>23+239+3</f>
        <v>265</v>
      </c>
      <c r="T3113" s="231"/>
      <c r="U3113" s="231"/>
      <c r="V3113" s="231"/>
      <c r="W3113" s="231"/>
      <c r="X3113" s="231"/>
      <c r="Y3113" s="231"/>
      <c r="Z3113" s="231"/>
      <c r="AA3113" s="231"/>
      <c r="AB3113" s="22">
        <f t="shared" si="956"/>
        <v>4298</v>
      </c>
      <c r="AC3113" s="23">
        <v>110</v>
      </c>
      <c r="AD3113" s="35"/>
      <c r="AE3113" s="35"/>
      <c r="AF3113" s="35"/>
      <c r="AG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  <c r="AX3113" s="35"/>
      <c r="AY3113" s="35"/>
      <c r="AZ3113" s="35"/>
      <c r="BA3113" s="35"/>
      <c r="BB3113" s="22">
        <f t="shared" si="957"/>
        <v>0</v>
      </c>
      <c r="BC3113" s="23">
        <v>0</v>
      </c>
      <c r="BD3113" s="130">
        <f t="shared" si="958"/>
        <v>4298</v>
      </c>
      <c r="BE3113" s="130">
        <f t="shared" si="959"/>
        <v>110</v>
      </c>
      <c r="BF3113" s="195">
        <f t="shared" si="960"/>
        <v>3907.272727272727</v>
      </c>
      <c r="BG3113" s="373">
        <f t="shared" si="961"/>
        <v>-4188</v>
      </c>
      <c r="BH3113" s="426" t="s">
        <v>3675</v>
      </c>
      <c r="BI3113" s="421"/>
    </row>
    <row r="3114" spans="1:61" s="46" customFormat="1" ht="15.95" customHeight="1">
      <c r="A3114" s="176">
        <v>5</v>
      </c>
      <c r="B3114" s="31" t="s">
        <v>736</v>
      </c>
      <c r="C3114" s="32" t="s">
        <v>737</v>
      </c>
      <c r="D3114" s="390"/>
      <c r="E3114" s="390"/>
      <c r="F3114" s="390"/>
      <c r="G3114" s="390"/>
      <c r="H3114" s="390"/>
      <c r="I3114" s="390"/>
      <c r="J3114" s="390"/>
      <c r="K3114" s="390"/>
      <c r="L3114" s="390"/>
      <c r="M3114" s="390"/>
      <c r="N3114" s="390"/>
      <c r="O3114" s="390"/>
      <c r="P3114" s="390"/>
      <c r="Q3114" s="390"/>
      <c r="R3114" s="390"/>
      <c r="S3114" s="390"/>
      <c r="T3114" s="390"/>
      <c r="U3114" s="390"/>
      <c r="V3114" s="390"/>
      <c r="W3114" s="390"/>
      <c r="X3114" s="390"/>
      <c r="Y3114" s="390"/>
      <c r="Z3114" s="390"/>
      <c r="AA3114" s="390"/>
      <c r="AB3114" s="22">
        <f t="shared" si="956"/>
        <v>0</v>
      </c>
      <c r="AC3114" s="23">
        <v>0</v>
      </c>
      <c r="AD3114" s="35"/>
      <c r="AE3114" s="35"/>
      <c r="AF3114" s="35"/>
      <c r="AG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  <c r="AX3114" s="35"/>
      <c r="AY3114" s="35"/>
      <c r="AZ3114" s="35"/>
      <c r="BA3114" s="35"/>
      <c r="BB3114" s="22">
        <f t="shared" si="957"/>
        <v>0</v>
      </c>
      <c r="BC3114" s="23">
        <v>3</v>
      </c>
      <c r="BD3114" s="130">
        <f t="shared" si="958"/>
        <v>0</v>
      </c>
      <c r="BE3114" s="130">
        <f t="shared" si="959"/>
        <v>3</v>
      </c>
      <c r="BF3114" s="195">
        <f t="shared" si="960"/>
        <v>0</v>
      </c>
      <c r="BG3114" s="373">
        <f t="shared" si="961"/>
        <v>3</v>
      </c>
    </row>
    <row r="3115" spans="1:61" s="46" customFormat="1" ht="15.95" customHeight="1">
      <c r="A3115" s="176">
        <v>6</v>
      </c>
      <c r="B3115" s="31" t="s">
        <v>746</v>
      </c>
      <c r="C3115" s="32" t="s">
        <v>747</v>
      </c>
      <c r="D3115" s="390"/>
      <c r="E3115" s="390"/>
      <c r="F3115" s="390"/>
      <c r="G3115" s="390"/>
      <c r="H3115" s="390"/>
      <c r="I3115" s="390"/>
      <c r="J3115" s="390"/>
      <c r="K3115" s="390"/>
      <c r="L3115" s="390"/>
      <c r="M3115" s="390"/>
      <c r="N3115" s="390"/>
      <c r="O3115" s="390"/>
      <c r="P3115" s="390"/>
      <c r="Q3115" s="390"/>
      <c r="R3115" s="390"/>
      <c r="S3115" s="390"/>
      <c r="T3115" s="390"/>
      <c r="U3115" s="390"/>
      <c r="V3115" s="390"/>
      <c r="W3115" s="390"/>
      <c r="X3115" s="390"/>
      <c r="Y3115" s="390"/>
      <c r="Z3115" s="390"/>
      <c r="AA3115" s="390"/>
      <c r="AB3115" s="22">
        <f t="shared" si="956"/>
        <v>0</v>
      </c>
      <c r="AC3115" s="23">
        <v>0</v>
      </c>
      <c r="AD3115" s="35"/>
      <c r="AE3115" s="35"/>
      <c r="AF3115" s="35"/>
      <c r="AG3115" s="35"/>
      <c r="AH3115" s="35"/>
      <c r="AI3115" s="35"/>
      <c r="AJ3115" s="35"/>
      <c r="AK3115" s="35"/>
      <c r="AL3115" s="35">
        <v>2</v>
      </c>
      <c r="AM3115" s="35"/>
      <c r="AN3115" s="35"/>
      <c r="AO3115" s="35"/>
      <c r="AP3115" s="35">
        <v>7</v>
      </c>
      <c r="AQ3115" s="35"/>
      <c r="AR3115" s="35"/>
      <c r="AS3115" s="35"/>
      <c r="AT3115" s="35"/>
      <c r="AU3115" s="35"/>
      <c r="AV3115" s="35"/>
      <c r="AW3115" s="35"/>
      <c r="AX3115" s="35"/>
      <c r="AY3115" s="35"/>
      <c r="AZ3115" s="35"/>
      <c r="BA3115" s="35"/>
      <c r="BB3115" s="22">
        <f t="shared" si="957"/>
        <v>9</v>
      </c>
      <c r="BC3115" s="23">
        <v>15</v>
      </c>
      <c r="BD3115" s="130">
        <f t="shared" si="958"/>
        <v>9</v>
      </c>
      <c r="BE3115" s="130">
        <f t="shared" si="959"/>
        <v>15</v>
      </c>
      <c r="BF3115" s="195">
        <f t="shared" si="960"/>
        <v>60</v>
      </c>
      <c r="BG3115" s="373">
        <f t="shared" si="961"/>
        <v>6</v>
      </c>
    </row>
    <row r="3116" spans="1:61" s="46" customFormat="1" ht="15.95" customHeight="1">
      <c r="A3116" s="176">
        <v>7</v>
      </c>
      <c r="B3116" s="31" t="s">
        <v>881</v>
      </c>
      <c r="C3116" s="32" t="s">
        <v>1405</v>
      </c>
      <c r="D3116" s="390"/>
      <c r="E3116" s="390"/>
      <c r="F3116" s="390"/>
      <c r="G3116" s="390"/>
      <c r="H3116" s="390"/>
      <c r="I3116" s="390"/>
      <c r="J3116" s="390"/>
      <c r="K3116" s="390"/>
      <c r="L3116" s="390"/>
      <c r="M3116" s="390"/>
      <c r="N3116" s="390"/>
      <c r="O3116" s="390"/>
      <c r="P3116" s="390"/>
      <c r="Q3116" s="390"/>
      <c r="R3116" s="390"/>
      <c r="S3116" s="390"/>
      <c r="T3116" s="390"/>
      <c r="U3116" s="390"/>
      <c r="V3116" s="390"/>
      <c r="W3116" s="390"/>
      <c r="X3116" s="390"/>
      <c r="Y3116" s="390"/>
      <c r="Z3116" s="390"/>
      <c r="AA3116" s="390"/>
      <c r="AB3116" s="22">
        <f t="shared" si="956"/>
        <v>0</v>
      </c>
      <c r="AC3116" s="23">
        <v>0</v>
      </c>
      <c r="AD3116" s="35">
        <v>360</v>
      </c>
      <c r="AE3116" s="35"/>
      <c r="AF3116" s="35"/>
      <c r="AG3116" s="35"/>
      <c r="AH3116" s="35">
        <f>275+2</f>
        <v>277</v>
      </c>
      <c r="AI3116" s="35"/>
      <c r="AJ3116" s="35"/>
      <c r="AK3116" s="35"/>
      <c r="AL3116" s="35">
        <v>92</v>
      </c>
      <c r="AM3116" s="35"/>
      <c r="AN3116" s="35"/>
      <c r="AO3116" s="35"/>
      <c r="AP3116" s="35">
        <f>12+20</f>
        <v>32</v>
      </c>
      <c r="AQ3116" s="35"/>
      <c r="AR3116" s="35"/>
      <c r="AS3116" s="35"/>
      <c r="AT3116" s="35"/>
      <c r="AU3116" s="35"/>
      <c r="AV3116" s="35"/>
      <c r="AW3116" s="35"/>
      <c r="AX3116" s="35"/>
      <c r="AY3116" s="35"/>
      <c r="AZ3116" s="35"/>
      <c r="BA3116" s="35"/>
      <c r="BB3116" s="22">
        <f t="shared" si="957"/>
        <v>761</v>
      </c>
      <c r="BC3116" s="23">
        <v>53</v>
      </c>
      <c r="BD3116" s="130">
        <f t="shared" si="958"/>
        <v>761</v>
      </c>
      <c r="BE3116" s="130">
        <f t="shared" si="959"/>
        <v>53</v>
      </c>
      <c r="BF3116" s="195">
        <f t="shared" si="960"/>
        <v>1435.8490566037735</v>
      </c>
      <c r="BG3116" s="373">
        <f t="shared" si="961"/>
        <v>-708</v>
      </c>
    </row>
    <row r="3117" spans="1:61" s="46" customFormat="1" ht="15.95" customHeight="1">
      <c r="A3117" s="176">
        <v>8</v>
      </c>
      <c r="B3117" s="31" t="s">
        <v>1066</v>
      </c>
      <c r="C3117" s="32" t="s">
        <v>1067</v>
      </c>
      <c r="D3117" s="390"/>
      <c r="E3117" s="390"/>
      <c r="F3117" s="390"/>
      <c r="G3117" s="390"/>
      <c r="H3117" s="390"/>
      <c r="I3117" s="390"/>
      <c r="J3117" s="390"/>
      <c r="K3117" s="390"/>
      <c r="L3117" s="390"/>
      <c r="M3117" s="390"/>
      <c r="N3117" s="390"/>
      <c r="O3117" s="390"/>
      <c r="P3117" s="390"/>
      <c r="Q3117" s="390"/>
      <c r="R3117" s="390"/>
      <c r="S3117" s="390"/>
      <c r="T3117" s="390"/>
      <c r="U3117" s="390"/>
      <c r="V3117" s="390"/>
      <c r="W3117" s="390"/>
      <c r="X3117" s="390"/>
      <c r="Y3117" s="390"/>
      <c r="Z3117" s="390"/>
      <c r="AA3117" s="390"/>
      <c r="AB3117" s="22">
        <f t="shared" si="956"/>
        <v>0</v>
      </c>
      <c r="AC3117" s="23">
        <v>0</v>
      </c>
      <c r="AD3117" s="35"/>
      <c r="AE3117" s="35"/>
      <c r="AF3117" s="35"/>
      <c r="AG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  <c r="AX3117" s="35"/>
      <c r="AY3117" s="35"/>
      <c r="AZ3117" s="35"/>
      <c r="BA3117" s="35"/>
      <c r="BB3117" s="22">
        <f t="shared" si="957"/>
        <v>0</v>
      </c>
      <c r="BC3117" s="23">
        <v>14</v>
      </c>
      <c r="BD3117" s="130">
        <f t="shared" si="958"/>
        <v>0</v>
      </c>
      <c r="BE3117" s="130">
        <f t="shared" si="959"/>
        <v>14</v>
      </c>
      <c r="BF3117" s="195">
        <f t="shared" si="960"/>
        <v>0</v>
      </c>
      <c r="BG3117" s="373">
        <f t="shared" si="961"/>
        <v>14</v>
      </c>
    </row>
    <row r="3118" spans="1:61" s="46" customFormat="1" ht="15.95" customHeight="1">
      <c r="A3118" s="176">
        <v>9</v>
      </c>
      <c r="B3118" s="31" t="s">
        <v>750</v>
      </c>
      <c r="C3118" s="32" t="s">
        <v>751</v>
      </c>
      <c r="D3118" s="390"/>
      <c r="E3118" s="390"/>
      <c r="F3118" s="390"/>
      <c r="G3118" s="390"/>
      <c r="H3118" s="390"/>
      <c r="I3118" s="390"/>
      <c r="J3118" s="390"/>
      <c r="K3118" s="390"/>
      <c r="L3118" s="390"/>
      <c r="M3118" s="390"/>
      <c r="N3118" s="390"/>
      <c r="O3118" s="390"/>
      <c r="P3118" s="390"/>
      <c r="Q3118" s="390"/>
      <c r="R3118" s="390"/>
      <c r="S3118" s="390"/>
      <c r="T3118" s="390"/>
      <c r="U3118" s="390"/>
      <c r="V3118" s="390"/>
      <c r="W3118" s="390"/>
      <c r="X3118" s="390"/>
      <c r="Y3118" s="390"/>
      <c r="Z3118" s="390"/>
      <c r="AA3118" s="390"/>
      <c r="AB3118" s="22">
        <f t="shared" si="956"/>
        <v>0</v>
      </c>
      <c r="AC3118" s="23">
        <v>0</v>
      </c>
      <c r="AD3118" s="35">
        <v>21</v>
      </c>
      <c r="AE3118" s="35"/>
      <c r="AF3118" s="35"/>
      <c r="AG3118" s="35"/>
      <c r="AH3118" s="35">
        <v>17</v>
      </c>
      <c r="AI3118" s="35"/>
      <c r="AJ3118" s="35"/>
      <c r="AK3118" s="35"/>
      <c r="AL3118" s="35">
        <v>2</v>
      </c>
      <c r="AM3118" s="35"/>
      <c r="AN3118" s="35"/>
      <c r="AO3118" s="35"/>
      <c r="AP3118" s="35">
        <f>1+5</f>
        <v>6</v>
      </c>
      <c r="AQ3118" s="35"/>
      <c r="AR3118" s="35"/>
      <c r="AS3118" s="35"/>
      <c r="AT3118" s="35"/>
      <c r="AU3118" s="35"/>
      <c r="AV3118" s="35"/>
      <c r="AW3118" s="35"/>
      <c r="AX3118" s="35"/>
      <c r="AY3118" s="35"/>
      <c r="AZ3118" s="35"/>
      <c r="BA3118" s="35"/>
      <c r="BB3118" s="22">
        <f t="shared" si="957"/>
        <v>46</v>
      </c>
      <c r="BC3118" s="23">
        <v>2</v>
      </c>
      <c r="BD3118" s="130">
        <f t="shared" si="958"/>
        <v>46</v>
      </c>
      <c r="BE3118" s="130">
        <f t="shared" si="959"/>
        <v>2</v>
      </c>
      <c r="BF3118" s="195">
        <f t="shared" si="960"/>
        <v>2300</v>
      </c>
      <c r="BG3118" s="373">
        <f t="shared" si="961"/>
        <v>-44</v>
      </c>
    </row>
    <row r="3119" spans="1:61" s="46" customFormat="1" ht="15.95" customHeight="1">
      <c r="A3119" s="176">
        <v>10</v>
      </c>
      <c r="B3119" s="31" t="s">
        <v>752</v>
      </c>
      <c r="C3119" s="32" t="s">
        <v>753</v>
      </c>
      <c r="D3119" s="390"/>
      <c r="E3119" s="390"/>
      <c r="F3119" s="390"/>
      <c r="G3119" s="390"/>
      <c r="H3119" s="390"/>
      <c r="I3119" s="390"/>
      <c r="J3119" s="390"/>
      <c r="K3119" s="390"/>
      <c r="L3119" s="390"/>
      <c r="M3119" s="390"/>
      <c r="N3119" s="390"/>
      <c r="O3119" s="390"/>
      <c r="P3119" s="390"/>
      <c r="Q3119" s="390"/>
      <c r="R3119" s="390"/>
      <c r="S3119" s="390"/>
      <c r="T3119" s="390"/>
      <c r="U3119" s="390"/>
      <c r="V3119" s="390"/>
      <c r="W3119" s="390"/>
      <c r="X3119" s="390"/>
      <c r="Y3119" s="390"/>
      <c r="Z3119" s="390"/>
      <c r="AA3119" s="390"/>
      <c r="AB3119" s="22">
        <f t="shared" si="956"/>
        <v>0</v>
      </c>
      <c r="AC3119" s="23">
        <v>0</v>
      </c>
      <c r="AD3119" s="35"/>
      <c r="AE3119" s="35"/>
      <c r="AF3119" s="35"/>
      <c r="AG3119" s="35"/>
      <c r="AH3119" s="35"/>
      <c r="AI3119" s="35"/>
      <c r="AJ3119" s="35"/>
      <c r="AK3119" s="35"/>
      <c r="AL3119" s="35">
        <v>1</v>
      </c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  <c r="AX3119" s="35"/>
      <c r="AY3119" s="35"/>
      <c r="AZ3119" s="35"/>
      <c r="BA3119" s="35"/>
      <c r="BB3119" s="22">
        <f t="shared" si="957"/>
        <v>1</v>
      </c>
      <c r="BC3119" s="23">
        <v>1</v>
      </c>
      <c r="BD3119" s="130">
        <f t="shared" si="958"/>
        <v>1</v>
      </c>
      <c r="BE3119" s="130">
        <f t="shared" si="959"/>
        <v>1</v>
      </c>
      <c r="BF3119" s="195">
        <f t="shared" si="960"/>
        <v>100</v>
      </c>
      <c r="BG3119" s="373">
        <f t="shared" si="961"/>
        <v>0</v>
      </c>
    </row>
    <row r="3120" spans="1:61" s="46" customFormat="1" ht="15.95" customHeight="1">
      <c r="A3120" s="176">
        <v>11</v>
      </c>
      <c r="B3120" s="37" t="s">
        <v>754</v>
      </c>
      <c r="C3120" s="38" t="s">
        <v>889</v>
      </c>
      <c r="D3120" s="390"/>
      <c r="E3120" s="390"/>
      <c r="F3120" s="390"/>
      <c r="G3120" s="390"/>
      <c r="H3120" s="390"/>
      <c r="I3120" s="390"/>
      <c r="J3120" s="390"/>
      <c r="K3120" s="390"/>
      <c r="L3120" s="390"/>
      <c r="M3120" s="390"/>
      <c r="N3120" s="390"/>
      <c r="O3120" s="390"/>
      <c r="P3120" s="390"/>
      <c r="Q3120" s="390"/>
      <c r="R3120" s="390"/>
      <c r="S3120" s="390"/>
      <c r="T3120" s="390"/>
      <c r="U3120" s="390"/>
      <c r="V3120" s="390"/>
      <c r="W3120" s="390"/>
      <c r="X3120" s="390"/>
      <c r="Y3120" s="390"/>
      <c r="Z3120" s="390"/>
      <c r="AA3120" s="390"/>
      <c r="AB3120" s="22">
        <f t="shared" si="956"/>
        <v>0</v>
      </c>
      <c r="AC3120" s="23">
        <v>0</v>
      </c>
      <c r="AD3120" s="35"/>
      <c r="AE3120" s="35"/>
      <c r="AF3120" s="35"/>
      <c r="AG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  <c r="AX3120" s="35"/>
      <c r="AY3120" s="35"/>
      <c r="AZ3120" s="35"/>
      <c r="BA3120" s="35"/>
      <c r="BB3120" s="22">
        <f t="shared" si="957"/>
        <v>0</v>
      </c>
      <c r="BC3120" s="23">
        <v>1</v>
      </c>
      <c r="BD3120" s="130">
        <f t="shared" si="958"/>
        <v>0</v>
      </c>
      <c r="BE3120" s="130">
        <f t="shared" si="959"/>
        <v>1</v>
      </c>
      <c r="BF3120" s="195">
        <f t="shared" si="960"/>
        <v>0</v>
      </c>
      <c r="BG3120" s="373">
        <f t="shared" si="961"/>
        <v>1</v>
      </c>
    </row>
    <row r="3121" spans="1:59" s="46" customFormat="1" ht="15.95" customHeight="1">
      <c r="A3121" s="176">
        <v>12</v>
      </c>
      <c r="B3121" s="31" t="s">
        <v>756</v>
      </c>
      <c r="C3121" s="32" t="s">
        <v>757</v>
      </c>
      <c r="D3121" s="390"/>
      <c r="E3121" s="390"/>
      <c r="F3121" s="390"/>
      <c r="G3121" s="390"/>
      <c r="H3121" s="390"/>
      <c r="I3121" s="390"/>
      <c r="J3121" s="390"/>
      <c r="K3121" s="390"/>
      <c r="L3121" s="390"/>
      <c r="M3121" s="390"/>
      <c r="N3121" s="390"/>
      <c r="O3121" s="390"/>
      <c r="P3121" s="390"/>
      <c r="Q3121" s="390"/>
      <c r="R3121" s="390"/>
      <c r="S3121" s="390"/>
      <c r="T3121" s="390"/>
      <c r="U3121" s="390"/>
      <c r="V3121" s="390"/>
      <c r="W3121" s="390"/>
      <c r="X3121" s="390"/>
      <c r="Y3121" s="390"/>
      <c r="Z3121" s="390"/>
      <c r="AA3121" s="390"/>
      <c r="AB3121" s="22">
        <f t="shared" si="956"/>
        <v>0</v>
      </c>
      <c r="AC3121" s="23">
        <v>0</v>
      </c>
      <c r="AD3121" s="35">
        <v>95</v>
      </c>
      <c r="AE3121" s="35"/>
      <c r="AF3121" s="35"/>
      <c r="AG3121" s="35"/>
      <c r="AH3121" s="35">
        <f>43+20</f>
        <v>63</v>
      </c>
      <c r="AI3121" s="35"/>
      <c r="AJ3121" s="35"/>
      <c r="AK3121" s="35"/>
      <c r="AL3121" s="35">
        <v>192</v>
      </c>
      <c r="AM3121" s="35"/>
      <c r="AN3121" s="35"/>
      <c r="AO3121" s="35"/>
      <c r="AP3121" s="35">
        <v>133</v>
      </c>
      <c r="AQ3121" s="35"/>
      <c r="AR3121" s="35"/>
      <c r="AS3121" s="35"/>
      <c r="AT3121" s="35"/>
      <c r="AU3121" s="35"/>
      <c r="AV3121" s="35"/>
      <c r="AW3121" s="35"/>
      <c r="AX3121" s="35"/>
      <c r="AY3121" s="35"/>
      <c r="AZ3121" s="35"/>
      <c r="BA3121" s="35"/>
      <c r="BB3121" s="22">
        <f t="shared" si="957"/>
        <v>483</v>
      </c>
      <c r="BC3121" s="23">
        <v>871</v>
      </c>
      <c r="BD3121" s="130">
        <f t="shared" si="958"/>
        <v>483</v>
      </c>
      <c r="BE3121" s="130">
        <f t="shared" si="959"/>
        <v>871</v>
      </c>
      <c r="BF3121" s="195">
        <f t="shared" si="960"/>
        <v>55.453501722158435</v>
      </c>
      <c r="BG3121" s="373">
        <f t="shared" si="961"/>
        <v>388</v>
      </c>
    </row>
    <row r="3122" spans="1:59" s="46" customFormat="1" ht="15.95" customHeight="1">
      <c r="A3122" s="176">
        <v>13</v>
      </c>
      <c r="B3122" s="31" t="s">
        <v>758</v>
      </c>
      <c r="C3122" s="32" t="s">
        <v>759</v>
      </c>
      <c r="D3122" s="390"/>
      <c r="E3122" s="390"/>
      <c r="F3122" s="390"/>
      <c r="G3122" s="390"/>
      <c r="H3122" s="390"/>
      <c r="I3122" s="390"/>
      <c r="J3122" s="390"/>
      <c r="K3122" s="390"/>
      <c r="L3122" s="390"/>
      <c r="M3122" s="390"/>
      <c r="N3122" s="390"/>
      <c r="O3122" s="390"/>
      <c r="P3122" s="390"/>
      <c r="Q3122" s="390"/>
      <c r="R3122" s="390"/>
      <c r="S3122" s="390"/>
      <c r="T3122" s="390"/>
      <c r="U3122" s="390"/>
      <c r="V3122" s="390"/>
      <c r="W3122" s="390"/>
      <c r="X3122" s="390"/>
      <c r="Y3122" s="390"/>
      <c r="Z3122" s="390"/>
      <c r="AA3122" s="390"/>
      <c r="AB3122" s="22">
        <f t="shared" si="956"/>
        <v>0</v>
      </c>
      <c r="AC3122" s="23">
        <v>0</v>
      </c>
      <c r="AD3122" s="35"/>
      <c r="AE3122" s="35"/>
      <c r="AF3122" s="35"/>
      <c r="AG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  <c r="AX3122" s="35"/>
      <c r="AY3122" s="35"/>
      <c r="AZ3122" s="35"/>
      <c r="BA3122" s="35"/>
      <c r="BB3122" s="22">
        <f t="shared" si="957"/>
        <v>0</v>
      </c>
      <c r="BC3122" s="23">
        <v>3</v>
      </c>
      <c r="BD3122" s="130">
        <f t="shared" si="958"/>
        <v>0</v>
      </c>
      <c r="BE3122" s="130">
        <f t="shared" si="959"/>
        <v>3</v>
      </c>
      <c r="BF3122" s="195">
        <f t="shared" si="960"/>
        <v>0</v>
      </c>
      <c r="BG3122" s="373">
        <f t="shared" si="961"/>
        <v>3</v>
      </c>
    </row>
    <row r="3123" spans="1:59" s="46" customFormat="1" ht="15.95" customHeight="1">
      <c r="A3123" s="176">
        <v>14</v>
      </c>
      <c r="B3123" s="31" t="s">
        <v>764</v>
      </c>
      <c r="C3123" s="32" t="s">
        <v>765</v>
      </c>
      <c r="D3123" s="390"/>
      <c r="E3123" s="390"/>
      <c r="F3123" s="390"/>
      <c r="G3123" s="390"/>
      <c r="H3123" s="390"/>
      <c r="I3123" s="390"/>
      <c r="J3123" s="390"/>
      <c r="K3123" s="390"/>
      <c r="L3123" s="390"/>
      <c r="M3123" s="390"/>
      <c r="N3123" s="390"/>
      <c r="O3123" s="390"/>
      <c r="P3123" s="390"/>
      <c r="Q3123" s="390"/>
      <c r="R3123" s="390"/>
      <c r="S3123" s="390"/>
      <c r="T3123" s="390"/>
      <c r="U3123" s="390"/>
      <c r="V3123" s="390"/>
      <c r="W3123" s="390"/>
      <c r="X3123" s="390"/>
      <c r="Y3123" s="390"/>
      <c r="Z3123" s="390"/>
      <c r="AA3123" s="390"/>
      <c r="AB3123" s="22">
        <f t="shared" si="956"/>
        <v>0</v>
      </c>
      <c r="AC3123" s="23">
        <v>0</v>
      </c>
      <c r="AD3123" s="35"/>
      <c r="AE3123" s="35"/>
      <c r="AF3123" s="35"/>
      <c r="AG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  <c r="AX3123" s="35"/>
      <c r="AY3123" s="35"/>
      <c r="AZ3123" s="35"/>
      <c r="BA3123" s="35"/>
      <c r="BB3123" s="22">
        <f t="shared" si="957"/>
        <v>0</v>
      </c>
      <c r="BC3123" s="23">
        <v>2</v>
      </c>
      <c r="BD3123" s="130">
        <f t="shared" si="958"/>
        <v>0</v>
      </c>
      <c r="BE3123" s="130">
        <f t="shared" si="959"/>
        <v>2</v>
      </c>
      <c r="BF3123" s="195">
        <f t="shared" si="960"/>
        <v>0</v>
      </c>
      <c r="BG3123" s="373">
        <f t="shared" si="961"/>
        <v>2</v>
      </c>
    </row>
    <row r="3124" spans="1:59" s="46" customFormat="1" ht="15.95" customHeight="1">
      <c r="A3124" s="176">
        <v>15</v>
      </c>
      <c r="B3124" s="31" t="s">
        <v>768</v>
      </c>
      <c r="C3124" s="34" t="s">
        <v>769</v>
      </c>
      <c r="D3124" s="390"/>
      <c r="E3124" s="390"/>
      <c r="F3124" s="390"/>
      <c r="G3124" s="390"/>
      <c r="H3124" s="390"/>
      <c r="I3124" s="390"/>
      <c r="J3124" s="390"/>
      <c r="K3124" s="390"/>
      <c r="L3124" s="390"/>
      <c r="M3124" s="390"/>
      <c r="N3124" s="390"/>
      <c r="O3124" s="390"/>
      <c r="P3124" s="390"/>
      <c r="Q3124" s="390"/>
      <c r="R3124" s="390"/>
      <c r="S3124" s="390"/>
      <c r="T3124" s="390"/>
      <c r="U3124" s="390"/>
      <c r="V3124" s="390"/>
      <c r="W3124" s="390"/>
      <c r="X3124" s="390"/>
      <c r="Y3124" s="390"/>
      <c r="Z3124" s="390"/>
      <c r="AA3124" s="390"/>
      <c r="AB3124" s="22">
        <f t="shared" si="956"/>
        <v>0</v>
      </c>
      <c r="AC3124" s="23">
        <v>0</v>
      </c>
      <c r="AD3124" s="35"/>
      <c r="AE3124" s="35"/>
      <c r="AF3124" s="35"/>
      <c r="AG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  <c r="AX3124" s="35"/>
      <c r="AY3124" s="35"/>
      <c r="AZ3124" s="35"/>
      <c r="BA3124" s="35"/>
      <c r="BB3124" s="22">
        <f t="shared" si="957"/>
        <v>0</v>
      </c>
      <c r="BC3124" s="23">
        <v>1</v>
      </c>
      <c r="BD3124" s="130">
        <f t="shared" si="958"/>
        <v>0</v>
      </c>
      <c r="BE3124" s="130">
        <f t="shared" si="959"/>
        <v>1</v>
      </c>
      <c r="BF3124" s="195">
        <f t="shared" si="960"/>
        <v>0</v>
      </c>
      <c r="BG3124" s="373">
        <f t="shared" si="961"/>
        <v>1</v>
      </c>
    </row>
    <row r="3125" spans="1:59" s="46" customFormat="1" ht="15.95" customHeight="1">
      <c r="A3125" s="176">
        <v>16</v>
      </c>
      <c r="B3125" s="31" t="s">
        <v>770</v>
      </c>
      <c r="C3125" s="34" t="s">
        <v>771</v>
      </c>
      <c r="D3125" s="390"/>
      <c r="E3125" s="390"/>
      <c r="F3125" s="390"/>
      <c r="G3125" s="390"/>
      <c r="H3125" s="390"/>
      <c r="I3125" s="390"/>
      <c r="J3125" s="390"/>
      <c r="K3125" s="390"/>
      <c r="L3125" s="390"/>
      <c r="M3125" s="390"/>
      <c r="N3125" s="390"/>
      <c r="O3125" s="390"/>
      <c r="P3125" s="390"/>
      <c r="Q3125" s="390"/>
      <c r="R3125" s="390"/>
      <c r="S3125" s="390"/>
      <c r="T3125" s="390"/>
      <c r="U3125" s="390"/>
      <c r="V3125" s="390"/>
      <c r="W3125" s="390"/>
      <c r="X3125" s="390"/>
      <c r="Y3125" s="390"/>
      <c r="Z3125" s="390"/>
      <c r="AA3125" s="390"/>
      <c r="AB3125" s="22">
        <f t="shared" si="956"/>
        <v>0</v>
      </c>
      <c r="AC3125" s="23">
        <v>0</v>
      </c>
      <c r="AD3125" s="35"/>
      <c r="AE3125" s="35"/>
      <c r="AF3125" s="35"/>
      <c r="AG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  <c r="AX3125" s="35"/>
      <c r="AY3125" s="35"/>
      <c r="AZ3125" s="35"/>
      <c r="BA3125" s="35"/>
      <c r="BB3125" s="22">
        <f t="shared" si="957"/>
        <v>0</v>
      </c>
      <c r="BC3125" s="23">
        <v>1</v>
      </c>
      <c r="BD3125" s="130">
        <f t="shared" si="958"/>
        <v>0</v>
      </c>
      <c r="BE3125" s="130">
        <f t="shared" si="959"/>
        <v>1</v>
      </c>
      <c r="BF3125" s="195">
        <f t="shared" si="960"/>
        <v>0</v>
      </c>
      <c r="BG3125" s="373">
        <f t="shared" si="961"/>
        <v>1</v>
      </c>
    </row>
    <row r="3126" spans="1:59" s="46" customFormat="1" ht="15.95" customHeight="1">
      <c r="A3126" s="176">
        <v>17</v>
      </c>
      <c r="B3126" s="31" t="s">
        <v>772</v>
      </c>
      <c r="C3126" s="32" t="s">
        <v>773</v>
      </c>
      <c r="D3126" s="231"/>
      <c r="E3126" s="231"/>
      <c r="F3126" s="231"/>
      <c r="G3126" s="231"/>
      <c r="H3126" s="231">
        <v>23</v>
      </c>
      <c r="I3126" s="231"/>
      <c r="J3126" s="231"/>
      <c r="K3126" s="231"/>
      <c r="L3126" s="231">
        <v>62</v>
      </c>
      <c r="M3126" s="231"/>
      <c r="N3126" s="231"/>
      <c r="O3126" s="231"/>
      <c r="P3126" s="231">
        <v>2</v>
      </c>
      <c r="Q3126" s="231"/>
      <c r="R3126" s="231"/>
      <c r="S3126" s="231"/>
      <c r="T3126" s="231"/>
      <c r="U3126" s="231"/>
      <c r="V3126" s="231"/>
      <c r="W3126" s="231"/>
      <c r="X3126" s="231"/>
      <c r="Y3126" s="231"/>
      <c r="Z3126" s="231"/>
      <c r="AA3126" s="231"/>
      <c r="AB3126" s="22">
        <f t="shared" si="956"/>
        <v>87</v>
      </c>
      <c r="AC3126" s="23">
        <v>412</v>
      </c>
      <c r="AD3126" s="35">
        <v>86</v>
      </c>
      <c r="AE3126" s="35"/>
      <c r="AF3126" s="35"/>
      <c r="AG3126" s="35"/>
      <c r="AH3126" s="35">
        <f>50+37</f>
        <v>87</v>
      </c>
      <c r="AI3126" s="35"/>
      <c r="AJ3126" s="35"/>
      <c r="AK3126" s="35"/>
      <c r="AL3126" s="35">
        <v>633</v>
      </c>
      <c r="AM3126" s="35"/>
      <c r="AN3126" s="35"/>
      <c r="AO3126" s="35"/>
      <c r="AP3126" s="35">
        <v>211</v>
      </c>
      <c r="AQ3126" s="35"/>
      <c r="AR3126" s="35"/>
      <c r="AS3126" s="35"/>
      <c r="AT3126" s="35"/>
      <c r="AU3126" s="35"/>
      <c r="AV3126" s="35"/>
      <c r="AW3126" s="35"/>
      <c r="AX3126" s="35"/>
      <c r="AY3126" s="35"/>
      <c r="AZ3126" s="35"/>
      <c r="BA3126" s="35"/>
      <c r="BB3126" s="22">
        <f t="shared" si="957"/>
        <v>1017</v>
      </c>
      <c r="BC3126" s="23">
        <v>2717</v>
      </c>
      <c r="BD3126" s="130">
        <f t="shared" si="958"/>
        <v>1104</v>
      </c>
      <c r="BE3126" s="130">
        <f t="shared" si="959"/>
        <v>3129</v>
      </c>
      <c r="BF3126" s="195">
        <f t="shared" si="960"/>
        <v>35.282837967401726</v>
      </c>
      <c r="BG3126" s="373">
        <f t="shared" si="961"/>
        <v>2025</v>
      </c>
    </row>
    <row r="3127" spans="1:59" s="46" customFormat="1" ht="15.95" customHeight="1">
      <c r="A3127" s="176">
        <v>18</v>
      </c>
      <c r="B3127" s="31" t="s">
        <v>783</v>
      </c>
      <c r="C3127" s="32" t="s">
        <v>1370</v>
      </c>
      <c r="D3127" s="231"/>
      <c r="E3127" s="231"/>
      <c r="F3127" s="231"/>
      <c r="G3127" s="231"/>
      <c r="H3127" s="231"/>
      <c r="I3127" s="231"/>
      <c r="J3127" s="231"/>
      <c r="K3127" s="231"/>
      <c r="L3127" s="231"/>
      <c r="M3127" s="231"/>
      <c r="N3127" s="231"/>
      <c r="O3127" s="231"/>
      <c r="P3127" s="231"/>
      <c r="Q3127" s="231"/>
      <c r="R3127" s="231"/>
      <c r="S3127" s="231"/>
      <c r="T3127" s="231"/>
      <c r="U3127" s="231"/>
      <c r="V3127" s="231"/>
      <c r="W3127" s="231"/>
      <c r="X3127" s="231"/>
      <c r="Y3127" s="231"/>
      <c r="Z3127" s="231"/>
      <c r="AA3127" s="231"/>
      <c r="AB3127" s="22">
        <f t="shared" si="956"/>
        <v>0</v>
      </c>
      <c r="AC3127" s="23">
        <v>0</v>
      </c>
      <c r="AD3127" s="35">
        <v>39</v>
      </c>
      <c r="AE3127" s="35"/>
      <c r="AF3127" s="35"/>
      <c r="AG3127" s="35"/>
      <c r="AH3127" s="35">
        <f>29+1</f>
        <v>30</v>
      </c>
      <c r="AI3127" s="35"/>
      <c r="AJ3127" s="35"/>
      <c r="AK3127" s="35"/>
      <c r="AL3127" s="35">
        <v>3</v>
      </c>
      <c r="AM3127" s="35"/>
      <c r="AN3127" s="35"/>
      <c r="AO3127" s="35"/>
      <c r="AP3127" s="35">
        <v>1</v>
      </c>
      <c r="AQ3127" s="35"/>
      <c r="AR3127" s="35"/>
      <c r="AS3127" s="35"/>
      <c r="AT3127" s="35"/>
      <c r="AU3127" s="35"/>
      <c r="AV3127" s="35"/>
      <c r="AW3127" s="35"/>
      <c r="AX3127" s="35"/>
      <c r="AY3127" s="35"/>
      <c r="AZ3127" s="35"/>
      <c r="BA3127" s="35"/>
      <c r="BB3127" s="22">
        <f t="shared" si="957"/>
        <v>73</v>
      </c>
      <c r="BC3127" s="23">
        <v>8</v>
      </c>
      <c r="BD3127" s="130">
        <f t="shared" si="958"/>
        <v>73</v>
      </c>
      <c r="BE3127" s="130">
        <f t="shared" si="959"/>
        <v>8</v>
      </c>
      <c r="BF3127" s="195">
        <f t="shared" si="960"/>
        <v>912.5</v>
      </c>
      <c r="BG3127" s="373">
        <f t="shared" si="961"/>
        <v>-65</v>
      </c>
    </row>
    <row r="3128" spans="1:59" s="46" customFormat="1" ht="15.95" customHeight="1">
      <c r="A3128" s="176">
        <v>19</v>
      </c>
      <c r="B3128" s="31" t="s">
        <v>814</v>
      </c>
      <c r="C3128" s="34" t="s">
        <v>815</v>
      </c>
      <c r="D3128" s="231"/>
      <c r="E3128" s="231"/>
      <c r="F3128" s="231"/>
      <c r="G3128" s="231"/>
      <c r="H3128" s="231"/>
      <c r="I3128" s="231"/>
      <c r="J3128" s="231"/>
      <c r="K3128" s="231"/>
      <c r="L3128" s="231"/>
      <c r="M3128" s="231"/>
      <c r="N3128" s="231"/>
      <c r="O3128" s="231"/>
      <c r="P3128" s="231"/>
      <c r="Q3128" s="231"/>
      <c r="R3128" s="231"/>
      <c r="S3128" s="231"/>
      <c r="T3128" s="231"/>
      <c r="U3128" s="231"/>
      <c r="V3128" s="231"/>
      <c r="W3128" s="231"/>
      <c r="X3128" s="231"/>
      <c r="Y3128" s="231"/>
      <c r="Z3128" s="231"/>
      <c r="AA3128" s="231"/>
      <c r="AB3128" s="22">
        <f t="shared" si="956"/>
        <v>0</v>
      </c>
      <c r="AC3128" s="23">
        <v>0</v>
      </c>
      <c r="AD3128" s="35">
        <v>7</v>
      </c>
      <c r="AE3128" s="35"/>
      <c r="AF3128" s="35"/>
      <c r="AG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  <c r="AX3128" s="35"/>
      <c r="AY3128" s="35"/>
      <c r="AZ3128" s="35"/>
      <c r="BA3128" s="35"/>
      <c r="BB3128" s="22">
        <f t="shared" si="957"/>
        <v>7</v>
      </c>
      <c r="BC3128" s="23">
        <v>20</v>
      </c>
      <c r="BD3128" s="130">
        <f t="shared" si="958"/>
        <v>7</v>
      </c>
      <c r="BE3128" s="130">
        <f t="shared" si="959"/>
        <v>20</v>
      </c>
      <c r="BF3128" s="195">
        <f t="shared" si="960"/>
        <v>35</v>
      </c>
      <c r="BG3128" s="373">
        <f t="shared" si="961"/>
        <v>13</v>
      </c>
    </row>
    <row r="3129" spans="1:59" s="46" customFormat="1" ht="15.95" customHeight="1">
      <c r="A3129" s="176">
        <v>20</v>
      </c>
      <c r="B3129" s="31" t="s">
        <v>819</v>
      </c>
      <c r="C3129" s="34" t="s">
        <v>3558</v>
      </c>
      <c r="D3129" s="231"/>
      <c r="E3129" s="231"/>
      <c r="F3129" s="231"/>
      <c r="G3129" s="231"/>
      <c r="H3129" s="231"/>
      <c r="I3129" s="231"/>
      <c r="J3129" s="231"/>
      <c r="K3129" s="231"/>
      <c r="L3129" s="231"/>
      <c r="M3129" s="231"/>
      <c r="N3129" s="231"/>
      <c r="O3129" s="231"/>
      <c r="P3129" s="231"/>
      <c r="Q3129" s="231"/>
      <c r="R3129" s="231"/>
      <c r="S3129" s="231"/>
      <c r="T3129" s="231"/>
      <c r="U3129" s="231"/>
      <c r="V3129" s="231"/>
      <c r="W3129" s="231"/>
      <c r="X3129" s="231"/>
      <c r="Y3129" s="231"/>
      <c r="Z3129" s="231"/>
      <c r="AA3129" s="231"/>
      <c r="AB3129" s="22">
        <f t="shared" si="956"/>
        <v>0</v>
      </c>
      <c r="AC3129" s="23">
        <v>0</v>
      </c>
      <c r="AD3129" s="35">
        <v>228</v>
      </c>
      <c r="AE3129" s="35"/>
      <c r="AF3129" s="35"/>
      <c r="AG3129" s="35"/>
      <c r="AH3129" s="35">
        <v>159</v>
      </c>
      <c r="AI3129" s="35"/>
      <c r="AJ3129" s="35"/>
      <c r="AK3129" s="35"/>
      <c r="AL3129" s="35">
        <v>5</v>
      </c>
      <c r="AM3129" s="35"/>
      <c r="AN3129" s="35"/>
      <c r="AO3129" s="35"/>
      <c r="AP3129" s="35">
        <f>5+26</f>
        <v>31</v>
      </c>
      <c r="AQ3129" s="35"/>
      <c r="AR3129" s="35"/>
      <c r="AS3129" s="35"/>
      <c r="AT3129" s="35"/>
      <c r="AU3129" s="35"/>
      <c r="AV3129" s="35"/>
      <c r="AW3129" s="35"/>
      <c r="AX3129" s="35"/>
      <c r="AY3129" s="35"/>
      <c r="AZ3129" s="35"/>
      <c r="BA3129" s="35"/>
      <c r="BB3129" s="22">
        <f t="shared" si="957"/>
        <v>423</v>
      </c>
      <c r="BC3129" s="23">
        <v>370</v>
      </c>
      <c r="BD3129" s="130">
        <f t="shared" si="958"/>
        <v>423</v>
      </c>
      <c r="BE3129" s="130">
        <f t="shared" si="959"/>
        <v>370</v>
      </c>
      <c r="BF3129" s="195">
        <f t="shared" si="960"/>
        <v>114.32432432432434</v>
      </c>
      <c r="BG3129" s="373">
        <f t="shared" si="961"/>
        <v>-53</v>
      </c>
    </row>
    <row r="3130" spans="1:59" s="46" customFormat="1" ht="15.95" customHeight="1">
      <c r="A3130" s="176">
        <v>21</v>
      </c>
      <c r="B3130" s="31" t="s">
        <v>3200</v>
      </c>
      <c r="C3130" s="32" t="s">
        <v>3201</v>
      </c>
      <c r="D3130" s="231"/>
      <c r="E3130" s="231"/>
      <c r="F3130" s="231"/>
      <c r="G3130" s="231"/>
      <c r="H3130" s="231"/>
      <c r="I3130" s="231"/>
      <c r="J3130" s="231"/>
      <c r="K3130" s="231"/>
      <c r="L3130" s="231"/>
      <c r="M3130" s="231"/>
      <c r="N3130" s="231"/>
      <c r="O3130" s="231"/>
      <c r="P3130" s="231"/>
      <c r="Q3130" s="231"/>
      <c r="R3130" s="231"/>
      <c r="S3130" s="231"/>
      <c r="T3130" s="231"/>
      <c r="U3130" s="231"/>
      <c r="V3130" s="231"/>
      <c r="W3130" s="231"/>
      <c r="X3130" s="231"/>
      <c r="Y3130" s="231"/>
      <c r="Z3130" s="231"/>
      <c r="AA3130" s="231"/>
      <c r="AB3130" s="22">
        <f t="shared" si="956"/>
        <v>0</v>
      </c>
      <c r="AC3130" s="23">
        <v>0</v>
      </c>
      <c r="AD3130" s="35"/>
      <c r="AE3130" s="35"/>
      <c r="AF3130" s="35"/>
      <c r="AG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  <c r="AX3130" s="35"/>
      <c r="AY3130" s="35"/>
      <c r="AZ3130" s="35"/>
      <c r="BA3130" s="35"/>
      <c r="BB3130" s="22">
        <f t="shared" si="957"/>
        <v>0</v>
      </c>
      <c r="BC3130" s="23">
        <v>1</v>
      </c>
      <c r="BD3130" s="130">
        <f t="shared" si="958"/>
        <v>0</v>
      </c>
      <c r="BE3130" s="130">
        <f t="shared" si="959"/>
        <v>1</v>
      </c>
      <c r="BF3130" s="195">
        <f t="shared" si="960"/>
        <v>0</v>
      </c>
      <c r="BG3130" s="373">
        <f t="shared" si="961"/>
        <v>1</v>
      </c>
    </row>
    <row r="3131" spans="1:59" s="46" customFormat="1" ht="15.95" customHeight="1">
      <c r="A3131" s="176">
        <v>22</v>
      </c>
      <c r="B3131" s="31" t="s">
        <v>1047</v>
      </c>
      <c r="C3131" s="34" t="s">
        <v>1326</v>
      </c>
      <c r="D3131" s="231"/>
      <c r="E3131" s="231"/>
      <c r="F3131" s="231"/>
      <c r="G3131" s="231"/>
      <c r="H3131" s="231"/>
      <c r="I3131" s="231"/>
      <c r="J3131" s="231"/>
      <c r="K3131" s="231"/>
      <c r="L3131" s="231"/>
      <c r="M3131" s="231"/>
      <c r="N3131" s="231"/>
      <c r="O3131" s="231"/>
      <c r="P3131" s="231"/>
      <c r="Q3131" s="231"/>
      <c r="R3131" s="231"/>
      <c r="S3131" s="231"/>
      <c r="T3131" s="231"/>
      <c r="U3131" s="231"/>
      <c r="V3131" s="231"/>
      <c r="W3131" s="231"/>
      <c r="X3131" s="231"/>
      <c r="Y3131" s="231"/>
      <c r="Z3131" s="231"/>
      <c r="AA3131" s="231"/>
      <c r="AB3131" s="22">
        <f t="shared" si="956"/>
        <v>0</v>
      </c>
      <c r="AC3131" s="23">
        <v>1</v>
      </c>
      <c r="AD3131" s="35"/>
      <c r="AE3131" s="35"/>
      <c r="AF3131" s="35"/>
      <c r="AG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  <c r="AX3131" s="35"/>
      <c r="AY3131" s="35"/>
      <c r="AZ3131" s="35"/>
      <c r="BA3131" s="35"/>
      <c r="BB3131" s="22">
        <f t="shared" si="957"/>
        <v>0</v>
      </c>
      <c r="BC3131" s="23">
        <v>0</v>
      </c>
      <c r="BD3131" s="130">
        <f t="shared" si="958"/>
        <v>0</v>
      </c>
      <c r="BE3131" s="130">
        <f t="shared" si="959"/>
        <v>1</v>
      </c>
      <c r="BF3131" s="195">
        <f t="shared" si="960"/>
        <v>0</v>
      </c>
      <c r="BG3131" s="373">
        <f t="shared" si="961"/>
        <v>1</v>
      </c>
    </row>
    <row r="3132" spans="1:59" s="46" customFormat="1" ht="15.95" customHeight="1">
      <c r="A3132" s="176">
        <v>23</v>
      </c>
      <c r="B3132" s="31" t="s">
        <v>821</v>
      </c>
      <c r="C3132" s="32" t="s">
        <v>1594</v>
      </c>
      <c r="D3132" s="231"/>
      <c r="E3132" s="231"/>
      <c r="F3132" s="231"/>
      <c r="G3132" s="231"/>
      <c r="H3132" s="231"/>
      <c r="I3132" s="231"/>
      <c r="J3132" s="231"/>
      <c r="K3132" s="231"/>
      <c r="L3132" s="231"/>
      <c r="M3132" s="231"/>
      <c r="N3132" s="231"/>
      <c r="O3132" s="231"/>
      <c r="P3132" s="231"/>
      <c r="Q3132" s="231"/>
      <c r="R3132" s="231"/>
      <c r="S3132" s="231"/>
      <c r="T3132" s="231"/>
      <c r="U3132" s="231"/>
      <c r="V3132" s="231"/>
      <c r="W3132" s="231"/>
      <c r="X3132" s="231"/>
      <c r="Y3132" s="231"/>
      <c r="Z3132" s="231"/>
      <c r="AA3132" s="231"/>
      <c r="AB3132" s="22">
        <f t="shared" si="956"/>
        <v>0</v>
      </c>
      <c r="AC3132" s="23">
        <v>0</v>
      </c>
      <c r="AD3132" s="35"/>
      <c r="AE3132" s="35"/>
      <c r="AF3132" s="35"/>
      <c r="AG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  <c r="AX3132" s="35"/>
      <c r="AY3132" s="35"/>
      <c r="AZ3132" s="35"/>
      <c r="BA3132" s="35"/>
      <c r="BB3132" s="22">
        <f t="shared" si="957"/>
        <v>0</v>
      </c>
      <c r="BC3132" s="23">
        <v>1</v>
      </c>
      <c r="BD3132" s="130">
        <f t="shared" si="958"/>
        <v>0</v>
      </c>
      <c r="BE3132" s="130">
        <f t="shared" si="959"/>
        <v>1</v>
      </c>
      <c r="BF3132" s="195">
        <f t="shared" si="960"/>
        <v>0</v>
      </c>
      <c r="BG3132" s="373">
        <f t="shared" si="961"/>
        <v>1</v>
      </c>
    </row>
    <row r="3133" spans="1:59" s="46" customFormat="1" ht="15.95" customHeight="1">
      <c r="A3133" s="176">
        <v>24</v>
      </c>
      <c r="B3133" s="31" t="s">
        <v>823</v>
      </c>
      <c r="C3133" s="32" t="s">
        <v>824</v>
      </c>
      <c r="D3133" s="231"/>
      <c r="E3133" s="231"/>
      <c r="F3133" s="231"/>
      <c r="G3133" s="231"/>
      <c r="H3133" s="231"/>
      <c r="I3133" s="231"/>
      <c r="J3133" s="231"/>
      <c r="K3133" s="231"/>
      <c r="L3133" s="231"/>
      <c r="M3133" s="231"/>
      <c r="N3133" s="231"/>
      <c r="O3133" s="231"/>
      <c r="P3133" s="231"/>
      <c r="Q3133" s="231"/>
      <c r="R3133" s="231"/>
      <c r="S3133" s="231"/>
      <c r="T3133" s="231"/>
      <c r="U3133" s="231"/>
      <c r="V3133" s="231"/>
      <c r="W3133" s="231"/>
      <c r="X3133" s="231"/>
      <c r="Y3133" s="231"/>
      <c r="Z3133" s="231"/>
      <c r="AA3133" s="231"/>
      <c r="AB3133" s="22">
        <f t="shared" si="956"/>
        <v>0</v>
      </c>
      <c r="AC3133" s="23">
        <v>0</v>
      </c>
      <c r="AD3133" s="35"/>
      <c r="AE3133" s="35"/>
      <c r="AF3133" s="35"/>
      <c r="AG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  <c r="AX3133" s="35"/>
      <c r="AY3133" s="35"/>
      <c r="AZ3133" s="35"/>
      <c r="BA3133" s="35"/>
      <c r="BB3133" s="22">
        <f t="shared" si="957"/>
        <v>0</v>
      </c>
      <c r="BC3133" s="23">
        <v>11</v>
      </c>
      <c r="BD3133" s="130">
        <f t="shared" si="958"/>
        <v>0</v>
      </c>
      <c r="BE3133" s="130">
        <f t="shared" si="959"/>
        <v>11</v>
      </c>
      <c r="BF3133" s="195">
        <f t="shared" si="960"/>
        <v>0</v>
      </c>
      <c r="BG3133" s="373">
        <f t="shared" si="961"/>
        <v>11</v>
      </c>
    </row>
    <row r="3134" spans="1:59" s="46" customFormat="1" ht="15.95" customHeight="1">
      <c r="A3134" s="176">
        <v>25</v>
      </c>
      <c r="B3134" s="31" t="s">
        <v>825</v>
      </c>
      <c r="C3134" s="32" t="s">
        <v>907</v>
      </c>
      <c r="D3134" s="231"/>
      <c r="E3134" s="231"/>
      <c r="F3134" s="231"/>
      <c r="G3134" s="231"/>
      <c r="H3134" s="231"/>
      <c r="I3134" s="231"/>
      <c r="J3134" s="231"/>
      <c r="K3134" s="231"/>
      <c r="L3134" s="231"/>
      <c r="M3134" s="231"/>
      <c r="N3134" s="231"/>
      <c r="O3134" s="231"/>
      <c r="P3134" s="231"/>
      <c r="Q3134" s="231"/>
      <c r="R3134" s="231"/>
      <c r="S3134" s="231"/>
      <c r="T3134" s="231"/>
      <c r="U3134" s="231"/>
      <c r="V3134" s="231"/>
      <c r="W3134" s="231"/>
      <c r="X3134" s="231"/>
      <c r="Y3134" s="231"/>
      <c r="Z3134" s="231"/>
      <c r="AA3134" s="231"/>
      <c r="AB3134" s="22">
        <f t="shared" si="956"/>
        <v>0</v>
      </c>
      <c r="AC3134" s="23">
        <v>0</v>
      </c>
      <c r="AD3134" s="35">
        <v>414</v>
      </c>
      <c r="AE3134" s="35"/>
      <c r="AF3134" s="35"/>
      <c r="AG3134" s="35"/>
      <c r="AH3134" s="35">
        <v>373</v>
      </c>
      <c r="AI3134" s="35"/>
      <c r="AJ3134" s="35"/>
      <c r="AK3134" s="35"/>
      <c r="AL3134" s="35"/>
      <c r="AM3134" s="35"/>
      <c r="AN3134" s="35"/>
      <c r="AO3134" s="35"/>
      <c r="AP3134" s="35">
        <v>13</v>
      </c>
      <c r="AQ3134" s="35"/>
      <c r="AR3134" s="35"/>
      <c r="AS3134" s="35"/>
      <c r="AT3134" s="35"/>
      <c r="AU3134" s="35"/>
      <c r="AV3134" s="35"/>
      <c r="AW3134" s="35"/>
      <c r="AX3134" s="35"/>
      <c r="AY3134" s="35"/>
      <c r="AZ3134" s="35"/>
      <c r="BA3134" s="35"/>
      <c r="BB3134" s="22">
        <f t="shared" si="957"/>
        <v>800</v>
      </c>
      <c r="BC3134" s="23">
        <v>13</v>
      </c>
      <c r="BD3134" s="130">
        <f t="shared" si="958"/>
        <v>800</v>
      </c>
      <c r="BE3134" s="130">
        <f t="shared" si="959"/>
        <v>13</v>
      </c>
      <c r="BF3134" s="195">
        <f t="shared" si="960"/>
        <v>6153.8461538461543</v>
      </c>
      <c r="BG3134" s="373">
        <f t="shared" si="961"/>
        <v>-787</v>
      </c>
    </row>
    <row r="3135" spans="1:59" s="46" customFormat="1" ht="15.95" customHeight="1">
      <c r="A3135" s="176">
        <v>26</v>
      </c>
      <c r="B3135" s="31" t="s">
        <v>835</v>
      </c>
      <c r="C3135" s="32" t="s">
        <v>2608</v>
      </c>
      <c r="D3135" s="366"/>
      <c r="E3135" s="366"/>
      <c r="F3135" s="366"/>
      <c r="G3135" s="366"/>
      <c r="H3135" s="366"/>
      <c r="I3135" s="366"/>
      <c r="J3135" s="366"/>
      <c r="K3135" s="366"/>
      <c r="L3135" s="366"/>
      <c r="M3135" s="366"/>
      <c r="N3135" s="366"/>
      <c r="O3135" s="366"/>
      <c r="P3135" s="366"/>
      <c r="Q3135" s="366"/>
      <c r="R3135" s="366"/>
      <c r="S3135" s="366"/>
      <c r="T3135" s="366"/>
      <c r="U3135" s="366"/>
      <c r="V3135" s="366"/>
      <c r="W3135" s="366"/>
      <c r="X3135" s="366"/>
      <c r="Y3135" s="366"/>
      <c r="Z3135" s="366"/>
      <c r="AA3135" s="366"/>
      <c r="AB3135" s="22">
        <f t="shared" si="956"/>
        <v>0</v>
      </c>
      <c r="AC3135" s="23">
        <v>0</v>
      </c>
      <c r="AD3135" s="35"/>
      <c r="AE3135" s="35"/>
      <c r="AF3135" s="35"/>
      <c r="AG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  <c r="AX3135" s="35"/>
      <c r="AY3135" s="35"/>
      <c r="AZ3135" s="35"/>
      <c r="BA3135" s="35"/>
      <c r="BB3135" s="22">
        <f t="shared" si="957"/>
        <v>0</v>
      </c>
      <c r="BC3135" s="23">
        <v>2</v>
      </c>
      <c r="BD3135" s="130">
        <f t="shared" si="958"/>
        <v>0</v>
      </c>
      <c r="BE3135" s="130">
        <f t="shared" si="959"/>
        <v>2</v>
      </c>
      <c r="BF3135" s="195">
        <f t="shared" si="960"/>
        <v>0</v>
      </c>
      <c r="BG3135" s="373">
        <f t="shared" si="961"/>
        <v>2</v>
      </c>
    </row>
    <row r="3136" spans="1:59" s="46" customFormat="1" ht="15.95" customHeight="1">
      <c r="A3136" s="176">
        <v>27</v>
      </c>
      <c r="B3136" s="31" t="s">
        <v>1013</v>
      </c>
      <c r="C3136" s="32" t="s">
        <v>1632</v>
      </c>
      <c r="D3136" s="576"/>
      <c r="E3136" s="576"/>
      <c r="F3136" s="576"/>
      <c r="G3136" s="576"/>
      <c r="H3136" s="576"/>
      <c r="I3136" s="576"/>
      <c r="J3136" s="576"/>
      <c r="K3136" s="576"/>
      <c r="L3136" s="576"/>
      <c r="M3136" s="576"/>
      <c r="N3136" s="576"/>
      <c r="O3136" s="576"/>
      <c r="P3136" s="576"/>
      <c r="Q3136" s="576"/>
      <c r="R3136" s="576"/>
      <c r="S3136" s="576"/>
      <c r="T3136" s="576"/>
      <c r="U3136" s="576"/>
      <c r="V3136" s="576"/>
      <c r="W3136" s="576"/>
      <c r="X3136" s="576"/>
      <c r="Y3136" s="576"/>
      <c r="Z3136" s="576"/>
      <c r="AA3136" s="576"/>
      <c r="AB3136" s="22">
        <f t="shared" si="956"/>
        <v>0</v>
      </c>
      <c r="AC3136" s="23">
        <v>0</v>
      </c>
      <c r="AD3136" s="35"/>
      <c r="AE3136" s="35"/>
      <c r="AF3136" s="35"/>
      <c r="AG3136" s="35"/>
      <c r="AH3136" s="35"/>
      <c r="AI3136" s="35"/>
      <c r="AJ3136" s="35"/>
      <c r="AK3136" s="35"/>
      <c r="AL3136" s="35"/>
      <c r="AM3136" s="35"/>
      <c r="AN3136" s="35"/>
      <c r="AO3136" s="35"/>
      <c r="AP3136" s="35">
        <v>1</v>
      </c>
      <c r="AQ3136" s="35"/>
      <c r="AR3136" s="35"/>
      <c r="AS3136" s="35"/>
      <c r="AT3136" s="35"/>
      <c r="AU3136" s="35"/>
      <c r="AV3136" s="35"/>
      <c r="AW3136" s="35"/>
      <c r="AX3136" s="35"/>
      <c r="AY3136" s="35"/>
      <c r="AZ3136" s="35"/>
      <c r="BA3136" s="35"/>
      <c r="BB3136" s="22">
        <f t="shared" si="957"/>
        <v>1</v>
      </c>
      <c r="BC3136" s="23">
        <v>0</v>
      </c>
      <c r="BD3136" s="130">
        <f t="shared" si="958"/>
        <v>1</v>
      </c>
      <c r="BE3136" s="130">
        <f t="shared" si="959"/>
        <v>0</v>
      </c>
      <c r="BF3136" s="195" t="e">
        <f t="shared" si="960"/>
        <v>#DIV/0!</v>
      </c>
      <c r="BG3136" s="373"/>
    </row>
    <row r="3137" spans="1:59" s="46" customFormat="1" ht="15.95" customHeight="1">
      <c r="A3137" s="176">
        <v>28</v>
      </c>
      <c r="B3137" s="31" t="s">
        <v>837</v>
      </c>
      <c r="C3137" s="32" t="s">
        <v>908</v>
      </c>
      <c r="D3137" s="366"/>
      <c r="E3137" s="366"/>
      <c r="F3137" s="366"/>
      <c r="G3137" s="366"/>
      <c r="H3137" s="366"/>
      <c r="I3137" s="366"/>
      <c r="J3137" s="366"/>
      <c r="K3137" s="366"/>
      <c r="L3137" s="366"/>
      <c r="M3137" s="366"/>
      <c r="N3137" s="366"/>
      <c r="O3137" s="366"/>
      <c r="P3137" s="366"/>
      <c r="Q3137" s="366"/>
      <c r="R3137" s="366"/>
      <c r="S3137" s="366"/>
      <c r="T3137" s="366"/>
      <c r="U3137" s="366"/>
      <c r="V3137" s="366"/>
      <c r="W3137" s="366"/>
      <c r="X3137" s="366"/>
      <c r="Y3137" s="366"/>
      <c r="Z3137" s="366"/>
      <c r="AA3137" s="366"/>
      <c r="AB3137" s="22">
        <f t="shared" si="956"/>
        <v>0</v>
      </c>
      <c r="AC3137" s="23">
        <v>0</v>
      </c>
      <c r="AD3137" s="35">
        <v>9</v>
      </c>
      <c r="AE3137" s="35"/>
      <c r="AF3137" s="35"/>
      <c r="AG3137" s="35"/>
      <c r="AH3137" s="35">
        <v>1</v>
      </c>
      <c r="AI3137" s="35"/>
      <c r="AJ3137" s="35"/>
      <c r="AK3137" s="35"/>
      <c r="AL3137" s="35">
        <v>2</v>
      </c>
      <c r="AM3137" s="35"/>
      <c r="AN3137" s="35"/>
      <c r="AO3137" s="35"/>
      <c r="AP3137" s="35">
        <f>5+12</f>
        <v>17</v>
      </c>
      <c r="AQ3137" s="35"/>
      <c r="AR3137" s="35"/>
      <c r="AS3137" s="35"/>
      <c r="AT3137" s="35"/>
      <c r="AU3137" s="35"/>
      <c r="AV3137" s="35"/>
      <c r="AW3137" s="35"/>
      <c r="AX3137" s="35"/>
      <c r="AY3137" s="35"/>
      <c r="AZ3137" s="35"/>
      <c r="BA3137" s="35"/>
      <c r="BB3137" s="22">
        <f t="shared" si="957"/>
        <v>29</v>
      </c>
      <c r="BC3137" s="23">
        <v>5</v>
      </c>
      <c r="BD3137" s="130">
        <f t="shared" si="958"/>
        <v>29</v>
      </c>
      <c r="BE3137" s="130">
        <f t="shared" si="959"/>
        <v>5</v>
      </c>
      <c r="BF3137" s="195">
        <f t="shared" si="960"/>
        <v>580</v>
      </c>
      <c r="BG3137" s="373">
        <f>BE3137-BD3137</f>
        <v>-24</v>
      </c>
    </row>
    <row r="3138" spans="1:59" s="46" customFormat="1" ht="15.95" customHeight="1">
      <c r="A3138" s="176">
        <v>29</v>
      </c>
      <c r="B3138" s="31" t="s">
        <v>909</v>
      </c>
      <c r="C3138" s="32" t="s">
        <v>910</v>
      </c>
      <c r="D3138" s="576"/>
      <c r="E3138" s="576"/>
      <c r="F3138" s="576"/>
      <c r="G3138" s="576"/>
      <c r="H3138" s="576"/>
      <c r="I3138" s="576"/>
      <c r="J3138" s="576"/>
      <c r="K3138" s="576"/>
      <c r="L3138" s="576"/>
      <c r="M3138" s="576"/>
      <c r="N3138" s="576"/>
      <c r="O3138" s="576"/>
      <c r="P3138" s="576"/>
      <c r="Q3138" s="576"/>
      <c r="R3138" s="576"/>
      <c r="S3138" s="576"/>
      <c r="T3138" s="576"/>
      <c r="U3138" s="576"/>
      <c r="V3138" s="576"/>
      <c r="W3138" s="576"/>
      <c r="X3138" s="576"/>
      <c r="Y3138" s="576"/>
      <c r="Z3138" s="576"/>
      <c r="AA3138" s="576"/>
      <c r="AB3138" s="22">
        <f t="shared" si="956"/>
        <v>0</v>
      </c>
      <c r="AC3138" s="23">
        <v>0</v>
      </c>
      <c r="AD3138" s="35"/>
      <c r="AE3138" s="35"/>
      <c r="AF3138" s="35"/>
      <c r="AG3138" s="35"/>
      <c r="AH3138" s="35"/>
      <c r="AI3138" s="35"/>
      <c r="AJ3138" s="35"/>
      <c r="AK3138" s="35"/>
      <c r="AL3138" s="35"/>
      <c r="AM3138" s="35"/>
      <c r="AN3138" s="35"/>
      <c r="AO3138" s="35"/>
      <c r="AP3138" s="35">
        <v>1</v>
      </c>
      <c r="AQ3138" s="35"/>
      <c r="AR3138" s="35"/>
      <c r="AS3138" s="35"/>
      <c r="AT3138" s="35"/>
      <c r="AU3138" s="35"/>
      <c r="AV3138" s="35"/>
      <c r="AW3138" s="35"/>
      <c r="AX3138" s="35"/>
      <c r="AY3138" s="35"/>
      <c r="AZ3138" s="35"/>
      <c r="BA3138" s="35"/>
      <c r="BB3138" s="22">
        <f t="shared" si="957"/>
        <v>1</v>
      </c>
      <c r="BC3138" s="23">
        <v>0</v>
      </c>
      <c r="BD3138" s="130">
        <f t="shared" si="958"/>
        <v>1</v>
      </c>
      <c r="BE3138" s="130">
        <f t="shared" si="959"/>
        <v>0</v>
      </c>
      <c r="BF3138" s="195" t="e">
        <f t="shared" si="960"/>
        <v>#DIV/0!</v>
      </c>
      <c r="BG3138" s="373"/>
    </row>
    <row r="3139" spans="1:59" s="46" customFormat="1" ht="15.95" customHeight="1">
      <c r="A3139" s="176">
        <v>30</v>
      </c>
      <c r="B3139" s="31" t="s">
        <v>1187</v>
      </c>
      <c r="C3139" s="32" t="s">
        <v>1188</v>
      </c>
      <c r="D3139" s="366"/>
      <c r="E3139" s="366"/>
      <c r="F3139" s="366"/>
      <c r="G3139" s="366"/>
      <c r="H3139" s="366"/>
      <c r="I3139" s="366"/>
      <c r="J3139" s="366"/>
      <c r="K3139" s="366"/>
      <c r="L3139" s="366"/>
      <c r="M3139" s="366"/>
      <c r="N3139" s="366"/>
      <c r="O3139" s="366"/>
      <c r="P3139" s="366"/>
      <c r="Q3139" s="366"/>
      <c r="R3139" s="366"/>
      <c r="S3139" s="366"/>
      <c r="T3139" s="366"/>
      <c r="U3139" s="366"/>
      <c r="V3139" s="366"/>
      <c r="W3139" s="366"/>
      <c r="X3139" s="366"/>
      <c r="Y3139" s="366"/>
      <c r="Z3139" s="366"/>
      <c r="AA3139" s="366"/>
      <c r="AB3139" s="22">
        <f t="shared" si="956"/>
        <v>0</v>
      </c>
      <c r="AC3139" s="23">
        <v>0</v>
      </c>
      <c r="AD3139" s="35"/>
      <c r="AE3139" s="35"/>
      <c r="AF3139" s="35"/>
      <c r="AG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  <c r="AX3139" s="35"/>
      <c r="AY3139" s="35"/>
      <c r="AZ3139" s="35"/>
      <c r="BA3139" s="35"/>
      <c r="BB3139" s="22">
        <f t="shared" si="957"/>
        <v>0</v>
      </c>
      <c r="BC3139" s="23">
        <v>4</v>
      </c>
      <c r="BD3139" s="130">
        <f t="shared" si="958"/>
        <v>0</v>
      </c>
      <c r="BE3139" s="130">
        <f t="shared" si="959"/>
        <v>4</v>
      </c>
      <c r="BF3139" s="195">
        <f t="shared" si="960"/>
        <v>0</v>
      </c>
      <c r="BG3139" s="373">
        <f t="shared" ref="BG3139:BG3158" si="962">BE3139-BD3139</f>
        <v>4</v>
      </c>
    </row>
    <row r="3140" spans="1:59" s="46" customFormat="1" ht="15.95" customHeight="1">
      <c r="A3140" s="176">
        <v>31</v>
      </c>
      <c r="B3140" s="31" t="s">
        <v>845</v>
      </c>
      <c r="C3140" s="34" t="s">
        <v>948</v>
      </c>
      <c r="D3140" s="366"/>
      <c r="E3140" s="366"/>
      <c r="F3140" s="366"/>
      <c r="G3140" s="366"/>
      <c r="H3140" s="366"/>
      <c r="I3140" s="366"/>
      <c r="J3140" s="366"/>
      <c r="K3140" s="366"/>
      <c r="L3140" s="366"/>
      <c r="M3140" s="366"/>
      <c r="N3140" s="366"/>
      <c r="O3140" s="366"/>
      <c r="P3140" s="366"/>
      <c r="Q3140" s="366"/>
      <c r="R3140" s="366"/>
      <c r="S3140" s="366"/>
      <c r="T3140" s="366"/>
      <c r="U3140" s="366"/>
      <c r="V3140" s="366"/>
      <c r="W3140" s="366"/>
      <c r="X3140" s="366"/>
      <c r="Y3140" s="366"/>
      <c r="Z3140" s="366"/>
      <c r="AA3140" s="366"/>
      <c r="AB3140" s="22">
        <f t="shared" si="956"/>
        <v>0</v>
      </c>
      <c r="AC3140" s="23">
        <v>0</v>
      </c>
      <c r="AD3140" s="35"/>
      <c r="AE3140" s="35"/>
      <c r="AF3140" s="35"/>
      <c r="AG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  <c r="AX3140" s="35"/>
      <c r="AY3140" s="35"/>
      <c r="AZ3140" s="35"/>
      <c r="BA3140" s="35"/>
      <c r="BB3140" s="22">
        <f t="shared" si="957"/>
        <v>0</v>
      </c>
      <c r="BC3140" s="23">
        <v>1</v>
      </c>
      <c r="BD3140" s="130">
        <f t="shared" si="958"/>
        <v>0</v>
      </c>
      <c r="BE3140" s="130">
        <f t="shared" si="959"/>
        <v>1</v>
      </c>
      <c r="BF3140" s="195">
        <f t="shared" si="960"/>
        <v>0</v>
      </c>
      <c r="BG3140" s="373">
        <f t="shared" si="962"/>
        <v>1</v>
      </c>
    </row>
    <row r="3141" spans="1:59" s="46" customFormat="1" ht="15.95" customHeight="1">
      <c r="A3141" s="176">
        <v>32</v>
      </c>
      <c r="B3141" s="31" t="s">
        <v>1395</v>
      </c>
      <c r="C3141" s="34" t="s">
        <v>2004</v>
      </c>
      <c r="D3141" s="366"/>
      <c r="E3141" s="366"/>
      <c r="F3141" s="366"/>
      <c r="G3141" s="366"/>
      <c r="H3141" s="366"/>
      <c r="I3141" s="366"/>
      <c r="J3141" s="366"/>
      <c r="K3141" s="366"/>
      <c r="L3141" s="366"/>
      <c r="M3141" s="366"/>
      <c r="N3141" s="366"/>
      <c r="O3141" s="366"/>
      <c r="P3141" s="366"/>
      <c r="Q3141" s="366"/>
      <c r="R3141" s="366"/>
      <c r="S3141" s="366"/>
      <c r="T3141" s="366"/>
      <c r="U3141" s="366"/>
      <c r="V3141" s="366"/>
      <c r="W3141" s="366"/>
      <c r="X3141" s="366"/>
      <c r="Y3141" s="366"/>
      <c r="Z3141" s="366"/>
      <c r="AA3141" s="366"/>
      <c r="AB3141" s="22">
        <f t="shared" si="956"/>
        <v>0</v>
      </c>
      <c r="AC3141" s="23">
        <v>0</v>
      </c>
      <c r="AD3141" s="35"/>
      <c r="AE3141" s="35"/>
      <c r="AF3141" s="35"/>
      <c r="AG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  <c r="AX3141" s="35"/>
      <c r="AY3141" s="35"/>
      <c r="AZ3141" s="35"/>
      <c r="BA3141" s="35"/>
      <c r="BB3141" s="22">
        <f t="shared" si="957"/>
        <v>0</v>
      </c>
      <c r="BC3141" s="23">
        <v>1</v>
      </c>
      <c r="BD3141" s="130">
        <f t="shared" si="958"/>
        <v>0</v>
      </c>
      <c r="BE3141" s="130">
        <f t="shared" si="959"/>
        <v>1</v>
      </c>
      <c r="BF3141" s="195">
        <f t="shared" si="960"/>
        <v>0</v>
      </c>
      <c r="BG3141" s="373">
        <f t="shared" si="962"/>
        <v>1</v>
      </c>
    </row>
    <row r="3142" spans="1:59" s="46" customFormat="1" ht="15.95" customHeight="1">
      <c r="A3142" s="176">
        <v>33</v>
      </c>
      <c r="B3142" s="31" t="s">
        <v>952</v>
      </c>
      <c r="C3142" s="32" t="s">
        <v>2282</v>
      </c>
      <c r="D3142" s="366"/>
      <c r="E3142" s="366"/>
      <c r="F3142" s="366"/>
      <c r="G3142" s="366"/>
      <c r="H3142" s="366"/>
      <c r="I3142" s="366"/>
      <c r="J3142" s="366"/>
      <c r="K3142" s="366"/>
      <c r="L3142" s="366"/>
      <c r="M3142" s="366"/>
      <c r="N3142" s="366"/>
      <c r="O3142" s="366"/>
      <c r="P3142" s="366"/>
      <c r="Q3142" s="366"/>
      <c r="R3142" s="366"/>
      <c r="S3142" s="366"/>
      <c r="T3142" s="366"/>
      <c r="U3142" s="366"/>
      <c r="V3142" s="366"/>
      <c r="W3142" s="366"/>
      <c r="X3142" s="366"/>
      <c r="Y3142" s="366"/>
      <c r="Z3142" s="366"/>
      <c r="AA3142" s="366"/>
      <c r="AB3142" s="22">
        <f t="shared" ref="AB3142:AB3158" si="963">SUM(D3142:AA3142)</f>
        <v>0</v>
      </c>
      <c r="AC3142" s="23">
        <v>0</v>
      </c>
      <c r="AD3142" s="35"/>
      <c r="AE3142" s="35"/>
      <c r="AF3142" s="35"/>
      <c r="AG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  <c r="AX3142" s="35"/>
      <c r="AY3142" s="35"/>
      <c r="AZ3142" s="35"/>
      <c r="BA3142" s="35"/>
      <c r="BB3142" s="22">
        <f t="shared" ref="BB3142:BB3158" si="964">SUM(AD3142:BA3142)</f>
        <v>0</v>
      </c>
      <c r="BC3142" s="23">
        <v>1</v>
      </c>
      <c r="BD3142" s="130">
        <f t="shared" ref="BD3142:BD3158" si="965">AB3142+BB3142</f>
        <v>0</v>
      </c>
      <c r="BE3142" s="130">
        <f t="shared" ref="BE3142:BE3158" si="966">AC3142+BC3142</f>
        <v>1</v>
      </c>
      <c r="BF3142" s="195">
        <f t="shared" ref="BF3142:BF3158" si="967">BD3142/BE3142*100</f>
        <v>0</v>
      </c>
      <c r="BG3142" s="373">
        <f t="shared" si="962"/>
        <v>1</v>
      </c>
    </row>
    <row r="3143" spans="1:59" s="46" customFormat="1" ht="15.95" customHeight="1">
      <c r="A3143" s="176">
        <v>34</v>
      </c>
      <c r="B3143" s="31" t="s">
        <v>851</v>
      </c>
      <c r="C3143" s="32" t="s">
        <v>1359</v>
      </c>
      <c r="D3143" s="366"/>
      <c r="E3143" s="366"/>
      <c r="F3143" s="366"/>
      <c r="G3143" s="366"/>
      <c r="H3143" s="366"/>
      <c r="I3143" s="366"/>
      <c r="J3143" s="366"/>
      <c r="K3143" s="366"/>
      <c r="L3143" s="366"/>
      <c r="M3143" s="366"/>
      <c r="N3143" s="366"/>
      <c r="O3143" s="366"/>
      <c r="P3143" s="366"/>
      <c r="Q3143" s="366"/>
      <c r="R3143" s="366"/>
      <c r="S3143" s="366"/>
      <c r="T3143" s="366"/>
      <c r="U3143" s="366"/>
      <c r="V3143" s="366"/>
      <c r="W3143" s="366"/>
      <c r="X3143" s="366"/>
      <c r="Y3143" s="366"/>
      <c r="Z3143" s="366"/>
      <c r="AA3143" s="366"/>
      <c r="AB3143" s="22">
        <f t="shared" si="963"/>
        <v>0</v>
      </c>
      <c r="AC3143" s="23">
        <v>0</v>
      </c>
      <c r="AD3143" s="35">
        <v>12</v>
      </c>
      <c r="AE3143" s="35"/>
      <c r="AF3143" s="35"/>
      <c r="AG3143" s="35"/>
      <c r="AH3143" s="35">
        <v>9</v>
      </c>
      <c r="AI3143" s="35"/>
      <c r="AJ3143" s="35"/>
      <c r="AK3143" s="35"/>
      <c r="AL3143" s="35"/>
      <c r="AM3143" s="35"/>
      <c r="AN3143" s="35"/>
      <c r="AO3143" s="35"/>
      <c r="AP3143" s="35">
        <v>1</v>
      </c>
      <c r="AQ3143" s="35"/>
      <c r="AR3143" s="35"/>
      <c r="AS3143" s="35"/>
      <c r="AT3143" s="35"/>
      <c r="AU3143" s="35"/>
      <c r="AV3143" s="35"/>
      <c r="AW3143" s="35"/>
      <c r="AX3143" s="35"/>
      <c r="AY3143" s="35"/>
      <c r="AZ3143" s="35"/>
      <c r="BA3143" s="35"/>
      <c r="BB3143" s="22">
        <f t="shared" si="964"/>
        <v>22</v>
      </c>
      <c r="BC3143" s="23">
        <v>10</v>
      </c>
      <c r="BD3143" s="130">
        <f t="shared" si="965"/>
        <v>22</v>
      </c>
      <c r="BE3143" s="130">
        <f t="shared" si="966"/>
        <v>10</v>
      </c>
      <c r="BF3143" s="195">
        <f t="shared" si="967"/>
        <v>220.00000000000003</v>
      </c>
      <c r="BG3143" s="373">
        <f t="shared" si="962"/>
        <v>-12</v>
      </c>
    </row>
    <row r="3144" spans="1:59" s="46" customFormat="1" ht="15.95" customHeight="1">
      <c r="A3144" s="176">
        <v>35</v>
      </c>
      <c r="B3144" s="31" t="s">
        <v>1088</v>
      </c>
      <c r="C3144" s="32" t="s">
        <v>1089</v>
      </c>
      <c r="D3144" s="366"/>
      <c r="E3144" s="366"/>
      <c r="F3144" s="366"/>
      <c r="G3144" s="366"/>
      <c r="H3144" s="366"/>
      <c r="I3144" s="366"/>
      <c r="J3144" s="366"/>
      <c r="K3144" s="366"/>
      <c r="L3144" s="366"/>
      <c r="M3144" s="366"/>
      <c r="N3144" s="366"/>
      <c r="O3144" s="366"/>
      <c r="P3144" s="366"/>
      <c r="Q3144" s="366"/>
      <c r="R3144" s="366"/>
      <c r="S3144" s="366"/>
      <c r="T3144" s="366"/>
      <c r="U3144" s="366"/>
      <c r="V3144" s="366"/>
      <c r="W3144" s="366"/>
      <c r="X3144" s="366"/>
      <c r="Y3144" s="366"/>
      <c r="Z3144" s="366"/>
      <c r="AA3144" s="366"/>
      <c r="AB3144" s="22">
        <f t="shared" si="963"/>
        <v>0</v>
      </c>
      <c r="AC3144" s="23">
        <v>0</v>
      </c>
      <c r="AD3144" s="35"/>
      <c r="AE3144" s="35"/>
      <c r="AF3144" s="35"/>
      <c r="AG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  <c r="AX3144" s="35"/>
      <c r="AY3144" s="35"/>
      <c r="AZ3144" s="35"/>
      <c r="BA3144" s="35"/>
      <c r="BB3144" s="22">
        <f t="shared" si="964"/>
        <v>0</v>
      </c>
      <c r="BC3144" s="23">
        <v>1</v>
      </c>
      <c r="BD3144" s="130">
        <f t="shared" si="965"/>
        <v>0</v>
      </c>
      <c r="BE3144" s="130">
        <f t="shared" si="966"/>
        <v>1</v>
      </c>
      <c r="BF3144" s="195">
        <f t="shared" si="967"/>
        <v>0</v>
      </c>
      <c r="BG3144" s="373">
        <f t="shared" si="962"/>
        <v>1</v>
      </c>
    </row>
    <row r="3145" spans="1:59" s="46" customFormat="1" ht="15.95" customHeight="1">
      <c r="A3145" s="176">
        <v>36</v>
      </c>
      <c r="B3145" s="31" t="s">
        <v>1773</v>
      </c>
      <c r="C3145" s="32" t="s">
        <v>3465</v>
      </c>
      <c r="D3145" s="366"/>
      <c r="E3145" s="366"/>
      <c r="F3145" s="366"/>
      <c r="G3145" s="366"/>
      <c r="H3145" s="366"/>
      <c r="I3145" s="366"/>
      <c r="J3145" s="366"/>
      <c r="K3145" s="366"/>
      <c r="L3145" s="366"/>
      <c r="M3145" s="366"/>
      <c r="N3145" s="366"/>
      <c r="O3145" s="366"/>
      <c r="P3145" s="366"/>
      <c r="Q3145" s="366"/>
      <c r="R3145" s="366"/>
      <c r="S3145" s="366"/>
      <c r="T3145" s="366"/>
      <c r="U3145" s="366"/>
      <c r="V3145" s="366"/>
      <c r="W3145" s="366"/>
      <c r="X3145" s="366"/>
      <c r="Y3145" s="366"/>
      <c r="Z3145" s="366"/>
      <c r="AA3145" s="366"/>
      <c r="AB3145" s="22">
        <f t="shared" si="963"/>
        <v>0</v>
      </c>
      <c r="AC3145" s="23">
        <v>0</v>
      </c>
      <c r="AD3145" s="35"/>
      <c r="AE3145" s="35"/>
      <c r="AF3145" s="35"/>
      <c r="AG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  <c r="AX3145" s="35"/>
      <c r="AY3145" s="35"/>
      <c r="AZ3145" s="35"/>
      <c r="BA3145" s="35"/>
      <c r="BB3145" s="22">
        <f t="shared" si="964"/>
        <v>0</v>
      </c>
      <c r="BC3145" s="23">
        <v>12</v>
      </c>
      <c r="BD3145" s="130">
        <f t="shared" si="965"/>
        <v>0</v>
      </c>
      <c r="BE3145" s="130">
        <f t="shared" si="966"/>
        <v>12</v>
      </c>
      <c r="BF3145" s="195">
        <f t="shared" si="967"/>
        <v>0</v>
      </c>
      <c r="BG3145" s="373">
        <f t="shared" si="962"/>
        <v>12</v>
      </c>
    </row>
    <row r="3146" spans="1:59" s="46" customFormat="1" ht="15.95" customHeight="1">
      <c r="A3146" s="176">
        <v>37</v>
      </c>
      <c r="B3146" s="31" t="s">
        <v>1018</v>
      </c>
      <c r="C3146" s="34" t="s">
        <v>1402</v>
      </c>
      <c r="D3146" s="366"/>
      <c r="E3146" s="366"/>
      <c r="F3146" s="366"/>
      <c r="G3146" s="366"/>
      <c r="H3146" s="366"/>
      <c r="I3146" s="366"/>
      <c r="J3146" s="366"/>
      <c r="K3146" s="366"/>
      <c r="L3146" s="366"/>
      <c r="M3146" s="366"/>
      <c r="N3146" s="366"/>
      <c r="O3146" s="366"/>
      <c r="P3146" s="366"/>
      <c r="Q3146" s="366"/>
      <c r="R3146" s="366"/>
      <c r="S3146" s="366"/>
      <c r="T3146" s="366"/>
      <c r="U3146" s="366"/>
      <c r="V3146" s="366"/>
      <c r="W3146" s="366"/>
      <c r="X3146" s="366"/>
      <c r="Y3146" s="366"/>
      <c r="Z3146" s="366"/>
      <c r="AA3146" s="366"/>
      <c r="AB3146" s="22">
        <f t="shared" si="963"/>
        <v>0</v>
      </c>
      <c r="AC3146" s="23">
        <v>0</v>
      </c>
      <c r="AD3146" s="35"/>
      <c r="AE3146" s="35"/>
      <c r="AF3146" s="35"/>
      <c r="AG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  <c r="AX3146" s="35"/>
      <c r="AY3146" s="35"/>
      <c r="AZ3146" s="35"/>
      <c r="BA3146" s="35"/>
      <c r="BB3146" s="22">
        <f t="shared" si="964"/>
        <v>0</v>
      </c>
      <c r="BC3146" s="23">
        <v>1</v>
      </c>
      <c r="BD3146" s="130">
        <f t="shared" si="965"/>
        <v>0</v>
      </c>
      <c r="BE3146" s="130">
        <f t="shared" si="966"/>
        <v>1</v>
      </c>
      <c r="BF3146" s="195">
        <f t="shared" si="967"/>
        <v>0</v>
      </c>
      <c r="BG3146" s="373">
        <f t="shared" si="962"/>
        <v>1</v>
      </c>
    </row>
    <row r="3147" spans="1:59" s="46" customFormat="1" ht="15.95" customHeight="1">
      <c r="A3147" s="176">
        <v>38</v>
      </c>
      <c r="B3147" s="505" t="s">
        <v>970</v>
      </c>
      <c r="C3147" s="507" t="s">
        <v>2337</v>
      </c>
      <c r="D3147" s="366"/>
      <c r="E3147" s="366"/>
      <c r="F3147" s="366"/>
      <c r="G3147" s="366"/>
      <c r="H3147" s="366"/>
      <c r="I3147" s="366"/>
      <c r="J3147" s="366"/>
      <c r="K3147" s="366"/>
      <c r="L3147" s="366"/>
      <c r="M3147" s="366"/>
      <c r="N3147" s="366"/>
      <c r="O3147" s="366"/>
      <c r="P3147" s="366"/>
      <c r="Q3147" s="366"/>
      <c r="R3147" s="366"/>
      <c r="S3147" s="366"/>
      <c r="T3147" s="366"/>
      <c r="U3147" s="366"/>
      <c r="V3147" s="366"/>
      <c r="W3147" s="366"/>
      <c r="X3147" s="366"/>
      <c r="Y3147" s="366"/>
      <c r="Z3147" s="366"/>
      <c r="AA3147" s="366"/>
      <c r="AB3147" s="22">
        <f t="shared" si="963"/>
        <v>0</v>
      </c>
      <c r="AC3147" s="23">
        <v>0</v>
      </c>
      <c r="AD3147" s="35"/>
      <c r="AE3147" s="35"/>
      <c r="AF3147" s="35"/>
      <c r="AG3147" s="35"/>
      <c r="AH3147" s="35">
        <v>51</v>
      </c>
      <c r="AI3147" s="35"/>
      <c r="AJ3147" s="35"/>
      <c r="AK3147" s="35">
        <v>9</v>
      </c>
      <c r="AL3147" s="35">
        <f>767+88</f>
        <v>855</v>
      </c>
      <c r="AM3147" s="35"/>
      <c r="AN3147" s="35"/>
      <c r="AO3147" s="35"/>
      <c r="AP3147" s="35">
        <f>169+71</f>
        <v>240</v>
      </c>
      <c r="AQ3147" s="35"/>
      <c r="AR3147" s="35"/>
      <c r="AS3147" s="35"/>
      <c r="AT3147" s="35"/>
      <c r="AU3147" s="35"/>
      <c r="AV3147" s="35"/>
      <c r="AW3147" s="35"/>
      <c r="AX3147" s="35"/>
      <c r="AY3147" s="35"/>
      <c r="AZ3147" s="35"/>
      <c r="BA3147" s="35"/>
      <c r="BB3147" s="22">
        <f t="shared" si="964"/>
        <v>1155</v>
      </c>
      <c r="BC3147" s="23">
        <v>6259</v>
      </c>
      <c r="BD3147" s="130">
        <f t="shared" si="965"/>
        <v>1155</v>
      </c>
      <c r="BE3147" s="130">
        <f t="shared" si="966"/>
        <v>6259</v>
      </c>
      <c r="BF3147" s="195">
        <f t="shared" si="967"/>
        <v>18.453427065026361</v>
      </c>
      <c r="BG3147" s="373">
        <f t="shared" si="962"/>
        <v>5104</v>
      </c>
    </row>
    <row r="3148" spans="1:59" s="46" customFormat="1" ht="15.95" customHeight="1">
      <c r="A3148" s="176">
        <v>39</v>
      </c>
      <c r="B3148" s="31" t="s">
        <v>854</v>
      </c>
      <c r="C3148" s="45" t="s">
        <v>2074</v>
      </c>
      <c r="D3148" s="366"/>
      <c r="E3148" s="366"/>
      <c r="F3148" s="366"/>
      <c r="G3148" s="366"/>
      <c r="H3148" s="366"/>
      <c r="I3148" s="366"/>
      <c r="J3148" s="366"/>
      <c r="K3148" s="366"/>
      <c r="L3148" s="366"/>
      <c r="M3148" s="366"/>
      <c r="N3148" s="366"/>
      <c r="O3148" s="366"/>
      <c r="P3148" s="366"/>
      <c r="Q3148" s="366"/>
      <c r="R3148" s="366"/>
      <c r="S3148" s="366"/>
      <c r="T3148" s="366"/>
      <c r="U3148" s="366"/>
      <c r="V3148" s="366"/>
      <c r="W3148" s="366"/>
      <c r="X3148" s="366"/>
      <c r="Y3148" s="366"/>
      <c r="Z3148" s="366"/>
      <c r="AA3148" s="366"/>
      <c r="AB3148" s="22">
        <f t="shared" si="963"/>
        <v>0</v>
      </c>
      <c r="AC3148" s="23">
        <v>0</v>
      </c>
      <c r="AD3148" s="35">
        <v>36</v>
      </c>
      <c r="AE3148" s="35"/>
      <c r="AF3148" s="35"/>
      <c r="AG3148" s="35"/>
      <c r="AH3148" s="35">
        <f>8+1</f>
        <v>9</v>
      </c>
      <c r="AI3148" s="35"/>
      <c r="AJ3148" s="35"/>
      <c r="AK3148" s="35"/>
      <c r="AL3148" s="35">
        <v>63</v>
      </c>
      <c r="AM3148" s="35"/>
      <c r="AN3148" s="35"/>
      <c r="AO3148" s="35"/>
      <c r="AP3148" s="35">
        <v>39</v>
      </c>
      <c r="AQ3148" s="35"/>
      <c r="AR3148" s="35"/>
      <c r="AS3148" s="35"/>
      <c r="AT3148" s="35"/>
      <c r="AU3148" s="35"/>
      <c r="AV3148" s="35"/>
      <c r="AW3148" s="35"/>
      <c r="AX3148" s="35"/>
      <c r="AY3148" s="35"/>
      <c r="AZ3148" s="35"/>
      <c r="BA3148" s="35"/>
      <c r="BB3148" s="22">
        <f t="shared" si="964"/>
        <v>147</v>
      </c>
      <c r="BC3148" s="23">
        <v>378</v>
      </c>
      <c r="BD3148" s="130">
        <f t="shared" si="965"/>
        <v>147</v>
      </c>
      <c r="BE3148" s="130">
        <f t="shared" si="966"/>
        <v>378</v>
      </c>
      <c r="BF3148" s="195">
        <f t="shared" si="967"/>
        <v>38.888888888888893</v>
      </c>
      <c r="BG3148" s="373">
        <f t="shared" si="962"/>
        <v>231</v>
      </c>
    </row>
    <row r="3149" spans="1:59" s="46" customFormat="1" ht="15.95" customHeight="1">
      <c r="A3149" s="176">
        <v>40</v>
      </c>
      <c r="B3149" s="31" t="s">
        <v>856</v>
      </c>
      <c r="C3149" s="45" t="s">
        <v>1123</v>
      </c>
      <c r="D3149" s="366"/>
      <c r="E3149" s="366"/>
      <c r="F3149" s="366"/>
      <c r="G3149" s="366"/>
      <c r="H3149" s="366"/>
      <c r="I3149" s="366"/>
      <c r="J3149" s="366"/>
      <c r="K3149" s="366"/>
      <c r="L3149" s="366"/>
      <c r="M3149" s="366"/>
      <c r="N3149" s="366"/>
      <c r="O3149" s="366"/>
      <c r="P3149" s="366"/>
      <c r="Q3149" s="366"/>
      <c r="R3149" s="366"/>
      <c r="S3149" s="366"/>
      <c r="T3149" s="366"/>
      <c r="U3149" s="366"/>
      <c r="V3149" s="366"/>
      <c r="W3149" s="366"/>
      <c r="X3149" s="366"/>
      <c r="Y3149" s="366"/>
      <c r="Z3149" s="366"/>
      <c r="AA3149" s="366"/>
      <c r="AB3149" s="22">
        <f t="shared" si="963"/>
        <v>0</v>
      </c>
      <c r="AC3149" s="23">
        <v>0</v>
      </c>
      <c r="AD3149" s="35"/>
      <c r="AE3149" s="35"/>
      <c r="AF3149" s="35"/>
      <c r="AG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  <c r="AX3149" s="35"/>
      <c r="AY3149" s="35"/>
      <c r="AZ3149" s="35"/>
      <c r="BA3149" s="35"/>
      <c r="BB3149" s="22">
        <f t="shared" si="964"/>
        <v>0</v>
      </c>
      <c r="BC3149" s="23">
        <v>53</v>
      </c>
      <c r="BD3149" s="130">
        <f t="shared" si="965"/>
        <v>0</v>
      </c>
      <c r="BE3149" s="130">
        <f t="shared" si="966"/>
        <v>53</v>
      </c>
      <c r="BF3149" s="195">
        <f t="shared" si="967"/>
        <v>0</v>
      </c>
      <c r="BG3149" s="373">
        <f t="shared" si="962"/>
        <v>53</v>
      </c>
    </row>
    <row r="3150" spans="1:59" s="46" customFormat="1" ht="15.95" customHeight="1">
      <c r="A3150" s="176">
        <v>41</v>
      </c>
      <c r="B3150" s="31" t="s">
        <v>1059</v>
      </c>
      <c r="C3150" s="45" t="s">
        <v>2841</v>
      </c>
      <c r="D3150" s="231"/>
      <c r="E3150" s="231"/>
      <c r="F3150" s="231"/>
      <c r="G3150" s="231"/>
      <c r="H3150" s="231"/>
      <c r="I3150" s="231"/>
      <c r="J3150" s="231"/>
      <c r="K3150" s="231"/>
      <c r="L3150" s="231"/>
      <c r="M3150" s="231"/>
      <c r="N3150" s="231"/>
      <c r="O3150" s="231"/>
      <c r="P3150" s="231"/>
      <c r="Q3150" s="231"/>
      <c r="R3150" s="231"/>
      <c r="S3150" s="231"/>
      <c r="T3150" s="231"/>
      <c r="U3150" s="231"/>
      <c r="V3150" s="231"/>
      <c r="W3150" s="231"/>
      <c r="X3150" s="231"/>
      <c r="Y3150" s="231"/>
      <c r="Z3150" s="231"/>
      <c r="AA3150" s="231"/>
      <c r="AB3150" s="22">
        <f t="shared" si="963"/>
        <v>0</v>
      </c>
      <c r="AC3150" s="23">
        <v>0</v>
      </c>
      <c r="AD3150" s="35"/>
      <c r="AE3150" s="35"/>
      <c r="AF3150" s="35"/>
      <c r="AG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  <c r="AX3150" s="35"/>
      <c r="AY3150" s="35"/>
      <c r="AZ3150" s="35"/>
      <c r="BA3150" s="35"/>
      <c r="BB3150" s="22">
        <f t="shared" si="964"/>
        <v>0</v>
      </c>
      <c r="BC3150" s="23">
        <v>5</v>
      </c>
      <c r="BD3150" s="130">
        <f t="shared" si="965"/>
        <v>0</v>
      </c>
      <c r="BE3150" s="130">
        <f t="shared" si="966"/>
        <v>5</v>
      </c>
      <c r="BF3150" s="195">
        <f t="shared" si="967"/>
        <v>0</v>
      </c>
      <c r="BG3150" s="373">
        <f t="shared" si="962"/>
        <v>5</v>
      </c>
    </row>
    <row r="3151" spans="1:59" s="46" customFormat="1" ht="15.95" customHeight="1">
      <c r="A3151" s="176">
        <v>42</v>
      </c>
      <c r="B3151" s="31" t="s">
        <v>1209</v>
      </c>
      <c r="C3151" s="34" t="s">
        <v>1645</v>
      </c>
      <c r="D3151" s="231"/>
      <c r="E3151" s="231"/>
      <c r="F3151" s="231"/>
      <c r="G3151" s="231"/>
      <c r="H3151" s="231"/>
      <c r="I3151" s="231"/>
      <c r="J3151" s="231"/>
      <c r="K3151" s="231"/>
      <c r="L3151" s="231"/>
      <c r="M3151" s="231"/>
      <c r="N3151" s="231"/>
      <c r="O3151" s="231"/>
      <c r="P3151" s="231"/>
      <c r="Q3151" s="231"/>
      <c r="R3151" s="231"/>
      <c r="S3151" s="231"/>
      <c r="T3151" s="231"/>
      <c r="U3151" s="231"/>
      <c r="V3151" s="231"/>
      <c r="W3151" s="231"/>
      <c r="X3151" s="231"/>
      <c r="Y3151" s="231"/>
      <c r="Z3151" s="231"/>
      <c r="AA3151" s="231"/>
      <c r="AB3151" s="22">
        <f t="shared" si="963"/>
        <v>0</v>
      </c>
      <c r="AC3151" s="23">
        <v>0</v>
      </c>
      <c r="AD3151" s="35"/>
      <c r="AE3151" s="35"/>
      <c r="AF3151" s="35"/>
      <c r="AG3151" s="35"/>
      <c r="AH3151" s="35"/>
      <c r="AI3151" s="35"/>
      <c r="AJ3151" s="35"/>
      <c r="AK3151" s="35"/>
      <c r="AL3151" s="35">
        <v>13</v>
      </c>
      <c r="AM3151" s="35"/>
      <c r="AN3151" s="35"/>
      <c r="AO3151" s="35"/>
      <c r="AP3151" s="35">
        <v>4</v>
      </c>
      <c r="AQ3151" s="35"/>
      <c r="AR3151" s="35"/>
      <c r="AS3151" s="35"/>
      <c r="AT3151" s="35"/>
      <c r="AU3151" s="35"/>
      <c r="AV3151" s="35"/>
      <c r="AW3151" s="35"/>
      <c r="AX3151" s="35"/>
      <c r="AY3151" s="35"/>
      <c r="AZ3151" s="35"/>
      <c r="BA3151" s="35"/>
      <c r="BB3151" s="22">
        <f t="shared" si="964"/>
        <v>17</v>
      </c>
      <c r="BC3151" s="23">
        <v>494</v>
      </c>
      <c r="BD3151" s="130">
        <f t="shared" si="965"/>
        <v>17</v>
      </c>
      <c r="BE3151" s="130">
        <f t="shared" si="966"/>
        <v>494</v>
      </c>
      <c r="BF3151" s="195">
        <f t="shared" si="967"/>
        <v>3.4412955465587043</v>
      </c>
      <c r="BG3151" s="373">
        <f t="shared" si="962"/>
        <v>477</v>
      </c>
    </row>
    <row r="3152" spans="1:59" s="46" customFormat="1" ht="15.95" customHeight="1">
      <c r="A3152" s="176">
        <v>43</v>
      </c>
      <c r="B3152" s="31" t="s">
        <v>858</v>
      </c>
      <c r="C3152" s="32" t="s">
        <v>859</v>
      </c>
      <c r="D3152" s="279"/>
      <c r="E3152" s="279"/>
      <c r="F3152" s="279"/>
      <c r="G3152" s="279"/>
      <c r="H3152" s="279"/>
      <c r="I3152" s="279"/>
      <c r="J3152" s="279"/>
      <c r="K3152" s="279"/>
      <c r="L3152" s="279"/>
      <c r="M3152" s="279"/>
      <c r="N3152" s="279"/>
      <c r="O3152" s="279"/>
      <c r="P3152" s="279"/>
      <c r="Q3152" s="279"/>
      <c r="R3152" s="279"/>
      <c r="S3152" s="279"/>
      <c r="T3152" s="279"/>
      <c r="U3152" s="279"/>
      <c r="V3152" s="279"/>
      <c r="W3152" s="279"/>
      <c r="X3152" s="279"/>
      <c r="Y3152" s="279"/>
      <c r="Z3152" s="279"/>
      <c r="AA3152" s="279"/>
      <c r="AB3152" s="22">
        <f t="shared" si="963"/>
        <v>0</v>
      </c>
      <c r="AC3152" s="23">
        <v>0</v>
      </c>
      <c r="AD3152" s="35">
        <v>2070</v>
      </c>
      <c r="AE3152" s="35"/>
      <c r="AF3152" s="35"/>
      <c r="AG3152" s="35"/>
      <c r="AH3152" s="35">
        <v>1028</v>
      </c>
      <c r="AI3152" s="35"/>
      <c r="AJ3152" s="35"/>
      <c r="AK3152" s="35"/>
      <c r="AL3152" s="35"/>
      <c r="AM3152" s="35"/>
      <c r="AN3152" s="35"/>
      <c r="AO3152" s="35"/>
      <c r="AP3152" s="35">
        <v>29</v>
      </c>
      <c r="AQ3152" s="35"/>
      <c r="AR3152" s="35"/>
      <c r="AS3152" s="35"/>
      <c r="AT3152" s="35"/>
      <c r="AU3152" s="35"/>
      <c r="AV3152" s="35"/>
      <c r="AW3152" s="35"/>
      <c r="AX3152" s="35"/>
      <c r="AY3152" s="35"/>
      <c r="AZ3152" s="35"/>
      <c r="BA3152" s="35"/>
      <c r="BB3152" s="22">
        <f t="shared" si="964"/>
        <v>3127</v>
      </c>
      <c r="BC3152" s="23">
        <v>140</v>
      </c>
      <c r="BD3152" s="130">
        <f t="shared" si="965"/>
        <v>3127</v>
      </c>
      <c r="BE3152" s="130">
        <f t="shared" si="966"/>
        <v>140</v>
      </c>
      <c r="BF3152" s="195">
        <f t="shared" si="967"/>
        <v>2233.5714285714284</v>
      </c>
      <c r="BG3152" s="373">
        <f t="shared" si="962"/>
        <v>-2987</v>
      </c>
    </row>
    <row r="3153" spans="1:59" s="46" customFormat="1" ht="15.95" customHeight="1">
      <c r="A3153" s="176">
        <v>44</v>
      </c>
      <c r="B3153" s="31" t="s">
        <v>860</v>
      </c>
      <c r="C3153" s="45" t="s">
        <v>1646</v>
      </c>
      <c r="D3153" s="231"/>
      <c r="E3153" s="231"/>
      <c r="F3153" s="231"/>
      <c r="G3153" s="231"/>
      <c r="H3153" s="231"/>
      <c r="I3153" s="231"/>
      <c r="J3153" s="231"/>
      <c r="K3153" s="231"/>
      <c r="L3153" s="231"/>
      <c r="M3153" s="231"/>
      <c r="N3153" s="231"/>
      <c r="O3153" s="231"/>
      <c r="P3153" s="231"/>
      <c r="Q3153" s="231"/>
      <c r="R3153" s="231"/>
      <c r="S3153" s="231"/>
      <c r="T3153" s="231"/>
      <c r="U3153" s="231"/>
      <c r="V3153" s="231"/>
      <c r="W3153" s="231"/>
      <c r="X3153" s="231"/>
      <c r="Y3153" s="231"/>
      <c r="Z3153" s="231"/>
      <c r="AA3153" s="231"/>
      <c r="AB3153" s="22">
        <f t="shared" si="963"/>
        <v>0</v>
      </c>
      <c r="AC3153" s="23">
        <v>0</v>
      </c>
      <c r="AD3153" s="35">
        <v>4104</v>
      </c>
      <c r="AE3153" s="35"/>
      <c r="AF3153" s="35"/>
      <c r="AG3153" s="35"/>
      <c r="AH3153" s="35">
        <f>2394+70</f>
        <v>2464</v>
      </c>
      <c r="AI3153" s="35"/>
      <c r="AJ3153" s="35"/>
      <c r="AK3153" s="35"/>
      <c r="AL3153" s="35">
        <v>1155</v>
      </c>
      <c r="AM3153" s="35"/>
      <c r="AN3153" s="35"/>
      <c r="AO3153" s="35"/>
      <c r="AP3153" s="35">
        <f>44+629</f>
        <v>673</v>
      </c>
      <c r="AQ3153" s="35"/>
      <c r="AR3153" s="35"/>
      <c r="AS3153" s="35"/>
      <c r="AT3153" s="35"/>
      <c r="AU3153" s="35"/>
      <c r="AV3153" s="35"/>
      <c r="AW3153" s="35"/>
      <c r="AX3153" s="35"/>
      <c r="AY3153" s="35"/>
      <c r="AZ3153" s="35"/>
      <c r="BA3153" s="35"/>
      <c r="BB3153" s="22">
        <f t="shared" si="964"/>
        <v>8396</v>
      </c>
      <c r="BC3153" s="23">
        <v>2140</v>
      </c>
      <c r="BD3153" s="130">
        <f t="shared" si="965"/>
        <v>8396</v>
      </c>
      <c r="BE3153" s="130">
        <f t="shared" si="966"/>
        <v>2140</v>
      </c>
      <c r="BF3153" s="195">
        <f t="shared" si="967"/>
        <v>392.33644859813086</v>
      </c>
      <c r="BG3153" s="373">
        <f t="shared" si="962"/>
        <v>-6256</v>
      </c>
    </row>
    <row r="3154" spans="1:59" s="46" customFormat="1" ht="15.95" customHeight="1">
      <c r="A3154" s="176">
        <v>45</v>
      </c>
      <c r="B3154" s="31" t="s">
        <v>862</v>
      </c>
      <c r="C3154" s="45" t="s">
        <v>1515</v>
      </c>
      <c r="D3154" s="231"/>
      <c r="E3154" s="231"/>
      <c r="F3154" s="231"/>
      <c r="G3154" s="231"/>
      <c r="H3154" s="231"/>
      <c r="I3154" s="231"/>
      <c r="J3154" s="231"/>
      <c r="K3154" s="231"/>
      <c r="L3154" s="231"/>
      <c r="M3154" s="231"/>
      <c r="N3154" s="231"/>
      <c r="O3154" s="231"/>
      <c r="P3154" s="231"/>
      <c r="Q3154" s="231"/>
      <c r="R3154" s="231"/>
      <c r="S3154" s="231"/>
      <c r="T3154" s="231"/>
      <c r="U3154" s="231"/>
      <c r="V3154" s="231"/>
      <c r="W3154" s="231"/>
      <c r="X3154" s="231"/>
      <c r="Y3154" s="231"/>
      <c r="Z3154" s="231"/>
      <c r="AA3154" s="231"/>
      <c r="AB3154" s="22">
        <f t="shared" si="963"/>
        <v>0</v>
      </c>
      <c r="AC3154" s="23">
        <v>0</v>
      </c>
      <c r="AD3154" s="35">
        <v>1985</v>
      </c>
      <c r="AE3154" s="35"/>
      <c r="AF3154" s="35"/>
      <c r="AG3154" s="35"/>
      <c r="AH3154" s="35">
        <f>995+14</f>
        <v>1009</v>
      </c>
      <c r="AI3154" s="35"/>
      <c r="AJ3154" s="35"/>
      <c r="AK3154" s="35"/>
      <c r="AL3154" s="35">
        <v>164</v>
      </c>
      <c r="AM3154" s="35"/>
      <c r="AN3154" s="35"/>
      <c r="AO3154" s="35"/>
      <c r="AP3154" s="35">
        <f>6+119</f>
        <v>125</v>
      </c>
      <c r="AQ3154" s="35"/>
      <c r="AR3154" s="35"/>
      <c r="AS3154" s="35"/>
      <c r="AT3154" s="35"/>
      <c r="AU3154" s="35"/>
      <c r="AV3154" s="35"/>
      <c r="AW3154" s="35"/>
      <c r="AX3154" s="35"/>
      <c r="AY3154" s="35"/>
      <c r="AZ3154" s="35"/>
      <c r="BA3154" s="35"/>
      <c r="BB3154" s="22">
        <f t="shared" si="964"/>
        <v>3283</v>
      </c>
      <c r="BC3154" s="23">
        <v>214</v>
      </c>
      <c r="BD3154" s="130">
        <f t="shared" si="965"/>
        <v>3283</v>
      </c>
      <c r="BE3154" s="130">
        <f t="shared" si="966"/>
        <v>214</v>
      </c>
      <c r="BF3154" s="195">
        <f t="shared" si="967"/>
        <v>1534.1121495327104</v>
      </c>
      <c r="BG3154" s="373">
        <f t="shared" si="962"/>
        <v>-3069</v>
      </c>
    </row>
    <row r="3155" spans="1:59" s="46" customFormat="1" ht="15.95" customHeight="1">
      <c r="A3155" s="176">
        <v>46</v>
      </c>
      <c r="B3155" s="31" t="s">
        <v>864</v>
      </c>
      <c r="C3155" s="45" t="s">
        <v>976</v>
      </c>
      <c r="D3155" s="231"/>
      <c r="E3155" s="231"/>
      <c r="F3155" s="231"/>
      <c r="G3155" s="231"/>
      <c r="H3155" s="231"/>
      <c r="I3155" s="231"/>
      <c r="J3155" s="231"/>
      <c r="K3155" s="231"/>
      <c r="L3155" s="231"/>
      <c r="M3155" s="231"/>
      <c r="N3155" s="231"/>
      <c r="O3155" s="231"/>
      <c r="P3155" s="231"/>
      <c r="Q3155" s="231"/>
      <c r="R3155" s="231"/>
      <c r="S3155" s="231"/>
      <c r="T3155" s="231"/>
      <c r="U3155" s="231"/>
      <c r="V3155" s="231"/>
      <c r="W3155" s="231"/>
      <c r="X3155" s="231"/>
      <c r="Y3155" s="231"/>
      <c r="Z3155" s="231"/>
      <c r="AA3155" s="231"/>
      <c r="AB3155" s="22">
        <f t="shared" si="963"/>
        <v>0</v>
      </c>
      <c r="AC3155" s="23">
        <v>0</v>
      </c>
      <c r="AD3155" s="35">
        <v>93</v>
      </c>
      <c r="AE3155" s="35"/>
      <c r="AF3155" s="35"/>
      <c r="AG3155" s="35"/>
      <c r="AH3155" s="35">
        <v>100</v>
      </c>
      <c r="AI3155" s="35"/>
      <c r="AJ3155" s="35"/>
      <c r="AK3155" s="35"/>
      <c r="AL3155" s="35">
        <v>84</v>
      </c>
      <c r="AM3155" s="35"/>
      <c r="AN3155" s="35"/>
      <c r="AO3155" s="35"/>
      <c r="AP3155" s="35">
        <v>1</v>
      </c>
      <c r="AQ3155" s="35"/>
      <c r="AR3155" s="35"/>
      <c r="AS3155" s="35"/>
      <c r="AT3155" s="35"/>
      <c r="AU3155" s="35"/>
      <c r="AV3155" s="35"/>
      <c r="AW3155" s="35"/>
      <c r="AX3155" s="35"/>
      <c r="AY3155" s="35"/>
      <c r="AZ3155" s="35"/>
      <c r="BA3155" s="35"/>
      <c r="BB3155" s="22">
        <f t="shared" si="964"/>
        <v>278</v>
      </c>
      <c r="BC3155" s="23">
        <v>1015</v>
      </c>
      <c r="BD3155" s="130">
        <f t="shared" si="965"/>
        <v>278</v>
      </c>
      <c r="BE3155" s="130">
        <f t="shared" si="966"/>
        <v>1015</v>
      </c>
      <c r="BF3155" s="195">
        <f t="shared" si="967"/>
        <v>27.389162561576352</v>
      </c>
      <c r="BG3155" s="373">
        <f t="shared" si="962"/>
        <v>737</v>
      </c>
    </row>
    <row r="3156" spans="1:59" s="46" customFormat="1" ht="15.95" customHeight="1">
      <c r="A3156" s="176">
        <v>47</v>
      </c>
      <c r="B3156" s="31" t="s">
        <v>1034</v>
      </c>
      <c r="C3156" s="45" t="s">
        <v>1660</v>
      </c>
      <c r="D3156" s="231"/>
      <c r="E3156" s="231"/>
      <c r="F3156" s="231"/>
      <c r="G3156" s="231"/>
      <c r="H3156" s="231"/>
      <c r="I3156" s="231"/>
      <c r="J3156" s="231"/>
      <c r="K3156" s="231"/>
      <c r="L3156" s="231"/>
      <c r="M3156" s="231"/>
      <c r="N3156" s="231"/>
      <c r="O3156" s="231"/>
      <c r="P3156" s="231"/>
      <c r="Q3156" s="231"/>
      <c r="R3156" s="231"/>
      <c r="S3156" s="231"/>
      <c r="T3156" s="231"/>
      <c r="U3156" s="231"/>
      <c r="V3156" s="231"/>
      <c r="W3156" s="231"/>
      <c r="X3156" s="231"/>
      <c r="Y3156" s="231"/>
      <c r="Z3156" s="231"/>
      <c r="AA3156" s="231"/>
      <c r="AB3156" s="22">
        <f t="shared" si="963"/>
        <v>0</v>
      </c>
      <c r="AC3156" s="23">
        <v>0</v>
      </c>
      <c r="AD3156" s="35">
        <v>4799</v>
      </c>
      <c r="AE3156" s="35"/>
      <c r="AF3156" s="35"/>
      <c r="AG3156" s="35"/>
      <c r="AH3156" s="35">
        <f>2206+60</f>
        <v>2266</v>
      </c>
      <c r="AI3156" s="35"/>
      <c r="AJ3156" s="35"/>
      <c r="AK3156" s="35"/>
      <c r="AL3156" s="35">
        <v>1120</v>
      </c>
      <c r="AM3156" s="35"/>
      <c r="AN3156" s="35"/>
      <c r="AO3156" s="35"/>
      <c r="AP3156" s="35">
        <f>180+392</f>
        <v>572</v>
      </c>
      <c r="AQ3156" s="35"/>
      <c r="AR3156" s="35"/>
      <c r="AS3156" s="35"/>
      <c r="AT3156" s="35"/>
      <c r="AU3156" s="35"/>
      <c r="AV3156" s="35"/>
      <c r="AW3156" s="35"/>
      <c r="AX3156" s="35"/>
      <c r="AY3156" s="35"/>
      <c r="AZ3156" s="35"/>
      <c r="BA3156" s="35"/>
      <c r="BB3156" s="22">
        <f t="shared" si="964"/>
        <v>8757</v>
      </c>
      <c r="BC3156" s="23">
        <v>3155</v>
      </c>
      <c r="BD3156" s="130">
        <f t="shared" si="965"/>
        <v>8757</v>
      </c>
      <c r="BE3156" s="130">
        <f t="shared" si="966"/>
        <v>3155</v>
      </c>
      <c r="BF3156" s="195">
        <f t="shared" si="967"/>
        <v>277.55942947702061</v>
      </c>
      <c r="BG3156" s="373">
        <f t="shared" si="962"/>
        <v>-5602</v>
      </c>
    </row>
    <row r="3157" spans="1:59" s="46" customFormat="1" ht="15.95" customHeight="1">
      <c r="A3157" s="176">
        <v>48</v>
      </c>
      <c r="B3157" s="31" t="s">
        <v>977</v>
      </c>
      <c r="C3157" s="45" t="s">
        <v>2307</v>
      </c>
      <c r="D3157" s="231"/>
      <c r="E3157" s="231"/>
      <c r="F3157" s="231"/>
      <c r="G3157" s="231"/>
      <c r="H3157" s="231"/>
      <c r="I3157" s="231"/>
      <c r="J3157" s="231"/>
      <c r="K3157" s="231"/>
      <c r="L3157" s="231"/>
      <c r="M3157" s="231"/>
      <c r="N3157" s="231"/>
      <c r="O3157" s="231"/>
      <c r="P3157" s="231"/>
      <c r="Q3157" s="231"/>
      <c r="R3157" s="231"/>
      <c r="S3157" s="231"/>
      <c r="T3157" s="231"/>
      <c r="U3157" s="231"/>
      <c r="V3157" s="231"/>
      <c r="W3157" s="231"/>
      <c r="X3157" s="231"/>
      <c r="Y3157" s="231"/>
      <c r="Z3157" s="231"/>
      <c r="AA3157" s="231"/>
      <c r="AB3157" s="22">
        <f t="shared" si="963"/>
        <v>0</v>
      </c>
      <c r="AC3157" s="23">
        <v>0</v>
      </c>
      <c r="AD3157" s="35">
        <v>1</v>
      </c>
      <c r="AE3157" s="35"/>
      <c r="AF3157" s="35"/>
      <c r="AG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  <c r="AX3157" s="35"/>
      <c r="AY3157" s="35"/>
      <c r="AZ3157" s="35"/>
      <c r="BA3157" s="35"/>
      <c r="BB3157" s="22">
        <f t="shared" si="964"/>
        <v>1</v>
      </c>
      <c r="BC3157" s="23">
        <v>14</v>
      </c>
      <c r="BD3157" s="130">
        <f t="shared" si="965"/>
        <v>1</v>
      </c>
      <c r="BE3157" s="130">
        <f t="shared" si="966"/>
        <v>14</v>
      </c>
      <c r="BF3157" s="195">
        <f t="shared" si="967"/>
        <v>7.1428571428571423</v>
      </c>
      <c r="BG3157" s="373">
        <f t="shared" si="962"/>
        <v>13</v>
      </c>
    </row>
    <row r="3158" spans="1:59" s="46" customFormat="1" ht="15.95" customHeight="1">
      <c r="A3158" s="176">
        <v>49</v>
      </c>
      <c r="B3158" s="437" t="s">
        <v>3064</v>
      </c>
      <c r="C3158" s="439" t="s">
        <v>3065</v>
      </c>
      <c r="D3158" s="231"/>
      <c r="E3158" s="231"/>
      <c r="F3158" s="231"/>
      <c r="G3158" s="231"/>
      <c r="H3158" s="231"/>
      <c r="I3158" s="231"/>
      <c r="J3158" s="231"/>
      <c r="K3158" s="231"/>
      <c r="L3158" s="231"/>
      <c r="M3158" s="231"/>
      <c r="N3158" s="231"/>
      <c r="O3158" s="231"/>
      <c r="P3158" s="231"/>
      <c r="Q3158" s="231"/>
      <c r="R3158" s="231"/>
      <c r="S3158" s="231"/>
      <c r="T3158" s="231"/>
      <c r="U3158" s="231"/>
      <c r="V3158" s="231"/>
      <c r="W3158" s="231"/>
      <c r="X3158" s="231"/>
      <c r="Y3158" s="231"/>
      <c r="Z3158" s="231"/>
      <c r="AA3158" s="231"/>
      <c r="AB3158" s="22">
        <f t="shared" si="963"/>
        <v>0</v>
      </c>
      <c r="AC3158" s="23">
        <v>105</v>
      </c>
      <c r="AD3158" s="35"/>
      <c r="AE3158" s="35"/>
      <c r="AF3158" s="35"/>
      <c r="AG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  <c r="AX3158" s="35"/>
      <c r="AY3158" s="35"/>
      <c r="AZ3158" s="35"/>
      <c r="BA3158" s="35"/>
      <c r="BB3158" s="22">
        <f t="shared" si="964"/>
        <v>0</v>
      </c>
      <c r="BC3158" s="23">
        <v>0</v>
      </c>
      <c r="BD3158" s="130">
        <f t="shared" si="965"/>
        <v>0</v>
      </c>
      <c r="BE3158" s="130">
        <f t="shared" si="966"/>
        <v>105</v>
      </c>
      <c r="BF3158" s="195">
        <f t="shared" si="967"/>
        <v>0</v>
      </c>
      <c r="BG3158" s="373">
        <f t="shared" si="962"/>
        <v>105</v>
      </c>
    </row>
    <row r="3159" spans="1:59" s="46" customFormat="1" ht="15.95" customHeight="1">
      <c r="A3159" s="642" t="s">
        <v>1517</v>
      </c>
      <c r="B3159" s="643"/>
      <c r="C3159" s="643"/>
      <c r="D3159" s="98">
        <f t="shared" ref="D3159:AI3159" si="968">SUM(D3160:D3177)</f>
        <v>8</v>
      </c>
      <c r="E3159" s="98">
        <f t="shared" si="968"/>
        <v>0</v>
      </c>
      <c r="F3159" s="98">
        <f t="shared" si="968"/>
        <v>0</v>
      </c>
      <c r="G3159" s="98">
        <f t="shared" si="968"/>
        <v>0</v>
      </c>
      <c r="H3159" s="98">
        <f t="shared" si="968"/>
        <v>3</v>
      </c>
      <c r="I3159" s="98">
        <f t="shared" si="968"/>
        <v>0</v>
      </c>
      <c r="J3159" s="98">
        <f t="shared" si="968"/>
        <v>0</v>
      </c>
      <c r="K3159" s="98">
        <f t="shared" si="968"/>
        <v>0</v>
      </c>
      <c r="L3159" s="98">
        <f t="shared" si="968"/>
        <v>21</v>
      </c>
      <c r="M3159" s="98">
        <f t="shared" si="968"/>
        <v>0</v>
      </c>
      <c r="N3159" s="98">
        <f t="shared" si="968"/>
        <v>0</v>
      </c>
      <c r="O3159" s="98">
        <f t="shared" si="968"/>
        <v>0</v>
      </c>
      <c r="P3159" s="98">
        <f t="shared" si="968"/>
        <v>1</v>
      </c>
      <c r="Q3159" s="98">
        <f t="shared" si="968"/>
        <v>0</v>
      </c>
      <c r="R3159" s="98">
        <f t="shared" si="968"/>
        <v>0</v>
      </c>
      <c r="S3159" s="98">
        <f t="shared" si="968"/>
        <v>0</v>
      </c>
      <c r="T3159" s="98">
        <f t="shared" si="968"/>
        <v>0</v>
      </c>
      <c r="U3159" s="98">
        <f t="shared" si="968"/>
        <v>0</v>
      </c>
      <c r="V3159" s="98">
        <f t="shared" si="968"/>
        <v>0</v>
      </c>
      <c r="W3159" s="98">
        <f t="shared" si="968"/>
        <v>0</v>
      </c>
      <c r="X3159" s="98">
        <f t="shared" si="968"/>
        <v>0</v>
      </c>
      <c r="Y3159" s="98">
        <f t="shared" si="968"/>
        <v>0</v>
      </c>
      <c r="Z3159" s="98">
        <f t="shared" si="968"/>
        <v>0</v>
      </c>
      <c r="AA3159" s="98">
        <f t="shared" si="968"/>
        <v>0</v>
      </c>
      <c r="AB3159" s="98">
        <f t="shared" si="968"/>
        <v>33</v>
      </c>
      <c r="AC3159" s="103">
        <f t="shared" si="968"/>
        <v>47</v>
      </c>
      <c r="AD3159" s="130">
        <f t="shared" si="968"/>
        <v>2</v>
      </c>
      <c r="AE3159" s="130">
        <f t="shared" si="968"/>
        <v>0</v>
      </c>
      <c r="AF3159" s="130">
        <f t="shared" si="968"/>
        <v>0</v>
      </c>
      <c r="AG3159" s="130">
        <f t="shared" si="968"/>
        <v>0</v>
      </c>
      <c r="AH3159" s="130">
        <f t="shared" si="968"/>
        <v>17</v>
      </c>
      <c r="AI3159" s="130">
        <f t="shared" si="968"/>
        <v>0</v>
      </c>
      <c r="AJ3159" s="130">
        <f t="shared" ref="AJ3159:BC3159" si="969">SUM(AJ3160:AJ3177)</f>
        <v>0</v>
      </c>
      <c r="AK3159" s="130">
        <f t="shared" si="969"/>
        <v>0</v>
      </c>
      <c r="AL3159" s="130">
        <f t="shared" si="969"/>
        <v>75</v>
      </c>
      <c r="AM3159" s="130">
        <f t="shared" si="969"/>
        <v>0</v>
      </c>
      <c r="AN3159" s="130">
        <f t="shared" si="969"/>
        <v>0</v>
      </c>
      <c r="AO3159" s="130">
        <f t="shared" si="969"/>
        <v>0</v>
      </c>
      <c r="AP3159" s="130">
        <f t="shared" si="969"/>
        <v>3</v>
      </c>
      <c r="AQ3159" s="130">
        <f t="shared" si="969"/>
        <v>0</v>
      </c>
      <c r="AR3159" s="130">
        <f t="shared" si="969"/>
        <v>0</v>
      </c>
      <c r="AS3159" s="130">
        <f t="shared" si="969"/>
        <v>0</v>
      </c>
      <c r="AT3159" s="130">
        <f t="shared" si="969"/>
        <v>0</v>
      </c>
      <c r="AU3159" s="130">
        <f t="shared" si="969"/>
        <v>0</v>
      </c>
      <c r="AV3159" s="130">
        <f t="shared" si="969"/>
        <v>0</v>
      </c>
      <c r="AW3159" s="130">
        <f t="shared" si="969"/>
        <v>0</v>
      </c>
      <c r="AX3159" s="130">
        <f t="shared" si="969"/>
        <v>0</v>
      </c>
      <c r="AY3159" s="130">
        <f t="shared" si="969"/>
        <v>0</v>
      </c>
      <c r="AZ3159" s="130">
        <f t="shared" si="969"/>
        <v>0</v>
      </c>
      <c r="BA3159" s="130">
        <f t="shared" si="969"/>
        <v>0</v>
      </c>
      <c r="BB3159" s="130">
        <f t="shared" si="969"/>
        <v>97</v>
      </c>
      <c r="BC3159" s="103">
        <f t="shared" si="969"/>
        <v>445</v>
      </c>
      <c r="BD3159" s="130">
        <f t="shared" ref="BD3159:BD3178" si="970">AB3159+BB3159</f>
        <v>130</v>
      </c>
      <c r="BE3159" s="130">
        <f t="shared" ref="BE3159:BE3178" si="971">AC3159+BC3159</f>
        <v>492</v>
      </c>
      <c r="BF3159" s="195">
        <f t="shared" ref="BF3159:BF3178" si="972">BD3159/BE3159*100</f>
        <v>26.422764227642276</v>
      </c>
      <c r="BG3159" s="374">
        <f t="shared" si="955"/>
        <v>362</v>
      </c>
    </row>
    <row r="3160" spans="1:59" s="46" customFormat="1" ht="15.95" customHeight="1">
      <c r="A3160" s="176">
        <v>1</v>
      </c>
      <c r="B3160" s="31" t="s">
        <v>766</v>
      </c>
      <c r="C3160" s="32" t="s">
        <v>1586</v>
      </c>
      <c r="D3160" s="231"/>
      <c r="E3160" s="231"/>
      <c r="F3160" s="231"/>
      <c r="G3160" s="231"/>
      <c r="H3160" s="231"/>
      <c r="I3160" s="231"/>
      <c r="J3160" s="231"/>
      <c r="K3160" s="231"/>
      <c r="L3160" s="231"/>
      <c r="M3160" s="231"/>
      <c r="N3160" s="231"/>
      <c r="O3160" s="231"/>
      <c r="P3160" s="231"/>
      <c r="Q3160" s="231"/>
      <c r="R3160" s="231"/>
      <c r="S3160" s="231"/>
      <c r="T3160" s="231"/>
      <c r="U3160" s="231"/>
      <c r="V3160" s="231"/>
      <c r="W3160" s="231"/>
      <c r="X3160" s="231"/>
      <c r="Y3160" s="231"/>
      <c r="Z3160" s="231"/>
      <c r="AA3160" s="231"/>
      <c r="AB3160" s="22">
        <f t="shared" ref="AB3160:AB3177" si="973">SUM(D3160:AA3160)</f>
        <v>0</v>
      </c>
      <c r="AC3160" s="23">
        <v>0</v>
      </c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  <c r="AU3160" s="33"/>
      <c r="AV3160" s="33"/>
      <c r="AW3160" s="33"/>
      <c r="AX3160" s="33"/>
      <c r="AY3160" s="33"/>
      <c r="AZ3160" s="33"/>
      <c r="BA3160" s="33"/>
      <c r="BB3160" s="22">
        <f t="shared" ref="BB3160:BB3177" si="974">SUM(AD3160:BA3160)</f>
        <v>0</v>
      </c>
      <c r="BC3160" s="23">
        <v>2</v>
      </c>
      <c r="BD3160" s="130">
        <f t="shared" ref="BD3160:BD3177" si="975">AB3160+BB3160</f>
        <v>0</v>
      </c>
      <c r="BE3160" s="130">
        <f t="shared" si="971"/>
        <v>2</v>
      </c>
      <c r="BF3160" s="195">
        <f t="shared" ref="BF3160:BF3177" si="976">BD3160/BE3160*100</f>
        <v>0</v>
      </c>
      <c r="BG3160" s="373">
        <f t="shared" ref="BG3160:BG3177" si="977">BE3160-BD3160</f>
        <v>2</v>
      </c>
    </row>
    <row r="3161" spans="1:59" s="46" customFormat="1" ht="15.95" customHeight="1">
      <c r="A3161" s="176">
        <v>2</v>
      </c>
      <c r="B3161" s="31" t="s">
        <v>772</v>
      </c>
      <c r="C3161" s="32" t="s">
        <v>773</v>
      </c>
      <c r="D3161" s="231"/>
      <c r="E3161" s="231"/>
      <c r="F3161" s="231"/>
      <c r="G3161" s="231"/>
      <c r="H3161" s="231"/>
      <c r="I3161" s="231"/>
      <c r="J3161" s="231"/>
      <c r="K3161" s="231"/>
      <c r="L3161" s="231"/>
      <c r="M3161" s="231"/>
      <c r="N3161" s="231"/>
      <c r="O3161" s="231"/>
      <c r="P3161" s="231"/>
      <c r="Q3161" s="231"/>
      <c r="R3161" s="231"/>
      <c r="S3161" s="231"/>
      <c r="T3161" s="231"/>
      <c r="U3161" s="231"/>
      <c r="V3161" s="231"/>
      <c r="W3161" s="231"/>
      <c r="X3161" s="231"/>
      <c r="Y3161" s="231"/>
      <c r="Z3161" s="231"/>
      <c r="AA3161" s="231"/>
      <c r="AB3161" s="22">
        <f t="shared" si="973"/>
        <v>0</v>
      </c>
      <c r="AC3161" s="23">
        <v>0</v>
      </c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/>
      <c r="AV3161" s="33"/>
      <c r="AW3161" s="33"/>
      <c r="AX3161" s="33"/>
      <c r="AY3161" s="33"/>
      <c r="AZ3161" s="33"/>
      <c r="BA3161" s="33"/>
      <c r="BB3161" s="22">
        <f t="shared" si="974"/>
        <v>0</v>
      </c>
      <c r="BC3161" s="23">
        <v>1</v>
      </c>
      <c r="BD3161" s="130">
        <f t="shared" si="975"/>
        <v>0</v>
      </c>
      <c r="BE3161" s="130">
        <f t="shared" si="971"/>
        <v>1</v>
      </c>
      <c r="BF3161" s="195">
        <f t="shared" si="976"/>
        <v>0</v>
      </c>
      <c r="BG3161" s="373">
        <f t="shared" si="977"/>
        <v>1</v>
      </c>
    </row>
    <row r="3162" spans="1:59" s="46" customFormat="1" ht="15.95" customHeight="1">
      <c r="A3162" s="176">
        <v>3</v>
      </c>
      <c r="B3162" s="31" t="s">
        <v>1284</v>
      </c>
      <c r="C3162" s="32" t="s">
        <v>1285</v>
      </c>
      <c r="D3162" s="327"/>
      <c r="E3162" s="327"/>
      <c r="F3162" s="327"/>
      <c r="G3162" s="327"/>
      <c r="H3162" s="327"/>
      <c r="I3162" s="327"/>
      <c r="J3162" s="327"/>
      <c r="K3162" s="327"/>
      <c r="L3162" s="327"/>
      <c r="M3162" s="327"/>
      <c r="N3162" s="327"/>
      <c r="O3162" s="327"/>
      <c r="P3162" s="327"/>
      <c r="Q3162" s="327"/>
      <c r="R3162" s="327"/>
      <c r="S3162" s="327"/>
      <c r="T3162" s="327"/>
      <c r="U3162" s="327"/>
      <c r="V3162" s="327"/>
      <c r="W3162" s="327"/>
      <c r="X3162" s="327"/>
      <c r="Y3162" s="327"/>
      <c r="Z3162" s="327"/>
      <c r="AA3162" s="327"/>
      <c r="AB3162" s="22">
        <f t="shared" si="973"/>
        <v>0</v>
      </c>
      <c r="AC3162" s="23">
        <v>0</v>
      </c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  <c r="AU3162" s="33"/>
      <c r="AV3162" s="33"/>
      <c r="AW3162" s="33"/>
      <c r="AX3162" s="33"/>
      <c r="AY3162" s="33"/>
      <c r="AZ3162" s="33"/>
      <c r="BA3162" s="33"/>
      <c r="BB3162" s="22">
        <f t="shared" si="974"/>
        <v>0</v>
      </c>
      <c r="BC3162" s="23">
        <v>1</v>
      </c>
      <c r="BD3162" s="130">
        <f t="shared" si="975"/>
        <v>0</v>
      </c>
      <c r="BE3162" s="130">
        <f t="shared" si="971"/>
        <v>1</v>
      </c>
      <c r="BF3162" s="195">
        <f t="shared" si="976"/>
        <v>0</v>
      </c>
      <c r="BG3162" s="373">
        <f t="shared" si="977"/>
        <v>1</v>
      </c>
    </row>
    <row r="3163" spans="1:59" s="46" customFormat="1" ht="15.95" customHeight="1">
      <c r="A3163" s="176">
        <v>4</v>
      </c>
      <c r="B3163" s="31" t="s">
        <v>2746</v>
      </c>
      <c r="C3163" s="32" t="s">
        <v>2747</v>
      </c>
      <c r="D3163" s="256"/>
      <c r="E3163" s="256"/>
      <c r="F3163" s="256"/>
      <c r="G3163" s="256"/>
      <c r="H3163" s="256"/>
      <c r="I3163" s="256"/>
      <c r="J3163" s="256"/>
      <c r="K3163" s="256"/>
      <c r="L3163" s="256"/>
      <c r="M3163" s="256"/>
      <c r="N3163" s="256"/>
      <c r="O3163" s="256"/>
      <c r="P3163" s="256"/>
      <c r="Q3163" s="256"/>
      <c r="R3163" s="256"/>
      <c r="S3163" s="256"/>
      <c r="T3163" s="256"/>
      <c r="U3163" s="256"/>
      <c r="V3163" s="256"/>
      <c r="W3163" s="256"/>
      <c r="X3163" s="256"/>
      <c r="Y3163" s="256"/>
      <c r="Z3163" s="256"/>
      <c r="AA3163" s="256"/>
      <c r="AB3163" s="22">
        <f t="shared" si="973"/>
        <v>0</v>
      </c>
      <c r="AC3163" s="23">
        <v>0</v>
      </c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/>
      <c r="AV3163" s="33"/>
      <c r="AW3163" s="33"/>
      <c r="AX3163" s="33"/>
      <c r="AY3163" s="33"/>
      <c r="AZ3163" s="33"/>
      <c r="BA3163" s="33"/>
      <c r="BB3163" s="22">
        <f t="shared" si="974"/>
        <v>0</v>
      </c>
      <c r="BC3163" s="23">
        <v>1</v>
      </c>
      <c r="BD3163" s="130">
        <f t="shared" si="975"/>
        <v>0</v>
      </c>
      <c r="BE3163" s="130">
        <f t="shared" si="971"/>
        <v>1</v>
      </c>
      <c r="BF3163" s="195">
        <f t="shared" si="976"/>
        <v>0</v>
      </c>
      <c r="BG3163" s="373">
        <f t="shared" si="977"/>
        <v>1</v>
      </c>
    </row>
    <row r="3164" spans="1:59" s="46" customFormat="1" ht="15.95" customHeight="1">
      <c r="A3164" s="176">
        <v>5</v>
      </c>
      <c r="B3164" s="31" t="s">
        <v>938</v>
      </c>
      <c r="C3164" s="32" t="s">
        <v>2607</v>
      </c>
      <c r="D3164" s="231"/>
      <c r="E3164" s="231"/>
      <c r="F3164" s="231"/>
      <c r="G3164" s="231"/>
      <c r="H3164" s="231"/>
      <c r="I3164" s="231"/>
      <c r="J3164" s="231"/>
      <c r="K3164" s="231"/>
      <c r="L3164" s="231"/>
      <c r="M3164" s="231"/>
      <c r="N3164" s="231"/>
      <c r="O3164" s="231"/>
      <c r="P3164" s="231"/>
      <c r="Q3164" s="231"/>
      <c r="R3164" s="231"/>
      <c r="S3164" s="231"/>
      <c r="T3164" s="231"/>
      <c r="U3164" s="231"/>
      <c r="V3164" s="231"/>
      <c r="W3164" s="231"/>
      <c r="X3164" s="231"/>
      <c r="Y3164" s="231"/>
      <c r="Z3164" s="231"/>
      <c r="AA3164" s="231"/>
      <c r="AB3164" s="22">
        <f t="shared" si="973"/>
        <v>0</v>
      </c>
      <c r="AC3164" s="23">
        <v>1</v>
      </c>
      <c r="AD3164" s="33"/>
      <c r="AE3164" s="33"/>
      <c r="AF3164" s="33"/>
      <c r="AG3164" s="33"/>
      <c r="AH3164" s="33">
        <v>1</v>
      </c>
      <c r="AI3164" s="33"/>
      <c r="AJ3164" s="33"/>
      <c r="AK3164" s="33"/>
      <c r="AL3164" s="33">
        <v>1</v>
      </c>
      <c r="AM3164" s="33"/>
      <c r="AN3164" s="33"/>
      <c r="AO3164" s="33"/>
      <c r="AP3164" s="33"/>
      <c r="AQ3164" s="33"/>
      <c r="AR3164" s="33"/>
      <c r="AS3164" s="33"/>
      <c r="AT3164" s="33"/>
      <c r="AU3164" s="33"/>
      <c r="AV3164" s="33"/>
      <c r="AW3164" s="33"/>
      <c r="AX3164" s="33"/>
      <c r="AY3164" s="33"/>
      <c r="AZ3164" s="33"/>
      <c r="BA3164" s="33"/>
      <c r="BB3164" s="22">
        <f t="shared" si="974"/>
        <v>2</v>
      </c>
      <c r="BC3164" s="23">
        <v>22</v>
      </c>
      <c r="BD3164" s="130">
        <f t="shared" si="975"/>
        <v>2</v>
      </c>
      <c r="BE3164" s="130">
        <f t="shared" si="971"/>
        <v>23</v>
      </c>
      <c r="BF3164" s="195">
        <f t="shared" si="976"/>
        <v>8.695652173913043</v>
      </c>
      <c r="BG3164" s="373">
        <f t="shared" si="977"/>
        <v>21</v>
      </c>
    </row>
    <row r="3165" spans="1:59" s="46" customFormat="1" ht="15.95" customHeight="1">
      <c r="A3165" s="176">
        <v>6</v>
      </c>
      <c r="B3165" s="31" t="s">
        <v>3198</v>
      </c>
      <c r="C3165" s="32" t="s">
        <v>3199</v>
      </c>
      <c r="D3165" s="327"/>
      <c r="E3165" s="327"/>
      <c r="F3165" s="327"/>
      <c r="G3165" s="327"/>
      <c r="H3165" s="327"/>
      <c r="I3165" s="327"/>
      <c r="J3165" s="327"/>
      <c r="K3165" s="327"/>
      <c r="L3165" s="327"/>
      <c r="M3165" s="327"/>
      <c r="N3165" s="327"/>
      <c r="O3165" s="327"/>
      <c r="P3165" s="327"/>
      <c r="Q3165" s="327"/>
      <c r="R3165" s="327"/>
      <c r="S3165" s="327"/>
      <c r="T3165" s="327"/>
      <c r="U3165" s="327"/>
      <c r="V3165" s="327"/>
      <c r="W3165" s="327"/>
      <c r="X3165" s="327"/>
      <c r="Y3165" s="327"/>
      <c r="Z3165" s="327"/>
      <c r="AA3165" s="327"/>
      <c r="AB3165" s="22">
        <f t="shared" si="973"/>
        <v>0</v>
      </c>
      <c r="AC3165" s="23">
        <v>0</v>
      </c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  <c r="AU3165" s="33"/>
      <c r="AV3165" s="33"/>
      <c r="AW3165" s="33"/>
      <c r="AX3165" s="33"/>
      <c r="AY3165" s="33"/>
      <c r="AZ3165" s="33"/>
      <c r="BA3165" s="33"/>
      <c r="BB3165" s="22">
        <f t="shared" si="974"/>
        <v>0</v>
      </c>
      <c r="BC3165" s="23">
        <v>15</v>
      </c>
      <c r="BD3165" s="130">
        <f t="shared" si="975"/>
        <v>0</v>
      </c>
      <c r="BE3165" s="130">
        <f t="shared" si="971"/>
        <v>15</v>
      </c>
      <c r="BF3165" s="195">
        <f t="shared" si="976"/>
        <v>0</v>
      </c>
      <c r="BG3165" s="373">
        <f t="shared" si="977"/>
        <v>15</v>
      </c>
    </row>
    <row r="3166" spans="1:59" s="46" customFormat="1" ht="15.95" customHeight="1">
      <c r="A3166" s="176">
        <v>7</v>
      </c>
      <c r="B3166" s="31" t="s">
        <v>1296</v>
      </c>
      <c r="C3166" s="32" t="s">
        <v>1297</v>
      </c>
      <c r="D3166" s="274"/>
      <c r="E3166" s="274"/>
      <c r="F3166" s="274"/>
      <c r="G3166" s="274"/>
      <c r="H3166" s="274"/>
      <c r="I3166" s="274"/>
      <c r="J3166" s="274"/>
      <c r="K3166" s="274"/>
      <c r="L3166" s="274"/>
      <c r="M3166" s="274"/>
      <c r="N3166" s="274"/>
      <c r="O3166" s="274"/>
      <c r="P3166" s="274"/>
      <c r="Q3166" s="274"/>
      <c r="R3166" s="274"/>
      <c r="S3166" s="274"/>
      <c r="T3166" s="274"/>
      <c r="U3166" s="274"/>
      <c r="V3166" s="274"/>
      <c r="W3166" s="274"/>
      <c r="X3166" s="274"/>
      <c r="Y3166" s="274"/>
      <c r="Z3166" s="274"/>
      <c r="AA3166" s="274"/>
      <c r="AB3166" s="22">
        <f t="shared" si="973"/>
        <v>0</v>
      </c>
      <c r="AC3166" s="23">
        <v>1</v>
      </c>
      <c r="AD3166" s="33"/>
      <c r="AE3166" s="33"/>
      <c r="AF3166" s="33"/>
      <c r="AG3166" s="33"/>
      <c r="AH3166" s="33">
        <v>2</v>
      </c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/>
      <c r="AV3166" s="33"/>
      <c r="AW3166" s="33"/>
      <c r="AX3166" s="33"/>
      <c r="AY3166" s="33"/>
      <c r="AZ3166" s="33"/>
      <c r="BA3166" s="33"/>
      <c r="BB3166" s="22">
        <f t="shared" si="974"/>
        <v>2</v>
      </c>
      <c r="BC3166" s="23">
        <v>141</v>
      </c>
      <c r="BD3166" s="130">
        <f t="shared" si="975"/>
        <v>2</v>
      </c>
      <c r="BE3166" s="130">
        <f t="shared" si="971"/>
        <v>142</v>
      </c>
      <c r="BF3166" s="195">
        <f t="shared" si="976"/>
        <v>1.4084507042253522</v>
      </c>
      <c r="BG3166" s="373">
        <f t="shared" si="977"/>
        <v>140</v>
      </c>
    </row>
    <row r="3167" spans="1:59" s="46" customFormat="1" ht="15.95" customHeight="1">
      <c r="A3167" s="176">
        <v>8</v>
      </c>
      <c r="B3167" s="31" t="s">
        <v>1880</v>
      </c>
      <c r="C3167" s="32" t="s">
        <v>2226</v>
      </c>
      <c r="D3167" s="390"/>
      <c r="E3167" s="390"/>
      <c r="F3167" s="390"/>
      <c r="G3167" s="390"/>
      <c r="H3167" s="390"/>
      <c r="I3167" s="390"/>
      <c r="J3167" s="390"/>
      <c r="K3167" s="390"/>
      <c r="L3167" s="390"/>
      <c r="M3167" s="390"/>
      <c r="N3167" s="390"/>
      <c r="O3167" s="390"/>
      <c r="P3167" s="390">
        <v>1</v>
      </c>
      <c r="Q3167" s="390"/>
      <c r="R3167" s="390"/>
      <c r="S3167" s="390"/>
      <c r="T3167" s="390"/>
      <c r="U3167" s="390"/>
      <c r="V3167" s="390"/>
      <c r="W3167" s="390"/>
      <c r="X3167" s="390"/>
      <c r="Y3167" s="390"/>
      <c r="Z3167" s="390"/>
      <c r="AA3167" s="390"/>
      <c r="AB3167" s="22">
        <f t="shared" si="973"/>
        <v>1</v>
      </c>
      <c r="AC3167" s="23">
        <v>14</v>
      </c>
      <c r="AD3167" s="33"/>
      <c r="AE3167" s="33"/>
      <c r="AF3167" s="33"/>
      <c r="AG3167" s="33"/>
      <c r="AH3167" s="33"/>
      <c r="AI3167" s="33"/>
      <c r="AJ3167" s="33"/>
      <c r="AK3167" s="33"/>
      <c r="AL3167" s="33">
        <v>13</v>
      </c>
      <c r="AM3167" s="33"/>
      <c r="AN3167" s="33"/>
      <c r="AO3167" s="33"/>
      <c r="AP3167" s="33">
        <v>3</v>
      </c>
      <c r="AQ3167" s="33"/>
      <c r="AR3167" s="33"/>
      <c r="AS3167" s="33"/>
      <c r="AT3167" s="33"/>
      <c r="AU3167" s="33"/>
      <c r="AV3167" s="33"/>
      <c r="AW3167" s="33"/>
      <c r="AX3167" s="33"/>
      <c r="AY3167" s="33"/>
      <c r="AZ3167" s="33"/>
      <c r="BA3167" s="33"/>
      <c r="BB3167" s="22">
        <f t="shared" si="974"/>
        <v>16</v>
      </c>
      <c r="BC3167" s="23">
        <v>9</v>
      </c>
      <c r="BD3167" s="130">
        <f t="shared" si="975"/>
        <v>17</v>
      </c>
      <c r="BE3167" s="130">
        <f t="shared" si="971"/>
        <v>23</v>
      </c>
      <c r="BF3167" s="195">
        <f t="shared" si="976"/>
        <v>73.91304347826086</v>
      </c>
      <c r="BG3167" s="373">
        <f t="shared" si="977"/>
        <v>6</v>
      </c>
    </row>
    <row r="3168" spans="1:59" s="46" customFormat="1" ht="15.95" customHeight="1">
      <c r="A3168" s="176">
        <v>9</v>
      </c>
      <c r="B3168" s="31" t="s">
        <v>419</v>
      </c>
      <c r="C3168" s="32" t="s">
        <v>420</v>
      </c>
      <c r="D3168" s="390"/>
      <c r="E3168" s="390"/>
      <c r="F3168" s="390"/>
      <c r="G3168" s="390"/>
      <c r="H3168" s="390"/>
      <c r="I3168" s="390"/>
      <c r="J3168" s="390"/>
      <c r="K3168" s="390"/>
      <c r="L3168" s="390"/>
      <c r="M3168" s="390"/>
      <c r="N3168" s="390"/>
      <c r="O3168" s="390"/>
      <c r="P3168" s="390"/>
      <c r="Q3168" s="390"/>
      <c r="R3168" s="390"/>
      <c r="S3168" s="390"/>
      <c r="T3168" s="390"/>
      <c r="U3168" s="390"/>
      <c r="V3168" s="390"/>
      <c r="W3168" s="390"/>
      <c r="X3168" s="390"/>
      <c r="Y3168" s="390"/>
      <c r="Z3168" s="390"/>
      <c r="AA3168" s="390"/>
      <c r="AB3168" s="22">
        <f t="shared" si="973"/>
        <v>0</v>
      </c>
      <c r="AC3168" s="23">
        <v>0</v>
      </c>
      <c r="AD3168" s="33"/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  <c r="AU3168" s="33"/>
      <c r="AV3168" s="33"/>
      <c r="AW3168" s="33"/>
      <c r="AX3168" s="33"/>
      <c r="AY3168" s="33"/>
      <c r="AZ3168" s="33"/>
      <c r="BA3168" s="33"/>
      <c r="BB3168" s="22">
        <f t="shared" si="974"/>
        <v>0</v>
      </c>
      <c r="BC3168" s="23">
        <v>19</v>
      </c>
      <c r="BD3168" s="130">
        <f t="shared" si="975"/>
        <v>0</v>
      </c>
      <c r="BE3168" s="130">
        <f t="shared" si="971"/>
        <v>19</v>
      </c>
      <c r="BF3168" s="195">
        <f t="shared" si="976"/>
        <v>0</v>
      </c>
      <c r="BG3168" s="373">
        <f t="shared" si="977"/>
        <v>19</v>
      </c>
    </row>
    <row r="3169" spans="1:61" s="46" customFormat="1" ht="15.95" customHeight="1">
      <c r="A3169" s="176">
        <v>10</v>
      </c>
      <c r="B3169" s="31" t="s">
        <v>781</v>
      </c>
      <c r="C3169" s="32" t="s">
        <v>782</v>
      </c>
      <c r="D3169" s="231"/>
      <c r="E3169" s="231"/>
      <c r="F3169" s="231"/>
      <c r="G3169" s="231"/>
      <c r="H3169" s="231"/>
      <c r="I3169" s="231"/>
      <c r="J3169" s="231"/>
      <c r="K3169" s="231"/>
      <c r="L3169" s="231"/>
      <c r="M3169" s="231"/>
      <c r="N3169" s="231"/>
      <c r="O3169" s="231"/>
      <c r="P3169" s="231"/>
      <c r="Q3169" s="231"/>
      <c r="R3169" s="231"/>
      <c r="S3169" s="231"/>
      <c r="T3169" s="231"/>
      <c r="U3169" s="231"/>
      <c r="V3169" s="231"/>
      <c r="W3169" s="231"/>
      <c r="X3169" s="231"/>
      <c r="Y3169" s="231"/>
      <c r="Z3169" s="231"/>
      <c r="AA3169" s="231"/>
      <c r="AB3169" s="22">
        <f t="shared" si="973"/>
        <v>0</v>
      </c>
      <c r="AC3169" s="23">
        <v>0</v>
      </c>
      <c r="AD3169" s="33"/>
      <c r="AE3169" s="33"/>
      <c r="AF3169" s="33"/>
      <c r="AG3169" s="33"/>
      <c r="AH3169" s="33"/>
      <c r="AI3169" s="33"/>
      <c r="AJ3169" s="33"/>
      <c r="AK3169" s="33"/>
      <c r="AL3169" s="33"/>
      <c r="AM3169" s="33"/>
      <c r="AN3169" s="33"/>
      <c r="AO3169" s="33"/>
      <c r="AP3169" s="33"/>
      <c r="AQ3169" s="33"/>
      <c r="AR3169" s="33"/>
      <c r="AS3169" s="33"/>
      <c r="AT3169" s="33"/>
      <c r="AU3169" s="33"/>
      <c r="AV3169" s="33"/>
      <c r="AW3169" s="33"/>
      <c r="AX3169" s="33"/>
      <c r="AY3169" s="33"/>
      <c r="AZ3169" s="33"/>
      <c r="BA3169" s="33"/>
      <c r="BB3169" s="22">
        <f t="shared" si="974"/>
        <v>0</v>
      </c>
      <c r="BC3169" s="23">
        <v>19</v>
      </c>
      <c r="BD3169" s="130">
        <f t="shared" si="975"/>
        <v>0</v>
      </c>
      <c r="BE3169" s="130">
        <f t="shared" si="971"/>
        <v>19</v>
      </c>
      <c r="BF3169" s="195">
        <f t="shared" si="976"/>
        <v>0</v>
      </c>
      <c r="BG3169" s="373">
        <f t="shared" si="977"/>
        <v>19</v>
      </c>
    </row>
    <row r="3170" spans="1:61" s="46" customFormat="1" ht="15.95" customHeight="1">
      <c r="A3170" s="176">
        <v>11</v>
      </c>
      <c r="B3170" s="31" t="s">
        <v>110</v>
      </c>
      <c r="C3170" s="32" t="s">
        <v>1163</v>
      </c>
      <c r="D3170" s="231"/>
      <c r="E3170" s="231"/>
      <c r="F3170" s="231"/>
      <c r="G3170" s="231"/>
      <c r="H3170" s="231">
        <v>1</v>
      </c>
      <c r="I3170" s="231"/>
      <c r="J3170" s="231"/>
      <c r="K3170" s="231"/>
      <c r="L3170" s="231"/>
      <c r="M3170" s="231"/>
      <c r="N3170" s="231"/>
      <c r="O3170" s="231"/>
      <c r="P3170" s="231"/>
      <c r="Q3170" s="231"/>
      <c r="R3170" s="231"/>
      <c r="S3170" s="231"/>
      <c r="T3170" s="231"/>
      <c r="U3170" s="231"/>
      <c r="V3170" s="231"/>
      <c r="W3170" s="231"/>
      <c r="X3170" s="231"/>
      <c r="Y3170" s="231"/>
      <c r="Z3170" s="231"/>
      <c r="AA3170" s="231"/>
      <c r="AB3170" s="22">
        <f t="shared" si="973"/>
        <v>1</v>
      </c>
      <c r="AC3170" s="23">
        <v>0</v>
      </c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/>
      <c r="AV3170" s="33"/>
      <c r="AW3170" s="33"/>
      <c r="AX3170" s="33"/>
      <c r="AY3170" s="33"/>
      <c r="AZ3170" s="33"/>
      <c r="BA3170" s="33"/>
      <c r="BB3170" s="22">
        <f t="shared" si="974"/>
        <v>0</v>
      </c>
      <c r="BC3170" s="23">
        <v>2</v>
      </c>
      <c r="BD3170" s="130">
        <f t="shared" si="975"/>
        <v>1</v>
      </c>
      <c r="BE3170" s="130">
        <f t="shared" si="971"/>
        <v>2</v>
      </c>
      <c r="BF3170" s="195">
        <f t="shared" si="976"/>
        <v>50</v>
      </c>
      <c r="BG3170" s="373">
        <f t="shared" si="977"/>
        <v>1</v>
      </c>
    </row>
    <row r="3171" spans="1:61" s="46" customFormat="1" ht="15.95" customHeight="1">
      <c r="A3171" s="176">
        <v>12</v>
      </c>
      <c r="B3171" s="31" t="s">
        <v>2433</v>
      </c>
      <c r="C3171" s="32" t="s">
        <v>2434</v>
      </c>
      <c r="D3171" s="231"/>
      <c r="E3171" s="231"/>
      <c r="F3171" s="231"/>
      <c r="G3171" s="231"/>
      <c r="H3171" s="231"/>
      <c r="I3171" s="231"/>
      <c r="J3171" s="231"/>
      <c r="K3171" s="231"/>
      <c r="L3171" s="231"/>
      <c r="M3171" s="231"/>
      <c r="N3171" s="231"/>
      <c r="O3171" s="231"/>
      <c r="P3171" s="231"/>
      <c r="Q3171" s="231"/>
      <c r="R3171" s="231"/>
      <c r="S3171" s="231"/>
      <c r="T3171" s="231"/>
      <c r="U3171" s="231"/>
      <c r="V3171" s="231"/>
      <c r="W3171" s="231"/>
      <c r="X3171" s="231"/>
      <c r="Y3171" s="231"/>
      <c r="Z3171" s="231"/>
      <c r="AA3171" s="231"/>
      <c r="AB3171" s="22">
        <f t="shared" si="973"/>
        <v>0</v>
      </c>
      <c r="AC3171" s="23">
        <v>0</v>
      </c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/>
      <c r="AV3171" s="33"/>
      <c r="AW3171" s="33"/>
      <c r="AX3171" s="33"/>
      <c r="AY3171" s="33"/>
      <c r="AZ3171" s="33"/>
      <c r="BA3171" s="33"/>
      <c r="BB3171" s="22">
        <f t="shared" si="974"/>
        <v>0</v>
      </c>
      <c r="BC3171" s="23">
        <v>2</v>
      </c>
      <c r="BD3171" s="130">
        <f t="shared" si="975"/>
        <v>0</v>
      </c>
      <c r="BE3171" s="130">
        <f t="shared" si="971"/>
        <v>2</v>
      </c>
      <c r="BF3171" s="195">
        <f t="shared" si="976"/>
        <v>0</v>
      </c>
      <c r="BG3171" s="373">
        <f t="shared" si="977"/>
        <v>2</v>
      </c>
    </row>
    <row r="3172" spans="1:61" s="46" customFormat="1" ht="15.95" customHeight="1">
      <c r="A3172" s="176">
        <v>13</v>
      </c>
      <c r="B3172" s="31" t="s">
        <v>3559</v>
      </c>
      <c r="C3172" s="32" t="s">
        <v>3560</v>
      </c>
      <c r="D3172" s="256"/>
      <c r="E3172" s="256"/>
      <c r="F3172" s="256"/>
      <c r="G3172" s="256"/>
      <c r="H3172" s="256"/>
      <c r="I3172" s="256"/>
      <c r="J3172" s="256"/>
      <c r="K3172" s="256"/>
      <c r="L3172" s="256"/>
      <c r="M3172" s="256"/>
      <c r="N3172" s="256"/>
      <c r="O3172" s="256"/>
      <c r="P3172" s="256"/>
      <c r="Q3172" s="256"/>
      <c r="R3172" s="256"/>
      <c r="S3172" s="256"/>
      <c r="T3172" s="256"/>
      <c r="U3172" s="256"/>
      <c r="V3172" s="256"/>
      <c r="W3172" s="256"/>
      <c r="X3172" s="256"/>
      <c r="Y3172" s="256"/>
      <c r="Z3172" s="256"/>
      <c r="AA3172" s="256"/>
      <c r="AB3172" s="22">
        <f t="shared" si="973"/>
        <v>0</v>
      </c>
      <c r="AC3172" s="23">
        <v>0</v>
      </c>
      <c r="AD3172" s="33"/>
      <c r="AE3172" s="33"/>
      <c r="AF3172" s="33"/>
      <c r="AG3172" s="33"/>
      <c r="AH3172" s="33"/>
      <c r="AI3172" s="33"/>
      <c r="AJ3172" s="33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  <c r="AU3172" s="33"/>
      <c r="AV3172" s="33"/>
      <c r="AW3172" s="33"/>
      <c r="AX3172" s="33"/>
      <c r="AY3172" s="33"/>
      <c r="AZ3172" s="33"/>
      <c r="BA3172" s="33"/>
      <c r="BB3172" s="22">
        <f t="shared" si="974"/>
        <v>0</v>
      </c>
      <c r="BC3172" s="23">
        <v>1</v>
      </c>
      <c r="BD3172" s="130">
        <f t="shared" si="975"/>
        <v>0</v>
      </c>
      <c r="BE3172" s="130">
        <f t="shared" si="971"/>
        <v>1</v>
      </c>
      <c r="BF3172" s="195">
        <f t="shared" si="976"/>
        <v>0</v>
      </c>
      <c r="BG3172" s="373">
        <f t="shared" si="977"/>
        <v>1</v>
      </c>
    </row>
    <row r="3173" spans="1:61" s="46" customFormat="1" ht="15.95" customHeight="1">
      <c r="A3173" s="176">
        <v>14</v>
      </c>
      <c r="B3173" s="31" t="s">
        <v>2829</v>
      </c>
      <c r="C3173" s="32" t="s">
        <v>2830</v>
      </c>
      <c r="D3173" s="231"/>
      <c r="E3173" s="231"/>
      <c r="F3173" s="231"/>
      <c r="G3173" s="231"/>
      <c r="H3173" s="231"/>
      <c r="I3173" s="231"/>
      <c r="J3173" s="231"/>
      <c r="K3173" s="231"/>
      <c r="L3173" s="231"/>
      <c r="M3173" s="231"/>
      <c r="N3173" s="231"/>
      <c r="O3173" s="231"/>
      <c r="P3173" s="231"/>
      <c r="Q3173" s="231"/>
      <c r="R3173" s="231"/>
      <c r="S3173" s="231"/>
      <c r="T3173" s="231"/>
      <c r="U3173" s="231"/>
      <c r="V3173" s="231"/>
      <c r="W3173" s="231"/>
      <c r="X3173" s="231"/>
      <c r="Y3173" s="231"/>
      <c r="Z3173" s="231"/>
      <c r="AA3173" s="231"/>
      <c r="AB3173" s="22">
        <f t="shared" si="973"/>
        <v>0</v>
      </c>
      <c r="AC3173" s="23">
        <v>0</v>
      </c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  <c r="AU3173" s="33"/>
      <c r="AV3173" s="33"/>
      <c r="AW3173" s="33"/>
      <c r="AX3173" s="33"/>
      <c r="AY3173" s="33"/>
      <c r="AZ3173" s="33"/>
      <c r="BA3173" s="33"/>
      <c r="BB3173" s="22">
        <f t="shared" si="974"/>
        <v>0</v>
      </c>
      <c r="BC3173" s="23">
        <v>6</v>
      </c>
      <c r="BD3173" s="130">
        <f t="shared" si="975"/>
        <v>0</v>
      </c>
      <c r="BE3173" s="130">
        <f t="shared" si="971"/>
        <v>6</v>
      </c>
      <c r="BF3173" s="195">
        <f t="shared" si="976"/>
        <v>0</v>
      </c>
      <c r="BG3173" s="373">
        <f t="shared" si="977"/>
        <v>6</v>
      </c>
    </row>
    <row r="3174" spans="1:61" s="46" customFormat="1" ht="15.95" customHeight="1">
      <c r="A3174" s="176">
        <v>15</v>
      </c>
      <c r="B3174" s="31" t="s">
        <v>2517</v>
      </c>
      <c r="C3174" s="32" t="s">
        <v>2518</v>
      </c>
      <c r="D3174" s="274"/>
      <c r="E3174" s="274"/>
      <c r="F3174" s="274"/>
      <c r="G3174" s="274"/>
      <c r="H3174" s="274"/>
      <c r="I3174" s="274"/>
      <c r="J3174" s="274"/>
      <c r="K3174" s="274"/>
      <c r="L3174" s="274"/>
      <c r="M3174" s="274"/>
      <c r="N3174" s="274"/>
      <c r="O3174" s="274"/>
      <c r="P3174" s="274"/>
      <c r="Q3174" s="274"/>
      <c r="R3174" s="274"/>
      <c r="S3174" s="274"/>
      <c r="T3174" s="274"/>
      <c r="U3174" s="274"/>
      <c r="V3174" s="274"/>
      <c r="W3174" s="274"/>
      <c r="X3174" s="274"/>
      <c r="Y3174" s="274"/>
      <c r="Z3174" s="274"/>
      <c r="AA3174" s="274"/>
      <c r="AB3174" s="22">
        <f t="shared" si="973"/>
        <v>0</v>
      </c>
      <c r="AC3174" s="23">
        <v>1</v>
      </c>
      <c r="AD3174" s="33"/>
      <c r="AE3174" s="33"/>
      <c r="AF3174" s="33"/>
      <c r="AG3174" s="33"/>
      <c r="AH3174" s="33"/>
      <c r="AI3174" s="33"/>
      <c r="AJ3174" s="33"/>
      <c r="AK3174" s="33"/>
      <c r="AL3174" s="33">
        <v>1</v>
      </c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33"/>
      <c r="AX3174" s="33"/>
      <c r="AY3174" s="33"/>
      <c r="AZ3174" s="33"/>
      <c r="BA3174" s="33"/>
      <c r="BB3174" s="22">
        <f t="shared" si="974"/>
        <v>1</v>
      </c>
      <c r="BC3174" s="23">
        <v>1</v>
      </c>
      <c r="BD3174" s="130">
        <f t="shared" si="975"/>
        <v>1</v>
      </c>
      <c r="BE3174" s="130">
        <f t="shared" si="971"/>
        <v>2</v>
      </c>
      <c r="BF3174" s="195">
        <f t="shared" si="976"/>
        <v>50</v>
      </c>
      <c r="BG3174" s="373">
        <f t="shared" si="977"/>
        <v>1</v>
      </c>
    </row>
    <row r="3175" spans="1:61" s="46" customFormat="1" ht="15.95" customHeight="1">
      <c r="A3175" s="176">
        <v>16</v>
      </c>
      <c r="B3175" s="31" t="s">
        <v>3318</v>
      </c>
      <c r="C3175" s="32" t="s">
        <v>3319</v>
      </c>
      <c r="D3175" s="231"/>
      <c r="E3175" s="231"/>
      <c r="F3175" s="231"/>
      <c r="G3175" s="231"/>
      <c r="H3175" s="231"/>
      <c r="I3175" s="231"/>
      <c r="J3175" s="231"/>
      <c r="K3175" s="231"/>
      <c r="L3175" s="231"/>
      <c r="M3175" s="231"/>
      <c r="N3175" s="231"/>
      <c r="O3175" s="231"/>
      <c r="P3175" s="231"/>
      <c r="Q3175" s="231"/>
      <c r="R3175" s="231"/>
      <c r="S3175" s="231"/>
      <c r="T3175" s="231"/>
      <c r="U3175" s="231"/>
      <c r="V3175" s="231"/>
      <c r="W3175" s="231"/>
      <c r="X3175" s="231"/>
      <c r="Y3175" s="231"/>
      <c r="Z3175" s="231"/>
      <c r="AA3175" s="231"/>
      <c r="AB3175" s="22">
        <f t="shared" si="973"/>
        <v>0</v>
      </c>
      <c r="AC3175" s="23">
        <v>0</v>
      </c>
      <c r="AD3175" s="33"/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  <c r="AU3175" s="33"/>
      <c r="AV3175" s="33"/>
      <c r="AW3175" s="33"/>
      <c r="AX3175" s="33"/>
      <c r="AY3175" s="33"/>
      <c r="AZ3175" s="33"/>
      <c r="BA3175" s="33"/>
      <c r="BB3175" s="22">
        <f t="shared" si="974"/>
        <v>0</v>
      </c>
      <c r="BC3175" s="23">
        <v>1</v>
      </c>
      <c r="BD3175" s="130">
        <f t="shared" si="975"/>
        <v>0</v>
      </c>
      <c r="BE3175" s="130">
        <f t="shared" si="971"/>
        <v>1</v>
      </c>
      <c r="BF3175" s="195">
        <f t="shared" si="976"/>
        <v>0</v>
      </c>
      <c r="BG3175" s="373">
        <f t="shared" si="977"/>
        <v>1</v>
      </c>
    </row>
    <row r="3176" spans="1:61" s="46" customFormat="1" ht="15.95" customHeight="1">
      <c r="A3176" s="176">
        <v>17</v>
      </c>
      <c r="B3176" s="31" t="s">
        <v>860</v>
      </c>
      <c r="C3176" s="32" t="s">
        <v>2306</v>
      </c>
      <c r="D3176" s="231">
        <v>4</v>
      </c>
      <c r="E3176" s="231"/>
      <c r="F3176" s="231"/>
      <c r="G3176" s="231"/>
      <c r="H3176" s="231">
        <v>1</v>
      </c>
      <c r="I3176" s="231"/>
      <c r="J3176" s="231"/>
      <c r="K3176" s="231"/>
      <c r="L3176" s="231">
        <v>14</v>
      </c>
      <c r="M3176" s="231"/>
      <c r="N3176" s="231"/>
      <c r="O3176" s="231"/>
      <c r="P3176" s="231"/>
      <c r="Q3176" s="231"/>
      <c r="R3176" s="231"/>
      <c r="S3176" s="231"/>
      <c r="T3176" s="231"/>
      <c r="U3176" s="231"/>
      <c r="V3176" s="231"/>
      <c r="W3176" s="231"/>
      <c r="X3176" s="231"/>
      <c r="Y3176" s="231"/>
      <c r="Z3176" s="231"/>
      <c r="AA3176" s="231"/>
      <c r="AB3176" s="22">
        <f t="shared" si="973"/>
        <v>19</v>
      </c>
      <c r="AC3176" s="23">
        <v>15</v>
      </c>
      <c r="AD3176" s="33">
        <v>1</v>
      </c>
      <c r="AE3176" s="33"/>
      <c r="AF3176" s="33"/>
      <c r="AG3176" s="33"/>
      <c r="AH3176" s="33">
        <v>7</v>
      </c>
      <c r="AI3176" s="33"/>
      <c r="AJ3176" s="33"/>
      <c r="AK3176" s="33"/>
      <c r="AL3176" s="33">
        <v>33</v>
      </c>
      <c r="AM3176" s="33"/>
      <c r="AN3176" s="33"/>
      <c r="AO3176" s="33"/>
      <c r="AP3176" s="33"/>
      <c r="AQ3176" s="33"/>
      <c r="AR3176" s="33"/>
      <c r="AS3176" s="33"/>
      <c r="AT3176" s="33"/>
      <c r="AU3176" s="33"/>
      <c r="AV3176" s="33"/>
      <c r="AW3176" s="33"/>
      <c r="AX3176" s="33"/>
      <c r="AY3176" s="33"/>
      <c r="AZ3176" s="33"/>
      <c r="BA3176" s="33"/>
      <c r="BB3176" s="22">
        <f t="shared" si="974"/>
        <v>41</v>
      </c>
      <c r="BC3176" s="23">
        <v>101</v>
      </c>
      <c r="BD3176" s="130">
        <f t="shared" si="975"/>
        <v>60</v>
      </c>
      <c r="BE3176" s="130">
        <f t="shared" si="971"/>
        <v>116</v>
      </c>
      <c r="BF3176" s="195">
        <f t="shared" si="976"/>
        <v>51.724137931034484</v>
      </c>
      <c r="BG3176" s="373">
        <f t="shared" si="977"/>
        <v>56</v>
      </c>
    </row>
    <row r="3177" spans="1:61" s="46" customFormat="1" ht="15.95" customHeight="1">
      <c r="A3177" s="176">
        <v>18</v>
      </c>
      <c r="B3177" s="31" t="s">
        <v>1034</v>
      </c>
      <c r="C3177" s="32" t="s">
        <v>1660</v>
      </c>
      <c r="D3177" s="231">
        <v>4</v>
      </c>
      <c r="E3177" s="231"/>
      <c r="F3177" s="231"/>
      <c r="G3177" s="231"/>
      <c r="H3177" s="231">
        <v>1</v>
      </c>
      <c r="I3177" s="231"/>
      <c r="J3177" s="231"/>
      <c r="K3177" s="231"/>
      <c r="L3177" s="231">
        <v>7</v>
      </c>
      <c r="M3177" s="231"/>
      <c r="N3177" s="231"/>
      <c r="O3177" s="231"/>
      <c r="P3177" s="231"/>
      <c r="Q3177" s="231"/>
      <c r="R3177" s="231"/>
      <c r="S3177" s="231"/>
      <c r="T3177" s="231"/>
      <c r="U3177" s="231"/>
      <c r="V3177" s="231"/>
      <c r="W3177" s="231"/>
      <c r="X3177" s="231"/>
      <c r="Y3177" s="231"/>
      <c r="Z3177" s="231"/>
      <c r="AA3177" s="231"/>
      <c r="AB3177" s="22">
        <f t="shared" si="973"/>
        <v>12</v>
      </c>
      <c r="AC3177" s="23">
        <v>15</v>
      </c>
      <c r="AD3177" s="33">
        <v>1</v>
      </c>
      <c r="AE3177" s="33"/>
      <c r="AF3177" s="33"/>
      <c r="AG3177" s="33"/>
      <c r="AH3177" s="33">
        <v>7</v>
      </c>
      <c r="AI3177" s="33"/>
      <c r="AJ3177" s="33"/>
      <c r="AK3177" s="33"/>
      <c r="AL3177" s="33">
        <v>27</v>
      </c>
      <c r="AM3177" s="33"/>
      <c r="AN3177" s="33"/>
      <c r="AO3177" s="33"/>
      <c r="AP3177" s="33"/>
      <c r="AQ3177" s="33"/>
      <c r="AR3177" s="33"/>
      <c r="AS3177" s="33"/>
      <c r="AT3177" s="33"/>
      <c r="AU3177" s="33"/>
      <c r="AV3177" s="33"/>
      <c r="AW3177" s="33"/>
      <c r="AX3177" s="33"/>
      <c r="AY3177" s="33"/>
      <c r="AZ3177" s="33"/>
      <c r="BA3177" s="33"/>
      <c r="BB3177" s="22">
        <f t="shared" si="974"/>
        <v>35</v>
      </c>
      <c r="BC3177" s="23">
        <v>101</v>
      </c>
      <c r="BD3177" s="130">
        <f t="shared" si="975"/>
        <v>47</v>
      </c>
      <c r="BE3177" s="130">
        <f t="shared" si="971"/>
        <v>116</v>
      </c>
      <c r="BF3177" s="195">
        <f t="shared" si="976"/>
        <v>40.517241379310342</v>
      </c>
      <c r="BG3177" s="373">
        <f t="shared" si="977"/>
        <v>69</v>
      </c>
    </row>
    <row r="3178" spans="1:61" s="46" customFormat="1" ht="15.95" customHeight="1">
      <c r="A3178" s="642" t="s">
        <v>1518</v>
      </c>
      <c r="B3178" s="643"/>
      <c r="C3178" s="643"/>
      <c r="D3178" s="98">
        <f t="shared" ref="D3178:AI3178" si="978">SUM(D3179:D3390)</f>
        <v>1919</v>
      </c>
      <c r="E3178" s="98">
        <f t="shared" si="978"/>
        <v>0</v>
      </c>
      <c r="F3178" s="98">
        <f t="shared" si="978"/>
        <v>0</v>
      </c>
      <c r="G3178" s="98">
        <f t="shared" si="978"/>
        <v>647</v>
      </c>
      <c r="H3178" s="98">
        <f t="shared" si="978"/>
        <v>2666</v>
      </c>
      <c r="I3178" s="98">
        <f t="shared" si="978"/>
        <v>0</v>
      </c>
      <c r="J3178" s="98">
        <f t="shared" si="978"/>
        <v>0</v>
      </c>
      <c r="K3178" s="98">
        <f t="shared" si="978"/>
        <v>1349</v>
      </c>
      <c r="L3178" s="98">
        <f t="shared" si="978"/>
        <v>6731</v>
      </c>
      <c r="M3178" s="98">
        <f t="shared" si="978"/>
        <v>0</v>
      </c>
      <c r="N3178" s="98">
        <f t="shared" si="978"/>
        <v>0</v>
      </c>
      <c r="O3178" s="98">
        <f t="shared" si="978"/>
        <v>1363</v>
      </c>
      <c r="P3178" s="98">
        <f t="shared" si="978"/>
        <v>1943</v>
      </c>
      <c r="Q3178" s="98">
        <f t="shared" si="978"/>
        <v>0</v>
      </c>
      <c r="R3178" s="98">
        <f t="shared" si="978"/>
        <v>0</v>
      </c>
      <c r="S3178" s="98">
        <f t="shared" si="978"/>
        <v>63</v>
      </c>
      <c r="T3178" s="98">
        <f t="shared" si="978"/>
        <v>0</v>
      </c>
      <c r="U3178" s="98">
        <f t="shared" si="978"/>
        <v>0</v>
      </c>
      <c r="V3178" s="98">
        <f t="shared" si="978"/>
        <v>0</v>
      </c>
      <c r="W3178" s="98">
        <f t="shared" si="978"/>
        <v>0</v>
      </c>
      <c r="X3178" s="98">
        <f t="shared" si="978"/>
        <v>0</v>
      </c>
      <c r="Y3178" s="98">
        <f t="shared" si="978"/>
        <v>0</v>
      </c>
      <c r="Z3178" s="98">
        <f t="shared" si="978"/>
        <v>0</v>
      </c>
      <c r="AA3178" s="98">
        <f t="shared" si="978"/>
        <v>0</v>
      </c>
      <c r="AB3178" s="98">
        <f t="shared" si="978"/>
        <v>16681</v>
      </c>
      <c r="AC3178" s="161">
        <f t="shared" si="978"/>
        <v>9557</v>
      </c>
      <c r="AD3178" s="130">
        <f t="shared" si="978"/>
        <v>8541</v>
      </c>
      <c r="AE3178" s="130">
        <f t="shared" si="978"/>
        <v>0</v>
      </c>
      <c r="AF3178" s="130">
        <f t="shared" si="978"/>
        <v>0</v>
      </c>
      <c r="AG3178" s="130">
        <f t="shared" si="978"/>
        <v>0</v>
      </c>
      <c r="AH3178" s="130">
        <f t="shared" si="978"/>
        <v>5856</v>
      </c>
      <c r="AI3178" s="130">
        <f t="shared" si="978"/>
        <v>0</v>
      </c>
      <c r="AJ3178" s="130">
        <f t="shared" ref="AJ3178:BC3178" si="979">SUM(AJ3179:AJ3390)</f>
        <v>0</v>
      </c>
      <c r="AK3178" s="130">
        <f t="shared" si="979"/>
        <v>5</v>
      </c>
      <c r="AL3178" s="130">
        <f t="shared" si="979"/>
        <v>9619</v>
      </c>
      <c r="AM3178" s="130">
        <f t="shared" si="979"/>
        <v>0</v>
      </c>
      <c r="AN3178" s="130">
        <f t="shared" si="979"/>
        <v>0</v>
      </c>
      <c r="AO3178" s="130">
        <f t="shared" si="979"/>
        <v>0</v>
      </c>
      <c r="AP3178" s="130">
        <f t="shared" si="979"/>
        <v>4776</v>
      </c>
      <c r="AQ3178" s="130">
        <f t="shared" si="979"/>
        <v>0</v>
      </c>
      <c r="AR3178" s="130">
        <f t="shared" si="979"/>
        <v>0</v>
      </c>
      <c r="AS3178" s="130">
        <f t="shared" si="979"/>
        <v>0</v>
      </c>
      <c r="AT3178" s="130">
        <f t="shared" si="979"/>
        <v>0</v>
      </c>
      <c r="AU3178" s="130">
        <f t="shared" si="979"/>
        <v>0</v>
      </c>
      <c r="AV3178" s="130">
        <f t="shared" si="979"/>
        <v>0</v>
      </c>
      <c r="AW3178" s="130">
        <f t="shared" si="979"/>
        <v>0</v>
      </c>
      <c r="AX3178" s="130">
        <f t="shared" si="979"/>
        <v>0</v>
      </c>
      <c r="AY3178" s="130">
        <f t="shared" si="979"/>
        <v>0</v>
      </c>
      <c r="AZ3178" s="130">
        <f t="shared" si="979"/>
        <v>0</v>
      </c>
      <c r="BA3178" s="130">
        <f t="shared" si="979"/>
        <v>0</v>
      </c>
      <c r="BB3178" s="130">
        <f t="shared" si="979"/>
        <v>28797</v>
      </c>
      <c r="BC3178" s="103">
        <f t="shared" si="979"/>
        <v>31525</v>
      </c>
      <c r="BD3178" s="130">
        <f t="shared" si="970"/>
        <v>45478</v>
      </c>
      <c r="BE3178" s="130">
        <f t="shared" si="971"/>
        <v>41082</v>
      </c>
      <c r="BF3178" s="195">
        <f t="shared" si="972"/>
        <v>110.70055011927364</v>
      </c>
      <c r="BG3178" s="374">
        <f t="shared" si="955"/>
        <v>-4396</v>
      </c>
    </row>
    <row r="3179" spans="1:61" s="46" customFormat="1" ht="21" customHeight="1">
      <c r="A3179" s="417">
        <v>1</v>
      </c>
      <c r="B3179" s="418" t="s">
        <v>926</v>
      </c>
      <c r="C3179" s="423" t="s">
        <v>927</v>
      </c>
      <c r="D3179" s="231"/>
      <c r="E3179" s="231"/>
      <c r="F3179" s="231"/>
      <c r="G3179" s="231"/>
      <c r="H3179" s="231"/>
      <c r="I3179" s="231"/>
      <c r="J3179" s="231"/>
      <c r="K3179" s="231">
        <f>21+4</f>
        <v>25</v>
      </c>
      <c r="L3179" s="231"/>
      <c r="M3179" s="231"/>
      <c r="N3179" s="231"/>
      <c r="O3179" s="231"/>
      <c r="P3179" s="231"/>
      <c r="Q3179" s="231"/>
      <c r="R3179" s="231"/>
      <c r="S3179" s="231">
        <v>1</v>
      </c>
      <c r="T3179" s="231"/>
      <c r="U3179" s="231"/>
      <c r="V3179" s="231"/>
      <c r="W3179" s="231"/>
      <c r="X3179" s="231"/>
      <c r="Y3179" s="231"/>
      <c r="Z3179" s="231"/>
      <c r="AA3179" s="231"/>
      <c r="AB3179" s="22">
        <f t="shared" ref="AB3179:AB3242" si="980">SUM(D3179:AA3179)</f>
        <v>26</v>
      </c>
      <c r="AC3179" s="23">
        <v>7</v>
      </c>
      <c r="AD3179" s="35"/>
      <c r="AE3179" s="35"/>
      <c r="AF3179" s="35"/>
      <c r="AG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  <c r="AX3179" s="35"/>
      <c r="AY3179" s="35"/>
      <c r="AZ3179" s="35"/>
      <c r="BA3179" s="35"/>
      <c r="BB3179" s="22">
        <f t="shared" ref="BB3179:BB3242" si="981">SUM(AD3179:BA3179)</f>
        <v>0</v>
      </c>
      <c r="BC3179" s="23">
        <v>0</v>
      </c>
      <c r="BD3179" s="130">
        <f t="shared" ref="BD3179:BD3242" si="982">AB3179+BB3179</f>
        <v>26</v>
      </c>
      <c r="BE3179" s="130">
        <f t="shared" ref="BE3179:BE3242" si="983">AC3179+BC3179</f>
        <v>7</v>
      </c>
      <c r="BF3179" s="195">
        <f t="shared" ref="BF3179:BF3242" si="984">BD3179/BE3179*100</f>
        <v>371.42857142857144</v>
      </c>
      <c r="BG3179" s="373">
        <f t="shared" ref="BG3179:BG3206" si="985">BE3179-BD3179</f>
        <v>-19</v>
      </c>
      <c r="BH3179" s="426" t="s">
        <v>3675</v>
      </c>
      <c r="BI3179" s="426"/>
    </row>
    <row r="3180" spans="1:61" s="46" customFormat="1" ht="21" customHeight="1">
      <c r="A3180" s="417">
        <v>2</v>
      </c>
      <c r="B3180" s="418" t="s">
        <v>1266</v>
      </c>
      <c r="C3180" s="423" t="s">
        <v>1267</v>
      </c>
      <c r="D3180" s="231"/>
      <c r="E3180" s="231"/>
      <c r="F3180" s="231"/>
      <c r="G3180" s="231">
        <v>6</v>
      </c>
      <c r="H3180" s="231"/>
      <c r="I3180" s="231"/>
      <c r="J3180" s="231"/>
      <c r="K3180" s="231">
        <v>7</v>
      </c>
      <c r="L3180" s="231"/>
      <c r="M3180" s="231"/>
      <c r="N3180" s="231"/>
      <c r="O3180" s="231">
        <f>5+10</f>
        <v>15</v>
      </c>
      <c r="P3180" s="231"/>
      <c r="Q3180" s="231"/>
      <c r="R3180" s="231"/>
      <c r="S3180" s="231">
        <v>3</v>
      </c>
      <c r="T3180" s="231"/>
      <c r="U3180" s="231"/>
      <c r="V3180" s="231"/>
      <c r="W3180" s="231"/>
      <c r="X3180" s="231"/>
      <c r="Y3180" s="231"/>
      <c r="Z3180" s="231"/>
      <c r="AA3180" s="231"/>
      <c r="AB3180" s="22">
        <f t="shared" si="980"/>
        <v>31</v>
      </c>
      <c r="AC3180" s="23">
        <f>14+89</f>
        <v>103</v>
      </c>
      <c r="AD3180" s="35"/>
      <c r="AE3180" s="35"/>
      <c r="AF3180" s="35"/>
      <c r="AG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  <c r="AX3180" s="35"/>
      <c r="AY3180" s="35"/>
      <c r="AZ3180" s="35"/>
      <c r="BA3180" s="35"/>
      <c r="BB3180" s="22">
        <f t="shared" si="981"/>
        <v>0</v>
      </c>
      <c r="BC3180" s="23">
        <v>0</v>
      </c>
      <c r="BD3180" s="130">
        <f t="shared" si="982"/>
        <v>31</v>
      </c>
      <c r="BE3180" s="130">
        <f t="shared" si="983"/>
        <v>103</v>
      </c>
      <c r="BF3180" s="195">
        <f t="shared" si="984"/>
        <v>30.097087378640776</v>
      </c>
      <c r="BG3180" s="373">
        <f t="shared" si="985"/>
        <v>72</v>
      </c>
      <c r="BH3180" s="421" t="s">
        <v>3675</v>
      </c>
      <c r="BI3180" s="421"/>
    </row>
    <row r="3181" spans="1:61" s="46" customFormat="1" ht="21" customHeight="1">
      <c r="A3181" s="417">
        <v>3</v>
      </c>
      <c r="B3181" s="418" t="s">
        <v>2218</v>
      </c>
      <c r="C3181" s="423" t="s">
        <v>2222</v>
      </c>
      <c r="D3181" s="231"/>
      <c r="E3181" s="231"/>
      <c r="F3181" s="231"/>
      <c r="G3181" s="231"/>
      <c r="H3181" s="231"/>
      <c r="I3181" s="231"/>
      <c r="J3181" s="231"/>
      <c r="K3181" s="231"/>
      <c r="L3181" s="231"/>
      <c r="M3181" s="231"/>
      <c r="N3181" s="231"/>
      <c r="O3181" s="231">
        <v>14</v>
      </c>
      <c r="P3181" s="231"/>
      <c r="Q3181" s="231"/>
      <c r="R3181" s="231"/>
      <c r="S3181" s="231">
        <v>11</v>
      </c>
      <c r="T3181" s="231"/>
      <c r="U3181" s="231"/>
      <c r="V3181" s="231"/>
      <c r="W3181" s="231"/>
      <c r="X3181" s="231"/>
      <c r="Y3181" s="231"/>
      <c r="Z3181" s="231"/>
      <c r="AA3181" s="231"/>
      <c r="AB3181" s="22">
        <f t="shared" si="980"/>
        <v>25</v>
      </c>
      <c r="AC3181" s="23">
        <f>364+74</f>
        <v>438</v>
      </c>
      <c r="AD3181" s="35"/>
      <c r="AE3181" s="35"/>
      <c r="AF3181" s="35"/>
      <c r="AG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  <c r="AX3181" s="35"/>
      <c r="AY3181" s="35"/>
      <c r="AZ3181" s="35"/>
      <c r="BA3181" s="35"/>
      <c r="BB3181" s="22">
        <f t="shared" si="981"/>
        <v>0</v>
      </c>
      <c r="BC3181" s="23">
        <v>0</v>
      </c>
      <c r="BD3181" s="130">
        <f t="shared" si="982"/>
        <v>25</v>
      </c>
      <c r="BE3181" s="130">
        <f t="shared" si="983"/>
        <v>438</v>
      </c>
      <c r="BF3181" s="195">
        <f t="shared" si="984"/>
        <v>5.7077625570776256</v>
      </c>
      <c r="BG3181" s="373">
        <f t="shared" si="985"/>
        <v>413</v>
      </c>
      <c r="BH3181" s="421" t="s">
        <v>3675</v>
      </c>
      <c r="BI3181" s="421"/>
    </row>
    <row r="3182" spans="1:61" s="46" customFormat="1" ht="21" customHeight="1">
      <c r="A3182" s="417">
        <v>4</v>
      </c>
      <c r="B3182" s="418" t="s">
        <v>2246</v>
      </c>
      <c r="C3182" s="419" t="s">
        <v>2247</v>
      </c>
      <c r="D3182" s="231"/>
      <c r="E3182" s="231"/>
      <c r="F3182" s="231"/>
      <c r="G3182" s="231">
        <f>596+4+41</f>
        <v>641</v>
      </c>
      <c r="H3182" s="231"/>
      <c r="I3182" s="231"/>
      <c r="J3182" s="231"/>
      <c r="K3182" s="231">
        <f>164+406+555</f>
        <v>1125</v>
      </c>
      <c r="L3182" s="231"/>
      <c r="M3182" s="231"/>
      <c r="N3182" s="231"/>
      <c r="O3182" s="231">
        <f>270+15+1049</f>
        <v>1334</v>
      </c>
      <c r="P3182" s="231"/>
      <c r="Q3182" s="231"/>
      <c r="R3182" s="231"/>
      <c r="S3182" s="231">
        <f>11+37</f>
        <v>48</v>
      </c>
      <c r="T3182" s="231"/>
      <c r="U3182" s="231"/>
      <c r="V3182" s="231"/>
      <c r="W3182" s="231"/>
      <c r="X3182" s="231"/>
      <c r="Y3182" s="231"/>
      <c r="Z3182" s="231"/>
      <c r="AA3182" s="231"/>
      <c r="AB3182" s="22">
        <f t="shared" si="980"/>
        <v>3148</v>
      </c>
      <c r="AC3182" s="23">
        <v>200</v>
      </c>
      <c r="AD3182" s="35"/>
      <c r="AE3182" s="35"/>
      <c r="AF3182" s="35"/>
      <c r="AG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  <c r="AX3182" s="35"/>
      <c r="AY3182" s="35"/>
      <c r="AZ3182" s="35"/>
      <c r="BA3182" s="35"/>
      <c r="BB3182" s="22">
        <f t="shared" si="981"/>
        <v>0</v>
      </c>
      <c r="BC3182" s="23">
        <v>0</v>
      </c>
      <c r="BD3182" s="130">
        <f t="shared" si="982"/>
        <v>3148</v>
      </c>
      <c r="BE3182" s="130">
        <f t="shared" si="983"/>
        <v>200</v>
      </c>
      <c r="BF3182" s="195">
        <f t="shared" si="984"/>
        <v>1574</v>
      </c>
      <c r="BG3182" s="373">
        <f t="shared" si="985"/>
        <v>-2948</v>
      </c>
      <c r="BH3182" s="421" t="s">
        <v>3675</v>
      </c>
      <c r="BI3182" s="421"/>
    </row>
    <row r="3183" spans="1:61" s="46" customFormat="1" ht="15.95" customHeight="1">
      <c r="A3183" s="176">
        <v>5</v>
      </c>
      <c r="B3183" s="31" t="s">
        <v>1039</v>
      </c>
      <c r="C3183" s="34" t="s">
        <v>1519</v>
      </c>
      <c r="D3183" s="231">
        <v>181</v>
      </c>
      <c r="E3183" s="231"/>
      <c r="F3183" s="231"/>
      <c r="G3183" s="231"/>
      <c r="H3183" s="231">
        <v>210</v>
      </c>
      <c r="I3183" s="231"/>
      <c r="J3183" s="231"/>
      <c r="K3183" s="231"/>
      <c r="L3183" s="231">
        <v>460</v>
      </c>
      <c r="M3183" s="231"/>
      <c r="N3183" s="231"/>
      <c r="O3183" s="231"/>
      <c r="P3183" s="231">
        <v>81</v>
      </c>
      <c r="Q3183" s="231"/>
      <c r="R3183" s="231"/>
      <c r="S3183" s="231"/>
      <c r="T3183" s="231"/>
      <c r="U3183" s="231"/>
      <c r="V3183" s="231"/>
      <c r="W3183" s="231"/>
      <c r="X3183" s="231"/>
      <c r="Y3183" s="231"/>
      <c r="Z3183" s="231"/>
      <c r="AA3183" s="231"/>
      <c r="AB3183" s="22">
        <f t="shared" si="980"/>
        <v>932</v>
      </c>
      <c r="AC3183" s="23">
        <v>1062</v>
      </c>
      <c r="AD3183" s="35"/>
      <c r="AE3183" s="35"/>
      <c r="AF3183" s="35"/>
      <c r="AG3183" s="35"/>
      <c r="AH3183" s="35">
        <v>2</v>
      </c>
      <c r="AI3183" s="35"/>
      <c r="AJ3183" s="35"/>
      <c r="AK3183" s="35"/>
      <c r="AL3183" s="35">
        <v>4</v>
      </c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  <c r="AX3183" s="35"/>
      <c r="AY3183" s="35"/>
      <c r="AZ3183" s="35"/>
      <c r="BA3183" s="35"/>
      <c r="BB3183" s="22">
        <f t="shared" si="981"/>
        <v>6</v>
      </c>
      <c r="BC3183" s="23">
        <v>2</v>
      </c>
      <c r="BD3183" s="130">
        <f t="shared" si="982"/>
        <v>938</v>
      </c>
      <c r="BE3183" s="130">
        <f t="shared" si="983"/>
        <v>1064</v>
      </c>
      <c r="BF3183" s="195">
        <f t="shared" si="984"/>
        <v>88.157894736842096</v>
      </c>
      <c r="BG3183" s="373">
        <f t="shared" si="985"/>
        <v>126</v>
      </c>
    </row>
    <row r="3184" spans="1:61" s="46" customFormat="1" ht="15.95" customHeight="1">
      <c r="A3184" s="176">
        <v>6</v>
      </c>
      <c r="B3184" s="31" t="s">
        <v>1064</v>
      </c>
      <c r="C3184" s="32" t="s">
        <v>1065</v>
      </c>
      <c r="D3184" s="231">
        <v>8</v>
      </c>
      <c r="E3184" s="231"/>
      <c r="F3184" s="231"/>
      <c r="G3184" s="231"/>
      <c r="H3184" s="231">
        <v>39</v>
      </c>
      <c r="I3184" s="231"/>
      <c r="J3184" s="231"/>
      <c r="K3184" s="231"/>
      <c r="L3184" s="231">
        <v>62</v>
      </c>
      <c r="M3184" s="231"/>
      <c r="N3184" s="231"/>
      <c r="O3184" s="231"/>
      <c r="P3184" s="231">
        <v>14</v>
      </c>
      <c r="Q3184" s="231"/>
      <c r="R3184" s="231"/>
      <c r="S3184" s="231"/>
      <c r="T3184" s="231"/>
      <c r="U3184" s="231"/>
      <c r="V3184" s="231"/>
      <c r="W3184" s="231"/>
      <c r="X3184" s="231"/>
      <c r="Y3184" s="231"/>
      <c r="Z3184" s="231"/>
      <c r="AA3184" s="231"/>
      <c r="AB3184" s="22">
        <f t="shared" si="980"/>
        <v>123</v>
      </c>
      <c r="AC3184" s="23">
        <v>164</v>
      </c>
      <c r="AD3184" s="35"/>
      <c r="AE3184" s="35"/>
      <c r="AF3184" s="35"/>
      <c r="AG3184" s="35"/>
      <c r="AH3184" s="35">
        <v>1</v>
      </c>
      <c r="AI3184" s="35"/>
      <c r="AJ3184" s="35"/>
      <c r="AK3184" s="35"/>
      <c r="AL3184" s="35">
        <v>1</v>
      </c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  <c r="AX3184" s="35"/>
      <c r="AY3184" s="35"/>
      <c r="AZ3184" s="35"/>
      <c r="BA3184" s="35"/>
      <c r="BB3184" s="22">
        <f t="shared" si="981"/>
        <v>2</v>
      </c>
      <c r="BC3184" s="23">
        <v>0</v>
      </c>
      <c r="BD3184" s="130">
        <f t="shared" si="982"/>
        <v>125</v>
      </c>
      <c r="BE3184" s="130">
        <f t="shared" si="983"/>
        <v>164</v>
      </c>
      <c r="BF3184" s="195">
        <f t="shared" si="984"/>
        <v>76.219512195121951</v>
      </c>
      <c r="BG3184" s="373">
        <f t="shared" si="985"/>
        <v>39</v>
      </c>
    </row>
    <row r="3185" spans="1:59" s="46" customFormat="1" ht="15.95" customHeight="1">
      <c r="A3185" s="176">
        <v>7</v>
      </c>
      <c r="B3185" s="31" t="s">
        <v>1107</v>
      </c>
      <c r="C3185" s="32" t="s">
        <v>1108</v>
      </c>
      <c r="D3185" s="390">
        <v>8</v>
      </c>
      <c r="E3185" s="390"/>
      <c r="F3185" s="390"/>
      <c r="G3185" s="390"/>
      <c r="H3185" s="390">
        <v>39</v>
      </c>
      <c r="I3185" s="390"/>
      <c r="J3185" s="390"/>
      <c r="K3185" s="390"/>
      <c r="L3185" s="390">
        <v>62</v>
      </c>
      <c r="M3185" s="390"/>
      <c r="N3185" s="390"/>
      <c r="O3185" s="390"/>
      <c r="P3185" s="390">
        <v>14</v>
      </c>
      <c r="Q3185" s="390"/>
      <c r="R3185" s="390"/>
      <c r="S3185" s="390"/>
      <c r="T3185" s="390"/>
      <c r="U3185" s="390"/>
      <c r="V3185" s="390"/>
      <c r="W3185" s="390"/>
      <c r="X3185" s="390"/>
      <c r="Y3185" s="390"/>
      <c r="Z3185" s="390"/>
      <c r="AA3185" s="390"/>
      <c r="AB3185" s="22">
        <f t="shared" si="980"/>
        <v>123</v>
      </c>
      <c r="AC3185" s="23">
        <v>164</v>
      </c>
      <c r="AD3185" s="35"/>
      <c r="AE3185" s="35"/>
      <c r="AF3185" s="35"/>
      <c r="AG3185" s="35"/>
      <c r="AH3185" s="35">
        <v>1</v>
      </c>
      <c r="AI3185" s="35"/>
      <c r="AJ3185" s="35"/>
      <c r="AK3185" s="35"/>
      <c r="AL3185" s="35">
        <v>1</v>
      </c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  <c r="AX3185" s="35"/>
      <c r="AY3185" s="35"/>
      <c r="AZ3185" s="35"/>
      <c r="BA3185" s="35"/>
      <c r="BB3185" s="22">
        <f t="shared" si="981"/>
        <v>2</v>
      </c>
      <c r="BC3185" s="23">
        <v>0</v>
      </c>
      <c r="BD3185" s="130">
        <f t="shared" si="982"/>
        <v>125</v>
      </c>
      <c r="BE3185" s="130">
        <f t="shared" si="983"/>
        <v>164</v>
      </c>
      <c r="BF3185" s="195">
        <f t="shared" si="984"/>
        <v>76.219512195121951</v>
      </c>
      <c r="BG3185" s="373">
        <f t="shared" si="985"/>
        <v>39</v>
      </c>
    </row>
    <row r="3186" spans="1:59" s="46" customFormat="1" ht="15.95" customHeight="1">
      <c r="A3186" s="176">
        <v>8</v>
      </c>
      <c r="B3186" s="31" t="s">
        <v>3561</v>
      </c>
      <c r="C3186" s="32" t="s">
        <v>3562</v>
      </c>
      <c r="D3186" s="390"/>
      <c r="E3186" s="390"/>
      <c r="F3186" s="390"/>
      <c r="G3186" s="390"/>
      <c r="H3186" s="390"/>
      <c r="I3186" s="390"/>
      <c r="J3186" s="390"/>
      <c r="K3186" s="390"/>
      <c r="L3186" s="390"/>
      <c r="M3186" s="390"/>
      <c r="N3186" s="390"/>
      <c r="O3186" s="390"/>
      <c r="P3186" s="390"/>
      <c r="Q3186" s="390"/>
      <c r="R3186" s="390"/>
      <c r="S3186" s="390"/>
      <c r="T3186" s="390"/>
      <c r="U3186" s="390"/>
      <c r="V3186" s="390"/>
      <c r="W3186" s="390"/>
      <c r="X3186" s="390"/>
      <c r="Y3186" s="390"/>
      <c r="Z3186" s="390"/>
      <c r="AA3186" s="390"/>
      <c r="AB3186" s="22">
        <f t="shared" si="980"/>
        <v>0</v>
      </c>
      <c r="AC3186" s="23">
        <v>1</v>
      </c>
      <c r="AD3186" s="35"/>
      <c r="AE3186" s="35"/>
      <c r="AF3186" s="35"/>
      <c r="AG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  <c r="AX3186" s="35"/>
      <c r="AY3186" s="35"/>
      <c r="AZ3186" s="35"/>
      <c r="BA3186" s="35"/>
      <c r="BB3186" s="22">
        <f t="shared" si="981"/>
        <v>0</v>
      </c>
      <c r="BC3186" s="23">
        <v>0</v>
      </c>
      <c r="BD3186" s="130">
        <f t="shared" si="982"/>
        <v>0</v>
      </c>
      <c r="BE3186" s="130">
        <f t="shared" si="983"/>
        <v>1</v>
      </c>
      <c r="BF3186" s="195">
        <f t="shared" si="984"/>
        <v>0</v>
      </c>
      <c r="BG3186" s="373">
        <f t="shared" si="985"/>
        <v>1</v>
      </c>
    </row>
    <row r="3187" spans="1:59" s="46" customFormat="1" ht="15.95" customHeight="1">
      <c r="A3187" s="176">
        <v>9</v>
      </c>
      <c r="B3187" s="31" t="s">
        <v>736</v>
      </c>
      <c r="C3187" s="32" t="s">
        <v>737</v>
      </c>
      <c r="D3187" s="390"/>
      <c r="E3187" s="390"/>
      <c r="F3187" s="390"/>
      <c r="G3187" s="390"/>
      <c r="H3187" s="390"/>
      <c r="I3187" s="390"/>
      <c r="J3187" s="390"/>
      <c r="K3187" s="390"/>
      <c r="L3187" s="390"/>
      <c r="M3187" s="390"/>
      <c r="N3187" s="390"/>
      <c r="O3187" s="390"/>
      <c r="P3187" s="390"/>
      <c r="Q3187" s="390"/>
      <c r="R3187" s="390"/>
      <c r="S3187" s="390"/>
      <c r="T3187" s="390"/>
      <c r="U3187" s="390"/>
      <c r="V3187" s="390"/>
      <c r="W3187" s="390"/>
      <c r="X3187" s="390"/>
      <c r="Y3187" s="390"/>
      <c r="Z3187" s="390"/>
      <c r="AA3187" s="390"/>
      <c r="AB3187" s="22">
        <f t="shared" si="980"/>
        <v>0</v>
      </c>
      <c r="AC3187" s="23">
        <v>0</v>
      </c>
      <c r="AD3187" s="35"/>
      <c r="AE3187" s="35"/>
      <c r="AF3187" s="35"/>
      <c r="AG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  <c r="AX3187" s="35"/>
      <c r="AY3187" s="35"/>
      <c r="AZ3187" s="35"/>
      <c r="BA3187" s="35"/>
      <c r="BB3187" s="22">
        <f t="shared" si="981"/>
        <v>0</v>
      </c>
      <c r="BC3187" s="23">
        <v>34</v>
      </c>
      <c r="BD3187" s="130">
        <f t="shared" si="982"/>
        <v>0</v>
      </c>
      <c r="BE3187" s="130">
        <f t="shared" si="983"/>
        <v>34</v>
      </c>
      <c r="BF3187" s="195">
        <f t="shared" si="984"/>
        <v>0</v>
      </c>
      <c r="BG3187" s="373">
        <f t="shared" si="985"/>
        <v>34</v>
      </c>
    </row>
    <row r="3188" spans="1:59" s="46" customFormat="1" ht="15.95" customHeight="1">
      <c r="A3188" s="176">
        <v>10</v>
      </c>
      <c r="B3188" s="31" t="s">
        <v>738</v>
      </c>
      <c r="C3188" s="32" t="s">
        <v>739</v>
      </c>
      <c r="D3188" s="390"/>
      <c r="E3188" s="390"/>
      <c r="F3188" s="390"/>
      <c r="G3188" s="390"/>
      <c r="H3188" s="390"/>
      <c r="I3188" s="390"/>
      <c r="J3188" s="390"/>
      <c r="K3188" s="390"/>
      <c r="L3188" s="390"/>
      <c r="M3188" s="390"/>
      <c r="N3188" s="390"/>
      <c r="O3188" s="390"/>
      <c r="P3188" s="390">
        <v>2</v>
      </c>
      <c r="Q3188" s="390"/>
      <c r="R3188" s="390"/>
      <c r="S3188" s="390"/>
      <c r="T3188" s="390"/>
      <c r="U3188" s="390"/>
      <c r="V3188" s="390"/>
      <c r="W3188" s="390"/>
      <c r="X3188" s="390"/>
      <c r="Y3188" s="390"/>
      <c r="Z3188" s="390"/>
      <c r="AA3188" s="390"/>
      <c r="AB3188" s="22">
        <f t="shared" si="980"/>
        <v>2</v>
      </c>
      <c r="AC3188" s="23">
        <v>0</v>
      </c>
      <c r="AD3188" s="35"/>
      <c r="AE3188" s="35"/>
      <c r="AF3188" s="35"/>
      <c r="AG3188" s="35"/>
      <c r="AH3188" s="35">
        <v>1</v>
      </c>
      <c r="AI3188" s="35"/>
      <c r="AJ3188" s="35"/>
      <c r="AK3188" s="35"/>
      <c r="AL3188" s="35">
        <v>7</v>
      </c>
      <c r="AM3188" s="35"/>
      <c r="AN3188" s="35"/>
      <c r="AO3188" s="35"/>
      <c r="AP3188" s="35">
        <v>7</v>
      </c>
      <c r="AQ3188" s="35"/>
      <c r="AR3188" s="35"/>
      <c r="AS3188" s="35"/>
      <c r="AT3188" s="35"/>
      <c r="AU3188" s="35"/>
      <c r="AV3188" s="35"/>
      <c r="AW3188" s="35"/>
      <c r="AX3188" s="35"/>
      <c r="AY3188" s="35"/>
      <c r="AZ3188" s="35"/>
      <c r="BA3188" s="35"/>
      <c r="BB3188" s="22">
        <f t="shared" si="981"/>
        <v>15</v>
      </c>
      <c r="BC3188" s="23">
        <v>6</v>
      </c>
      <c r="BD3188" s="130">
        <f t="shared" si="982"/>
        <v>17</v>
      </c>
      <c r="BE3188" s="130">
        <f t="shared" si="983"/>
        <v>6</v>
      </c>
      <c r="BF3188" s="195">
        <f t="shared" si="984"/>
        <v>283.33333333333337</v>
      </c>
      <c r="BG3188" s="373">
        <f t="shared" si="985"/>
        <v>-11</v>
      </c>
    </row>
    <row r="3189" spans="1:59" s="46" customFormat="1" ht="15.95" customHeight="1">
      <c r="A3189" s="176">
        <v>11</v>
      </c>
      <c r="B3189" s="31" t="s">
        <v>746</v>
      </c>
      <c r="C3189" s="32" t="s">
        <v>1520</v>
      </c>
      <c r="D3189" s="390"/>
      <c r="E3189" s="390"/>
      <c r="F3189" s="390"/>
      <c r="G3189" s="390"/>
      <c r="H3189" s="390"/>
      <c r="I3189" s="390"/>
      <c r="J3189" s="390"/>
      <c r="K3189" s="390"/>
      <c r="L3189" s="390"/>
      <c r="M3189" s="390"/>
      <c r="N3189" s="390"/>
      <c r="O3189" s="390"/>
      <c r="P3189" s="390">
        <v>1</v>
      </c>
      <c r="Q3189" s="390"/>
      <c r="R3189" s="390"/>
      <c r="S3189" s="390"/>
      <c r="T3189" s="390"/>
      <c r="U3189" s="390"/>
      <c r="V3189" s="390"/>
      <c r="W3189" s="390"/>
      <c r="X3189" s="390"/>
      <c r="Y3189" s="390"/>
      <c r="Z3189" s="390"/>
      <c r="AA3189" s="390"/>
      <c r="AB3189" s="22">
        <f t="shared" si="980"/>
        <v>1</v>
      </c>
      <c r="AC3189" s="23">
        <v>0</v>
      </c>
      <c r="AD3189" s="35"/>
      <c r="AE3189" s="35"/>
      <c r="AF3189" s="35"/>
      <c r="AG3189" s="35"/>
      <c r="AH3189" s="35">
        <v>1</v>
      </c>
      <c r="AI3189" s="35"/>
      <c r="AJ3189" s="35"/>
      <c r="AK3189" s="35"/>
      <c r="AL3189" s="35">
        <v>15</v>
      </c>
      <c r="AM3189" s="35"/>
      <c r="AN3189" s="35"/>
      <c r="AO3189" s="35"/>
      <c r="AP3189" s="35">
        <v>10</v>
      </c>
      <c r="AQ3189" s="35"/>
      <c r="AR3189" s="35"/>
      <c r="AS3189" s="35"/>
      <c r="AT3189" s="35"/>
      <c r="AU3189" s="35"/>
      <c r="AV3189" s="35"/>
      <c r="AW3189" s="35"/>
      <c r="AX3189" s="35"/>
      <c r="AY3189" s="35"/>
      <c r="AZ3189" s="35"/>
      <c r="BA3189" s="35"/>
      <c r="BB3189" s="22">
        <f t="shared" si="981"/>
        <v>26</v>
      </c>
      <c r="BC3189" s="23">
        <v>65</v>
      </c>
      <c r="BD3189" s="130">
        <f t="shared" si="982"/>
        <v>27</v>
      </c>
      <c r="BE3189" s="130">
        <f t="shared" si="983"/>
        <v>65</v>
      </c>
      <c r="BF3189" s="195">
        <f t="shared" si="984"/>
        <v>41.53846153846154</v>
      </c>
      <c r="BG3189" s="373">
        <f t="shared" si="985"/>
        <v>38</v>
      </c>
    </row>
    <row r="3190" spans="1:59" s="46" customFormat="1" ht="15.95" customHeight="1">
      <c r="A3190" s="176">
        <v>12</v>
      </c>
      <c r="B3190" s="31" t="s">
        <v>881</v>
      </c>
      <c r="C3190" s="32" t="s">
        <v>1405</v>
      </c>
      <c r="D3190" s="390"/>
      <c r="E3190" s="390"/>
      <c r="F3190" s="390"/>
      <c r="G3190" s="390"/>
      <c r="H3190" s="390"/>
      <c r="I3190" s="390"/>
      <c r="J3190" s="390"/>
      <c r="K3190" s="390"/>
      <c r="L3190" s="390"/>
      <c r="M3190" s="390"/>
      <c r="N3190" s="390"/>
      <c r="O3190" s="390"/>
      <c r="P3190" s="390"/>
      <c r="Q3190" s="390"/>
      <c r="R3190" s="390"/>
      <c r="S3190" s="390"/>
      <c r="T3190" s="390"/>
      <c r="U3190" s="390"/>
      <c r="V3190" s="390"/>
      <c r="W3190" s="390"/>
      <c r="X3190" s="390"/>
      <c r="Y3190" s="390"/>
      <c r="Z3190" s="390"/>
      <c r="AA3190" s="390"/>
      <c r="AB3190" s="22">
        <f t="shared" si="980"/>
        <v>0</v>
      </c>
      <c r="AC3190" s="23">
        <v>0</v>
      </c>
      <c r="AD3190" s="35">
        <v>83</v>
      </c>
      <c r="AE3190" s="35"/>
      <c r="AF3190" s="35"/>
      <c r="AG3190" s="35"/>
      <c r="AH3190" s="35">
        <v>55</v>
      </c>
      <c r="AI3190" s="35"/>
      <c r="AJ3190" s="35"/>
      <c r="AK3190" s="35"/>
      <c r="AL3190" s="35">
        <f>50+71</f>
        <v>121</v>
      </c>
      <c r="AM3190" s="35"/>
      <c r="AN3190" s="35"/>
      <c r="AO3190" s="35"/>
      <c r="AP3190" s="35">
        <v>39</v>
      </c>
      <c r="AQ3190" s="35"/>
      <c r="AR3190" s="35"/>
      <c r="AS3190" s="35"/>
      <c r="AT3190" s="35"/>
      <c r="AU3190" s="35"/>
      <c r="AV3190" s="35"/>
      <c r="AW3190" s="35"/>
      <c r="AX3190" s="35"/>
      <c r="AY3190" s="35"/>
      <c r="AZ3190" s="35"/>
      <c r="BA3190" s="35"/>
      <c r="BB3190" s="22">
        <f t="shared" si="981"/>
        <v>298</v>
      </c>
      <c r="BC3190" s="23">
        <v>456</v>
      </c>
      <c r="BD3190" s="130">
        <f t="shared" si="982"/>
        <v>298</v>
      </c>
      <c r="BE3190" s="130">
        <f t="shared" si="983"/>
        <v>456</v>
      </c>
      <c r="BF3190" s="195">
        <f t="shared" si="984"/>
        <v>65.350877192982466</v>
      </c>
      <c r="BG3190" s="373">
        <f t="shared" si="985"/>
        <v>158</v>
      </c>
    </row>
    <row r="3191" spans="1:59" s="46" customFormat="1" ht="15.95" customHeight="1">
      <c r="A3191" s="176">
        <v>13</v>
      </c>
      <c r="B3191" s="31" t="s">
        <v>1066</v>
      </c>
      <c r="C3191" s="32" t="s">
        <v>1067</v>
      </c>
      <c r="D3191" s="390"/>
      <c r="E3191" s="390"/>
      <c r="F3191" s="390"/>
      <c r="G3191" s="390"/>
      <c r="H3191" s="390"/>
      <c r="I3191" s="390"/>
      <c r="J3191" s="390"/>
      <c r="K3191" s="390"/>
      <c r="L3191" s="390"/>
      <c r="M3191" s="390"/>
      <c r="N3191" s="390"/>
      <c r="O3191" s="390"/>
      <c r="P3191" s="390"/>
      <c r="Q3191" s="390"/>
      <c r="R3191" s="390"/>
      <c r="S3191" s="390"/>
      <c r="T3191" s="390"/>
      <c r="U3191" s="390"/>
      <c r="V3191" s="390"/>
      <c r="W3191" s="390"/>
      <c r="X3191" s="390"/>
      <c r="Y3191" s="390"/>
      <c r="Z3191" s="390"/>
      <c r="AA3191" s="390"/>
      <c r="AB3191" s="22">
        <f t="shared" si="980"/>
        <v>0</v>
      </c>
      <c r="AC3191" s="23">
        <v>0</v>
      </c>
      <c r="AD3191" s="35">
        <v>4</v>
      </c>
      <c r="AE3191" s="35"/>
      <c r="AF3191" s="35"/>
      <c r="AG3191" s="35"/>
      <c r="AH3191" s="35"/>
      <c r="AI3191" s="35"/>
      <c r="AJ3191" s="35"/>
      <c r="AK3191" s="35"/>
      <c r="AL3191" s="35">
        <v>2</v>
      </c>
      <c r="AM3191" s="35"/>
      <c r="AN3191" s="35"/>
      <c r="AO3191" s="35"/>
      <c r="AP3191" s="35">
        <v>1</v>
      </c>
      <c r="AQ3191" s="35"/>
      <c r="AR3191" s="35"/>
      <c r="AS3191" s="35"/>
      <c r="AT3191" s="35"/>
      <c r="AU3191" s="35"/>
      <c r="AV3191" s="35"/>
      <c r="AW3191" s="35"/>
      <c r="AX3191" s="35"/>
      <c r="AY3191" s="35"/>
      <c r="AZ3191" s="35"/>
      <c r="BA3191" s="35"/>
      <c r="BB3191" s="22">
        <f t="shared" si="981"/>
        <v>7</v>
      </c>
      <c r="BC3191" s="23">
        <v>7</v>
      </c>
      <c r="BD3191" s="130">
        <f t="shared" si="982"/>
        <v>7</v>
      </c>
      <c r="BE3191" s="130">
        <f t="shared" si="983"/>
        <v>7</v>
      </c>
      <c r="BF3191" s="195">
        <f t="shared" si="984"/>
        <v>100</v>
      </c>
      <c r="BG3191" s="373">
        <f t="shared" si="985"/>
        <v>0</v>
      </c>
    </row>
    <row r="3192" spans="1:59" s="46" customFormat="1" ht="15.95" customHeight="1">
      <c r="A3192" s="176">
        <v>14</v>
      </c>
      <c r="B3192" s="31" t="s">
        <v>750</v>
      </c>
      <c r="C3192" s="32" t="s">
        <v>751</v>
      </c>
      <c r="D3192" s="390"/>
      <c r="E3192" s="390"/>
      <c r="F3192" s="390"/>
      <c r="G3192" s="390"/>
      <c r="H3192" s="390"/>
      <c r="I3192" s="390"/>
      <c r="J3192" s="390"/>
      <c r="K3192" s="390"/>
      <c r="L3192" s="390"/>
      <c r="M3192" s="390"/>
      <c r="N3192" s="390"/>
      <c r="O3192" s="390"/>
      <c r="P3192" s="390"/>
      <c r="Q3192" s="390"/>
      <c r="R3192" s="390"/>
      <c r="S3192" s="390"/>
      <c r="T3192" s="390"/>
      <c r="U3192" s="390"/>
      <c r="V3192" s="390"/>
      <c r="W3192" s="390"/>
      <c r="X3192" s="390"/>
      <c r="Y3192" s="390"/>
      <c r="Z3192" s="390"/>
      <c r="AA3192" s="390"/>
      <c r="AB3192" s="22">
        <f t="shared" si="980"/>
        <v>0</v>
      </c>
      <c r="AC3192" s="23">
        <v>0</v>
      </c>
      <c r="AD3192" s="35">
        <v>6</v>
      </c>
      <c r="AE3192" s="35"/>
      <c r="AF3192" s="35"/>
      <c r="AG3192" s="35"/>
      <c r="AH3192" s="35">
        <f>1+1</f>
        <v>2</v>
      </c>
      <c r="AI3192" s="35"/>
      <c r="AJ3192" s="35"/>
      <c r="AK3192" s="35"/>
      <c r="AL3192" s="35">
        <f>2+6</f>
        <v>8</v>
      </c>
      <c r="AM3192" s="35"/>
      <c r="AN3192" s="35"/>
      <c r="AO3192" s="35"/>
      <c r="AP3192" s="35">
        <v>8</v>
      </c>
      <c r="AQ3192" s="35"/>
      <c r="AR3192" s="35"/>
      <c r="AS3192" s="35"/>
      <c r="AT3192" s="35"/>
      <c r="AU3192" s="35"/>
      <c r="AV3192" s="35"/>
      <c r="AW3192" s="35"/>
      <c r="AX3192" s="35"/>
      <c r="AY3192" s="35"/>
      <c r="AZ3192" s="35"/>
      <c r="BA3192" s="35"/>
      <c r="BB3192" s="22">
        <f t="shared" si="981"/>
        <v>24</v>
      </c>
      <c r="BC3192" s="23">
        <v>44</v>
      </c>
      <c r="BD3192" s="130">
        <f t="shared" si="982"/>
        <v>24</v>
      </c>
      <c r="BE3192" s="130">
        <f t="shared" si="983"/>
        <v>44</v>
      </c>
      <c r="BF3192" s="195">
        <f t="shared" si="984"/>
        <v>54.54545454545454</v>
      </c>
      <c r="BG3192" s="373">
        <f t="shared" si="985"/>
        <v>20</v>
      </c>
    </row>
    <row r="3193" spans="1:59" s="46" customFormat="1" ht="15.95" customHeight="1">
      <c r="A3193" s="176">
        <v>15</v>
      </c>
      <c r="B3193" s="31" t="s">
        <v>930</v>
      </c>
      <c r="C3193" s="32" t="s">
        <v>931</v>
      </c>
      <c r="D3193" s="390"/>
      <c r="E3193" s="390"/>
      <c r="F3193" s="390"/>
      <c r="G3193" s="390"/>
      <c r="H3193" s="390"/>
      <c r="I3193" s="390"/>
      <c r="J3193" s="390"/>
      <c r="K3193" s="390"/>
      <c r="L3193" s="390"/>
      <c r="M3193" s="390"/>
      <c r="N3193" s="390"/>
      <c r="O3193" s="390"/>
      <c r="P3193" s="390"/>
      <c r="Q3193" s="390"/>
      <c r="R3193" s="390"/>
      <c r="S3193" s="390"/>
      <c r="T3193" s="390"/>
      <c r="U3193" s="390"/>
      <c r="V3193" s="390"/>
      <c r="W3193" s="390"/>
      <c r="X3193" s="390"/>
      <c r="Y3193" s="390"/>
      <c r="Z3193" s="390"/>
      <c r="AA3193" s="390"/>
      <c r="AB3193" s="22">
        <f t="shared" si="980"/>
        <v>0</v>
      </c>
      <c r="AC3193" s="23">
        <v>0</v>
      </c>
      <c r="AD3193" s="35"/>
      <c r="AE3193" s="35"/>
      <c r="AF3193" s="35"/>
      <c r="AG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  <c r="AX3193" s="35"/>
      <c r="AY3193" s="35"/>
      <c r="AZ3193" s="35"/>
      <c r="BA3193" s="35"/>
      <c r="BB3193" s="22">
        <f t="shared" si="981"/>
        <v>0</v>
      </c>
      <c r="BC3193" s="23">
        <v>3</v>
      </c>
      <c r="BD3193" s="130">
        <f t="shared" si="982"/>
        <v>0</v>
      </c>
      <c r="BE3193" s="130">
        <f t="shared" si="983"/>
        <v>3</v>
      </c>
      <c r="BF3193" s="195">
        <f t="shared" si="984"/>
        <v>0</v>
      </c>
      <c r="BG3193" s="373">
        <f t="shared" si="985"/>
        <v>3</v>
      </c>
    </row>
    <row r="3194" spans="1:59" s="46" customFormat="1" ht="15.95" customHeight="1">
      <c r="A3194" s="176">
        <v>16</v>
      </c>
      <c r="B3194" s="37" t="s">
        <v>754</v>
      </c>
      <c r="C3194" s="38" t="s">
        <v>889</v>
      </c>
      <c r="D3194" s="390"/>
      <c r="E3194" s="390"/>
      <c r="F3194" s="390"/>
      <c r="G3194" s="390"/>
      <c r="H3194" s="390"/>
      <c r="I3194" s="390"/>
      <c r="J3194" s="390"/>
      <c r="K3194" s="390"/>
      <c r="L3194" s="390"/>
      <c r="M3194" s="390"/>
      <c r="N3194" s="390"/>
      <c r="O3194" s="390"/>
      <c r="P3194" s="390"/>
      <c r="Q3194" s="390"/>
      <c r="R3194" s="390"/>
      <c r="S3194" s="390"/>
      <c r="T3194" s="390"/>
      <c r="U3194" s="390"/>
      <c r="V3194" s="390"/>
      <c r="W3194" s="390"/>
      <c r="X3194" s="390"/>
      <c r="Y3194" s="390"/>
      <c r="Z3194" s="390"/>
      <c r="AA3194" s="390"/>
      <c r="AB3194" s="22">
        <f t="shared" si="980"/>
        <v>0</v>
      </c>
      <c r="AC3194" s="23">
        <v>0</v>
      </c>
      <c r="AD3194" s="35"/>
      <c r="AE3194" s="35"/>
      <c r="AF3194" s="35"/>
      <c r="AG3194" s="35"/>
      <c r="AH3194" s="35"/>
      <c r="AI3194" s="35"/>
      <c r="AJ3194" s="35"/>
      <c r="AK3194" s="35"/>
      <c r="AL3194" s="35">
        <v>3</v>
      </c>
      <c r="AM3194" s="35"/>
      <c r="AN3194" s="35"/>
      <c r="AO3194" s="35"/>
      <c r="AP3194" s="35">
        <v>3</v>
      </c>
      <c r="AQ3194" s="35"/>
      <c r="AR3194" s="35"/>
      <c r="AS3194" s="35"/>
      <c r="AT3194" s="35"/>
      <c r="AU3194" s="35"/>
      <c r="AV3194" s="35"/>
      <c r="AW3194" s="35"/>
      <c r="AX3194" s="35"/>
      <c r="AY3194" s="35"/>
      <c r="AZ3194" s="35"/>
      <c r="BA3194" s="35"/>
      <c r="BB3194" s="22">
        <f t="shared" si="981"/>
        <v>6</v>
      </c>
      <c r="BC3194" s="23">
        <v>14</v>
      </c>
      <c r="BD3194" s="130">
        <f t="shared" si="982"/>
        <v>6</v>
      </c>
      <c r="BE3194" s="130">
        <f t="shared" si="983"/>
        <v>14</v>
      </c>
      <c r="BF3194" s="195">
        <f t="shared" si="984"/>
        <v>42.857142857142854</v>
      </c>
      <c r="BG3194" s="373">
        <f t="shared" si="985"/>
        <v>8</v>
      </c>
    </row>
    <row r="3195" spans="1:59" s="46" customFormat="1" ht="15.95" customHeight="1">
      <c r="A3195" s="176">
        <v>17</v>
      </c>
      <c r="B3195" s="31" t="s">
        <v>756</v>
      </c>
      <c r="C3195" s="32" t="s">
        <v>757</v>
      </c>
      <c r="D3195" s="390">
        <v>13</v>
      </c>
      <c r="E3195" s="390"/>
      <c r="F3195" s="390"/>
      <c r="G3195" s="390"/>
      <c r="H3195" s="390"/>
      <c r="I3195" s="390"/>
      <c r="J3195" s="390"/>
      <c r="K3195" s="390"/>
      <c r="L3195" s="390"/>
      <c r="M3195" s="390"/>
      <c r="N3195" s="390"/>
      <c r="O3195" s="390"/>
      <c r="P3195" s="390"/>
      <c r="Q3195" s="390"/>
      <c r="R3195" s="390"/>
      <c r="S3195" s="390"/>
      <c r="T3195" s="390"/>
      <c r="U3195" s="390"/>
      <c r="V3195" s="390"/>
      <c r="W3195" s="390"/>
      <c r="X3195" s="390"/>
      <c r="Y3195" s="390"/>
      <c r="Z3195" s="390"/>
      <c r="AA3195" s="390"/>
      <c r="AB3195" s="22">
        <f t="shared" si="980"/>
        <v>13</v>
      </c>
      <c r="AC3195" s="23">
        <v>0</v>
      </c>
      <c r="AD3195" s="35"/>
      <c r="AE3195" s="35"/>
      <c r="AF3195" s="35"/>
      <c r="AG3195" s="35"/>
      <c r="AH3195" s="35">
        <v>2</v>
      </c>
      <c r="AI3195" s="35"/>
      <c r="AJ3195" s="35"/>
      <c r="AK3195" s="35"/>
      <c r="AL3195" s="35">
        <v>18</v>
      </c>
      <c r="AM3195" s="35"/>
      <c r="AN3195" s="35"/>
      <c r="AO3195" s="35"/>
      <c r="AP3195" s="35">
        <v>16</v>
      </c>
      <c r="AQ3195" s="35"/>
      <c r="AR3195" s="35"/>
      <c r="AS3195" s="35"/>
      <c r="AT3195" s="35"/>
      <c r="AU3195" s="35"/>
      <c r="AV3195" s="35"/>
      <c r="AW3195" s="35"/>
      <c r="AX3195" s="35"/>
      <c r="AY3195" s="35"/>
      <c r="AZ3195" s="35"/>
      <c r="BA3195" s="35"/>
      <c r="BB3195" s="22">
        <f t="shared" si="981"/>
        <v>36</v>
      </c>
      <c r="BC3195" s="23">
        <v>192</v>
      </c>
      <c r="BD3195" s="130">
        <f t="shared" si="982"/>
        <v>49</v>
      </c>
      <c r="BE3195" s="130">
        <f t="shared" si="983"/>
        <v>192</v>
      </c>
      <c r="BF3195" s="195">
        <f t="shared" si="984"/>
        <v>25.520833333333332</v>
      </c>
      <c r="BG3195" s="373">
        <f t="shared" si="985"/>
        <v>143</v>
      </c>
    </row>
    <row r="3196" spans="1:59" s="46" customFormat="1" ht="15.95" customHeight="1">
      <c r="A3196" s="176">
        <v>18</v>
      </c>
      <c r="B3196" s="31" t="s">
        <v>758</v>
      </c>
      <c r="C3196" s="32" t="s">
        <v>759</v>
      </c>
      <c r="D3196" s="390"/>
      <c r="E3196" s="390"/>
      <c r="F3196" s="390"/>
      <c r="G3196" s="390"/>
      <c r="H3196" s="390"/>
      <c r="I3196" s="390"/>
      <c r="J3196" s="390"/>
      <c r="K3196" s="390"/>
      <c r="L3196" s="390"/>
      <c r="M3196" s="390"/>
      <c r="N3196" s="390"/>
      <c r="O3196" s="390"/>
      <c r="P3196" s="390"/>
      <c r="Q3196" s="390"/>
      <c r="R3196" s="390"/>
      <c r="S3196" s="390"/>
      <c r="T3196" s="390"/>
      <c r="U3196" s="390"/>
      <c r="V3196" s="390"/>
      <c r="W3196" s="390"/>
      <c r="X3196" s="390"/>
      <c r="Y3196" s="390"/>
      <c r="Z3196" s="390"/>
      <c r="AA3196" s="390"/>
      <c r="AB3196" s="22">
        <f t="shared" si="980"/>
        <v>0</v>
      </c>
      <c r="AC3196" s="23">
        <v>0</v>
      </c>
      <c r="AD3196" s="35"/>
      <c r="AE3196" s="35"/>
      <c r="AF3196" s="35"/>
      <c r="AG3196" s="35"/>
      <c r="AH3196" s="35"/>
      <c r="AI3196" s="35"/>
      <c r="AJ3196" s="35"/>
      <c r="AK3196" s="35"/>
      <c r="AL3196" s="35">
        <v>1</v>
      </c>
      <c r="AM3196" s="35"/>
      <c r="AN3196" s="35"/>
      <c r="AO3196" s="35"/>
      <c r="AP3196" s="35">
        <v>1</v>
      </c>
      <c r="AQ3196" s="35"/>
      <c r="AR3196" s="35"/>
      <c r="AS3196" s="35"/>
      <c r="AT3196" s="35"/>
      <c r="AU3196" s="35"/>
      <c r="AV3196" s="35"/>
      <c r="AW3196" s="35"/>
      <c r="AX3196" s="35"/>
      <c r="AY3196" s="35"/>
      <c r="AZ3196" s="35"/>
      <c r="BA3196" s="35"/>
      <c r="BB3196" s="22">
        <f t="shared" si="981"/>
        <v>2</v>
      </c>
      <c r="BC3196" s="23">
        <v>63</v>
      </c>
      <c r="BD3196" s="130">
        <f t="shared" si="982"/>
        <v>2</v>
      </c>
      <c r="BE3196" s="130">
        <f t="shared" si="983"/>
        <v>63</v>
      </c>
      <c r="BF3196" s="195">
        <f t="shared" si="984"/>
        <v>3.1746031746031744</v>
      </c>
      <c r="BG3196" s="373">
        <f t="shared" si="985"/>
        <v>61</v>
      </c>
    </row>
    <row r="3197" spans="1:59" s="46" customFormat="1" ht="15.95" customHeight="1">
      <c r="A3197" s="176">
        <v>19</v>
      </c>
      <c r="B3197" s="31" t="s">
        <v>760</v>
      </c>
      <c r="C3197" s="32" t="s">
        <v>1521</v>
      </c>
      <c r="D3197" s="390"/>
      <c r="E3197" s="390"/>
      <c r="F3197" s="390"/>
      <c r="G3197" s="390"/>
      <c r="H3197" s="390"/>
      <c r="I3197" s="390"/>
      <c r="J3197" s="390"/>
      <c r="K3197" s="390"/>
      <c r="L3197" s="390"/>
      <c r="M3197" s="390"/>
      <c r="N3197" s="390"/>
      <c r="O3197" s="390"/>
      <c r="P3197" s="390"/>
      <c r="Q3197" s="390"/>
      <c r="R3197" s="390"/>
      <c r="S3197" s="390"/>
      <c r="T3197" s="390"/>
      <c r="U3197" s="390"/>
      <c r="V3197" s="390"/>
      <c r="W3197" s="390"/>
      <c r="X3197" s="390"/>
      <c r="Y3197" s="390"/>
      <c r="Z3197" s="390"/>
      <c r="AA3197" s="390"/>
      <c r="AB3197" s="22">
        <f t="shared" si="980"/>
        <v>0</v>
      </c>
      <c r="AC3197" s="23">
        <v>0</v>
      </c>
      <c r="AD3197" s="35"/>
      <c r="AE3197" s="35"/>
      <c r="AF3197" s="35"/>
      <c r="AG3197" s="35"/>
      <c r="AH3197" s="35"/>
      <c r="AI3197" s="35"/>
      <c r="AJ3197" s="35"/>
      <c r="AK3197" s="35"/>
      <c r="AL3197" s="35">
        <v>6</v>
      </c>
      <c r="AM3197" s="35"/>
      <c r="AN3197" s="35"/>
      <c r="AO3197" s="35"/>
      <c r="AP3197" s="35">
        <v>4</v>
      </c>
      <c r="AQ3197" s="35"/>
      <c r="AR3197" s="35"/>
      <c r="AS3197" s="35"/>
      <c r="AT3197" s="35"/>
      <c r="AU3197" s="35"/>
      <c r="AV3197" s="35"/>
      <c r="AW3197" s="35"/>
      <c r="AX3197" s="35"/>
      <c r="AY3197" s="35"/>
      <c r="AZ3197" s="35"/>
      <c r="BA3197" s="35"/>
      <c r="BB3197" s="22">
        <f t="shared" si="981"/>
        <v>10</v>
      </c>
      <c r="BC3197" s="23">
        <v>232</v>
      </c>
      <c r="BD3197" s="130">
        <f t="shared" si="982"/>
        <v>10</v>
      </c>
      <c r="BE3197" s="130">
        <f t="shared" si="983"/>
        <v>232</v>
      </c>
      <c r="BF3197" s="195">
        <f t="shared" si="984"/>
        <v>4.3103448275862073</v>
      </c>
      <c r="BG3197" s="373">
        <f t="shared" si="985"/>
        <v>222</v>
      </c>
    </row>
    <row r="3198" spans="1:59" s="46" customFormat="1" ht="15.95" customHeight="1">
      <c r="A3198" s="176">
        <v>20</v>
      </c>
      <c r="B3198" s="31" t="s">
        <v>763</v>
      </c>
      <c r="C3198" s="32" t="s">
        <v>765</v>
      </c>
      <c r="D3198" s="390"/>
      <c r="E3198" s="390"/>
      <c r="F3198" s="390"/>
      <c r="G3198" s="390"/>
      <c r="H3198" s="390"/>
      <c r="I3198" s="390"/>
      <c r="J3198" s="390"/>
      <c r="K3198" s="390"/>
      <c r="L3198" s="390"/>
      <c r="M3198" s="390"/>
      <c r="N3198" s="390"/>
      <c r="O3198" s="390"/>
      <c r="P3198" s="390"/>
      <c r="Q3198" s="390"/>
      <c r="R3198" s="390"/>
      <c r="S3198" s="390"/>
      <c r="T3198" s="390"/>
      <c r="U3198" s="390"/>
      <c r="V3198" s="390"/>
      <c r="W3198" s="390"/>
      <c r="X3198" s="390"/>
      <c r="Y3198" s="390"/>
      <c r="Z3198" s="390"/>
      <c r="AA3198" s="390"/>
      <c r="AB3198" s="22">
        <f t="shared" si="980"/>
        <v>0</v>
      </c>
      <c r="AC3198" s="23">
        <v>0</v>
      </c>
      <c r="AD3198" s="35"/>
      <c r="AE3198" s="35"/>
      <c r="AF3198" s="35"/>
      <c r="AG3198" s="35"/>
      <c r="AH3198" s="35">
        <v>1</v>
      </c>
      <c r="AI3198" s="35"/>
      <c r="AJ3198" s="35"/>
      <c r="AK3198" s="35"/>
      <c r="AL3198" s="35">
        <v>1</v>
      </c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  <c r="AX3198" s="35"/>
      <c r="AY3198" s="35"/>
      <c r="AZ3198" s="35"/>
      <c r="BA3198" s="35"/>
      <c r="BB3198" s="22">
        <f t="shared" si="981"/>
        <v>2</v>
      </c>
      <c r="BC3198" s="23">
        <v>5</v>
      </c>
      <c r="BD3198" s="130">
        <f t="shared" si="982"/>
        <v>2</v>
      </c>
      <c r="BE3198" s="130">
        <f t="shared" si="983"/>
        <v>5</v>
      </c>
      <c r="BF3198" s="195">
        <f t="shared" si="984"/>
        <v>40</v>
      </c>
      <c r="BG3198" s="373">
        <f t="shared" si="985"/>
        <v>3</v>
      </c>
    </row>
    <row r="3199" spans="1:59" s="46" customFormat="1" ht="15.95" customHeight="1">
      <c r="A3199" s="176">
        <v>21</v>
      </c>
      <c r="B3199" s="31" t="s">
        <v>764</v>
      </c>
      <c r="C3199" s="32" t="s">
        <v>2215</v>
      </c>
      <c r="D3199" s="390"/>
      <c r="E3199" s="390"/>
      <c r="F3199" s="390"/>
      <c r="G3199" s="390"/>
      <c r="H3199" s="390"/>
      <c r="I3199" s="390"/>
      <c r="J3199" s="390"/>
      <c r="K3199" s="390"/>
      <c r="L3199" s="390"/>
      <c r="M3199" s="390"/>
      <c r="N3199" s="390"/>
      <c r="O3199" s="390"/>
      <c r="P3199" s="390"/>
      <c r="Q3199" s="390"/>
      <c r="R3199" s="390"/>
      <c r="S3199" s="390"/>
      <c r="T3199" s="390"/>
      <c r="U3199" s="390"/>
      <c r="V3199" s="390"/>
      <c r="W3199" s="390"/>
      <c r="X3199" s="390"/>
      <c r="Y3199" s="390"/>
      <c r="Z3199" s="390"/>
      <c r="AA3199" s="390"/>
      <c r="AB3199" s="22">
        <f t="shared" si="980"/>
        <v>0</v>
      </c>
      <c r="AC3199" s="23">
        <v>0</v>
      </c>
      <c r="AD3199" s="35"/>
      <c r="AE3199" s="35"/>
      <c r="AF3199" s="35"/>
      <c r="AG3199" s="35"/>
      <c r="AH3199" s="35"/>
      <c r="AI3199" s="35"/>
      <c r="AJ3199" s="35"/>
      <c r="AK3199" s="35"/>
      <c r="AL3199" s="35">
        <v>2</v>
      </c>
      <c r="AM3199" s="35"/>
      <c r="AN3199" s="35"/>
      <c r="AO3199" s="35"/>
      <c r="AP3199" s="35">
        <v>1</v>
      </c>
      <c r="AQ3199" s="35"/>
      <c r="AR3199" s="35"/>
      <c r="AS3199" s="35"/>
      <c r="AT3199" s="35"/>
      <c r="AU3199" s="35"/>
      <c r="AV3199" s="35"/>
      <c r="AW3199" s="35"/>
      <c r="AX3199" s="35"/>
      <c r="AY3199" s="35"/>
      <c r="AZ3199" s="35"/>
      <c r="BA3199" s="35"/>
      <c r="BB3199" s="22">
        <f t="shared" si="981"/>
        <v>3</v>
      </c>
      <c r="BC3199" s="23">
        <v>1</v>
      </c>
      <c r="BD3199" s="130">
        <f t="shared" si="982"/>
        <v>3</v>
      </c>
      <c r="BE3199" s="130">
        <f t="shared" si="983"/>
        <v>1</v>
      </c>
      <c r="BF3199" s="195">
        <f t="shared" si="984"/>
        <v>300</v>
      </c>
      <c r="BG3199" s="373">
        <f t="shared" si="985"/>
        <v>-2</v>
      </c>
    </row>
    <row r="3200" spans="1:59" s="46" customFormat="1" ht="15.95" customHeight="1">
      <c r="A3200" s="176">
        <v>22</v>
      </c>
      <c r="B3200" s="31" t="s">
        <v>1069</v>
      </c>
      <c r="C3200" s="32" t="s">
        <v>1070</v>
      </c>
      <c r="D3200" s="390"/>
      <c r="E3200" s="390"/>
      <c r="F3200" s="390"/>
      <c r="G3200" s="390"/>
      <c r="H3200" s="390"/>
      <c r="I3200" s="390"/>
      <c r="J3200" s="390"/>
      <c r="K3200" s="390"/>
      <c r="L3200" s="390"/>
      <c r="M3200" s="390"/>
      <c r="N3200" s="390"/>
      <c r="O3200" s="390"/>
      <c r="P3200" s="390"/>
      <c r="Q3200" s="390"/>
      <c r="R3200" s="390"/>
      <c r="S3200" s="390"/>
      <c r="T3200" s="390"/>
      <c r="U3200" s="390"/>
      <c r="V3200" s="390"/>
      <c r="W3200" s="390"/>
      <c r="X3200" s="390"/>
      <c r="Y3200" s="390"/>
      <c r="Z3200" s="390"/>
      <c r="AA3200" s="390"/>
      <c r="AB3200" s="22">
        <f t="shared" si="980"/>
        <v>0</v>
      </c>
      <c r="AC3200" s="23">
        <v>0</v>
      </c>
      <c r="AD3200" s="35"/>
      <c r="AE3200" s="35"/>
      <c r="AF3200" s="35"/>
      <c r="AG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  <c r="AX3200" s="35"/>
      <c r="AY3200" s="35"/>
      <c r="AZ3200" s="35"/>
      <c r="BA3200" s="35"/>
      <c r="BB3200" s="22">
        <f t="shared" si="981"/>
        <v>0</v>
      </c>
      <c r="BC3200" s="23">
        <v>1</v>
      </c>
      <c r="BD3200" s="130">
        <f t="shared" si="982"/>
        <v>0</v>
      </c>
      <c r="BE3200" s="130">
        <f t="shared" si="983"/>
        <v>1</v>
      </c>
      <c r="BF3200" s="195">
        <f t="shared" si="984"/>
        <v>0</v>
      </c>
      <c r="BG3200" s="373">
        <f t="shared" si="985"/>
        <v>1</v>
      </c>
    </row>
    <row r="3201" spans="1:59" s="46" customFormat="1" ht="15.95" customHeight="1">
      <c r="A3201" s="176">
        <v>23</v>
      </c>
      <c r="B3201" s="31" t="s">
        <v>768</v>
      </c>
      <c r="C3201" s="32" t="s">
        <v>1522</v>
      </c>
      <c r="D3201" s="390"/>
      <c r="E3201" s="390"/>
      <c r="F3201" s="390"/>
      <c r="G3201" s="390"/>
      <c r="H3201" s="390"/>
      <c r="I3201" s="390"/>
      <c r="J3201" s="390"/>
      <c r="K3201" s="390"/>
      <c r="L3201" s="390"/>
      <c r="M3201" s="390"/>
      <c r="N3201" s="390"/>
      <c r="O3201" s="390"/>
      <c r="P3201" s="390"/>
      <c r="Q3201" s="390"/>
      <c r="R3201" s="390"/>
      <c r="S3201" s="390"/>
      <c r="T3201" s="390"/>
      <c r="U3201" s="390"/>
      <c r="V3201" s="390"/>
      <c r="W3201" s="390"/>
      <c r="X3201" s="390"/>
      <c r="Y3201" s="390"/>
      <c r="Z3201" s="390"/>
      <c r="AA3201" s="390"/>
      <c r="AB3201" s="22">
        <f t="shared" si="980"/>
        <v>0</v>
      </c>
      <c r="AC3201" s="23">
        <v>0</v>
      </c>
      <c r="AD3201" s="35"/>
      <c r="AE3201" s="35"/>
      <c r="AF3201" s="35"/>
      <c r="AG3201" s="35"/>
      <c r="AH3201" s="35">
        <v>20</v>
      </c>
      <c r="AI3201" s="35"/>
      <c r="AJ3201" s="35"/>
      <c r="AK3201" s="35"/>
      <c r="AL3201" s="35">
        <v>115</v>
      </c>
      <c r="AM3201" s="35"/>
      <c r="AN3201" s="35"/>
      <c r="AO3201" s="35"/>
      <c r="AP3201" s="35">
        <v>76</v>
      </c>
      <c r="AQ3201" s="35"/>
      <c r="AR3201" s="35"/>
      <c r="AS3201" s="35"/>
      <c r="AT3201" s="35"/>
      <c r="AU3201" s="35"/>
      <c r="AV3201" s="35"/>
      <c r="AW3201" s="35"/>
      <c r="AX3201" s="35"/>
      <c r="AY3201" s="35"/>
      <c r="AZ3201" s="35"/>
      <c r="BA3201" s="35"/>
      <c r="BB3201" s="22">
        <f t="shared" si="981"/>
        <v>211</v>
      </c>
      <c r="BC3201" s="23">
        <v>642</v>
      </c>
      <c r="BD3201" s="130">
        <f t="shared" si="982"/>
        <v>211</v>
      </c>
      <c r="BE3201" s="130">
        <f t="shared" si="983"/>
        <v>642</v>
      </c>
      <c r="BF3201" s="195">
        <f t="shared" si="984"/>
        <v>32.866043613707163</v>
      </c>
      <c r="BG3201" s="373">
        <f t="shared" si="985"/>
        <v>431</v>
      </c>
    </row>
    <row r="3202" spans="1:59" s="46" customFormat="1" ht="15.95" customHeight="1">
      <c r="A3202" s="176">
        <v>24</v>
      </c>
      <c r="B3202" s="31" t="s">
        <v>770</v>
      </c>
      <c r="C3202" s="43" t="s">
        <v>771</v>
      </c>
      <c r="D3202" s="389"/>
      <c r="E3202" s="389"/>
      <c r="F3202" s="389"/>
      <c r="G3202" s="389"/>
      <c r="H3202" s="389"/>
      <c r="I3202" s="389"/>
      <c r="J3202" s="389"/>
      <c r="K3202" s="389"/>
      <c r="L3202" s="389"/>
      <c r="M3202" s="389"/>
      <c r="N3202" s="389"/>
      <c r="O3202" s="389"/>
      <c r="P3202" s="389"/>
      <c r="Q3202" s="389"/>
      <c r="R3202" s="389"/>
      <c r="S3202" s="389"/>
      <c r="T3202" s="389"/>
      <c r="U3202" s="389"/>
      <c r="V3202" s="389"/>
      <c r="W3202" s="389"/>
      <c r="X3202" s="389"/>
      <c r="Y3202" s="389"/>
      <c r="Z3202" s="389"/>
      <c r="AA3202" s="389"/>
      <c r="AB3202" s="22">
        <f t="shared" si="980"/>
        <v>0</v>
      </c>
      <c r="AC3202" s="23">
        <v>0</v>
      </c>
      <c r="AD3202" s="35"/>
      <c r="AE3202" s="35"/>
      <c r="AF3202" s="35"/>
      <c r="AG3202" s="35"/>
      <c r="AH3202" s="35">
        <v>20</v>
      </c>
      <c r="AI3202" s="35"/>
      <c r="AJ3202" s="35"/>
      <c r="AK3202" s="35"/>
      <c r="AL3202" s="35">
        <v>119</v>
      </c>
      <c r="AM3202" s="35"/>
      <c r="AN3202" s="35"/>
      <c r="AO3202" s="35"/>
      <c r="AP3202" s="35">
        <v>83</v>
      </c>
      <c r="AQ3202" s="35"/>
      <c r="AR3202" s="35"/>
      <c r="AS3202" s="35"/>
      <c r="AT3202" s="35"/>
      <c r="AU3202" s="35"/>
      <c r="AV3202" s="35"/>
      <c r="AW3202" s="35"/>
      <c r="AX3202" s="35"/>
      <c r="AY3202" s="35"/>
      <c r="AZ3202" s="35"/>
      <c r="BA3202" s="35"/>
      <c r="BB3202" s="22">
        <f t="shared" si="981"/>
        <v>222</v>
      </c>
      <c r="BC3202" s="23">
        <v>662</v>
      </c>
      <c r="BD3202" s="130">
        <f t="shared" si="982"/>
        <v>222</v>
      </c>
      <c r="BE3202" s="130">
        <f t="shared" si="983"/>
        <v>662</v>
      </c>
      <c r="BF3202" s="195">
        <f t="shared" si="984"/>
        <v>33.534743202416919</v>
      </c>
      <c r="BG3202" s="373">
        <f t="shared" si="985"/>
        <v>440</v>
      </c>
    </row>
    <row r="3203" spans="1:59" s="46" customFormat="1" ht="15.95" customHeight="1">
      <c r="A3203" s="176">
        <v>25</v>
      </c>
      <c r="B3203" s="31" t="s">
        <v>1140</v>
      </c>
      <c r="C3203" s="32" t="s">
        <v>1281</v>
      </c>
      <c r="D3203" s="390"/>
      <c r="E3203" s="390"/>
      <c r="F3203" s="390"/>
      <c r="G3203" s="390"/>
      <c r="H3203" s="390">
        <f>5+1</f>
        <v>6</v>
      </c>
      <c r="I3203" s="390"/>
      <c r="J3203" s="390"/>
      <c r="K3203" s="390"/>
      <c r="L3203" s="390">
        <v>3</v>
      </c>
      <c r="M3203" s="390"/>
      <c r="N3203" s="390"/>
      <c r="O3203" s="390"/>
      <c r="P3203" s="390">
        <f>16+2</f>
        <v>18</v>
      </c>
      <c r="Q3203" s="390"/>
      <c r="R3203" s="390"/>
      <c r="S3203" s="390"/>
      <c r="T3203" s="390"/>
      <c r="U3203" s="390"/>
      <c r="V3203" s="390"/>
      <c r="W3203" s="390"/>
      <c r="X3203" s="390"/>
      <c r="Y3203" s="390"/>
      <c r="Z3203" s="390"/>
      <c r="AA3203" s="390"/>
      <c r="AB3203" s="22">
        <f t="shared" si="980"/>
        <v>27</v>
      </c>
      <c r="AC3203" s="23">
        <v>2</v>
      </c>
      <c r="AD3203" s="35"/>
      <c r="AE3203" s="35"/>
      <c r="AF3203" s="35"/>
      <c r="AG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  <c r="AX3203" s="35"/>
      <c r="AY3203" s="35"/>
      <c r="AZ3203" s="35"/>
      <c r="BA3203" s="35"/>
      <c r="BB3203" s="22">
        <f t="shared" si="981"/>
        <v>0</v>
      </c>
      <c r="BC3203" s="23">
        <v>0</v>
      </c>
      <c r="BD3203" s="130">
        <f t="shared" si="982"/>
        <v>27</v>
      </c>
      <c r="BE3203" s="130">
        <f t="shared" si="983"/>
        <v>2</v>
      </c>
      <c r="BF3203" s="195">
        <f t="shared" si="984"/>
        <v>1350</v>
      </c>
      <c r="BG3203" s="373">
        <f t="shared" si="985"/>
        <v>-25</v>
      </c>
    </row>
    <row r="3204" spans="1:59" s="46" customFormat="1" ht="15.95" customHeight="1">
      <c r="A3204" s="176">
        <v>26</v>
      </c>
      <c r="B3204" s="31" t="s">
        <v>1523</v>
      </c>
      <c r="C3204" s="34" t="s">
        <v>719</v>
      </c>
      <c r="D3204" s="390"/>
      <c r="E3204" s="390"/>
      <c r="F3204" s="390"/>
      <c r="G3204" s="390"/>
      <c r="H3204" s="390"/>
      <c r="I3204" s="390"/>
      <c r="J3204" s="390"/>
      <c r="K3204" s="390"/>
      <c r="L3204" s="390"/>
      <c r="M3204" s="390"/>
      <c r="N3204" s="390"/>
      <c r="O3204" s="390"/>
      <c r="P3204" s="390"/>
      <c r="Q3204" s="390"/>
      <c r="R3204" s="390"/>
      <c r="S3204" s="390"/>
      <c r="T3204" s="390"/>
      <c r="U3204" s="390"/>
      <c r="V3204" s="390"/>
      <c r="W3204" s="390"/>
      <c r="X3204" s="390"/>
      <c r="Y3204" s="390"/>
      <c r="Z3204" s="390"/>
      <c r="AA3204" s="390"/>
      <c r="AB3204" s="22">
        <f t="shared" si="980"/>
        <v>0</v>
      </c>
      <c r="AC3204" s="23">
        <v>0</v>
      </c>
      <c r="AD3204" s="35"/>
      <c r="AE3204" s="35"/>
      <c r="AF3204" s="35"/>
      <c r="AG3204" s="35"/>
      <c r="AH3204" s="35"/>
      <c r="AI3204" s="35"/>
      <c r="AJ3204" s="35"/>
      <c r="AK3204" s="35"/>
      <c r="AL3204" s="35">
        <v>1</v>
      </c>
      <c r="AM3204" s="35"/>
      <c r="AN3204" s="35"/>
      <c r="AO3204" s="35"/>
      <c r="AP3204" s="35">
        <v>1</v>
      </c>
      <c r="AQ3204" s="35"/>
      <c r="AR3204" s="35"/>
      <c r="AS3204" s="35"/>
      <c r="AT3204" s="35"/>
      <c r="AU3204" s="35"/>
      <c r="AV3204" s="35"/>
      <c r="AW3204" s="35"/>
      <c r="AX3204" s="35"/>
      <c r="AY3204" s="35"/>
      <c r="AZ3204" s="35"/>
      <c r="BA3204" s="35"/>
      <c r="BB3204" s="22">
        <f t="shared" si="981"/>
        <v>2</v>
      </c>
      <c r="BC3204" s="23">
        <v>4</v>
      </c>
      <c r="BD3204" s="130">
        <f t="shared" si="982"/>
        <v>2</v>
      </c>
      <c r="BE3204" s="130">
        <f t="shared" si="983"/>
        <v>4</v>
      </c>
      <c r="BF3204" s="195">
        <f t="shared" si="984"/>
        <v>50</v>
      </c>
      <c r="BG3204" s="373">
        <f t="shared" si="985"/>
        <v>2</v>
      </c>
    </row>
    <row r="3205" spans="1:59" s="46" customFormat="1" ht="15.95" customHeight="1">
      <c r="A3205" s="176">
        <v>27</v>
      </c>
      <c r="B3205" s="31" t="s">
        <v>1461</v>
      </c>
      <c r="C3205" s="32" t="s">
        <v>1462</v>
      </c>
      <c r="D3205" s="390"/>
      <c r="E3205" s="390"/>
      <c r="F3205" s="390"/>
      <c r="G3205" s="390"/>
      <c r="H3205" s="390"/>
      <c r="I3205" s="390"/>
      <c r="J3205" s="390"/>
      <c r="K3205" s="390"/>
      <c r="L3205" s="390"/>
      <c r="M3205" s="390"/>
      <c r="N3205" s="390"/>
      <c r="O3205" s="390"/>
      <c r="P3205" s="390"/>
      <c r="Q3205" s="390"/>
      <c r="R3205" s="390"/>
      <c r="S3205" s="390"/>
      <c r="T3205" s="390"/>
      <c r="U3205" s="390"/>
      <c r="V3205" s="390"/>
      <c r="W3205" s="390"/>
      <c r="X3205" s="390"/>
      <c r="Y3205" s="390"/>
      <c r="Z3205" s="390"/>
      <c r="AA3205" s="390"/>
      <c r="AB3205" s="22">
        <f t="shared" si="980"/>
        <v>0</v>
      </c>
      <c r="AC3205" s="23">
        <v>0</v>
      </c>
      <c r="AD3205" s="35"/>
      <c r="AE3205" s="35"/>
      <c r="AF3205" s="35"/>
      <c r="AG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  <c r="AX3205" s="35"/>
      <c r="AY3205" s="35"/>
      <c r="AZ3205" s="35"/>
      <c r="BA3205" s="35"/>
      <c r="BB3205" s="22">
        <f t="shared" si="981"/>
        <v>0</v>
      </c>
      <c r="BC3205" s="23">
        <v>1</v>
      </c>
      <c r="BD3205" s="130">
        <f t="shared" si="982"/>
        <v>0</v>
      </c>
      <c r="BE3205" s="130">
        <f t="shared" si="983"/>
        <v>1</v>
      </c>
      <c r="BF3205" s="195">
        <f t="shared" si="984"/>
        <v>0</v>
      </c>
      <c r="BG3205" s="373">
        <f t="shared" si="985"/>
        <v>1</v>
      </c>
    </row>
    <row r="3206" spans="1:59" s="46" customFormat="1" ht="15.95" customHeight="1">
      <c r="A3206" s="176">
        <v>28</v>
      </c>
      <c r="B3206" s="31" t="s">
        <v>772</v>
      </c>
      <c r="C3206" s="32" t="s">
        <v>773</v>
      </c>
      <c r="D3206" s="390">
        <v>1</v>
      </c>
      <c r="E3206" s="390"/>
      <c r="F3206" s="390"/>
      <c r="G3206" s="390"/>
      <c r="H3206" s="390">
        <f>43+6</f>
        <v>49</v>
      </c>
      <c r="I3206" s="390"/>
      <c r="J3206" s="390"/>
      <c r="K3206" s="390"/>
      <c r="L3206" s="390">
        <f>198+17</f>
        <v>215</v>
      </c>
      <c r="M3206" s="390"/>
      <c r="N3206" s="390"/>
      <c r="O3206" s="390"/>
      <c r="P3206" s="390">
        <f>154+23</f>
        <v>177</v>
      </c>
      <c r="Q3206" s="390"/>
      <c r="R3206" s="390"/>
      <c r="S3206" s="390"/>
      <c r="T3206" s="390"/>
      <c r="U3206" s="390"/>
      <c r="V3206" s="390"/>
      <c r="W3206" s="390"/>
      <c r="X3206" s="390"/>
      <c r="Y3206" s="390"/>
      <c r="Z3206" s="390"/>
      <c r="AA3206" s="390"/>
      <c r="AB3206" s="22">
        <f t="shared" si="980"/>
        <v>442</v>
      </c>
      <c r="AC3206" s="23">
        <v>0</v>
      </c>
      <c r="AD3206" s="35">
        <v>54</v>
      </c>
      <c r="AE3206" s="35"/>
      <c r="AF3206" s="35"/>
      <c r="AG3206" s="35"/>
      <c r="AH3206" s="35">
        <f>11+48</f>
        <v>59</v>
      </c>
      <c r="AI3206" s="35"/>
      <c r="AJ3206" s="35"/>
      <c r="AK3206" s="35"/>
      <c r="AL3206" s="35">
        <f>20+226</f>
        <v>246</v>
      </c>
      <c r="AM3206" s="35"/>
      <c r="AN3206" s="35"/>
      <c r="AO3206" s="35"/>
      <c r="AP3206" s="35">
        <v>147</v>
      </c>
      <c r="AQ3206" s="35"/>
      <c r="AR3206" s="35"/>
      <c r="AS3206" s="35"/>
      <c r="AT3206" s="35"/>
      <c r="AU3206" s="35"/>
      <c r="AV3206" s="35"/>
      <c r="AW3206" s="35"/>
      <c r="AX3206" s="35"/>
      <c r="AY3206" s="35"/>
      <c r="AZ3206" s="35"/>
      <c r="BA3206" s="35"/>
      <c r="BB3206" s="22">
        <f t="shared" si="981"/>
        <v>506</v>
      </c>
      <c r="BC3206" s="23">
        <v>967</v>
      </c>
      <c r="BD3206" s="130">
        <f t="shared" si="982"/>
        <v>948</v>
      </c>
      <c r="BE3206" s="130">
        <f t="shared" si="983"/>
        <v>967</v>
      </c>
      <c r="BF3206" s="195">
        <f t="shared" si="984"/>
        <v>98.035160289555321</v>
      </c>
      <c r="BG3206" s="373">
        <f t="shared" si="985"/>
        <v>19</v>
      </c>
    </row>
    <row r="3207" spans="1:59" s="46" customFormat="1" ht="15.95" customHeight="1">
      <c r="A3207" s="176">
        <v>29</v>
      </c>
      <c r="B3207" s="31" t="s">
        <v>1282</v>
      </c>
      <c r="C3207" s="32" t="s">
        <v>1283</v>
      </c>
      <c r="D3207" s="552"/>
      <c r="E3207" s="552"/>
      <c r="F3207" s="552"/>
      <c r="G3207" s="552"/>
      <c r="H3207" s="552"/>
      <c r="I3207" s="552"/>
      <c r="J3207" s="552"/>
      <c r="K3207" s="552"/>
      <c r="L3207" s="552"/>
      <c r="M3207" s="552"/>
      <c r="N3207" s="552"/>
      <c r="O3207" s="552"/>
      <c r="P3207" s="552"/>
      <c r="Q3207" s="552"/>
      <c r="R3207" s="552"/>
      <c r="S3207" s="552"/>
      <c r="T3207" s="552"/>
      <c r="U3207" s="552"/>
      <c r="V3207" s="552"/>
      <c r="W3207" s="552"/>
      <c r="X3207" s="552"/>
      <c r="Y3207" s="552"/>
      <c r="Z3207" s="552"/>
      <c r="AA3207" s="552"/>
      <c r="AB3207" s="22">
        <f t="shared" si="980"/>
        <v>0</v>
      </c>
      <c r="AC3207" s="23">
        <v>0</v>
      </c>
      <c r="AD3207" s="35"/>
      <c r="AE3207" s="35"/>
      <c r="AF3207" s="35"/>
      <c r="AG3207" s="35"/>
      <c r="AH3207" s="35"/>
      <c r="AI3207" s="35"/>
      <c r="AJ3207" s="35"/>
      <c r="AK3207" s="35"/>
      <c r="AL3207" s="35">
        <v>1</v>
      </c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  <c r="AX3207" s="35"/>
      <c r="AY3207" s="35"/>
      <c r="AZ3207" s="35"/>
      <c r="BA3207" s="35"/>
      <c r="BB3207" s="22">
        <f t="shared" si="981"/>
        <v>1</v>
      </c>
      <c r="BC3207" s="23">
        <v>0</v>
      </c>
      <c r="BD3207" s="130">
        <f t="shared" si="982"/>
        <v>1</v>
      </c>
      <c r="BE3207" s="130">
        <f t="shared" si="983"/>
        <v>0</v>
      </c>
      <c r="BF3207" s="195" t="e">
        <f t="shared" si="984"/>
        <v>#DIV/0!</v>
      </c>
      <c r="BG3207" s="373"/>
    </row>
    <row r="3208" spans="1:59" s="46" customFormat="1" ht="15.95" customHeight="1">
      <c r="A3208" s="176">
        <v>30</v>
      </c>
      <c r="B3208" s="31" t="s">
        <v>892</v>
      </c>
      <c r="C3208" s="32" t="s">
        <v>3192</v>
      </c>
      <c r="D3208" s="390"/>
      <c r="E3208" s="390"/>
      <c r="F3208" s="390"/>
      <c r="G3208" s="390"/>
      <c r="H3208" s="390"/>
      <c r="I3208" s="390"/>
      <c r="J3208" s="390"/>
      <c r="K3208" s="390"/>
      <c r="L3208" s="390"/>
      <c r="M3208" s="390"/>
      <c r="N3208" s="390"/>
      <c r="O3208" s="390"/>
      <c r="P3208" s="390"/>
      <c r="Q3208" s="390"/>
      <c r="R3208" s="390"/>
      <c r="S3208" s="390"/>
      <c r="T3208" s="390"/>
      <c r="U3208" s="390"/>
      <c r="V3208" s="390"/>
      <c r="W3208" s="390"/>
      <c r="X3208" s="390"/>
      <c r="Y3208" s="390"/>
      <c r="Z3208" s="390"/>
      <c r="AA3208" s="390"/>
      <c r="AB3208" s="22">
        <f t="shared" si="980"/>
        <v>0</v>
      </c>
      <c r="AC3208" s="23">
        <v>0</v>
      </c>
      <c r="AD3208" s="35"/>
      <c r="AE3208" s="35"/>
      <c r="AF3208" s="35"/>
      <c r="AG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  <c r="AX3208" s="35"/>
      <c r="AY3208" s="35"/>
      <c r="AZ3208" s="35"/>
      <c r="BA3208" s="35"/>
      <c r="BB3208" s="22">
        <f t="shared" si="981"/>
        <v>0</v>
      </c>
      <c r="BC3208" s="23">
        <v>1</v>
      </c>
      <c r="BD3208" s="130">
        <f t="shared" si="982"/>
        <v>0</v>
      </c>
      <c r="BE3208" s="130">
        <f t="shared" si="983"/>
        <v>1</v>
      </c>
      <c r="BF3208" s="195">
        <f t="shared" si="984"/>
        <v>0</v>
      </c>
      <c r="BG3208" s="373">
        <f>BE3208-BD3208</f>
        <v>1</v>
      </c>
    </row>
    <row r="3209" spans="1:59" s="46" customFormat="1" ht="15.95" customHeight="1">
      <c r="A3209" s="176">
        <v>31</v>
      </c>
      <c r="B3209" s="31" t="s">
        <v>1284</v>
      </c>
      <c r="C3209" s="34" t="s">
        <v>1285</v>
      </c>
      <c r="D3209" s="390"/>
      <c r="E3209" s="390"/>
      <c r="F3209" s="390"/>
      <c r="G3209" s="390"/>
      <c r="H3209" s="390"/>
      <c r="I3209" s="390"/>
      <c r="J3209" s="390"/>
      <c r="K3209" s="390"/>
      <c r="L3209" s="390"/>
      <c r="M3209" s="390"/>
      <c r="N3209" s="390"/>
      <c r="O3209" s="390"/>
      <c r="P3209" s="390"/>
      <c r="Q3209" s="390"/>
      <c r="R3209" s="390"/>
      <c r="S3209" s="390"/>
      <c r="T3209" s="390"/>
      <c r="U3209" s="390"/>
      <c r="V3209" s="390"/>
      <c r="W3209" s="390"/>
      <c r="X3209" s="390"/>
      <c r="Y3209" s="390"/>
      <c r="Z3209" s="390"/>
      <c r="AA3209" s="390"/>
      <c r="AB3209" s="22">
        <f t="shared" si="980"/>
        <v>0</v>
      </c>
      <c r="AC3209" s="23">
        <v>0</v>
      </c>
      <c r="AD3209" s="35"/>
      <c r="AE3209" s="35"/>
      <c r="AF3209" s="35"/>
      <c r="AG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  <c r="AX3209" s="35"/>
      <c r="AY3209" s="35"/>
      <c r="AZ3209" s="35"/>
      <c r="BA3209" s="35"/>
      <c r="BB3209" s="22">
        <f t="shared" si="981"/>
        <v>0</v>
      </c>
      <c r="BC3209" s="23">
        <v>1</v>
      </c>
      <c r="BD3209" s="130">
        <f t="shared" si="982"/>
        <v>0</v>
      </c>
      <c r="BE3209" s="130">
        <f t="shared" si="983"/>
        <v>1</v>
      </c>
      <c r="BF3209" s="195">
        <f t="shared" si="984"/>
        <v>0</v>
      </c>
      <c r="BG3209" s="373">
        <f>BE3209-BD3209</f>
        <v>1</v>
      </c>
    </row>
    <row r="3210" spans="1:59" s="46" customFormat="1" ht="15.95" customHeight="1">
      <c r="A3210" s="176">
        <v>32</v>
      </c>
      <c r="B3210" s="31" t="s">
        <v>2515</v>
      </c>
      <c r="C3210" s="34" t="s">
        <v>2516</v>
      </c>
      <c r="D3210" s="390"/>
      <c r="E3210" s="390"/>
      <c r="F3210" s="390"/>
      <c r="G3210" s="390"/>
      <c r="H3210" s="390"/>
      <c r="I3210" s="390"/>
      <c r="J3210" s="390"/>
      <c r="K3210" s="390"/>
      <c r="L3210" s="390"/>
      <c r="M3210" s="390"/>
      <c r="N3210" s="390"/>
      <c r="O3210" s="390"/>
      <c r="P3210" s="390"/>
      <c r="Q3210" s="390"/>
      <c r="R3210" s="390"/>
      <c r="S3210" s="390"/>
      <c r="T3210" s="390"/>
      <c r="U3210" s="390"/>
      <c r="V3210" s="390"/>
      <c r="W3210" s="390"/>
      <c r="X3210" s="390"/>
      <c r="Y3210" s="390"/>
      <c r="Z3210" s="390"/>
      <c r="AA3210" s="390"/>
      <c r="AB3210" s="22">
        <f t="shared" si="980"/>
        <v>0</v>
      </c>
      <c r="AC3210" s="23">
        <v>0</v>
      </c>
      <c r="AD3210" s="35"/>
      <c r="AE3210" s="35"/>
      <c r="AF3210" s="35"/>
      <c r="AG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  <c r="AX3210" s="35"/>
      <c r="AY3210" s="35"/>
      <c r="AZ3210" s="35"/>
      <c r="BA3210" s="35"/>
      <c r="BB3210" s="22">
        <f t="shared" si="981"/>
        <v>0</v>
      </c>
      <c r="BC3210" s="23">
        <v>4</v>
      </c>
      <c r="BD3210" s="130">
        <f t="shared" si="982"/>
        <v>0</v>
      </c>
      <c r="BE3210" s="130">
        <f t="shared" si="983"/>
        <v>4</v>
      </c>
      <c r="BF3210" s="195">
        <f t="shared" si="984"/>
        <v>0</v>
      </c>
      <c r="BG3210" s="373">
        <f>BE3210-BD3210</f>
        <v>4</v>
      </c>
    </row>
    <row r="3211" spans="1:59" s="46" customFormat="1" ht="15.95" customHeight="1">
      <c r="A3211" s="176">
        <v>33</v>
      </c>
      <c r="B3211" s="31" t="s">
        <v>3953</v>
      </c>
      <c r="C3211" s="32" t="s">
        <v>3954</v>
      </c>
      <c r="D3211" s="542"/>
      <c r="E3211" s="542"/>
      <c r="F3211" s="542"/>
      <c r="G3211" s="542"/>
      <c r="H3211" s="542"/>
      <c r="I3211" s="542"/>
      <c r="J3211" s="542"/>
      <c r="K3211" s="542"/>
      <c r="L3211" s="542"/>
      <c r="M3211" s="542"/>
      <c r="N3211" s="542"/>
      <c r="O3211" s="542"/>
      <c r="P3211" s="542"/>
      <c r="Q3211" s="542"/>
      <c r="R3211" s="542"/>
      <c r="S3211" s="542"/>
      <c r="T3211" s="542"/>
      <c r="U3211" s="542"/>
      <c r="V3211" s="542"/>
      <c r="W3211" s="542"/>
      <c r="X3211" s="542"/>
      <c r="Y3211" s="542"/>
      <c r="Z3211" s="542"/>
      <c r="AA3211" s="542"/>
      <c r="AB3211" s="22">
        <f t="shared" si="980"/>
        <v>0</v>
      </c>
      <c r="AC3211" s="23">
        <v>0</v>
      </c>
      <c r="AD3211" s="35"/>
      <c r="AE3211" s="35"/>
      <c r="AF3211" s="35"/>
      <c r="AG3211" s="35"/>
      <c r="AH3211" s="35"/>
      <c r="AI3211" s="35"/>
      <c r="AJ3211" s="35"/>
      <c r="AK3211" s="35"/>
      <c r="AL3211" s="35">
        <v>1</v>
      </c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  <c r="AX3211" s="35"/>
      <c r="AY3211" s="35"/>
      <c r="AZ3211" s="35"/>
      <c r="BA3211" s="35"/>
      <c r="BB3211" s="22">
        <f t="shared" si="981"/>
        <v>1</v>
      </c>
      <c r="BC3211" s="23">
        <v>0</v>
      </c>
      <c r="BD3211" s="130">
        <f t="shared" si="982"/>
        <v>1</v>
      </c>
      <c r="BE3211" s="130">
        <f t="shared" si="983"/>
        <v>0</v>
      </c>
      <c r="BF3211" s="195" t="e">
        <f t="shared" si="984"/>
        <v>#DIV/0!</v>
      </c>
      <c r="BG3211" s="373"/>
    </row>
    <row r="3212" spans="1:59" s="46" customFormat="1" ht="15.95" customHeight="1">
      <c r="A3212" s="176">
        <v>34</v>
      </c>
      <c r="B3212" s="31" t="s">
        <v>2085</v>
      </c>
      <c r="C3212" s="34" t="s">
        <v>3193</v>
      </c>
      <c r="D3212" s="390"/>
      <c r="E3212" s="390"/>
      <c r="F3212" s="390"/>
      <c r="G3212" s="390"/>
      <c r="H3212" s="390"/>
      <c r="I3212" s="390"/>
      <c r="J3212" s="390"/>
      <c r="K3212" s="390"/>
      <c r="L3212" s="390"/>
      <c r="M3212" s="390"/>
      <c r="N3212" s="390"/>
      <c r="O3212" s="390"/>
      <c r="P3212" s="390"/>
      <c r="Q3212" s="390"/>
      <c r="R3212" s="390"/>
      <c r="S3212" s="390"/>
      <c r="T3212" s="390"/>
      <c r="U3212" s="390"/>
      <c r="V3212" s="390"/>
      <c r="W3212" s="390"/>
      <c r="X3212" s="390"/>
      <c r="Y3212" s="390"/>
      <c r="Z3212" s="390"/>
      <c r="AA3212" s="390"/>
      <c r="AB3212" s="22">
        <f t="shared" si="980"/>
        <v>0</v>
      </c>
      <c r="AC3212" s="23">
        <v>0</v>
      </c>
      <c r="AD3212" s="35"/>
      <c r="AE3212" s="35"/>
      <c r="AF3212" s="35"/>
      <c r="AG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  <c r="AX3212" s="35"/>
      <c r="AY3212" s="35"/>
      <c r="AZ3212" s="35"/>
      <c r="BA3212" s="35"/>
      <c r="BB3212" s="22">
        <f t="shared" si="981"/>
        <v>0</v>
      </c>
      <c r="BC3212" s="23">
        <v>1</v>
      </c>
      <c r="BD3212" s="130">
        <f t="shared" si="982"/>
        <v>0</v>
      </c>
      <c r="BE3212" s="130">
        <f t="shared" si="983"/>
        <v>1</v>
      </c>
      <c r="BF3212" s="195">
        <f t="shared" si="984"/>
        <v>0</v>
      </c>
      <c r="BG3212" s="373">
        <f>BE3212-BD3212</f>
        <v>1</v>
      </c>
    </row>
    <row r="3213" spans="1:59" s="46" customFormat="1" ht="15.95" customHeight="1">
      <c r="A3213" s="176">
        <v>35</v>
      </c>
      <c r="B3213" s="31" t="s">
        <v>2614</v>
      </c>
      <c r="C3213" s="32" t="s">
        <v>2615</v>
      </c>
      <c r="D3213" s="231"/>
      <c r="E3213" s="231"/>
      <c r="F3213" s="231"/>
      <c r="G3213" s="231"/>
      <c r="H3213" s="231"/>
      <c r="I3213" s="231"/>
      <c r="J3213" s="231"/>
      <c r="K3213" s="231"/>
      <c r="L3213" s="231"/>
      <c r="M3213" s="231"/>
      <c r="N3213" s="231"/>
      <c r="O3213" s="231"/>
      <c r="P3213" s="231"/>
      <c r="Q3213" s="231"/>
      <c r="R3213" s="231"/>
      <c r="S3213" s="231"/>
      <c r="T3213" s="231"/>
      <c r="U3213" s="231"/>
      <c r="V3213" s="231"/>
      <c r="W3213" s="231"/>
      <c r="X3213" s="231"/>
      <c r="Y3213" s="231"/>
      <c r="Z3213" s="231"/>
      <c r="AA3213" s="231"/>
      <c r="AB3213" s="22">
        <f t="shared" si="980"/>
        <v>0</v>
      </c>
      <c r="AC3213" s="23">
        <v>0</v>
      </c>
      <c r="AD3213" s="35"/>
      <c r="AE3213" s="35"/>
      <c r="AF3213" s="35"/>
      <c r="AG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  <c r="AX3213" s="35"/>
      <c r="AY3213" s="35"/>
      <c r="AZ3213" s="35"/>
      <c r="BA3213" s="35"/>
      <c r="BB3213" s="22">
        <f t="shared" si="981"/>
        <v>0</v>
      </c>
      <c r="BC3213" s="23">
        <v>1</v>
      </c>
      <c r="BD3213" s="130">
        <f t="shared" si="982"/>
        <v>0</v>
      </c>
      <c r="BE3213" s="130">
        <f t="shared" si="983"/>
        <v>1</v>
      </c>
      <c r="BF3213" s="195">
        <f t="shared" si="984"/>
        <v>0</v>
      </c>
      <c r="BG3213" s="373">
        <f>BE3213-BD3213</f>
        <v>1</v>
      </c>
    </row>
    <row r="3214" spans="1:59" s="46" customFormat="1" ht="15.95" customHeight="1">
      <c r="A3214" s="176">
        <v>36</v>
      </c>
      <c r="B3214" s="31" t="s">
        <v>2746</v>
      </c>
      <c r="C3214" s="32" t="s">
        <v>2747</v>
      </c>
      <c r="D3214" s="575"/>
      <c r="E3214" s="575"/>
      <c r="F3214" s="575"/>
      <c r="G3214" s="575"/>
      <c r="H3214" s="575"/>
      <c r="I3214" s="575"/>
      <c r="J3214" s="575"/>
      <c r="K3214" s="575"/>
      <c r="L3214" s="575"/>
      <c r="M3214" s="575"/>
      <c r="N3214" s="575"/>
      <c r="O3214" s="575"/>
      <c r="P3214" s="575"/>
      <c r="Q3214" s="575"/>
      <c r="R3214" s="575"/>
      <c r="S3214" s="575"/>
      <c r="T3214" s="575"/>
      <c r="U3214" s="575"/>
      <c r="V3214" s="575"/>
      <c r="W3214" s="575"/>
      <c r="X3214" s="575"/>
      <c r="Y3214" s="575"/>
      <c r="Z3214" s="575"/>
      <c r="AA3214" s="575"/>
      <c r="AB3214" s="22">
        <f t="shared" si="980"/>
        <v>0</v>
      </c>
      <c r="AC3214" s="23">
        <v>0</v>
      </c>
      <c r="AD3214" s="35"/>
      <c r="AE3214" s="35"/>
      <c r="AF3214" s="35"/>
      <c r="AG3214" s="35"/>
      <c r="AH3214" s="35"/>
      <c r="AI3214" s="35"/>
      <c r="AJ3214" s="35"/>
      <c r="AK3214" s="35"/>
      <c r="AL3214" s="35"/>
      <c r="AM3214" s="35"/>
      <c r="AN3214" s="35"/>
      <c r="AO3214" s="35"/>
      <c r="AP3214" s="35">
        <v>1</v>
      </c>
      <c r="AQ3214" s="35"/>
      <c r="AR3214" s="35"/>
      <c r="AS3214" s="35"/>
      <c r="AT3214" s="35"/>
      <c r="AU3214" s="35"/>
      <c r="AV3214" s="35"/>
      <c r="AW3214" s="35"/>
      <c r="AX3214" s="35"/>
      <c r="AY3214" s="35"/>
      <c r="AZ3214" s="35"/>
      <c r="BA3214" s="35"/>
      <c r="BB3214" s="22">
        <f t="shared" si="981"/>
        <v>1</v>
      </c>
      <c r="BC3214" s="23">
        <v>0</v>
      </c>
      <c r="BD3214" s="130">
        <f t="shared" si="982"/>
        <v>1</v>
      </c>
      <c r="BE3214" s="130">
        <f t="shared" si="983"/>
        <v>0</v>
      </c>
      <c r="BF3214" s="195" t="e">
        <f t="shared" si="984"/>
        <v>#DIV/0!</v>
      </c>
      <c r="BG3214" s="373"/>
    </row>
    <row r="3215" spans="1:59" s="46" customFormat="1" ht="15.95" customHeight="1">
      <c r="A3215" s="176">
        <v>37</v>
      </c>
      <c r="B3215" s="31" t="s">
        <v>1526</v>
      </c>
      <c r="C3215" s="32" t="s">
        <v>1527</v>
      </c>
      <c r="D3215" s="231"/>
      <c r="E3215" s="231"/>
      <c r="F3215" s="231"/>
      <c r="G3215" s="231"/>
      <c r="H3215" s="231"/>
      <c r="I3215" s="231"/>
      <c r="J3215" s="231"/>
      <c r="K3215" s="231"/>
      <c r="L3215" s="231"/>
      <c r="M3215" s="231"/>
      <c r="N3215" s="231"/>
      <c r="O3215" s="231"/>
      <c r="P3215" s="231"/>
      <c r="Q3215" s="231"/>
      <c r="R3215" s="231"/>
      <c r="S3215" s="231"/>
      <c r="T3215" s="231"/>
      <c r="U3215" s="231"/>
      <c r="V3215" s="231"/>
      <c r="W3215" s="231"/>
      <c r="X3215" s="231"/>
      <c r="Y3215" s="231"/>
      <c r="Z3215" s="231"/>
      <c r="AA3215" s="231"/>
      <c r="AB3215" s="22">
        <f t="shared" si="980"/>
        <v>0</v>
      </c>
      <c r="AC3215" s="23">
        <v>0</v>
      </c>
      <c r="AD3215" s="35"/>
      <c r="AE3215" s="35"/>
      <c r="AF3215" s="35"/>
      <c r="AG3215" s="35"/>
      <c r="AH3215" s="35"/>
      <c r="AI3215" s="35"/>
      <c r="AJ3215" s="35"/>
      <c r="AK3215" s="35"/>
      <c r="AL3215" s="35"/>
      <c r="AM3215" s="35"/>
      <c r="AN3215" s="35"/>
      <c r="AO3215" s="35"/>
      <c r="AP3215" s="35">
        <v>1</v>
      </c>
      <c r="AQ3215" s="35"/>
      <c r="AR3215" s="35"/>
      <c r="AS3215" s="35"/>
      <c r="AT3215" s="35"/>
      <c r="AU3215" s="35"/>
      <c r="AV3215" s="35"/>
      <c r="AW3215" s="35"/>
      <c r="AX3215" s="35"/>
      <c r="AY3215" s="35"/>
      <c r="AZ3215" s="35"/>
      <c r="BA3215" s="35"/>
      <c r="BB3215" s="22">
        <f t="shared" si="981"/>
        <v>1</v>
      </c>
      <c r="BC3215" s="23">
        <v>1</v>
      </c>
      <c r="BD3215" s="130">
        <f t="shared" si="982"/>
        <v>1</v>
      </c>
      <c r="BE3215" s="130">
        <f t="shared" si="983"/>
        <v>1</v>
      </c>
      <c r="BF3215" s="195">
        <f t="shared" si="984"/>
        <v>100</v>
      </c>
      <c r="BG3215" s="373">
        <f t="shared" ref="BG3215:BG3222" si="986">BE3215-BD3215</f>
        <v>0</v>
      </c>
    </row>
    <row r="3216" spans="1:59" s="46" customFormat="1" ht="15.95" customHeight="1">
      <c r="A3216" s="176">
        <v>38</v>
      </c>
      <c r="B3216" s="31" t="s">
        <v>1094</v>
      </c>
      <c r="C3216" s="32" t="s">
        <v>1095</v>
      </c>
      <c r="D3216" s="231"/>
      <c r="E3216" s="231"/>
      <c r="F3216" s="231"/>
      <c r="G3216" s="231"/>
      <c r="H3216" s="231"/>
      <c r="I3216" s="231"/>
      <c r="J3216" s="231"/>
      <c r="K3216" s="231"/>
      <c r="L3216" s="231"/>
      <c r="M3216" s="231"/>
      <c r="N3216" s="231"/>
      <c r="O3216" s="231"/>
      <c r="P3216" s="231"/>
      <c r="Q3216" s="231"/>
      <c r="R3216" s="231"/>
      <c r="S3216" s="231"/>
      <c r="T3216" s="231"/>
      <c r="U3216" s="231"/>
      <c r="V3216" s="231"/>
      <c r="W3216" s="231"/>
      <c r="X3216" s="231"/>
      <c r="Y3216" s="231"/>
      <c r="Z3216" s="231"/>
      <c r="AA3216" s="231"/>
      <c r="AB3216" s="22">
        <f t="shared" si="980"/>
        <v>0</v>
      </c>
      <c r="AC3216" s="23">
        <v>0</v>
      </c>
      <c r="AD3216" s="35"/>
      <c r="AE3216" s="35"/>
      <c r="AF3216" s="35"/>
      <c r="AG3216" s="35"/>
      <c r="AH3216" s="35"/>
      <c r="AI3216" s="35"/>
      <c r="AJ3216" s="35"/>
      <c r="AK3216" s="35"/>
      <c r="AL3216" s="35"/>
      <c r="AM3216" s="35"/>
      <c r="AN3216" s="35"/>
      <c r="AO3216" s="35"/>
      <c r="AP3216" s="35">
        <v>1</v>
      </c>
      <c r="AQ3216" s="35"/>
      <c r="AR3216" s="35"/>
      <c r="AS3216" s="35"/>
      <c r="AT3216" s="35"/>
      <c r="AU3216" s="35"/>
      <c r="AV3216" s="35"/>
      <c r="AW3216" s="35"/>
      <c r="AX3216" s="35"/>
      <c r="AY3216" s="35"/>
      <c r="AZ3216" s="35"/>
      <c r="BA3216" s="35"/>
      <c r="BB3216" s="22">
        <f t="shared" si="981"/>
        <v>1</v>
      </c>
      <c r="BC3216" s="23">
        <v>3</v>
      </c>
      <c r="BD3216" s="130">
        <f t="shared" si="982"/>
        <v>1</v>
      </c>
      <c r="BE3216" s="130">
        <f t="shared" si="983"/>
        <v>3</v>
      </c>
      <c r="BF3216" s="195">
        <f t="shared" si="984"/>
        <v>33.333333333333329</v>
      </c>
      <c r="BG3216" s="373">
        <f t="shared" si="986"/>
        <v>2</v>
      </c>
    </row>
    <row r="3217" spans="1:59" s="46" customFormat="1" ht="15.95" customHeight="1">
      <c r="A3217" s="176">
        <v>39</v>
      </c>
      <c r="B3217" s="31" t="s">
        <v>783</v>
      </c>
      <c r="C3217" s="32" t="s">
        <v>1370</v>
      </c>
      <c r="D3217" s="231"/>
      <c r="E3217" s="231"/>
      <c r="F3217" s="231"/>
      <c r="G3217" s="231"/>
      <c r="H3217" s="231"/>
      <c r="I3217" s="231"/>
      <c r="J3217" s="231"/>
      <c r="K3217" s="231"/>
      <c r="L3217" s="231"/>
      <c r="M3217" s="231"/>
      <c r="N3217" s="231"/>
      <c r="O3217" s="231"/>
      <c r="P3217" s="231"/>
      <c r="Q3217" s="231"/>
      <c r="R3217" s="231"/>
      <c r="S3217" s="231"/>
      <c r="T3217" s="231"/>
      <c r="U3217" s="231"/>
      <c r="V3217" s="231"/>
      <c r="W3217" s="231"/>
      <c r="X3217" s="231"/>
      <c r="Y3217" s="231"/>
      <c r="Z3217" s="231"/>
      <c r="AA3217" s="231"/>
      <c r="AB3217" s="22">
        <f t="shared" si="980"/>
        <v>0</v>
      </c>
      <c r="AC3217" s="23">
        <v>0</v>
      </c>
      <c r="AD3217" s="35">
        <v>4</v>
      </c>
      <c r="AE3217" s="35"/>
      <c r="AF3217" s="35"/>
      <c r="AG3217" s="35"/>
      <c r="AH3217" s="35">
        <v>7</v>
      </c>
      <c r="AI3217" s="35"/>
      <c r="AJ3217" s="35"/>
      <c r="AK3217" s="35"/>
      <c r="AL3217" s="35">
        <f>3+7</f>
        <v>10</v>
      </c>
      <c r="AM3217" s="35"/>
      <c r="AN3217" s="35"/>
      <c r="AO3217" s="35"/>
      <c r="AP3217" s="35">
        <v>8</v>
      </c>
      <c r="AQ3217" s="35"/>
      <c r="AR3217" s="35"/>
      <c r="AS3217" s="35"/>
      <c r="AT3217" s="35"/>
      <c r="AU3217" s="35"/>
      <c r="AV3217" s="35"/>
      <c r="AW3217" s="35"/>
      <c r="AX3217" s="35"/>
      <c r="AY3217" s="35"/>
      <c r="AZ3217" s="35"/>
      <c r="BA3217" s="35"/>
      <c r="BB3217" s="22">
        <f t="shared" si="981"/>
        <v>29</v>
      </c>
      <c r="BC3217" s="23">
        <v>34</v>
      </c>
      <c r="BD3217" s="130">
        <f t="shared" si="982"/>
        <v>29</v>
      </c>
      <c r="BE3217" s="130">
        <f t="shared" si="983"/>
        <v>34</v>
      </c>
      <c r="BF3217" s="195">
        <f t="shared" si="984"/>
        <v>85.294117647058826</v>
      </c>
      <c r="BG3217" s="373">
        <f t="shared" si="986"/>
        <v>5</v>
      </c>
    </row>
    <row r="3218" spans="1:59" s="46" customFormat="1" ht="15.95" customHeight="1">
      <c r="A3218" s="176">
        <v>40</v>
      </c>
      <c r="B3218" s="31" t="s">
        <v>1531</v>
      </c>
      <c r="C3218" s="32" t="s">
        <v>1532</v>
      </c>
      <c r="D3218" s="231"/>
      <c r="E3218" s="231"/>
      <c r="F3218" s="231"/>
      <c r="G3218" s="231"/>
      <c r="H3218" s="231"/>
      <c r="I3218" s="231"/>
      <c r="J3218" s="231"/>
      <c r="K3218" s="231"/>
      <c r="L3218" s="231"/>
      <c r="M3218" s="231"/>
      <c r="N3218" s="231"/>
      <c r="O3218" s="231"/>
      <c r="P3218" s="231"/>
      <c r="Q3218" s="231"/>
      <c r="R3218" s="231"/>
      <c r="S3218" s="231"/>
      <c r="T3218" s="231"/>
      <c r="U3218" s="231"/>
      <c r="V3218" s="231"/>
      <c r="W3218" s="231"/>
      <c r="X3218" s="231"/>
      <c r="Y3218" s="231"/>
      <c r="Z3218" s="231"/>
      <c r="AA3218" s="231"/>
      <c r="AB3218" s="22">
        <f t="shared" si="980"/>
        <v>0</v>
      </c>
      <c r="AC3218" s="23">
        <v>0</v>
      </c>
      <c r="AD3218" s="35"/>
      <c r="AE3218" s="35"/>
      <c r="AF3218" s="35"/>
      <c r="AG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  <c r="AX3218" s="35"/>
      <c r="AY3218" s="35"/>
      <c r="AZ3218" s="35"/>
      <c r="BA3218" s="35"/>
      <c r="BB3218" s="22">
        <f t="shared" si="981"/>
        <v>0</v>
      </c>
      <c r="BC3218" s="23">
        <v>13</v>
      </c>
      <c r="BD3218" s="130">
        <f t="shared" si="982"/>
        <v>0</v>
      </c>
      <c r="BE3218" s="130">
        <f t="shared" si="983"/>
        <v>13</v>
      </c>
      <c r="BF3218" s="195">
        <f t="shared" si="984"/>
        <v>0</v>
      </c>
      <c r="BG3218" s="373">
        <f t="shared" si="986"/>
        <v>13</v>
      </c>
    </row>
    <row r="3219" spans="1:59" s="46" customFormat="1" ht="15.95" customHeight="1">
      <c r="A3219" s="176">
        <v>41</v>
      </c>
      <c r="B3219" s="31" t="s">
        <v>1533</v>
      </c>
      <c r="C3219" s="32" t="s">
        <v>1534</v>
      </c>
      <c r="D3219" s="231"/>
      <c r="E3219" s="231"/>
      <c r="F3219" s="231"/>
      <c r="G3219" s="231"/>
      <c r="H3219" s="231"/>
      <c r="I3219" s="231"/>
      <c r="J3219" s="231"/>
      <c r="K3219" s="231"/>
      <c r="L3219" s="231"/>
      <c r="M3219" s="231"/>
      <c r="N3219" s="231"/>
      <c r="O3219" s="231"/>
      <c r="P3219" s="231"/>
      <c r="Q3219" s="231"/>
      <c r="R3219" s="231"/>
      <c r="S3219" s="231"/>
      <c r="T3219" s="231"/>
      <c r="U3219" s="231"/>
      <c r="V3219" s="231"/>
      <c r="W3219" s="231"/>
      <c r="X3219" s="231"/>
      <c r="Y3219" s="231"/>
      <c r="Z3219" s="231"/>
      <c r="AA3219" s="231"/>
      <c r="AB3219" s="22">
        <f t="shared" si="980"/>
        <v>0</v>
      </c>
      <c r="AC3219" s="23">
        <v>0</v>
      </c>
      <c r="AD3219" s="35"/>
      <c r="AE3219" s="35"/>
      <c r="AF3219" s="35"/>
      <c r="AG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  <c r="AX3219" s="35"/>
      <c r="AY3219" s="35"/>
      <c r="AZ3219" s="35"/>
      <c r="BA3219" s="35"/>
      <c r="BB3219" s="22">
        <f t="shared" si="981"/>
        <v>0</v>
      </c>
      <c r="BC3219" s="23">
        <v>3</v>
      </c>
      <c r="BD3219" s="130">
        <f t="shared" si="982"/>
        <v>0</v>
      </c>
      <c r="BE3219" s="130">
        <f t="shared" si="983"/>
        <v>3</v>
      </c>
      <c r="BF3219" s="195">
        <f t="shared" si="984"/>
        <v>0</v>
      </c>
      <c r="BG3219" s="373">
        <f t="shared" si="986"/>
        <v>3</v>
      </c>
    </row>
    <row r="3220" spans="1:59" s="46" customFormat="1" ht="15.95" customHeight="1">
      <c r="A3220" s="176">
        <v>42</v>
      </c>
      <c r="B3220" s="31" t="s">
        <v>3247</v>
      </c>
      <c r="C3220" s="32" t="s">
        <v>3248</v>
      </c>
      <c r="D3220" s="231"/>
      <c r="E3220" s="231"/>
      <c r="F3220" s="231"/>
      <c r="G3220" s="231"/>
      <c r="H3220" s="231"/>
      <c r="I3220" s="231"/>
      <c r="J3220" s="231"/>
      <c r="K3220" s="231"/>
      <c r="L3220" s="231"/>
      <c r="M3220" s="231"/>
      <c r="N3220" s="231"/>
      <c r="O3220" s="231"/>
      <c r="P3220" s="231"/>
      <c r="Q3220" s="231"/>
      <c r="R3220" s="231"/>
      <c r="S3220" s="231"/>
      <c r="T3220" s="231"/>
      <c r="U3220" s="231"/>
      <c r="V3220" s="231"/>
      <c r="W3220" s="231"/>
      <c r="X3220" s="231"/>
      <c r="Y3220" s="231"/>
      <c r="Z3220" s="231"/>
      <c r="AA3220" s="231"/>
      <c r="AB3220" s="22">
        <f t="shared" si="980"/>
        <v>0</v>
      </c>
      <c r="AC3220" s="23">
        <v>0</v>
      </c>
      <c r="AD3220" s="35"/>
      <c r="AE3220" s="35"/>
      <c r="AF3220" s="35"/>
      <c r="AG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  <c r="AX3220" s="35"/>
      <c r="AY3220" s="35"/>
      <c r="AZ3220" s="35"/>
      <c r="BA3220" s="35"/>
      <c r="BB3220" s="22">
        <f t="shared" si="981"/>
        <v>0</v>
      </c>
      <c r="BC3220" s="23">
        <v>2</v>
      </c>
      <c r="BD3220" s="130">
        <f t="shared" si="982"/>
        <v>0</v>
      </c>
      <c r="BE3220" s="130">
        <f t="shared" si="983"/>
        <v>2</v>
      </c>
      <c r="BF3220" s="195">
        <f t="shared" si="984"/>
        <v>0</v>
      </c>
      <c r="BG3220" s="373">
        <f t="shared" si="986"/>
        <v>2</v>
      </c>
    </row>
    <row r="3221" spans="1:59" s="46" customFormat="1" ht="15.95" customHeight="1">
      <c r="A3221" s="176">
        <v>43</v>
      </c>
      <c r="B3221" s="31" t="s">
        <v>1535</v>
      </c>
      <c r="C3221" s="32" t="s">
        <v>1536</v>
      </c>
      <c r="D3221" s="231">
        <v>1</v>
      </c>
      <c r="E3221" s="231"/>
      <c r="F3221" s="231"/>
      <c r="G3221" s="231"/>
      <c r="H3221" s="231"/>
      <c r="I3221" s="231"/>
      <c r="J3221" s="231"/>
      <c r="K3221" s="231"/>
      <c r="L3221" s="231">
        <v>15</v>
      </c>
      <c r="M3221" s="231"/>
      <c r="N3221" s="231"/>
      <c r="O3221" s="231"/>
      <c r="P3221" s="231">
        <v>16</v>
      </c>
      <c r="Q3221" s="231"/>
      <c r="R3221" s="231"/>
      <c r="S3221" s="231"/>
      <c r="T3221" s="231"/>
      <c r="U3221" s="231"/>
      <c r="V3221" s="231"/>
      <c r="W3221" s="231"/>
      <c r="X3221" s="231"/>
      <c r="Y3221" s="231"/>
      <c r="Z3221" s="231"/>
      <c r="AA3221" s="231"/>
      <c r="AB3221" s="22">
        <f t="shared" si="980"/>
        <v>32</v>
      </c>
      <c r="AC3221" s="23">
        <v>0</v>
      </c>
      <c r="AD3221" s="35"/>
      <c r="AE3221" s="35"/>
      <c r="AF3221" s="35"/>
      <c r="AG3221" s="35"/>
      <c r="AH3221" s="35">
        <v>4</v>
      </c>
      <c r="AI3221" s="35"/>
      <c r="AJ3221" s="35"/>
      <c r="AK3221" s="35"/>
      <c r="AL3221" s="35"/>
      <c r="AM3221" s="35"/>
      <c r="AN3221" s="35"/>
      <c r="AO3221" s="35"/>
      <c r="AP3221" s="35">
        <v>2</v>
      </c>
      <c r="AQ3221" s="35"/>
      <c r="AR3221" s="35"/>
      <c r="AS3221" s="35"/>
      <c r="AT3221" s="35"/>
      <c r="AU3221" s="35"/>
      <c r="AV3221" s="35"/>
      <c r="AW3221" s="35"/>
      <c r="AX3221" s="35"/>
      <c r="AY3221" s="35"/>
      <c r="AZ3221" s="35"/>
      <c r="BA3221" s="35"/>
      <c r="BB3221" s="22">
        <f t="shared" si="981"/>
        <v>6</v>
      </c>
      <c r="BC3221" s="23">
        <v>1</v>
      </c>
      <c r="BD3221" s="130">
        <f t="shared" si="982"/>
        <v>38</v>
      </c>
      <c r="BE3221" s="130">
        <f t="shared" si="983"/>
        <v>1</v>
      </c>
      <c r="BF3221" s="195">
        <f t="shared" si="984"/>
        <v>3800</v>
      </c>
      <c r="BG3221" s="373">
        <f t="shared" si="986"/>
        <v>-37</v>
      </c>
    </row>
    <row r="3222" spans="1:59" s="46" customFormat="1" ht="15.95" customHeight="1">
      <c r="A3222" s="176">
        <v>44</v>
      </c>
      <c r="B3222" s="31" t="s">
        <v>1042</v>
      </c>
      <c r="C3222" s="32" t="s">
        <v>1537</v>
      </c>
      <c r="D3222" s="231">
        <v>15</v>
      </c>
      <c r="E3222" s="231"/>
      <c r="F3222" s="231"/>
      <c r="G3222" s="231"/>
      <c r="H3222" s="231">
        <f>1+95</f>
        <v>96</v>
      </c>
      <c r="I3222" s="231"/>
      <c r="J3222" s="231"/>
      <c r="K3222" s="231"/>
      <c r="L3222" s="231">
        <v>158</v>
      </c>
      <c r="M3222" s="231"/>
      <c r="N3222" s="231"/>
      <c r="O3222" s="231"/>
      <c r="P3222" s="231">
        <v>75</v>
      </c>
      <c r="Q3222" s="231"/>
      <c r="R3222" s="231"/>
      <c r="S3222" s="231"/>
      <c r="T3222" s="231"/>
      <c r="U3222" s="231"/>
      <c r="V3222" s="231"/>
      <c r="W3222" s="231"/>
      <c r="X3222" s="231"/>
      <c r="Y3222" s="231"/>
      <c r="Z3222" s="231"/>
      <c r="AA3222" s="231"/>
      <c r="AB3222" s="22">
        <f t="shared" si="980"/>
        <v>344</v>
      </c>
      <c r="AC3222" s="23">
        <v>38</v>
      </c>
      <c r="AD3222" s="35"/>
      <c r="AE3222" s="35"/>
      <c r="AF3222" s="35"/>
      <c r="AG3222" s="35"/>
      <c r="AH3222" s="35"/>
      <c r="AI3222" s="35"/>
      <c r="AJ3222" s="35"/>
      <c r="AK3222" s="35"/>
      <c r="AL3222" s="35"/>
      <c r="AM3222" s="35"/>
      <c r="AN3222" s="35"/>
      <c r="AO3222" s="35"/>
      <c r="AP3222" s="35">
        <v>1</v>
      </c>
      <c r="AQ3222" s="35"/>
      <c r="AR3222" s="35"/>
      <c r="AS3222" s="35"/>
      <c r="AT3222" s="35"/>
      <c r="AU3222" s="35"/>
      <c r="AV3222" s="35"/>
      <c r="AW3222" s="35"/>
      <c r="AX3222" s="35"/>
      <c r="AY3222" s="35"/>
      <c r="AZ3222" s="35"/>
      <c r="BA3222" s="35"/>
      <c r="BB3222" s="22">
        <f t="shared" si="981"/>
        <v>1</v>
      </c>
      <c r="BC3222" s="23">
        <v>3</v>
      </c>
      <c r="BD3222" s="130">
        <f t="shared" si="982"/>
        <v>345</v>
      </c>
      <c r="BE3222" s="130">
        <f t="shared" si="983"/>
        <v>41</v>
      </c>
      <c r="BF3222" s="195">
        <f t="shared" si="984"/>
        <v>841.46341463414626</v>
      </c>
      <c r="BG3222" s="373">
        <f t="shared" si="986"/>
        <v>-304</v>
      </c>
    </row>
    <row r="3223" spans="1:59" s="46" customFormat="1" ht="15.95" customHeight="1">
      <c r="A3223" s="176">
        <v>45</v>
      </c>
      <c r="B3223" s="31" t="s">
        <v>1538</v>
      </c>
      <c r="C3223" s="32" t="s">
        <v>3803</v>
      </c>
      <c r="D3223" s="521"/>
      <c r="E3223" s="521"/>
      <c r="F3223" s="521"/>
      <c r="G3223" s="521"/>
      <c r="H3223" s="521"/>
      <c r="I3223" s="521"/>
      <c r="J3223" s="521"/>
      <c r="K3223" s="521"/>
      <c r="L3223" s="521">
        <v>6</v>
      </c>
      <c r="M3223" s="521"/>
      <c r="N3223" s="521"/>
      <c r="O3223" s="521"/>
      <c r="P3223" s="521">
        <v>4</v>
      </c>
      <c r="Q3223" s="521"/>
      <c r="R3223" s="521"/>
      <c r="S3223" s="521"/>
      <c r="T3223" s="521"/>
      <c r="U3223" s="521"/>
      <c r="V3223" s="521"/>
      <c r="W3223" s="521"/>
      <c r="X3223" s="521"/>
      <c r="Y3223" s="521"/>
      <c r="Z3223" s="521"/>
      <c r="AA3223" s="521"/>
      <c r="AB3223" s="22">
        <f t="shared" si="980"/>
        <v>10</v>
      </c>
      <c r="AC3223" s="23">
        <v>0</v>
      </c>
      <c r="AD3223" s="35"/>
      <c r="AE3223" s="35"/>
      <c r="AF3223" s="35"/>
      <c r="AG3223" s="35"/>
      <c r="AH3223" s="35">
        <v>4</v>
      </c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  <c r="AX3223" s="35"/>
      <c r="AY3223" s="35"/>
      <c r="AZ3223" s="35"/>
      <c r="BA3223" s="35"/>
      <c r="BB3223" s="22">
        <f t="shared" si="981"/>
        <v>4</v>
      </c>
      <c r="BC3223" s="23">
        <v>0</v>
      </c>
      <c r="BD3223" s="130">
        <f t="shared" si="982"/>
        <v>14</v>
      </c>
      <c r="BE3223" s="130">
        <f t="shared" si="983"/>
        <v>0</v>
      </c>
      <c r="BF3223" s="195" t="e">
        <f t="shared" si="984"/>
        <v>#DIV/0!</v>
      </c>
      <c r="BG3223" s="373"/>
    </row>
    <row r="3224" spans="1:59" s="46" customFormat="1" ht="15.95" customHeight="1">
      <c r="A3224" s="176">
        <v>46</v>
      </c>
      <c r="B3224" s="31" t="s">
        <v>997</v>
      </c>
      <c r="C3224" s="32" t="s">
        <v>998</v>
      </c>
      <c r="D3224" s="231">
        <v>1</v>
      </c>
      <c r="E3224" s="231"/>
      <c r="F3224" s="231"/>
      <c r="G3224" s="231"/>
      <c r="H3224" s="231"/>
      <c r="I3224" s="231"/>
      <c r="J3224" s="231"/>
      <c r="K3224" s="231"/>
      <c r="L3224" s="231">
        <v>1</v>
      </c>
      <c r="M3224" s="231"/>
      <c r="N3224" s="231"/>
      <c r="O3224" s="231"/>
      <c r="P3224" s="231"/>
      <c r="Q3224" s="231"/>
      <c r="R3224" s="231"/>
      <c r="S3224" s="231"/>
      <c r="T3224" s="231"/>
      <c r="U3224" s="231"/>
      <c r="V3224" s="231"/>
      <c r="W3224" s="231"/>
      <c r="X3224" s="231"/>
      <c r="Y3224" s="231"/>
      <c r="Z3224" s="231"/>
      <c r="AA3224" s="231"/>
      <c r="AB3224" s="22">
        <f t="shared" si="980"/>
        <v>2</v>
      </c>
      <c r="AC3224" s="23">
        <v>11</v>
      </c>
      <c r="AD3224" s="35"/>
      <c r="AE3224" s="35"/>
      <c r="AF3224" s="35"/>
      <c r="AG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  <c r="AX3224" s="35"/>
      <c r="AY3224" s="35"/>
      <c r="AZ3224" s="35"/>
      <c r="BA3224" s="35"/>
      <c r="BB3224" s="22">
        <f t="shared" si="981"/>
        <v>0</v>
      </c>
      <c r="BC3224" s="23">
        <v>0</v>
      </c>
      <c r="BD3224" s="130">
        <f t="shared" si="982"/>
        <v>2</v>
      </c>
      <c r="BE3224" s="130">
        <f t="shared" si="983"/>
        <v>11</v>
      </c>
      <c r="BF3224" s="195">
        <f t="shared" si="984"/>
        <v>18.181818181818183</v>
      </c>
      <c r="BG3224" s="373">
        <f>BE3224-BD3224</f>
        <v>9</v>
      </c>
    </row>
    <row r="3225" spans="1:59" s="46" customFormat="1" ht="15.95" customHeight="1">
      <c r="A3225" s="176">
        <v>47</v>
      </c>
      <c r="B3225" s="31" t="s">
        <v>999</v>
      </c>
      <c r="C3225" s="32" t="s">
        <v>1464</v>
      </c>
      <c r="D3225" s="231">
        <v>186</v>
      </c>
      <c r="E3225" s="231"/>
      <c r="F3225" s="231"/>
      <c r="G3225" s="231"/>
      <c r="H3225" s="231">
        <v>214</v>
      </c>
      <c r="I3225" s="231"/>
      <c r="J3225" s="231"/>
      <c r="K3225" s="231"/>
      <c r="L3225" s="231">
        <v>470</v>
      </c>
      <c r="M3225" s="231"/>
      <c r="N3225" s="231"/>
      <c r="O3225" s="231"/>
      <c r="P3225" s="231">
        <v>88</v>
      </c>
      <c r="Q3225" s="231"/>
      <c r="R3225" s="231"/>
      <c r="S3225" s="231"/>
      <c r="T3225" s="231"/>
      <c r="U3225" s="231"/>
      <c r="V3225" s="231"/>
      <c r="W3225" s="231"/>
      <c r="X3225" s="231"/>
      <c r="Y3225" s="231"/>
      <c r="Z3225" s="231"/>
      <c r="AA3225" s="231"/>
      <c r="AB3225" s="22">
        <f t="shared" si="980"/>
        <v>958</v>
      </c>
      <c r="AC3225" s="23">
        <v>1109</v>
      </c>
      <c r="AD3225" s="35"/>
      <c r="AE3225" s="35"/>
      <c r="AF3225" s="35"/>
      <c r="AG3225" s="35"/>
      <c r="AH3225" s="35">
        <f>25+2</f>
        <v>27</v>
      </c>
      <c r="AI3225" s="35"/>
      <c r="AJ3225" s="35"/>
      <c r="AK3225" s="35"/>
      <c r="AL3225" s="35">
        <f>7+41</f>
        <v>48</v>
      </c>
      <c r="AM3225" s="35"/>
      <c r="AN3225" s="35"/>
      <c r="AO3225" s="35"/>
      <c r="AP3225" s="35">
        <f>6+18</f>
        <v>24</v>
      </c>
      <c r="AQ3225" s="35"/>
      <c r="AR3225" s="35"/>
      <c r="AS3225" s="35"/>
      <c r="AT3225" s="35"/>
      <c r="AU3225" s="35"/>
      <c r="AV3225" s="35"/>
      <c r="AW3225" s="35"/>
      <c r="AX3225" s="35"/>
      <c r="AY3225" s="35"/>
      <c r="AZ3225" s="35"/>
      <c r="BA3225" s="35"/>
      <c r="BB3225" s="22">
        <f t="shared" si="981"/>
        <v>99</v>
      </c>
      <c r="BC3225" s="23">
        <v>298</v>
      </c>
      <c r="BD3225" s="130">
        <f t="shared" si="982"/>
        <v>1057</v>
      </c>
      <c r="BE3225" s="130">
        <f t="shared" si="983"/>
        <v>1407</v>
      </c>
      <c r="BF3225" s="195">
        <f t="shared" si="984"/>
        <v>75.124378109452735</v>
      </c>
      <c r="BG3225" s="373">
        <f>BE3225-BD3225</f>
        <v>350</v>
      </c>
    </row>
    <row r="3226" spans="1:59" s="46" customFormat="1" ht="15.95" customHeight="1">
      <c r="A3226" s="176">
        <v>48</v>
      </c>
      <c r="B3226" s="31" t="s">
        <v>3820</v>
      </c>
      <c r="C3226" s="32" t="s">
        <v>3821</v>
      </c>
      <c r="D3226" s="525"/>
      <c r="E3226" s="525"/>
      <c r="F3226" s="525"/>
      <c r="G3226" s="525"/>
      <c r="H3226" s="525"/>
      <c r="I3226" s="525"/>
      <c r="J3226" s="525"/>
      <c r="K3226" s="525"/>
      <c r="L3226" s="525"/>
      <c r="M3226" s="525"/>
      <c r="N3226" s="525"/>
      <c r="O3226" s="525"/>
      <c r="P3226" s="525"/>
      <c r="Q3226" s="525"/>
      <c r="R3226" s="525"/>
      <c r="S3226" s="525"/>
      <c r="T3226" s="525"/>
      <c r="U3226" s="525"/>
      <c r="V3226" s="525"/>
      <c r="W3226" s="525"/>
      <c r="X3226" s="525"/>
      <c r="Y3226" s="525"/>
      <c r="Z3226" s="525"/>
      <c r="AA3226" s="525"/>
      <c r="AB3226" s="22">
        <f t="shared" si="980"/>
        <v>0</v>
      </c>
      <c r="AC3226" s="23">
        <v>0</v>
      </c>
      <c r="AD3226" s="35"/>
      <c r="AE3226" s="35"/>
      <c r="AF3226" s="35"/>
      <c r="AG3226" s="35"/>
      <c r="AH3226" s="35">
        <v>2</v>
      </c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  <c r="AX3226" s="35"/>
      <c r="AY3226" s="35"/>
      <c r="AZ3226" s="35"/>
      <c r="BA3226" s="35"/>
      <c r="BB3226" s="22">
        <f t="shared" si="981"/>
        <v>2</v>
      </c>
      <c r="BC3226" s="23">
        <v>0</v>
      </c>
      <c r="BD3226" s="130">
        <f t="shared" si="982"/>
        <v>2</v>
      </c>
      <c r="BE3226" s="130">
        <f t="shared" si="983"/>
        <v>0</v>
      </c>
      <c r="BF3226" s="195" t="e">
        <f t="shared" si="984"/>
        <v>#DIV/0!</v>
      </c>
      <c r="BG3226" s="373"/>
    </row>
    <row r="3227" spans="1:59" s="46" customFormat="1" ht="15.95" customHeight="1">
      <c r="A3227" s="176">
        <v>49</v>
      </c>
      <c r="B3227" s="31" t="s">
        <v>1541</v>
      </c>
      <c r="C3227" s="34" t="s">
        <v>1542</v>
      </c>
      <c r="D3227" s="231"/>
      <c r="E3227" s="231"/>
      <c r="F3227" s="231"/>
      <c r="G3227" s="231"/>
      <c r="H3227" s="231"/>
      <c r="I3227" s="231"/>
      <c r="J3227" s="231"/>
      <c r="K3227" s="231"/>
      <c r="L3227" s="231"/>
      <c r="M3227" s="231"/>
      <c r="N3227" s="231"/>
      <c r="O3227" s="231"/>
      <c r="P3227" s="231"/>
      <c r="Q3227" s="231"/>
      <c r="R3227" s="231"/>
      <c r="S3227" s="231"/>
      <c r="T3227" s="231"/>
      <c r="U3227" s="231"/>
      <c r="V3227" s="231"/>
      <c r="W3227" s="231"/>
      <c r="X3227" s="231"/>
      <c r="Y3227" s="231"/>
      <c r="Z3227" s="231"/>
      <c r="AA3227" s="231"/>
      <c r="AB3227" s="22">
        <f t="shared" si="980"/>
        <v>0</v>
      </c>
      <c r="AC3227" s="23">
        <v>0</v>
      </c>
      <c r="AD3227" s="35"/>
      <c r="AE3227" s="35"/>
      <c r="AF3227" s="35"/>
      <c r="AG3227" s="35"/>
      <c r="AH3227" s="35"/>
      <c r="AI3227" s="35"/>
      <c r="AJ3227" s="35"/>
      <c r="AK3227" s="35"/>
      <c r="AL3227" s="35"/>
      <c r="AM3227" s="35"/>
      <c r="AN3227" s="35"/>
      <c r="AO3227" s="35"/>
      <c r="AP3227" s="35">
        <v>3</v>
      </c>
      <c r="AQ3227" s="35"/>
      <c r="AR3227" s="35"/>
      <c r="AS3227" s="35"/>
      <c r="AT3227" s="35"/>
      <c r="AU3227" s="35"/>
      <c r="AV3227" s="35"/>
      <c r="AW3227" s="35"/>
      <c r="AX3227" s="35"/>
      <c r="AY3227" s="35"/>
      <c r="AZ3227" s="35"/>
      <c r="BA3227" s="35"/>
      <c r="BB3227" s="22">
        <f t="shared" si="981"/>
        <v>3</v>
      </c>
      <c r="BC3227" s="23">
        <v>10</v>
      </c>
      <c r="BD3227" s="130">
        <f t="shared" si="982"/>
        <v>3</v>
      </c>
      <c r="BE3227" s="130">
        <f t="shared" si="983"/>
        <v>10</v>
      </c>
      <c r="BF3227" s="195">
        <f t="shared" si="984"/>
        <v>30</v>
      </c>
      <c r="BG3227" s="373">
        <f>BE3227-BD3227</f>
        <v>7</v>
      </c>
    </row>
    <row r="3228" spans="1:59" s="46" customFormat="1" ht="15.95" customHeight="1">
      <c r="A3228" s="176">
        <v>50</v>
      </c>
      <c r="B3228" s="31" t="s">
        <v>3194</v>
      </c>
      <c r="C3228" s="34" t="s">
        <v>3195</v>
      </c>
      <c r="D3228" s="231"/>
      <c r="E3228" s="231"/>
      <c r="F3228" s="231"/>
      <c r="G3228" s="231"/>
      <c r="H3228" s="231"/>
      <c r="I3228" s="231"/>
      <c r="J3228" s="231"/>
      <c r="K3228" s="231"/>
      <c r="L3228" s="231"/>
      <c r="M3228" s="231"/>
      <c r="N3228" s="231"/>
      <c r="O3228" s="231"/>
      <c r="P3228" s="231"/>
      <c r="Q3228" s="231"/>
      <c r="R3228" s="231"/>
      <c r="S3228" s="231"/>
      <c r="T3228" s="231"/>
      <c r="U3228" s="231"/>
      <c r="V3228" s="231"/>
      <c r="W3228" s="231"/>
      <c r="X3228" s="231"/>
      <c r="Y3228" s="231"/>
      <c r="Z3228" s="231"/>
      <c r="AA3228" s="231"/>
      <c r="AB3228" s="22">
        <f t="shared" si="980"/>
        <v>0</v>
      </c>
      <c r="AC3228" s="23">
        <v>0</v>
      </c>
      <c r="AD3228" s="35"/>
      <c r="AE3228" s="35"/>
      <c r="AF3228" s="35"/>
      <c r="AG3228" s="35"/>
      <c r="AH3228" s="35"/>
      <c r="AI3228" s="35"/>
      <c r="AJ3228" s="35"/>
      <c r="AK3228" s="35"/>
      <c r="AL3228" s="35">
        <v>1</v>
      </c>
      <c r="AM3228" s="35"/>
      <c r="AN3228" s="35"/>
      <c r="AO3228" s="35"/>
      <c r="AP3228" s="35">
        <v>1</v>
      </c>
      <c r="AQ3228" s="35"/>
      <c r="AR3228" s="35"/>
      <c r="AS3228" s="35"/>
      <c r="AT3228" s="35"/>
      <c r="AU3228" s="35"/>
      <c r="AV3228" s="35"/>
      <c r="AW3228" s="35"/>
      <c r="AX3228" s="35"/>
      <c r="AY3228" s="35"/>
      <c r="AZ3228" s="35"/>
      <c r="BA3228" s="35"/>
      <c r="BB3228" s="22">
        <f t="shared" si="981"/>
        <v>2</v>
      </c>
      <c r="BC3228" s="23">
        <v>2</v>
      </c>
      <c r="BD3228" s="130">
        <f t="shared" si="982"/>
        <v>2</v>
      </c>
      <c r="BE3228" s="130">
        <f t="shared" si="983"/>
        <v>2</v>
      </c>
      <c r="BF3228" s="195">
        <f t="shared" si="984"/>
        <v>100</v>
      </c>
      <c r="BG3228" s="373">
        <f>BE3228-BD3228</f>
        <v>0</v>
      </c>
    </row>
    <row r="3229" spans="1:59" s="46" customFormat="1" ht="15.95" customHeight="1">
      <c r="A3229" s="176">
        <v>51</v>
      </c>
      <c r="B3229" s="31" t="s">
        <v>2476</v>
      </c>
      <c r="C3229" s="34" t="s">
        <v>2477</v>
      </c>
      <c r="D3229" s="231"/>
      <c r="E3229" s="231"/>
      <c r="F3229" s="231"/>
      <c r="G3229" s="231"/>
      <c r="H3229" s="231"/>
      <c r="I3229" s="231"/>
      <c r="J3229" s="231"/>
      <c r="K3229" s="231"/>
      <c r="L3229" s="231"/>
      <c r="M3229" s="231"/>
      <c r="N3229" s="231"/>
      <c r="O3229" s="231"/>
      <c r="P3229" s="231"/>
      <c r="Q3229" s="231"/>
      <c r="R3229" s="231"/>
      <c r="S3229" s="231"/>
      <c r="T3229" s="231"/>
      <c r="U3229" s="231"/>
      <c r="V3229" s="231"/>
      <c r="W3229" s="231"/>
      <c r="X3229" s="231"/>
      <c r="Y3229" s="231"/>
      <c r="Z3229" s="231"/>
      <c r="AA3229" s="231"/>
      <c r="AB3229" s="22">
        <f t="shared" si="980"/>
        <v>0</v>
      </c>
      <c r="AC3229" s="23">
        <v>0</v>
      </c>
      <c r="AD3229" s="35"/>
      <c r="AE3229" s="35"/>
      <c r="AF3229" s="35"/>
      <c r="AG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  <c r="AX3229" s="35"/>
      <c r="AY3229" s="35"/>
      <c r="AZ3229" s="35"/>
      <c r="BA3229" s="35"/>
      <c r="BB3229" s="22">
        <f t="shared" si="981"/>
        <v>0</v>
      </c>
      <c r="BC3229" s="23">
        <v>1</v>
      </c>
      <c r="BD3229" s="130">
        <f t="shared" si="982"/>
        <v>0</v>
      </c>
      <c r="BE3229" s="130">
        <f t="shared" si="983"/>
        <v>1</v>
      </c>
      <c r="BF3229" s="195">
        <f t="shared" si="984"/>
        <v>0</v>
      </c>
      <c r="BG3229" s="373">
        <f>BE3229-BD3229</f>
        <v>1</v>
      </c>
    </row>
    <row r="3230" spans="1:59" s="46" customFormat="1" ht="15.95" customHeight="1">
      <c r="A3230" s="176">
        <v>52</v>
      </c>
      <c r="B3230" s="31" t="s">
        <v>4171</v>
      </c>
      <c r="C3230" s="34" t="s">
        <v>4172</v>
      </c>
      <c r="D3230" s="575"/>
      <c r="E3230" s="575"/>
      <c r="F3230" s="575"/>
      <c r="G3230" s="575"/>
      <c r="H3230" s="575"/>
      <c r="I3230" s="575"/>
      <c r="J3230" s="575"/>
      <c r="K3230" s="575"/>
      <c r="L3230" s="575"/>
      <c r="M3230" s="575"/>
      <c r="N3230" s="575"/>
      <c r="O3230" s="575"/>
      <c r="P3230" s="575"/>
      <c r="Q3230" s="575"/>
      <c r="R3230" s="575"/>
      <c r="S3230" s="575"/>
      <c r="T3230" s="575"/>
      <c r="U3230" s="575"/>
      <c r="V3230" s="575"/>
      <c r="W3230" s="575"/>
      <c r="X3230" s="575"/>
      <c r="Y3230" s="575"/>
      <c r="Z3230" s="575"/>
      <c r="AA3230" s="575"/>
      <c r="AB3230" s="22">
        <f t="shared" si="980"/>
        <v>0</v>
      </c>
      <c r="AC3230" s="23">
        <v>0</v>
      </c>
      <c r="AD3230" s="35"/>
      <c r="AE3230" s="35"/>
      <c r="AF3230" s="35"/>
      <c r="AG3230" s="35"/>
      <c r="AH3230" s="35"/>
      <c r="AI3230" s="35"/>
      <c r="AJ3230" s="35"/>
      <c r="AK3230" s="35"/>
      <c r="AL3230" s="35"/>
      <c r="AM3230" s="35"/>
      <c r="AN3230" s="35"/>
      <c r="AO3230" s="35"/>
      <c r="AP3230" s="35">
        <v>1</v>
      </c>
      <c r="AQ3230" s="35"/>
      <c r="AR3230" s="35"/>
      <c r="AS3230" s="35"/>
      <c r="AT3230" s="35"/>
      <c r="AU3230" s="35"/>
      <c r="AV3230" s="35"/>
      <c r="AW3230" s="35"/>
      <c r="AX3230" s="35"/>
      <c r="AY3230" s="35"/>
      <c r="AZ3230" s="35"/>
      <c r="BA3230" s="35"/>
      <c r="BB3230" s="22">
        <f t="shared" si="981"/>
        <v>1</v>
      </c>
      <c r="BC3230" s="23">
        <v>0</v>
      </c>
      <c r="BD3230" s="130">
        <f t="shared" si="982"/>
        <v>1</v>
      </c>
      <c r="BE3230" s="130">
        <f t="shared" si="983"/>
        <v>0</v>
      </c>
      <c r="BF3230" s="195" t="e">
        <f t="shared" si="984"/>
        <v>#DIV/0!</v>
      </c>
      <c r="BG3230" s="373"/>
    </row>
    <row r="3231" spans="1:59" s="46" customFormat="1" ht="15.95" customHeight="1">
      <c r="A3231" s="176">
        <v>53</v>
      </c>
      <c r="B3231" s="31" t="s">
        <v>1543</v>
      </c>
      <c r="C3231" s="34" t="s">
        <v>1544</v>
      </c>
      <c r="D3231" s="231"/>
      <c r="E3231" s="231"/>
      <c r="F3231" s="231"/>
      <c r="G3231" s="231"/>
      <c r="H3231" s="231"/>
      <c r="I3231" s="231"/>
      <c r="J3231" s="231"/>
      <c r="K3231" s="231"/>
      <c r="L3231" s="231"/>
      <c r="M3231" s="231"/>
      <c r="N3231" s="231"/>
      <c r="O3231" s="231"/>
      <c r="P3231" s="231"/>
      <c r="Q3231" s="231"/>
      <c r="R3231" s="231"/>
      <c r="S3231" s="231"/>
      <c r="T3231" s="231"/>
      <c r="U3231" s="231"/>
      <c r="V3231" s="231"/>
      <c r="W3231" s="231"/>
      <c r="X3231" s="231"/>
      <c r="Y3231" s="231"/>
      <c r="Z3231" s="231"/>
      <c r="AA3231" s="231"/>
      <c r="AB3231" s="22">
        <f t="shared" si="980"/>
        <v>0</v>
      </c>
      <c r="AC3231" s="23">
        <v>0</v>
      </c>
      <c r="AD3231" s="35"/>
      <c r="AE3231" s="35"/>
      <c r="AF3231" s="35"/>
      <c r="AG3231" s="35"/>
      <c r="AH3231" s="35">
        <v>3</v>
      </c>
      <c r="AI3231" s="35"/>
      <c r="AJ3231" s="35"/>
      <c r="AK3231" s="35"/>
      <c r="AL3231" s="35"/>
      <c r="AM3231" s="35"/>
      <c r="AN3231" s="35"/>
      <c r="AO3231" s="35"/>
      <c r="AP3231" s="35">
        <v>4</v>
      </c>
      <c r="AQ3231" s="35"/>
      <c r="AR3231" s="35"/>
      <c r="AS3231" s="35"/>
      <c r="AT3231" s="35"/>
      <c r="AU3231" s="35"/>
      <c r="AV3231" s="35"/>
      <c r="AW3231" s="35"/>
      <c r="AX3231" s="35"/>
      <c r="AY3231" s="35"/>
      <c r="AZ3231" s="35"/>
      <c r="BA3231" s="35"/>
      <c r="BB3231" s="22">
        <f t="shared" si="981"/>
        <v>7</v>
      </c>
      <c r="BC3231" s="23">
        <v>22</v>
      </c>
      <c r="BD3231" s="130">
        <f t="shared" si="982"/>
        <v>7</v>
      </c>
      <c r="BE3231" s="130">
        <f t="shared" si="983"/>
        <v>22</v>
      </c>
      <c r="BF3231" s="195">
        <f t="shared" si="984"/>
        <v>31.818181818181817</v>
      </c>
      <c r="BG3231" s="373">
        <f>BE3231-BD3231</f>
        <v>15</v>
      </c>
    </row>
    <row r="3232" spans="1:59" s="46" customFormat="1" ht="15.95" customHeight="1">
      <c r="A3232" s="176">
        <v>54</v>
      </c>
      <c r="B3232" s="31" t="s">
        <v>552</v>
      </c>
      <c r="C3232" s="32" t="s">
        <v>1545</v>
      </c>
      <c r="D3232" s="339"/>
      <c r="E3232" s="339"/>
      <c r="F3232" s="339"/>
      <c r="G3232" s="339"/>
      <c r="H3232" s="339"/>
      <c r="I3232" s="339"/>
      <c r="J3232" s="339"/>
      <c r="K3232" s="339"/>
      <c r="L3232" s="339"/>
      <c r="M3232" s="339"/>
      <c r="N3232" s="339"/>
      <c r="O3232" s="339"/>
      <c r="P3232" s="339"/>
      <c r="Q3232" s="339"/>
      <c r="R3232" s="339"/>
      <c r="S3232" s="339"/>
      <c r="T3232" s="339"/>
      <c r="U3232" s="339"/>
      <c r="V3232" s="339"/>
      <c r="W3232" s="339"/>
      <c r="X3232" s="339"/>
      <c r="Y3232" s="339"/>
      <c r="Z3232" s="339"/>
      <c r="AA3232" s="339"/>
      <c r="AB3232" s="22">
        <f t="shared" si="980"/>
        <v>0</v>
      </c>
      <c r="AC3232" s="23">
        <v>0</v>
      </c>
      <c r="AD3232" s="35"/>
      <c r="AE3232" s="35"/>
      <c r="AF3232" s="35"/>
      <c r="AG3232" s="35"/>
      <c r="AH3232" s="35"/>
      <c r="AI3232" s="35"/>
      <c r="AJ3232" s="35"/>
      <c r="AK3232" s="35"/>
      <c r="AL3232" s="35">
        <v>1</v>
      </c>
      <c r="AM3232" s="35"/>
      <c r="AN3232" s="35"/>
      <c r="AO3232" s="35"/>
      <c r="AP3232" s="35">
        <f>1+8</f>
        <v>9</v>
      </c>
      <c r="AQ3232" s="35"/>
      <c r="AR3232" s="35"/>
      <c r="AS3232" s="35"/>
      <c r="AT3232" s="35"/>
      <c r="AU3232" s="35"/>
      <c r="AV3232" s="35"/>
      <c r="AW3232" s="35"/>
      <c r="AX3232" s="35"/>
      <c r="AY3232" s="35"/>
      <c r="AZ3232" s="35"/>
      <c r="BA3232" s="35"/>
      <c r="BB3232" s="22">
        <f t="shared" si="981"/>
        <v>10</v>
      </c>
      <c r="BC3232" s="23">
        <v>12</v>
      </c>
      <c r="BD3232" s="130">
        <f t="shared" si="982"/>
        <v>10</v>
      </c>
      <c r="BE3232" s="130">
        <f t="shared" si="983"/>
        <v>12</v>
      </c>
      <c r="BF3232" s="195">
        <f t="shared" si="984"/>
        <v>83.333333333333343</v>
      </c>
      <c r="BG3232" s="373">
        <f>BE3232-BD3232</f>
        <v>2</v>
      </c>
    </row>
    <row r="3233" spans="1:59" s="46" customFormat="1" ht="15.95" customHeight="1">
      <c r="A3233" s="176">
        <v>55</v>
      </c>
      <c r="B3233" s="31" t="s">
        <v>3973</v>
      </c>
      <c r="C3233" s="34" t="s">
        <v>4151</v>
      </c>
      <c r="D3233" s="564"/>
      <c r="E3233" s="564"/>
      <c r="F3233" s="564"/>
      <c r="G3233" s="564"/>
      <c r="H3233" s="564"/>
      <c r="I3233" s="564"/>
      <c r="J3233" s="564"/>
      <c r="K3233" s="564"/>
      <c r="L3233" s="564"/>
      <c r="M3233" s="564"/>
      <c r="N3233" s="564"/>
      <c r="O3233" s="564"/>
      <c r="P3233" s="564"/>
      <c r="Q3233" s="564"/>
      <c r="R3233" s="564"/>
      <c r="S3233" s="564"/>
      <c r="T3233" s="564"/>
      <c r="U3233" s="564"/>
      <c r="V3233" s="564"/>
      <c r="W3233" s="564"/>
      <c r="X3233" s="564"/>
      <c r="Y3233" s="564"/>
      <c r="Z3233" s="564"/>
      <c r="AA3233" s="564"/>
      <c r="AB3233" s="22">
        <f t="shared" si="980"/>
        <v>0</v>
      </c>
      <c r="AC3233" s="23">
        <v>0</v>
      </c>
      <c r="AD3233" s="35"/>
      <c r="AE3233" s="35"/>
      <c r="AF3233" s="35"/>
      <c r="AG3233" s="35"/>
      <c r="AH3233" s="35"/>
      <c r="AI3233" s="35"/>
      <c r="AJ3233" s="35"/>
      <c r="AK3233" s="35"/>
      <c r="AL3233" s="35"/>
      <c r="AM3233" s="35"/>
      <c r="AN3233" s="35"/>
      <c r="AO3233" s="35"/>
      <c r="AP3233" s="35">
        <v>2</v>
      </c>
      <c r="AQ3233" s="35"/>
      <c r="AR3233" s="35"/>
      <c r="AS3233" s="35"/>
      <c r="AT3233" s="35"/>
      <c r="AU3233" s="35"/>
      <c r="AV3233" s="35"/>
      <c r="AW3233" s="35"/>
      <c r="AX3233" s="35"/>
      <c r="AY3233" s="35"/>
      <c r="AZ3233" s="35"/>
      <c r="BA3233" s="35"/>
      <c r="BB3233" s="22">
        <f t="shared" si="981"/>
        <v>2</v>
      </c>
      <c r="BC3233" s="23">
        <v>0</v>
      </c>
      <c r="BD3233" s="130">
        <f t="shared" si="982"/>
        <v>2</v>
      </c>
      <c r="BE3233" s="130">
        <f t="shared" si="983"/>
        <v>0</v>
      </c>
      <c r="BF3233" s="195" t="e">
        <f t="shared" si="984"/>
        <v>#DIV/0!</v>
      </c>
      <c r="BG3233" s="373"/>
    </row>
    <row r="3234" spans="1:59" s="46" customFormat="1" ht="15.95" customHeight="1">
      <c r="A3234" s="176">
        <v>56</v>
      </c>
      <c r="B3234" s="31" t="s">
        <v>3975</v>
      </c>
      <c r="C3234" s="34" t="s">
        <v>3976</v>
      </c>
      <c r="D3234" s="575"/>
      <c r="E3234" s="575"/>
      <c r="F3234" s="575"/>
      <c r="G3234" s="575"/>
      <c r="H3234" s="575"/>
      <c r="I3234" s="575"/>
      <c r="J3234" s="575"/>
      <c r="K3234" s="575"/>
      <c r="L3234" s="575"/>
      <c r="M3234" s="575"/>
      <c r="N3234" s="575"/>
      <c r="O3234" s="575"/>
      <c r="P3234" s="575"/>
      <c r="Q3234" s="575"/>
      <c r="R3234" s="575"/>
      <c r="S3234" s="575"/>
      <c r="T3234" s="575"/>
      <c r="U3234" s="575"/>
      <c r="V3234" s="575"/>
      <c r="W3234" s="575"/>
      <c r="X3234" s="575"/>
      <c r="Y3234" s="575"/>
      <c r="Z3234" s="575"/>
      <c r="AA3234" s="575"/>
      <c r="AB3234" s="22">
        <f t="shared" si="980"/>
        <v>0</v>
      </c>
      <c r="AC3234" s="23">
        <v>0</v>
      </c>
      <c r="AD3234" s="35"/>
      <c r="AE3234" s="35"/>
      <c r="AF3234" s="35"/>
      <c r="AG3234" s="35"/>
      <c r="AH3234" s="35"/>
      <c r="AI3234" s="35"/>
      <c r="AJ3234" s="35"/>
      <c r="AK3234" s="35"/>
      <c r="AL3234" s="35"/>
      <c r="AM3234" s="35"/>
      <c r="AN3234" s="35"/>
      <c r="AO3234" s="35"/>
      <c r="AP3234" s="35">
        <v>14</v>
      </c>
      <c r="AQ3234" s="35"/>
      <c r="AR3234" s="35"/>
      <c r="AS3234" s="35"/>
      <c r="AT3234" s="35"/>
      <c r="AU3234" s="35"/>
      <c r="AV3234" s="35"/>
      <c r="AW3234" s="35"/>
      <c r="AX3234" s="35"/>
      <c r="AY3234" s="35"/>
      <c r="AZ3234" s="35"/>
      <c r="BA3234" s="35"/>
      <c r="BB3234" s="22">
        <f t="shared" si="981"/>
        <v>14</v>
      </c>
      <c r="BC3234" s="23">
        <v>0</v>
      </c>
      <c r="BD3234" s="130">
        <f t="shared" si="982"/>
        <v>14</v>
      </c>
      <c r="BE3234" s="130">
        <f t="shared" si="983"/>
        <v>0</v>
      </c>
      <c r="BF3234" s="195" t="e">
        <f t="shared" si="984"/>
        <v>#DIV/0!</v>
      </c>
      <c r="BG3234" s="373"/>
    </row>
    <row r="3235" spans="1:59" s="46" customFormat="1" ht="15.95" customHeight="1">
      <c r="A3235" s="176">
        <v>57</v>
      </c>
      <c r="B3235" s="31" t="s">
        <v>561</v>
      </c>
      <c r="C3235" s="32" t="s">
        <v>1546</v>
      </c>
      <c r="D3235" s="231"/>
      <c r="E3235" s="231"/>
      <c r="F3235" s="231"/>
      <c r="G3235" s="231"/>
      <c r="H3235" s="231"/>
      <c r="I3235" s="231"/>
      <c r="J3235" s="231"/>
      <c r="K3235" s="231"/>
      <c r="L3235" s="231"/>
      <c r="M3235" s="231"/>
      <c r="N3235" s="231"/>
      <c r="O3235" s="231"/>
      <c r="P3235" s="231"/>
      <c r="Q3235" s="231"/>
      <c r="R3235" s="231"/>
      <c r="S3235" s="231"/>
      <c r="T3235" s="231"/>
      <c r="U3235" s="231"/>
      <c r="V3235" s="231"/>
      <c r="W3235" s="231"/>
      <c r="X3235" s="231"/>
      <c r="Y3235" s="231"/>
      <c r="Z3235" s="231"/>
      <c r="AA3235" s="231"/>
      <c r="AB3235" s="22">
        <f t="shared" si="980"/>
        <v>0</v>
      </c>
      <c r="AC3235" s="23">
        <v>0</v>
      </c>
      <c r="AD3235" s="35"/>
      <c r="AE3235" s="35"/>
      <c r="AF3235" s="35"/>
      <c r="AG3235" s="35"/>
      <c r="AH3235" s="35"/>
      <c r="AI3235" s="35"/>
      <c r="AJ3235" s="35"/>
      <c r="AK3235" s="35"/>
      <c r="AL3235" s="35">
        <v>1</v>
      </c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  <c r="AX3235" s="35"/>
      <c r="AY3235" s="35"/>
      <c r="AZ3235" s="35"/>
      <c r="BA3235" s="35"/>
      <c r="BB3235" s="22">
        <f t="shared" si="981"/>
        <v>1</v>
      </c>
      <c r="BC3235" s="23">
        <v>7</v>
      </c>
      <c r="BD3235" s="130">
        <f t="shared" si="982"/>
        <v>1</v>
      </c>
      <c r="BE3235" s="130">
        <f t="shared" si="983"/>
        <v>7</v>
      </c>
      <c r="BF3235" s="195">
        <f t="shared" si="984"/>
        <v>14.285714285714285</v>
      </c>
      <c r="BG3235" s="373">
        <f t="shared" ref="BG3235:BG3244" si="987">BE3235-BD3235</f>
        <v>6</v>
      </c>
    </row>
    <row r="3236" spans="1:59" s="46" customFormat="1" ht="15.95" customHeight="1">
      <c r="A3236" s="176">
        <v>58</v>
      </c>
      <c r="B3236" s="31" t="s">
        <v>1547</v>
      </c>
      <c r="C3236" s="32" t="s">
        <v>1548</v>
      </c>
      <c r="D3236" s="390"/>
      <c r="E3236" s="390"/>
      <c r="F3236" s="390"/>
      <c r="G3236" s="390"/>
      <c r="H3236" s="390"/>
      <c r="I3236" s="390"/>
      <c r="J3236" s="390"/>
      <c r="K3236" s="390"/>
      <c r="L3236" s="390"/>
      <c r="M3236" s="390"/>
      <c r="N3236" s="390"/>
      <c r="O3236" s="390"/>
      <c r="P3236" s="390"/>
      <c r="Q3236" s="390"/>
      <c r="R3236" s="390"/>
      <c r="S3236" s="390"/>
      <c r="T3236" s="390"/>
      <c r="U3236" s="390"/>
      <c r="V3236" s="390"/>
      <c r="W3236" s="390"/>
      <c r="X3236" s="390"/>
      <c r="Y3236" s="390"/>
      <c r="Z3236" s="390"/>
      <c r="AA3236" s="390"/>
      <c r="AB3236" s="22">
        <f t="shared" si="980"/>
        <v>0</v>
      </c>
      <c r="AC3236" s="23">
        <v>0</v>
      </c>
      <c r="AD3236" s="35"/>
      <c r="AE3236" s="35"/>
      <c r="AF3236" s="35"/>
      <c r="AG3236" s="35"/>
      <c r="AH3236" s="35">
        <v>2</v>
      </c>
      <c r="AI3236" s="35"/>
      <c r="AJ3236" s="35"/>
      <c r="AK3236" s="35"/>
      <c r="AL3236" s="35">
        <v>2</v>
      </c>
      <c r="AM3236" s="35"/>
      <c r="AN3236" s="35"/>
      <c r="AO3236" s="35"/>
      <c r="AP3236" s="35">
        <v>5</v>
      </c>
      <c r="AQ3236" s="35"/>
      <c r="AR3236" s="35"/>
      <c r="AS3236" s="35"/>
      <c r="AT3236" s="35"/>
      <c r="AU3236" s="35"/>
      <c r="AV3236" s="35"/>
      <c r="AW3236" s="35"/>
      <c r="AX3236" s="35"/>
      <c r="AY3236" s="35"/>
      <c r="AZ3236" s="35"/>
      <c r="BA3236" s="35"/>
      <c r="BB3236" s="22">
        <f t="shared" si="981"/>
        <v>9</v>
      </c>
      <c r="BC3236" s="23">
        <v>11</v>
      </c>
      <c r="BD3236" s="130">
        <f t="shared" si="982"/>
        <v>9</v>
      </c>
      <c r="BE3236" s="130">
        <f t="shared" si="983"/>
        <v>11</v>
      </c>
      <c r="BF3236" s="195">
        <f t="shared" si="984"/>
        <v>81.818181818181827</v>
      </c>
      <c r="BG3236" s="373">
        <f t="shared" si="987"/>
        <v>2</v>
      </c>
    </row>
    <row r="3237" spans="1:59" s="46" customFormat="1" ht="15.95" customHeight="1">
      <c r="A3237" s="176">
        <v>59</v>
      </c>
      <c r="B3237" s="31" t="s">
        <v>1549</v>
      </c>
      <c r="C3237" s="34" t="s">
        <v>1550</v>
      </c>
      <c r="D3237" s="231"/>
      <c r="E3237" s="231"/>
      <c r="F3237" s="231"/>
      <c r="G3237" s="231"/>
      <c r="H3237" s="231"/>
      <c r="I3237" s="231"/>
      <c r="J3237" s="231"/>
      <c r="K3237" s="231"/>
      <c r="L3237" s="231"/>
      <c r="M3237" s="231"/>
      <c r="N3237" s="231"/>
      <c r="O3237" s="231"/>
      <c r="P3237" s="231"/>
      <c r="Q3237" s="231"/>
      <c r="R3237" s="231"/>
      <c r="S3237" s="231"/>
      <c r="T3237" s="231"/>
      <c r="U3237" s="231"/>
      <c r="V3237" s="231"/>
      <c r="W3237" s="231"/>
      <c r="X3237" s="231"/>
      <c r="Y3237" s="231"/>
      <c r="Z3237" s="231"/>
      <c r="AA3237" s="231"/>
      <c r="AB3237" s="22">
        <f t="shared" si="980"/>
        <v>0</v>
      </c>
      <c r="AC3237" s="23">
        <v>0</v>
      </c>
      <c r="AD3237" s="35"/>
      <c r="AE3237" s="35"/>
      <c r="AF3237" s="35"/>
      <c r="AG3237" s="35"/>
      <c r="AH3237" s="35"/>
      <c r="AI3237" s="35"/>
      <c r="AJ3237" s="35"/>
      <c r="AK3237" s="35"/>
      <c r="AL3237" s="35">
        <v>1</v>
      </c>
      <c r="AM3237" s="35"/>
      <c r="AN3237" s="35"/>
      <c r="AO3237" s="35"/>
      <c r="AP3237" s="35">
        <v>1</v>
      </c>
      <c r="AQ3237" s="35"/>
      <c r="AR3237" s="35"/>
      <c r="AS3237" s="35"/>
      <c r="AT3237" s="35"/>
      <c r="AU3237" s="35"/>
      <c r="AV3237" s="35"/>
      <c r="AW3237" s="35"/>
      <c r="AX3237" s="35"/>
      <c r="AY3237" s="35"/>
      <c r="AZ3237" s="35"/>
      <c r="BA3237" s="35"/>
      <c r="BB3237" s="22">
        <f t="shared" si="981"/>
        <v>2</v>
      </c>
      <c r="BC3237" s="23">
        <v>8</v>
      </c>
      <c r="BD3237" s="130">
        <f t="shared" si="982"/>
        <v>2</v>
      </c>
      <c r="BE3237" s="130">
        <f t="shared" si="983"/>
        <v>8</v>
      </c>
      <c r="BF3237" s="195">
        <f t="shared" si="984"/>
        <v>25</v>
      </c>
      <c r="BG3237" s="373">
        <f t="shared" si="987"/>
        <v>6</v>
      </c>
    </row>
    <row r="3238" spans="1:59" s="46" customFormat="1" ht="15.95" customHeight="1">
      <c r="A3238" s="176">
        <v>60</v>
      </c>
      <c r="B3238" s="31" t="s">
        <v>1001</v>
      </c>
      <c r="C3238" s="32" t="s">
        <v>1551</v>
      </c>
      <c r="D3238" s="334"/>
      <c r="E3238" s="334"/>
      <c r="F3238" s="334"/>
      <c r="G3238" s="334"/>
      <c r="H3238" s="334"/>
      <c r="I3238" s="334"/>
      <c r="J3238" s="334"/>
      <c r="K3238" s="334"/>
      <c r="L3238" s="334"/>
      <c r="M3238" s="334"/>
      <c r="N3238" s="334"/>
      <c r="O3238" s="334"/>
      <c r="P3238" s="334"/>
      <c r="Q3238" s="334"/>
      <c r="R3238" s="334"/>
      <c r="S3238" s="334"/>
      <c r="T3238" s="334"/>
      <c r="U3238" s="334"/>
      <c r="V3238" s="334"/>
      <c r="W3238" s="334"/>
      <c r="X3238" s="334"/>
      <c r="Y3238" s="334"/>
      <c r="Z3238" s="334"/>
      <c r="AA3238" s="334"/>
      <c r="AB3238" s="22">
        <f t="shared" si="980"/>
        <v>0</v>
      </c>
      <c r="AC3238" s="23">
        <v>0</v>
      </c>
      <c r="AD3238" s="35"/>
      <c r="AE3238" s="35"/>
      <c r="AF3238" s="35"/>
      <c r="AG3238" s="35"/>
      <c r="AH3238" s="35">
        <v>2</v>
      </c>
      <c r="AI3238" s="35"/>
      <c r="AJ3238" s="35"/>
      <c r="AK3238" s="35"/>
      <c r="AL3238" s="35">
        <v>2</v>
      </c>
      <c r="AM3238" s="35"/>
      <c r="AN3238" s="35"/>
      <c r="AO3238" s="35"/>
      <c r="AP3238" s="35">
        <v>5</v>
      </c>
      <c r="AQ3238" s="35"/>
      <c r="AR3238" s="35"/>
      <c r="AS3238" s="35"/>
      <c r="AT3238" s="35"/>
      <c r="AU3238" s="35"/>
      <c r="AV3238" s="35"/>
      <c r="AW3238" s="35"/>
      <c r="AX3238" s="35"/>
      <c r="AY3238" s="35"/>
      <c r="AZ3238" s="35"/>
      <c r="BA3238" s="35"/>
      <c r="BB3238" s="22">
        <f t="shared" si="981"/>
        <v>9</v>
      </c>
      <c r="BC3238" s="23">
        <v>13</v>
      </c>
      <c r="BD3238" s="130">
        <f t="shared" si="982"/>
        <v>9</v>
      </c>
      <c r="BE3238" s="130">
        <f t="shared" si="983"/>
        <v>13</v>
      </c>
      <c r="BF3238" s="195">
        <f t="shared" si="984"/>
        <v>69.230769230769226</v>
      </c>
      <c r="BG3238" s="373">
        <f t="shared" si="987"/>
        <v>4</v>
      </c>
    </row>
    <row r="3239" spans="1:59" s="46" customFormat="1" ht="15.95" customHeight="1">
      <c r="A3239" s="176">
        <v>61</v>
      </c>
      <c r="B3239" s="31" t="s">
        <v>1552</v>
      </c>
      <c r="C3239" s="32" t="s">
        <v>1553</v>
      </c>
      <c r="D3239" s="231"/>
      <c r="E3239" s="231"/>
      <c r="F3239" s="231"/>
      <c r="G3239" s="231"/>
      <c r="H3239" s="231"/>
      <c r="I3239" s="231"/>
      <c r="J3239" s="231"/>
      <c r="K3239" s="231"/>
      <c r="L3239" s="231"/>
      <c r="M3239" s="231"/>
      <c r="N3239" s="231"/>
      <c r="O3239" s="231"/>
      <c r="P3239" s="231"/>
      <c r="Q3239" s="231"/>
      <c r="R3239" s="231"/>
      <c r="S3239" s="231"/>
      <c r="T3239" s="231"/>
      <c r="U3239" s="231"/>
      <c r="V3239" s="231"/>
      <c r="W3239" s="231"/>
      <c r="X3239" s="231"/>
      <c r="Y3239" s="231"/>
      <c r="Z3239" s="231"/>
      <c r="AA3239" s="231"/>
      <c r="AB3239" s="22">
        <f t="shared" si="980"/>
        <v>0</v>
      </c>
      <c r="AC3239" s="23">
        <v>0</v>
      </c>
      <c r="AD3239" s="35"/>
      <c r="AE3239" s="35"/>
      <c r="AF3239" s="35"/>
      <c r="AG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  <c r="AX3239" s="35"/>
      <c r="AY3239" s="35"/>
      <c r="AZ3239" s="35"/>
      <c r="BA3239" s="35"/>
      <c r="BB3239" s="22">
        <f t="shared" si="981"/>
        <v>0</v>
      </c>
      <c r="BC3239" s="23">
        <v>1</v>
      </c>
      <c r="BD3239" s="130">
        <f t="shared" si="982"/>
        <v>0</v>
      </c>
      <c r="BE3239" s="130">
        <f t="shared" si="983"/>
        <v>1</v>
      </c>
      <c r="BF3239" s="195">
        <f t="shared" si="984"/>
        <v>0</v>
      </c>
      <c r="BG3239" s="373">
        <f t="shared" si="987"/>
        <v>1</v>
      </c>
    </row>
    <row r="3240" spans="1:59" s="46" customFormat="1" ht="15.95" customHeight="1">
      <c r="A3240" s="176">
        <v>62</v>
      </c>
      <c r="B3240" s="31" t="s">
        <v>2740</v>
      </c>
      <c r="C3240" s="32" t="s">
        <v>2741</v>
      </c>
      <c r="D3240" s="326"/>
      <c r="E3240" s="326"/>
      <c r="F3240" s="326"/>
      <c r="G3240" s="326"/>
      <c r="H3240" s="326"/>
      <c r="I3240" s="326"/>
      <c r="J3240" s="326"/>
      <c r="K3240" s="326"/>
      <c r="L3240" s="326"/>
      <c r="M3240" s="326"/>
      <c r="N3240" s="326"/>
      <c r="O3240" s="326"/>
      <c r="P3240" s="326"/>
      <c r="Q3240" s="326"/>
      <c r="R3240" s="326"/>
      <c r="S3240" s="326"/>
      <c r="T3240" s="326"/>
      <c r="U3240" s="326"/>
      <c r="V3240" s="326"/>
      <c r="W3240" s="326"/>
      <c r="X3240" s="326"/>
      <c r="Y3240" s="326"/>
      <c r="Z3240" s="326"/>
      <c r="AA3240" s="326"/>
      <c r="AB3240" s="22">
        <f t="shared" si="980"/>
        <v>0</v>
      </c>
      <c r="AC3240" s="23">
        <v>0</v>
      </c>
      <c r="AD3240" s="35"/>
      <c r="AE3240" s="35"/>
      <c r="AF3240" s="35"/>
      <c r="AG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  <c r="AX3240" s="35"/>
      <c r="AY3240" s="35"/>
      <c r="AZ3240" s="35"/>
      <c r="BA3240" s="35"/>
      <c r="BB3240" s="22">
        <f t="shared" si="981"/>
        <v>0</v>
      </c>
      <c r="BC3240" s="23">
        <v>1</v>
      </c>
      <c r="BD3240" s="130">
        <f t="shared" si="982"/>
        <v>0</v>
      </c>
      <c r="BE3240" s="130">
        <f t="shared" si="983"/>
        <v>1</v>
      </c>
      <c r="BF3240" s="195">
        <f t="shared" si="984"/>
        <v>0</v>
      </c>
      <c r="BG3240" s="373">
        <f t="shared" si="987"/>
        <v>1</v>
      </c>
    </row>
    <row r="3241" spans="1:59" s="46" customFormat="1" ht="15.95" customHeight="1">
      <c r="A3241" s="176">
        <v>63</v>
      </c>
      <c r="B3241" s="31" t="s">
        <v>898</v>
      </c>
      <c r="C3241" s="32" t="s">
        <v>899</v>
      </c>
      <c r="D3241" s="98"/>
      <c r="E3241" s="98"/>
      <c r="F3241" s="98"/>
      <c r="G3241" s="98"/>
      <c r="H3241" s="98"/>
      <c r="I3241" s="98"/>
      <c r="J3241" s="98"/>
      <c r="K3241" s="98"/>
      <c r="L3241" s="98"/>
      <c r="M3241" s="98"/>
      <c r="N3241" s="98"/>
      <c r="O3241" s="98"/>
      <c r="P3241" s="98"/>
      <c r="Q3241" s="98"/>
      <c r="R3241" s="98"/>
      <c r="S3241" s="98"/>
      <c r="T3241" s="98"/>
      <c r="U3241" s="98"/>
      <c r="V3241" s="98"/>
      <c r="W3241" s="98"/>
      <c r="X3241" s="98"/>
      <c r="Y3241" s="98"/>
      <c r="Z3241" s="98"/>
      <c r="AA3241" s="98"/>
      <c r="AB3241" s="22">
        <f t="shared" si="980"/>
        <v>0</v>
      </c>
      <c r="AC3241" s="23">
        <v>0</v>
      </c>
      <c r="AD3241" s="99"/>
      <c r="AE3241" s="99"/>
      <c r="AF3241" s="99"/>
      <c r="AG3241" s="99"/>
      <c r="AH3241" s="99">
        <v>2</v>
      </c>
      <c r="AI3241" s="99"/>
      <c r="AJ3241" s="99"/>
      <c r="AK3241" s="99"/>
      <c r="AL3241" s="99"/>
      <c r="AM3241" s="99"/>
      <c r="AN3241" s="99"/>
      <c r="AO3241" s="99"/>
      <c r="AP3241" s="99"/>
      <c r="AQ3241" s="99"/>
      <c r="AR3241" s="99"/>
      <c r="AS3241" s="99"/>
      <c r="AT3241" s="99"/>
      <c r="AU3241" s="99"/>
      <c r="AV3241" s="99"/>
      <c r="AW3241" s="99"/>
      <c r="AX3241" s="99"/>
      <c r="AY3241" s="99"/>
      <c r="AZ3241" s="99"/>
      <c r="BA3241" s="99"/>
      <c r="BB3241" s="22">
        <f t="shared" si="981"/>
        <v>2</v>
      </c>
      <c r="BC3241" s="23">
        <v>3</v>
      </c>
      <c r="BD3241" s="130">
        <f t="shared" si="982"/>
        <v>2</v>
      </c>
      <c r="BE3241" s="130">
        <f t="shared" si="983"/>
        <v>3</v>
      </c>
      <c r="BF3241" s="195">
        <f t="shared" si="984"/>
        <v>66.666666666666657</v>
      </c>
      <c r="BG3241" s="373">
        <f t="shared" si="987"/>
        <v>1</v>
      </c>
    </row>
    <row r="3242" spans="1:59" s="46" customFormat="1" ht="15.95" customHeight="1">
      <c r="A3242" s="176">
        <v>64</v>
      </c>
      <c r="B3242" s="31" t="s">
        <v>2927</v>
      </c>
      <c r="C3242" s="32" t="s">
        <v>2928</v>
      </c>
      <c r="D3242" s="231"/>
      <c r="E3242" s="231"/>
      <c r="F3242" s="231"/>
      <c r="G3242" s="231"/>
      <c r="H3242" s="231"/>
      <c r="I3242" s="231"/>
      <c r="J3242" s="231"/>
      <c r="K3242" s="231"/>
      <c r="L3242" s="231"/>
      <c r="M3242" s="231"/>
      <c r="N3242" s="231"/>
      <c r="O3242" s="231"/>
      <c r="P3242" s="231"/>
      <c r="Q3242" s="231"/>
      <c r="R3242" s="231"/>
      <c r="S3242" s="231"/>
      <c r="T3242" s="231"/>
      <c r="U3242" s="231"/>
      <c r="V3242" s="231"/>
      <c r="W3242" s="231"/>
      <c r="X3242" s="231"/>
      <c r="Y3242" s="231"/>
      <c r="Z3242" s="231"/>
      <c r="AA3242" s="231"/>
      <c r="AB3242" s="22">
        <f t="shared" si="980"/>
        <v>0</v>
      </c>
      <c r="AC3242" s="23">
        <v>0</v>
      </c>
      <c r="AD3242" s="35"/>
      <c r="AE3242" s="35"/>
      <c r="AF3242" s="35"/>
      <c r="AG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  <c r="AX3242" s="35"/>
      <c r="AY3242" s="35"/>
      <c r="AZ3242" s="35"/>
      <c r="BA3242" s="35"/>
      <c r="BB3242" s="22">
        <f t="shared" si="981"/>
        <v>0</v>
      </c>
      <c r="BC3242" s="23">
        <v>2</v>
      </c>
      <c r="BD3242" s="130">
        <f t="shared" si="982"/>
        <v>0</v>
      </c>
      <c r="BE3242" s="130">
        <f t="shared" si="983"/>
        <v>2</v>
      </c>
      <c r="BF3242" s="195">
        <f t="shared" si="984"/>
        <v>0</v>
      </c>
      <c r="BG3242" s="373">
        <f t="shared" si="987"/>
        <v>2</v>
      </c>
    </row>
    <row r="3243" spans="1:59" s="46" customFormat="1" ht="15.95" customHeight="1">
      <c r="A3243" s="176">
        <v>65</v>
      </c>
      <c r="B3243" s="31" t="s">
        <v>1556</v>
      </c>
      <c r="C3243" s="32" t="s">
        <v>1557</v>
      </c>
      <c r="D3243" s="326"/>
      <c r="E3243" s="326"/>
      <c r="F3243" s="326"/>
      <c r="G3243" s="326"/>
      <c r="H3243" s="326"/>
      <c r="I3243" s="326"/>
      <c r="J3243" s="326"/>
      <c r="K3243" s="326"/>
      <c r="L3243" s="326"/>
      <c r="M3243" s="326"/>
      <c r="N3243" s="326"/>
      <c r="O3243" s="326"/>
      <c r="P3243" s="326"/>
      <c r="Q3243" s="326"/>
      <c r="R3243" s="326"/>
      <c r="S3243" s="326"/>
      <c r="T3243" s="326"/>
      <c r="U3243" s="326"/>
      <c r="V3243" s="326"/>
      <c r="W3243" s="326"/>
      <c r="X3243" s="326"/>
      <c r="Y3243" s="326"/>
      <c r="Z3243" s="326"/>
      <c r="AA3243" s="326"/>
      <c r="AB3243" s="22">
        <f t="shared" ref="AB3243:AB3306" si="988">SUM(D3243:AA3243)</f>
        <v>0</v>
      </c>
      <c r="AC3243" s="23">
        <v>0</v>
      </c>
      <c r="AD3243" s="35"/>
      <c r="AE3243" s="35"/>
      <c r="AF3243" s="35"/>
      <c r="AG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  <c r="AX3243" s="35"/>
      <c r="AY3243" s="35"/>
      <c r="AZ3243" s="35"/>
      <c r="BA3243" s="35"/>
      <c r="BB3243" s="22">
        <f t="shared" ref="BB3243:BB3306" si="989">SUM(AD3243:BA3243)</f>
        <v>0</v>
      </c>
      <c r="BC3243" s="23">
        <v>2</v>
      </c>
      <c r="BD3243" s="130">
        <f t="shared" ref="BD3243:BD3306" si="990">AB3243+BB3243</f>
        <v>0</v>
      </c>
      <c r="BE3243" s="130">
        <f t="shared" ref="BE3243:BE3306" si="991">AC3243+BC3243</f>
        <v>2</v>
      </c>
      <c r="BF3243" s="195">
        <f t="shared" ref="BF3243:BF3306" si="992">BD3243/BE3243*100</f>
        <v>0</v>
      </c>
      <c r="BG3243" s="373">
        <f t="shared" si="987"/>
        <v>2</v>
      </c>
    </row>
    <row r="3244" spans="1:59" s="46" customFormat="1" ht="15.95" customHeight="1">
      <c r="A3244" s="176">
        <v>66</v>
      </c>
      <c r="B3244" s="31" t="s">
        <v>2929</v>
      </c>
      <c r="C3244" s="32" t="s">
        <v>2930</v>
      </c>
      <c r="D3244" s="293"/>
      <c r="E3244" s="293"/>
      <c r="F3244" s="293"/>
      <c r="G3244" s="293"/>
      <c r="H3244" s="293"/>
      <c r="I3244" s="293"/>
      <c r="J3244" s="293"/>
      <c r="K3244" s="293"/>
      <c r="L3244" s="293"/>
      <c r="M3244" s="293"/>
      <c r="N3244" s="293"/>
      <c r="O3244" s="293"/>
      <c r="P3244" s="293"/>
      <c r="Q3244" s="293"/>
      <c r="R3244" s="293"/>
      <c r="S3244" s="293"/>
      <c r="T3244" s="293"/>
      <c r="U3244" s="293"/>
      <c r="V3244" s="293"/>
      <c r="W3244" s="293"/>
      <c r="X3244" s="293"/>
      <c r="Y3244" s="293"/>
      <c r="Z3244" s="293"/>
      <c r="AA3244" s="293"/>
      <c r="AB3244" s="22">
        <f t="shared" si="988"/>
        <v>0</v>
      </c>
      <c r="AC3244" s="23">
        <v>0</v>
      </c>
      <c r="AD3244" s="35"/>
      <c r="AE3244" s="35"/>
      <c r="AF3244" s="35"/>
      <c r="AG3244" s="35"/>
      <c r="AH3244" s="35"/>
      <c r="AI3244" s="35"/>
      <c r="AJ3244" s="35"/>
      <c r="AK3244" s="35"/>
      <c r="AL3244" s="35">
        <v>1</v>
      </c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  <c r="AX3244" s="35"/>
      <c r="AY3244" s="35"/>
      <c r="AZ3244" s="35"/>
      <c r="BA3244" s="35"/>
      <c r="BB3244" s="22">
        <f t="shared" si="989"/>
        <v>1</v>
      </c>
      <c r="BC3244" s="23">
        <v>3</v>
      </c>
      <c r="BD3244" s="130">
        <f t="shared" si="990"/>
        <v>1</v>
      </c>
      <c r="BE3244" s="130">
        <f t="shared" si="991"/>
        <v>3</v>
      </c>
      <c r="BF3244" s="195">
        <f t="shared" si="992"/>
        <v>33.333333333333329</v>
      </c>
      <c r="BG3244" s="373">
        <f t="shared" si="987"/>
        <v>2</v>
      </c>
    </row>
    <row r="3245" spans="1:59" s="46" customFormat="1" ht="15.95" customHeight="1">
      <c r="A3245" s="176">
        <v>67</v>
      </c>
      <c r="B3245" s="31" t="s">
        <v>3996</v>
      </c>
      <c r="C3245" s="32" t="s">
        <v>3997</v>
      </c>
      <c r="D3245" s="552"/>
      <c r="E3245" s="552"/>
      <c r="F3245" s="552"/>
      <c r="G3245" s="552"/>
      <c r="H3245" s="552"/>
      <c r="I3245" s="552"/>
      <c r="J3245" s="552"/>
      <c r="K3245" s="552"/>
      <c r="L3245" s="552"/>
      <c r="M3245" s="552"/>
      <c r="N3245" s="552"/>
      <c r="O3245" s="552"/>
      <c r="P3245" s="552"/>
      <c r="Q3245" s="552"/>
      <c r="R3245" s="552"/>
      <c r="S3245" s="552"/>
      <c r="T3245" s="552"/>
      <c r="U3245" s="552"/>
      <c r="V3245" s="552"/>
      <c r="W3245" s="552"/>
      <c r="X3245" s="552"/>
      <c r="Y3245" s="552"/>
      <c r="Z3245" s="552"/>
      <c r="AA3245" s="552"/>
      <c r="AB3245" s="22">
        <f t="shared" si="988"/>
        <v>0</v>
      </c>
      <c r="AC3245" s="23">
        <v>0</v>
      </c>
      <c r="AD3245" s="35"/>
      <c r="AE3245" s="35"/>
      <c r="AF3245" s="35"/>
      <c r="AG3245" s="35"/>
      <c r="AH3245" s="35"/>
      <c r="AI3245" s="35"/>
      <c r="AJ3245" s="35"/>
      <c r="AK3245" s="35"/>
      <c r="AL3245" s="35">
        <v>1</v>
      </c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  <c r="AX3245" s="35"/>
      <c r="AY3245" s="35"/>
      <c r="AZ3245" s="35"/>
      <c r="BA3245" s="35"/>
      <c r="BB3245" s="22">
        <f t="shared" si="989"/>
        <v>1</v>
      </c>
      <c r="BC3245" s="23">
        <v>0</v>
      </c>
      <c r="BD3245" s="130">
        <f t="shared" si="990"/>
        <v>1</v>
      </c>
      <c r="BE3245" s="130">
        <f t="shared" si="991"/>
        <v>0</v>
      </c>
      <c r="BF3245" s="195" t="e">
        <f t="shared" si="992"/>
        <v>#DIV/0!</v>
      </c>
      <c r="BG3245" s="373"/>
    </row>
    <row r="3246" spans="1:59" s="46" customFormat="1" ht="15.95" customHeight="1">
      <c r="A3246" s="176">
        <v>68</v>
      </c>
      <c r="B3246" s="31" t="s">
        <v>814</v>
      </c>
      <c r="C3246" s="34" t="s">
        <v>1558</v>
      </c>
      <c r="D3246" s="231"/>
      <c r="E3246" s="231"/>
      <c r="F3246" s="231"/>
      <c r="G3246" s="231"/>
      <c r="H3246" s="231"/>
      <c r="I3246" s="231"/>
      <c r="J3246" s="231"/>
      <c r="K3246" s="231"/>
      <c r="L3246" s="231"/>
      <c r="M3246" s="231"/>
      <c r="N3246" s="231"/>
      <c r="O3246" s="231"/>
      <c r="P3246" s="231"/>
      <c r="Q3246" s="231"/>
      <c r="R3246" s="231"/>
      <c r="S3246" s="231"/>
      <c r="T3246" s="231"/>
      <c r="U3246" s="231"/>
      <c r="V3246" s="231"/>
      <c r="W3246" s="231"/>
      <c r="X3246" s="231"/>
      <c r="Y3246" s="231"/>
      <c r="Z3246" s="231"/>
      <c r="AA3246" s="231"/>
      <c r="AB3246" s="22">
        <f t="shared" si="988"/>
        <v>0</v>
      </c>
      <c r="AC3246" s="23">
        <v>0</v>
      </c>
      <c r="AD3246" s="35"/>
      <c r="AE3246" s="35"/>
      <c r="AF3246" s="35"/>
      <c r="AG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  <c r="AX3246" s="35"/>
      <c r="AY3246" s="35"/>
      <c r="AZ3246" s="35"/>
      <c r="BA3246" s="35"/>
      <c r="BB3246" s="22">
        <f t="shared" si="989"/>
        <v>0</v>
      </c>
      <c r="BC3246" s="23">
        <v>4</v>
      </c>
      <c r="BD3246" s="130">
        <f t="shared" si="990"/>
        <v>0</v>
      </c>
      <c r="BE3246" s="130">
        <f t="shared" si="991"/>
        <v>4</v>
      </c>
      <c r="BF3246" s="195">
        <f t="shared" si="992"/>
        <v>0</v>
      </c>
      <c r="BG3246" s="373">
        <f t="shared" ref="BG3246:BG3271" si="993">BE3246-BD3246</f>
        <v>4</v>
      </c>
    </row>
    <row r="3247" spans="1:59" s="46" customFormat="1" ht="15.95" customHeight="1">
      <c r="A3247" s="176">
        <v>69</v>
      </c>
      <c r="B3247" s="31" t="s">
        <v>1559</v>
      </c>
      <c r="C3247" s="32" t="s">
        <v>1560</v>
      </c>
      <c r="D3247" s="231"/>
      <c r="E3247" s="231"/>
      <c r="F3247" s="231"/>
      <c r="G3247" s="231"/>
      <c r="H3247" s="231"/>
      <c r="I3247" s="231"/>
      <c r="J3247" s="231"/>
      <c r="K3247" s="231"/>
      <c r="L3247" s="231"/>
      <c r="M3247" s="231"/>
      <c r="N3247" s="231"/>
      <c r="O3247" s="231"/>
      <c r="P3247" s="231"/>
      <c r="Q3247" s="231"/>
      <c r="R3247" s="231"/>
      <c r="S3247" s="231"/>
      <c r="T3247" s="231"/>
      <c r="U3247" s="231"/>
      <c r="V3247" s="231"/>
      <c r="W3247" s="231"/>
      <c r="X3247" s="231"/>
      <c r="Y3247" s="231"/>
      <c r="Z3247" s="231"/>
      <c r="AA3247" s="231"/>
      <c r="AB3247" s="22">
        <f t="shared" si="988"/>
        <v>0</v>
      </c>
      <c r="AC3247" s="23">
        <v>0</v>
      </c>
      <c r="AD3247" s="35"/>
      <c r="AE3247" s="35"/>
      <c r="AF3247" s="35"/>
      <c r="AG3247" s="35"/>
      <c r="AH3247" s="35"/>
      <c r="AI3247" s="35"/>
      <c r="AJ3247" s="35"/>
      <c r="AK3247" s="35"/>
      <c r="AL3247" s="35">
        <v>1</v>
      </c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  <c r="AX3247" s="35"/>
      <c r="AY3247" s="35"/>
      <c r="AZ3247" s="35"/>
      <c r="BA3247" s="35"/>
      <c r="BB3247" s="22">
        <f t="shared" si="989"/>
        <v>1</v>
      </c>
      <c r="BC3247" s="23">
        <v>1</v>
      </c>
      <c r="BD3247" s="130">
        <f t="shared" si="990"/>
        <v>1</v>
      </c>
      <c r="BE3247" s="130">
        <f t="shared" si="991"/>
        <v>1</v>
      </c>
      <c r="BF3247" s="195">
        <f t="shared" si="992"/>
        <v>100</v>
      </c>
      <c r="BG3247" s="373">
        <f t="shared" si="993"/>
        <v>0</v>
      </c>
    </row>
    <row r="3248" spans="1:59" s="46" customFormat="1" ht="15.95" customHeight="1">
      <c r="A3248" s="176">
        <v>70</v>
      </c>
      <c r="B3248" s="31" t="s">
        <v>1044</v>
      </c>
      <c r="C3248" s="32" t="s">
        <v>1430</v>
      </c>
      <c r="D3248" s="231"/>
      <c r="E3248" s="231"/>
      <c r="F3248" s="231"/>
      <c r="G3248" s="231"/>
      <c r="H3248" s="231"/>
      <c r="I3248" s="231"/>
      <c r="J3248" s="231"/>
      <c r="K3248" s="231"/>
      <c r="L3248" s="231"/>
      <c r="M3248" s="231"/>
      <c r="N3248" s="231"/>
      <c r="O3248" s="231"/>
      <c r="P3248" s="231"/>
      <c r="Q3248" s="231"/>
      <c r="R3248" s="231"/>
      <c r="S3248" s="231"/>
      <c r="T3248" s="231"/>
      <c r="U3248" s="231"/>
      <c r="V3248" s="231"/>
      <c r="W3248" s="231"/>
      <c r="X3248" s="231"/>
      <c r="Y3248" s="231"/>
      <c r="Z3248" s="231"/>
      <c r="AA3248" s="231"/>
      <c r="AB3248" s="22">
        <f t="shared" si="988"/>
        <v>0</v>
      </c>
      <c r="AC3248" s="23">
        <v>1</v>
      </c>
      <c r="AD3248" s="35"/>
      <c r="AE3248" s="35"/>
      <c r="AF3248" s="35"/>
      <c r="AG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  <c r="AX3248" s="35"/>
      <c r="AY3248" s="35"/>
      <c r="AZ3248" s="35"/>
      <c r="BA3248" s="35"/>
      <c r="BB3248" s="22">
        <f t="shared" si="989"/>
        <v>0</v>
      </c>
      <c r="BC3248" s="23">
        <v>0</v>
      </c>
      <c r="BD3248" s="130">
        <f t="shared" si="990"/>
        <v>0</v>
      </c>
      <c r="BE3248" s="130">
        <f t="shared" si="991"/>
        <v>1</v>
      </c>
      <c r="BF3248" s="195">
        <f t="shared" si="992"/>
        <v>0</v>
      </c>
      <c r="BG3248" s="373">
        <f t="shared" si="993"/>
        <v>1</v>
      </c>
    </row>
    <row r="3249" spans="1:59" s="46" customFormat="1" ht="15.95" customHeight="1">
      <c r="A3249" s="176">
        <v>71</v>
      </c>
      <c r="B3249" s="31" t="s">
        <v>1561</v>
      </c>
      <c r="C3249" s="32" t="s">
        <v>1562</v>
      </c>
      <c r="D3249" s="231"/>
      <c r="E3249" s="231"/>
      <c r="F3249" s="231"/>
      <c r="G3249" s="231"/>
      <c r="H3249" s="231"/>
      <c r="I3249" s="231"/>
      <c r="J3249" s="231"/>
      <c r="K3249" s="231"/>
      <c r="L3249" s="231"/>
      <c r="M3249" s="231"/>
      <c r="N3249" s="231"/>
      <c r="O3249" s="231"/>
      <c r="P3249" s="231"/>
      <c r="Q3249" s="231"/>
      <c r="R3249" s="231"/>
      <c r="S3249" s="231"/>
      <c r="T3249" s="231"/>
      <c r="U3249" s="231"/>
      <c r="V3249" s="231"/>
      <c r="W3249" s="231"/>
      <c r="X3249" s="231"/>
      <c r="Y3249" s="231"/>
      <c r="Z3249" s="231"/>
      <c r="AA3249" s="231"/>
      <c r="AB3249" s="22">
        <f t="shared" si="988"/>
        <v>0</v>
      </c>
      <c r="AC3249" s="23">
        <v>1</v>
      </c>
      <c r="AD3249" s="35"/>
      <c r="AE3249" s="35"/>
      <c r="AF3249" s="35"/>
      <c r="AG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  <c r="AX3249" s="35"/>
      <c r="AY3249" s="35"/>
      <c r="AZ3249" s="35"/>
      <c r="BA3249" s="35"/>
      <c r="BB3249" s="22">
        <f t="shared" si="989"/>
        <v>0</v>
      </c>
      <c r="BC3249" s="23">
        <v>0</v>
      </c>
      <c r="BD3249" s="130">
        <f t="shared" si="990"/>
        <v>0</v>
      </c>
      <c r="BE3249" s="130">
        <f t="shared" si="991"/>
        <v>1</v>
      </c>
      <c r="BF3249" s="195">
        <f t="shared" si="992"/>
        <v>0</v>
      </c>
      <c r="BG3249" s="373">
        <f t="shared" si="993"/>
        <v>1</v>
      </c>
    </row>
    <row r="3250" spans="1:59" s="46" customFormat="1" ht="15.95" customHeight="1">
      <c r="A3250" s="176">
        <v>72</v>
      </c>
      <c r="B3250" s="31" t="s">
        <v>1563</v>
      </c>
      <c r="C3250" s="32" t="s">
        <v>1564</v>
      </c>
      <c r="D3250" s="231"/>
      <c r="E3250" s="231"/>
      <c r="F3250" s="231"/>
      <c r="G3250" s="231"/>
      <c r="H3250" s="231"/>
      <c r="I3250" s="231"/>
      <c r="J3250" s="231"/>
      <c r="K3250" s="231"/>
      <c r="L3250" s="231"/>
      <c r="M3250" s="231"/>
      <c r="N3250" s="231"/>
      <c r="O3250" s="231"/>
      <c r="P3250" s="231"/>
      <c r="Q3250" s="231"/>
      <c r="R3250" s="231"/>
      <c r="S3250" s="231"/>
      <c r="T3250" s="231"/>
      <c r="U3250" s="231"/>
      <c r="V3250" s="231"/>
      <c r="W3250" s="231"/>
      <c r="X3250" s="231"/>
      <c r="Y3250" s="231"/>
      <c r="Z3250" s="231"/>
      <c r="AA3250" s="231"/>
      <c r="AB3250" s="22">
        <f t="shared" si="988"/>
        <v>0</v>
      </c>
      <c r="AC3250" s="23">
        <v>1</v>
      </c>
      <c r="AD3250" s="35"/>
      <c r="AE3250" s="35"/>
      <c r="AF3250" s="35"/>
      <c r="AG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  <c r="AX3250" s="35"/>
      <c r="AY3250" s="35"/>
      <c r="AZ3250" s="35"/>
      <c r="BA3250" s="35"/>
      <c r="BB3250" s="22">
        <f t="shared" si="989"/>
        <v>0</v>
      </c>
      <c r="BC3250" s="23">
        <v>0</v>
      </c>
      <c r="BD3250" s="130">
        <f t="shared" si="990"/>
        <v>0</v>
      </c>
      <c r="BE3250" s="130">
        <f t="shared" si="991"/>
        <v>1</v>
      </c>
      <c r="BF3250" s="195">
        <f t="shared" si="992"/>
        <v>0</v>
      </c>
      <c r="BG3250" s="373">
        <f t="shared" si="993"/>
        <v>1</v>
      </c>
    </row>
    <row r="3251" spans="1:59" s="46" customFormat="1" ht="15.95" customHeight="1">
      <c r="A3251" s="176">
        <v>73</v>
      </c>
      <c r="B3251" s="31" t="s">
        <v>1565</v>
      </c>
      <c r="C3251" s="32" t="s">
        <v>1566</v>
      </c>
      <c r="D3251" s="332"/>
      <c r="E3251" s="332"/>
      <c r="F3251" s="332"/>
      <c r="G3251" s="332"/>
      <c r="H3251" s="332"/>
      <c r="I3251" s="332"/>
      <c r="J3251" s="332"/>
      <c r="K3251" s="332"/>
      <c r="L3251" s="332"/>
      <c r="M3251" s="332"/>
      <c r="N3251" s="332"/>
      <c r="O3251" s="332"/>
      <c r="P3251" s="332"/>
      <c r="Q3251" s="332"/>
      <c r="R3251" s="332"/>
      <c r="S3251" s="332"/>
      <c r="T3251" s="332"/>
      <c r="U3251" s="332"/>
      <c r="V3251" s="332"/>
      <c r="W3251" s="332"/>
      <c r="X3251" s="332"/>
      <c r="Y3251" s="332"/>
      <c r="Z3251" s="332"/>
      <c r="AA3251" s="332"/>
      <c r="AB3251" s="22">
        <f t="shared" si="988"/>
        <v>0</v>
      </c>
      <c r="AC3251" s="23">
        <v>1</v>
      </c>
      <c r="AD3251" s="35"/>
      <c r="AE3251" s="35"/>
      <c r="AF3251" s="35"/>
      <c r="AG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  <c r="AX3251" s="35"/>
      <c r="AY3251" s="35"/>
      <c r="AZ3251" s="35"/>
      <c r="BA3251" s="35"/>
      <c r="BB3251" s="22">
        <f t="shared" si="989"/>
        <v>0</v>
      </c>
      <c r="BC3251" s="23">
        <v>0</v>
      </c>
      <c r="BD3251" s="130">
        <f t="shared" si="990"/>
        <v>0</v>
      </c>
      <c r="BE3251" s="130">
        <f t="shared" si="991"/>
        <v>1</v>
      </c>
      <c r="BF3251" s="195">
        <f t="shared" si="992"/>
        <v>0</v>
      </c>
      <c r="BG3251" s="373">
        <f t="shared" si="993"/>
        <v>1</v>
      </c>
    </row>
    <row r="3252" spans="1:59" s="46" customFormat="1" ht="15.95" customHeight="1">
      <c r="A3252" s="176">
        <v>74</v>
      </c>
      <c r="B3252" s="31" t="s">
        <v>1567</v>
      </c>
      <c r="C3252" s="32" t="s">
        <v>1568</v>
      </c>
      <c r="D3252" s="231"/>
      <c r="E3252" s="231"/>
      <c r="F3252" s="231"/>
      <c r="G3252" s="231"/>
      <c r="H3252" s="231"/>
      <c r="I3252" s="231"/>
      <c r="J3252" s="231"/>
      <c r="K3252" s="231"/>
      <c r="L3252" s="231"/>
      <c r="M3252" s="231"/>
      <c r="N3252" s="231"/>
      <c r="O3252" s="231"/>
      <c r="P3252" s="231"/>
      <c r="Q3252" s="231"/>
      <c r="R3252" s="231"/>
      <c r="S3252" s="231"/>
      <c r="T3252" s="231"/>
      <c r="U3252" s="231"/>
      <c r="V3252" s="231"/>
      <c r="W3252" s="231"/>
      <c r="X3252" s="231"/>
      <c r="Y3252" s="231"/>
      <c r="Z3252" s="231"/>
      <c r="AA3252" s="231"/>
      <c r="AB3252" s="22">
        <f t="shared" si="988"/>
        <v>0</v>
      </c>
      <c r="AC3252" s="23">
        <v>1</v>
      </c>
      <c r="AD3252" s="35"/>
      <c r="AE3252" s="35"/>
      <c r="AF3252" s="35"/>
      <c r="AG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  <c r="AX3252" s="35"/>
      <c r="AY3252" s="35"/>
      <c r="AZ3252" s="35"/>
      <c r="BA3252" s="35"/>
      <c r="BB3252" s="22">
        <f t="shared" si="989"/>
        <v>0</v>
      </c>
      <c r="BC3252" s="23">
        <v>0</v>
      </c>
      <c r="BD3252" s="130">
        <f t="shared" si="990"/>
        <v>0</v>
      </c>
      <c r="BE3252" s="130">
        <f t="shared" si="991"/>
        <v>1</v>
      </c>
      <c r="BF3252" s="195">
        <f t="shared" si="992"/>
        <v>0</v>
      </c>
      <c r="BG3252" s="373">
        <f t="shared" si="993"/>
        <v>1</v>
      </c>
    </row>
    <row r="3253" spans="1:59" s="46" customFormat="1" ht="15.95" customHeight="1">
      <c r="A3253" s="176">
        <v>75</v>
      </c>
      <c r="B3253" s="31" t="s">
        <v>1569</v>
      </c>
      <c r="C3253" s="32" t="s">
        <v>1570</v>
      </c>
      <c r="D3253" s="231"/>
      <c r="E3253" s="231"/>
      <c r="F3253" s="231"/>
      <c r="G3253" s="231"/>
      <c r="H3253" s="231"/>
      <c r="I3253" s="231"/>
      <c r="J3253" s="231"/>
      <c r="K3253" s="231"/>
      <c r="L3253" s="231"/>
      <c r="M3253" s="231"/>
      <c r="N3253" s="231"/>
      <c r="O3253" s="231"/>
      <c r="P3253" s="231"/>
      <c r="Q3253" s="231"/>
      <c r="R3253" s="231"/>
      <c r="S3253" s="231"/>
      <c r="T3253" s="231"/>
      <c r="U3253" s="231"/>
      <c r="V3253" s="231"/>
      <c r="W3253" s="231"/>
      <c r="X3253" s="231"/>
      <c r="Y3253" s="231"/>
      <c r="Z3253" s="231"/>
      <c r="AA3253" s="231"/>
      <c r="AB3253" s="22">
        <f t="shared" si="988"/>
        <v>0</v>
      </c>
      <c r="AC3253" s="23">
        <v>1</v>
      </c>
      <c r="AD3253" s="35"/>
      <c r="AE3253" s="35"/>
      <c r="AF3253" s="35"/>
      <c r="AG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  <c r="AX3253" s="35"/>
      <c r="AY3253" s="35"/>
      <c r="AZ3253" s="35"/>
      <c r="BA3253" s="35"/>
      <c r="BB3253" s="22">
        <f t="shared" si="989"/>
        <v>0</v>
      </c>
      <c r="BC3253" s="23">
        <v>0</v>
      </c>
      <c r="BD3253" s="130">
        <f t="shared" si="990"/>
        <v>0</v>
      </c>
      <c r="BE3253" s="130">
        <f t="shared" si="991"/>
        <v>1</v>
      </c>
      <c r="BF3253" s="195">
        <f t="shared" si="992"/>
        <v>0</v>
      </c>
      <c r="BG3253" s="373">
        <f t="shared" si="993"/>
        <v>1</v>
      </c>
    </row>
    <row r="3254" spans="1:59" s="46" customFormat="1" ht="15.95" customHeight="1">
      <c r="A3254" s="176">
        <v>76</v>
      </c>
      <c r="B3254" s="31" t="s">
        <v>1571</v>
      </c>
      <c r="C3254" s="32" t="s">
        <v>1572</v>
      </c>
      <c r="D3254" s="231"/>
      <c r="E3254" s="231"/>
      <c r="F3254" s="231"/>
      <c r="G3254" s="231"/>
      <c r="H3254" s="231"/>
      <c r="I3254" s="231"/>
      <c r="J3254" s="231"/>
      <c r="K3254" s="231"/>
      <c r="L3254" s="231"/>
      <c r="M3254" s="231"/>
      <c r="N3254" s="231"/>
      <c r="O3254" s="231"/>
      <c r="P3254" s="231"/>
      <c r="Q3254" s="231"/>
      <c r="R3254" s="231"/>
      <c r="S3254" s="231"/>
      <c r="T3254" s="231"/>
      <c r="U3254" s="231"/>
      <c r="V3254" s="231"/>
      <c r="W3254" s="231"/>
      <c r="X3254" s="231"/>
      <c r="Y3254" s="231"/>
      <c r="Z3254" s="231"/>
      <c r="AA3254" s="231"/>
      <c r="AB3254" s="22">
        <f t="shared" si="988"/>
        <v>0</v>
      </c>
      <c r="AC3254" s="23">
        <v>1</v>
      </c>
      <c r="AD3254" s="35"/>
      <c r="AE3254" s="35"/>
      <c r="AF3254" s="35"/>
      <c r="AG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  <c r="AX3254" s="35"/>
      <c r="AY3254" s="35"/>
      <c r="AZ3254" s="35"/>
      <c r="BA3254" s="35"/>
      <c r="BB3254" s="22">
        <f t="shared" si="989"/>
        <v>0</v>
      </c>
      <c r="BC3254" s="23">
        <v>0</v>
      </c>
      <c r="BD3254" s="130">
        <f t="shared" si="990"/>
        <v>0</v>
      </c>
      <c r="BE3254" s="130">
        <f t="shared" si="991"/>
        <v>1</v>
      </c>
      <c r="BF3254" s="195">
        <f t="shared" si="992"/>
        <v>0</v>
      </c>
      <c r="BG3254" s="373">
        <f t="shared" si="993"/>
        <v>1</v>
      </c>
    </row>
    <row r="3255" spans="1:59" s="46" customFormat="1" ht="15.95" customHeight="1">
      <c r="A3255" s="176">
        <v>77</v>
      </c>
      <c r="B3255" s="31" t="s">
        <v>1573</v>
      </c>
      <c r="C3255" s="32" t="s">
        <v>1574</v>
      </c>
      <c r="D3255" s="231"/>
      <c r="E3255" s="231"/>
      <c r="F3255" s="231"/>
      <c r="G3255" s="231"/>
      <c r="H3255" s="231"/>
      <c r="I3255" s="231"/>
      <c r="J3255" s="231"/>
      <c r="K3255" s="231"/>
      <c r="L3255" s="231"/>
      <c r="M3255" s="231"/>
      <c r="N3255" s="231"/>
      <c r="O3255" s="231"/>
      <c r="P3255" s="231"/>
      <c r="Q3255" s="231"/>
      <c r="R3255" s="231"/>
      <c r="S3255" s="231"/>
      <c r="T3255" s="231"/>
      <c r="U3255" s="231"/>
      <c r="V3255" s="231"/>
      <c r="W3255" s="231"/>
      <c r="X3255" s="231"/>
      <c r="Y3255" s="231"/>
      <c r="Z3255" s="231"/>
      <c r="AA3255" s="231"/>
      <c r="AB3255" s="22">
        <f t="shared" si="988"/>
        <v>0</v>
      </c>
      <c r="AC3255" s="23">
        <v>1</v>
      </c>
      <c r="AD3255" s="35"/>
      <c r="AE3255" s="35"/>
      <c r="AF3255" s="35"/>
      <c r="AG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  <c r="AX3255" s="35"/>
      <c r="AY3255" s="35"/>
      <c r="AZ3255" s="35"/>
      <c r="BA3255" s="35"/>
      <c r="BB3255" s="22">
        <f t="shared" si="989"/>
        <v>0</v>
      </c>
      <c r="BC3255" s="23">
        <v>0</v>
      </c>
      <c r="BD3255" s="130">
        <f t="shared" si="990"/>
        <v>0</v>
      </c>
      <c r="BE3255" s="130">
        <f t="shared" si="991"/>
        <v>1</v>
      </c>
      <c r="BF3255" s="195">
        <f t="shared" si="992"/>
        <v>0</v>
      </c>
      <c r="BG3255" s="373">
        <f t="shared" si="993"/>
        <v>1</v>
      </c>
    </row>
    <row r="3256" spans="1:59" s="46" customFormat="1" ht="15.95" customHeight="1">
      <c r="A3256" s="176">
        <v>78</v>
      </c>
      <c r="B3256" s="31" t="s">
        <v>1575</v>
      </c>
      <c r="C3256" s="32" t="s">
        <v>1576</v>
      </c>
      <c r="D3256" s="326"/>
      <c r="E3256" s="326"/>
      <c r="F3256" s="326"/>
      <c r="G3256" s="326"/>
      <c r="H3256" s="326"/>
      <c r="I3256" s="326"/>
      <c r="J3256" s="326"/>
      <c r="K3256" s="326"/>
      <c r="L3256" s="326"/>
      <c r="M3256" s="326"/>
      <c r="N3256" s="326"/>
      <c r="O3256" s="326"/>
      <c r="P3256" s="326"/>
      <c r="Q3256" s="326"/>
      <c r="R3256" s="326"/>
      <c r="S3256" s="326"/>
      <c r="T3256" s="326"/>
      <c r="U3256" s="326"/>
      <c r="V3256" s="326"/>
      <c r="W3256" s="326"/>
      <c r="X3256" s="326"/>
      <c r="Y3256" s="326"/>
      <c r="Z3256" s="326"/>
      <c r="AA3256" s="326"/>
      <c r="AB3256" s="22">
        <f t="shared" si="988"/>
        <v>0</v>
      </c>
      <c r="AC3256" s="23">
        <v>1</v>
      </c>
      <c r="AD3256" s="35"/>
      <c r="AE3256" s="35"/>
      <c r="AF3256" s="35"/>
      <c r="AG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  <c r="AX3256" s="35"/>
      <c r="AY3256" s="35"/>
      <c r="AZ3256" s="35"/>
      <c r="BA3256" s="35"/>
      <c r="BB3256" s="22">
        <f t="shared" si="989"/>
        <v>0</v>
      </c>
      <c r="BC3256" s="23">
        <v>0</v>
      </c>
      <c r="BD3256" s="130">
        <f t="shared" si="990"/>
        <v>0</v>
      </c>
      <c r="BE3256" s="130">
        <f t="shared" si="991"/>
        <v>1</v>
      </c>
      <c r="BF3256" s="195">
        <f t="shared" si="992"/>
        <v>0</v>
      </c>
      <c r="BG3256" s="373">
        <f t="shared" si="993"/>
        <v>1</v>
      </c>
    </row>
    <row r="3257" spans="1:59" s="46" customFormat="1" ht="15.95" customHeight="1">
      <c r="A3257" s="176">
        <v>79</v>
      </c>
      <c r="B3257" s="31" t="s">
        <v>1577</v>
      </c>
      <c r="C3257" s="32" t="s">
        <v>1578</v>
      </c>
      <c r="D3257" s="231"/>
      <c r="E3257" s="231"/>
      <c r="F3257" s="231"/>
      <c r="G3257" s="231"/>
      <c r="H3257" s="231"/>
      <c r="I3257" s="231"/>
      <c r="J3257" s="231"/>
      <c r="K3257" s="231"/>
      <c r="L3257" s="231"/>
      <c r="M3257" s="231"/>
      <c r="N3257" s="231"/>
      <c r="O3257" s="231"/>
      <c r="P3257" s="231"/>
      <c r="Q3257" s="231"/>
      <c r="R3257" s="231"/>
      <c r="S3257" s="231"/>
      <c r="T3257" s="231"/>
      <c r="U3257" s="231"/>
      <c r="V3257" s="231"/>
      <c r="W3257" s="231"/>
      <c r="X3257" s="231"/>
      <c r="Y3257" s="231"/>
      <c r="Z3257" s="231"/>
      <c r="AA3257" s="231"/>
      <c r="AB3257" s="22">
        <f t="shared" si="988"/>
        <v>0</v>
      </c>
      <c r="AC3257" s="23">
        <v>1</v>
      </c>
      <c r="AD3257" s="35"/>
      <c r="AE3257" s="35"/>
      <c r="AF3257" s="35"/>
      <c r="AG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  <c r="AX3257" s="35"/>
      <c r="AY3257" s="35"/>
      <c r="AZ3257" s="35"/>
      <c r="BA3257" s="35"/>
      <c r="BB3257" s="22">
        <f t="shared" si="989"/>
        <v>0</v>
      </c>
      <c r="BC3257" s="23">
        <v>0</v>
      </c>
      <c r="BD3257" s="130">
        <f t="shared" si="990"/>
        <v>0</v>
      </c>
      <c r="BE3257" s="130">
        <f t="shared" si="991"/>
        <v>1</v>
      </c>
      <c r="BF3257" s="195">
        <f t="shared" si="992"/>
        <v>0</v>
      </c>
      <c r="BG3257" s="373">
        <f t="shared" si="993"/>
        <v>1</v>
      </c>
    </row>
    <row r="3258" spans="1:59" s="46" customFormat="1" ht="15.95" customHeight="1">
      <c r="A3258" s="176">
        <v>80</v>
      </c>
      <c r="B3258" s="31" t="s">
        <v>1045</v>
      </c>
      <c r="C3258" s="32" t="s">
        <v>1579</v>
      </c>
      <c r="D3258" s="231"/>
      <c r="E3258" s="231"/>
      <c r="F3258" s="231"/>
      <c r="G3258" s="231"/>
      <c r="H3258" s="231"/>
      <c r="I3258" s="231"/>
      <c r="J3258" s="231"/>
      <c r="K3258" s="231"/>
      <c r="L3258" s="231"/>
      <c r="M3258" s="231"/>
      <c r="N3258" s="231"/>
      <c r="O3258" s="231"/>
      <c r="P3258" s="231"/>
      <c r="Q3258" s="231"/>
      <c r="R3258" s="231"/>
      <c r="S3258" s="231"/>
      <c r="T3258" s="231"/>
      <c r="U3258" s="231"/>
      <c r="V3258" s="231"/>
      <c r="W3258" s="231"/>
      <c r="X3258" s="231"/>
      <c r="Y3258" s="231"/>
      <c r="Z3258" s="231"/>
      <c r="AA3258" s="231"/>
      <c r="AB3258" s="22">
        <f t="shared" si="988"/>
        <v>0</v>
      </c>
      <c r="AC3258" s="23">
        <v>1</v>
      </c>
      <c r="AD3258" s="35"/>
      <c r="AE3258" s="35"/>
      <c r="AF3258" s="35"/>
      <c r="AG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  <c r="AX3258" s="35"/>
      <c r="AY3258" s="35"/>
      <c r="AZ3258" s="35"/>
      <c r="BA3258" s="35"/>
      <c r="BB3258" s="22">
        <f t="shared" si="989"/>
        <v>0</v>
      </c>
      <c r="BC3258" s="23">
        <v>0</v>
      </c>
      <c r="BD3258" s="130">
        <f t="shared" si="990"/>
        <v>0</v>
      </c>
      <c r="BE3258" s="130">
        <f t="shared" si="991"/>
        <v>1</v>
      </c>
      <c r="BF3258" s="195">
        <f t="shared" si="992"/>
        <v>0</v>
      </c>
      <c r="BG3258" s="373">
        <f t="shared" si="993"/>
        <v>1</v>
      </c>
    </row>
    <row r="3259" spans="1:59" s="46" customFormat="1" ht="15.95" customHeight="1">
      <c r="A3259" s="176">
        <v>81</v>
      </c>
      <c r="B3259" s="31" t="s">
        <v>1109</v>
      </c>
      <c r="C3259" s="32" t="s">
        <v>1580</v>
      </c>
      <c r="D3259" s="231"/>
      <c r="E3259" s="231"/>
      <c r="F3259" s="231"/>
      <c r="G3259" s="231"/>
      <c r="H3259" s="231"/>
      <c r="I3259" s="231"/>
      <c r="J3259" s="231"/>
      <c r="K3259" s="231"/>
      <c r="L3259" s="231"/>
      <c r="M3259" s="231"/>
      <c r="N3259" s="231"/>
      <c r="O3259" s="231"/>
      <c r="P3259" s="231"/>
      <c r="Q3259" s="231"/>
      <c r="R3259" s="231"/>
      <c r="S3259" s="231"/>
      <c r="T3259" s="231"/>
      <c r="U3259" s="231"/>
      <c r="V3259" s="231"/>
      <c r="W3259" s="231"/>
      <c r="X3259" s="231"/>
      <c r="Y3259" s="231"/>
      <c r="Z3259" s="231"/>
      <c r="AA3259" s="231"/>
      <c r="AB3259" s="22">
        <f t="shared" si="988"/>
        <v>0</v>
      </c>
      <c r="AC3259" s="23">
        <v>1</v>
      </c>
      <c r="AD3259" s="35"/>
      <c r="AE3259" s="35"/>
      <c r="AF3259" s="35"/>
      <c r="AG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  <c r="AX3259" s="35"/>
      <c r="AY3259" s="35"/>
      <c r="AZ3259" s="35"/>
      <c r="BA3259" s="35"/>
      <c r="BB3259" s="22">
        <f t="shared" si="989"/>
        <v>0</v>
      </c>
      <c r="BC3259" s="23">
        <v>0</v>
      </c>
      <c r="BD3259" s="130">
        <f t="shared" si="990"/>
        <v>0</v>
      </c>
      <c r="BE3259" s="130">
        <f t="shared" si="991"/>
        <v>1</v>
      </c>
      <c r="BF3259" s="195">
        <f t="shared" si="992"/>
        <v>0</v>
      </c>
      <c r="BG3259" s="373">
        <f t="shared" si="993"/>
        <v>1</v>
      </c>
    </row>
    <row r="3260" spans="1:59" s="46" customFormat="1" ht="15.95" customHeight="1">
      <c r="A3260" s="176">
        <v>82</v>
      </c>
      <c r="B3260" s="31" t="s">
        <v>1581</v>
      </c>
      <c r="C3260" s="32" t="s">
        <v>1582</v>
      </c>
      <c r="D3260" s="231"/>
      <c r="E3260" s="231"/>
      <c r="F3260" s="231"/>
      <c r="G3260" s="231"/>
      <c r="H3260" s="231"/>
      <c r="I3260" s="231"/>
      <c r="J3260" s="231"/>
      <c r="K3260" s="231"/>
      <c r="L3260" s="231"/>
      <c r="M3260" s="231"/>
      <c r="N3260" s="231"/>
      <c r="O3260" s="231"/>
      <c r="P3260" s="231"/>
      <c r="Q3260" s="231"/>
      <c r="R3260" s="231"/>
      <c r="S3260" s="231"/>
      <c r="T3260" s="231"/>
      <c r="U3260" s="231"/>
      <c r="V3260" s="231"/>
      <c r="W3260" s="231"/>
      <c r="X3260" s="231"/>
      <c r="Y3260" s="231"/>
      <c r="Z3260" s="231"/>
      <c r="AA3260" s="231"/>
      <c r="AB3260" s="22">
        <f t="shared" si="988"/>
        <v>0</v>
      </c>
      <c r="AC3260" s="23">
        <v>1</v>
      </c>
      <c r="AD3260" s="35"/>
      <c r="AE3260" s="35"/>
      <c r="AF3260" s="35"/>
      <c r="AG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  <c r="AX3260" s="35"/>
      <c r="AY3260" s="35"/>
      <c r="AZ3260" s="35"/>
      <c r="BA3260" s="35"/>
      <c r="BB3260" s="22">
        <f t="shared" si="989"/>
        <v>0</v>
      </c>
      <c r="BC3260" s="23">
        <v>0</v>
      </c>
      <c r="BD3260" s="130">
        <f t="shared" si="990"/>
        <v>0</v>
      </c>
      <c r="BE3260" s="130">
        <f t="shared" si="991"/>
        <v>1</v>
      </c>
      <c r="BF3260" s="195">
        <f t="shared" si="992"/>
        <v>0</v>
      </c>
      <c r="BG3260" s="373">
        <f t="shared" si="993"/>
        <v>1</v>
      </c>
    </row>
    <row r="3261" spans="1:59" s="46" customFormat="1" ht="15.95" customHeight="1">
      <c r="A3261" s="176">
        <v>83</v>
      </c>
      <c r="B3261" s="314" t="s">
        <v>1583</v>
      </c>
      <c r="C3261" s="315" t="s">
        <v>1584</v>
      </c>
      <c r="D3261" s="311"/>
      <c r="E3261" s="311"/>
      <c r="F3261" s="311"/>
      <c r="G3261" s="311"/>
      <c r="H3261" s="311"/>
      <c r="I3261" s="311"/>
      <c r="J3261" s="311"/>
      <c r="K3261" s="311"/>
      <c r="L3261" s="311"/>
      <c r="M3261" s="311"/>
      <c r="N3261" s="311"/>
      <c r="O3261" s="311"/>
      <c r="P3261" s="311"/>
      <c r="Q3261" s="311"/>
      <c r="R3261" s="311"/>
      <c r="S3261" s="311"/>
      <c r="T3261" s="311"/>
      <c r="U3261" s="311"/>
      <c r="V3261" s="311"/>
      <c r="W3261" s="311"/>
      <c r="X3261" s="311"/>
      <c r="Y3261" s="311"/>
      <c r="Z3261" s="311"/>
      <c r="AA3261" s="311"/>
      <c r="AB3261" s="300">
        <f t="shared" si="988"/>
        <v>0</v>
      </c>
      <c r="AC3261" s="303">
        <v>1</v>
      </c>
      <c r="AD3261" s="316"/>
      <c r="AE3261" s="316"/>
      <c r="AF3261" s="316"/>
      <c r="AG3261" s="316"/>
      <c r="AH3261" s="316"/>
      <c r="AI3261" s="316"/>
      <c r="AJ3261" s="316"/>
      <c r="AK3261" s="316"/>
      <c r="AL3261" s="316"/>
      <c r="AM3261" s="316"/>
      <c r="AN3261" s="316"/>
      <c r="AO3261" s="316"/>
      <c r="AP3261" s="316"/>
      <c r="AQ3261" s="316"/>
      <c r="AR3261" s="316"/>
      <c r="AS3261" s="316"/>
      <c r="AT3261" s="316"/>
      <c r="AU3261" s="316"/>
      <c r="AV3261" s="316"/>
      <c r="AW3261" s="316"/>
      <c r="AX3261" s="316"/>
      <c r="AY3261" s="316"/>
      <c r="AZ3261" s="316"/>
      <c r="BA3261" s="316"/>
      <c r="BB3261" s="300">
        <f t="shared" si="989"/>
        <v>0</v>
      </c>
      <c r="BC3261" s="303">
        <v>0</v>
      </c>
      <c r="BD3261" s="304">
        <f t="shared" si="990"/>
        <v>0</v>
      </c>
      <c r="BE3261" s="304">
        <f t="shared" si="991"/>
        <v>1</v>
      </c>
      <c r="BF3261" s="195">
        <f t="shared" si="992"/>
        <v>0</v>
      </c>
      <c r="BG3261" s="373">
        <f t="shared" si="993"/>
        <v>1</v>
      </c>
    </row>
    <row r="3262" spans="1:59" s="46" customFormat="1" ht="15.95" customHeight="1">
      <c r="A3262" s="176">
        <v>84</v>
      </c>
      <c r="B3262" s="31" t="s">
        <v>1046</v>
      </c>
      <c r="C3262" s="34" t="s">
        <v>1585</v>
      </c>
      <c r="D3262" s="231"/>
      <c r="E3262" s="231"/>
      <c r="F3262" s="231"/>
      <c r="G3262" s="231"/>
      <c r="H3262" s="231"/>
      <c r="I3262" s="231"/>
      <c r="J3262" s="231"/>
      <c r="K3262" s="231"/>
      <c r="L3262" s="231"/>
      <c r="M3262" s="231"/>
      <c r="N3262" s="231"/>
      <c r="O3262" s="231"/>
      <c r="P3262" s="231"/>
      <c r="Q3262" s="231"/>
      <c r="R3262" s="231"/>
      <c r="S3262" s="231"/>
      <c r="T3262" s="231"/>
      <c r="U3262" s="231"/>
      <c r="V3262" s="231"/>
      <c r="W3262" s="231"/>
      <c r="X3262" s="231"/>
      <c r="Y3262" s="231"/>
      <c r="Z3262" s="231"/>
      <c r="AA3262" s="231"/>
      <c r="AB3262" s="22">
        <f t="shared" si="988"/>
        <v>0</v>
      </c>
      <c r="AC3262" s="23">
        <v>1</v>
      </c>
      <c r="AD3262" s="35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  <c r="AX3262" s="35"/>
      <c r="AY3262" s="35"/>
      <c r="AZ3262" s="35"/>
      <c r="BA3262" s="35"/>
      <c r="BB3262" s="22">
        <f t="shared" si="989"/>
        <v>0</v>
      </c>
      <c r="BC3262" s="23">
        <v>0</v>
      </c>
      <c r="BD3262" s="130">
        <f t="shared" si="990"/>
        <v>0</v>
      </c>
      <c r="BE3262" s="130">
        <f t="shared" si="991"/>
        <v>1</v>
      </c>
      <c r="BF3262" s="195">
        <f t="shared" si="992"/>
        <v>0</v>
      </c>
      <c r="BG3262" s="373">
        <f t="shared" si="993"/>
        <v>1</v>
      </c>
    </row>
    <row r="3263" spans="1:59" s="46" customFormat="1" ht="15.95" customHeight="1">
      <c r="A3263" s="176">
        <v>85</v>
      </c>
      <c r="B3263" s="31" t="s">
        <v>905</v>
      </c>
      <c r="C3263" s="32" t="s">
        <v>1586</v>
      </c>
      <c r="D3263" s="231"/>
      <c r="E3263" s="231"/>
      <c r="F3263" s="231"/>
      <c r="G3263" s="231"/>
      <c r="H3263" s="231"/>
      <c r="I3263" s="231"/>
      <c r="J3263" s="231"/>
      <c r="K3263" s="231"/>
      <c r="L3263" s="231"/>
      <c r="M3263" s="231"/>
      <c r="N3263" s="231"/>
      <c r="O3263" s="231"/>
      <c r="P3263" s="231"/>
      <c r="Q3263" s="231"/>
      <c r="R3263" s="231"/>
      <c r="S3263" s="231"/>
      <c r="T3263" s="231"/>
      <c r="U3263" s="231"/>
      <c r="V3263" s="231"/>
      <c r="W3263" s="231"/>
      <c r="X3263" s="231"/>
      <c r="Y3263" s="231"/>
      <c r="Z3263" s="231"/>
      <c r="AA3263" s="231"/>
      <c r="AB3263" s="22">
        <f t="shared" si="988"/>
        <v>0</v>
      </c>
      <c r="AC3263" s="23">
        <v>0</v>
      </c>
      <c r="AD3263" s="35"/>
      <c r="AE3263" s="35"/>
      <c r="AF3263" s="35"/>
      <c r="AG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  <c r="AX3263" s="35"/>
      <c r="AY3263" s="35"/>
      <c r="AZ3263" s="35"/>
      <c r="BA3263" s="35"/>
      <c r="BB3263" s="22">
        <f t="shared" si="989"/>
        <v>0</v>
      </c>
      <c r="BC3263" s="23">
        <v>1</v>
      </c>
      <c r="BD3263" s="130">
        <f t="shared" si="990"/>
        <v>0</v>
      </c>
      <c r="BE3263" s="130">
        <f t="shared" si="991"/>
        <v>1</v>
      </c>
      <c r="BF3263" s="195">
        <f t="shared" si="992"/>
        <v>0</v>
      </c>
      <c r="BG3263" s="373">
        <f t="shared" si="993"/>
        <v>1</v>
      </c>
    </row>
    <row r="3264" spans="1:59" s="46" customFormat="1" ht="15.95" customHeight="1">
      <c r="A3264" s="176">
        <v>86</v>
      </c>
      <c r="B3264" s="31" t="s">
        <v>1587</v>
      </c>
      <c r="C3264" s="32" t="s">
        <v>3563</v>
      </c>
      <c r="D3264" s="231">
        <v>1</v>
      </c>
      <c r="E3264" s="231"/>
      <c r="F3264" s="231"/>
      <c r="G3264" s="231"/>
      <c r="H3264" s="231"/>
      <c r="I3264" s="231"/>
      <c r="J3264" s="231"/>
      <c r="K3264" s="231"/>
      <c r="L3264" s="231">
        <v>1</v>
      </c>
      <c r="M3264" s="231"/>
      <c r="N3264" s="231"/>
      <c r="O3264" s="231"/>
      <c r="P3264" s="231">
        <v>3</v>
      </c>
      <c r="Q3264" s="231"/>
      <c r="R3264" s="231"/>
      <c r="S3264" s="231"/>
      <c r="T3264" s="231"/>
      <c r="U3264" s="231"/>
      <c r="V3264" s="231"/>
      <c r="W3264" s="231"/>
      <c r="X3264" s="231"/>
      <c r="Y3264" s="231"/>
      <c r="Z3264" s="231"/>
      <c r="AA3264" s="231"/>
      <c r="AB3264" s="22">
        <f t="shared" si="988"/>
        <v>5</v>
      </c>
      <c r="AC3264" s="23">
        <v>11</v>
      </c>
      <c r="AD3264" s="35"/>
      <c r="AE3264" s="35"/>
      <c r="AF3264" s="35"/>
      <c r="AG3264" s="35"/>
      <c r="AH3264" s="35">
        <v>4</v>
      </c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  <c r="AX3264" s="35"/>
      <c r="AY3264" s="35"/>
      <c r="AZ3264" s="35"/>
      <c r="BA3264" s="35"/>
      <c r="BB3264" s="22">
        <f t="shared" si="989"/>
        <v>4</v>
      </c>
      <c r="BC3264" s="23">
        <v>0</v>
      </c>
      <c r="BD3264" s="130">
        <f t="shared" si="990"/>
        <v>9</v>
      </c>
      <c r="BE3264" s="130">
        <f t="shared" si="991"/>
        <v>11</v>
      </c>
      <c r="BF3264" s="195">
        <f t="shared" si="992"/>
        <v>81.818181818181827</v>
      </c>
      <c r="BG3264" s="373">
        <f t="shared" si="993"/>
        <v>2</v>
      </c>
    </row>
    <row r="3265" spans="1:59" s="46" customFormat="1" ht="15.95" customHeight="1">
      <c r="A3265" s="176">
        <v>87</v>
      </c>
      <c r="B3265" s="31" t="s">
        <v>1072</v>
      </c>
      <c r="C3265" s="34" t="s">
        <v>1073</v>
      </c>
      <c r="D3265" s="231">
        <v>186</v>
      </c>
      <c r="E3265" s="231"/>
      <c r="F3265" s="231"/>
      <c r="G3265" s="231"/>
      <c r="H3265" s="231">
        <v>214</v>
      </c>
      <c r="I3265" s="231"/>
      <c r="J3265" s="231"/>
      <c r="K3265" s="231"/>
      <c r="L3265" s="231">
        <v>470</v>
      </c>
      <c r="M3265" s="231"/>
      <c r="N3265" s="231"/>
      <c r="O3265" s="231"/>
      <c r="P3265" s="231">
        <v>88</v>
      </c>
      <c r="Q3265" s="231"/>
      <c r="R3265" s="231"/>
      <c r="S3265" s="231"/>
      <c r="T3265" s="231"/>
      <c r="U3265" s="231"/>
      <c r="V3265" s="231"/>
      <c r="W3265" s="231"/>
      <c r="X3265" s="231"/>
      <c r="Y3265" s="231"/>
      <c r="Z3265" s="231"/>
      <c r="AA3265" s="231"/>
      <c r="AB3265" s="22">
        <f t="shared" si="988"/>
        <v>958</v>
      </c>
      <c r="AC3265" s="23">
        <v>1110</v>
      </c>
      <c r="AD3265" s="35"/>
      <c r="AE3265" s="35"/>
      <c r="AF3265" s="35"/>
      <c r="AG3265" s="35"/>
      <c r="AH3265" s="35">
        <f>25+2</f>
        <v>27</v>
      </c>
      <c r="AI3265" s="35"/>
      <c r="AJ3265" s="35"/>
      <c r="AK3265" s="35"/>
      <c r="AL3265" s="35">
        <f>7+41</f>
        <v>48</v>
      </c>
      <c r="AM3265" s="35"/>
      <c r="AN3265" s="35"/>
      <c r="AO3265" s="35"/>
      <c r="AP3265" s="35">
        <f>6+18</f>
        <v>24</v>
      </c>
      <c r="AQ3265" s="35"/>
      <c r="AR3265" s="35"/>
      <c r="AS3265" s="35"/>
      <c r="AT3265" s="35"/>
      <c r="AU3265" s="35"/>
      <c r="AV3265" s="35"/>
      <c r="AW3265" s="35"/>
      <c r="AX3265" s="35"/>
      <c r="AY3265" s="35"/>
      <c r="AZ3265" s="35"/>
      <c r="BA3265" s="35"/>
      <c r="BB3265" s="22">
        <f t="shared" si="989"/>
        <v>99</v>
      </c>
      <c r="BC3265" s="23">
        <v>298</v>
      </c>
      <c r="BD3265" s="130">
        <f t="shared" si="990"/>
        <v>1057</v>
      </c>
      <c r="BE3265" s="130">
        <f t="shared" si="991"/>
        <v>1408</v>
      </c>
      <c r="BF3265" s="195">
        <f t="shared" si="992"/>
        <v>75.071022727272734</v>
      </c>
      <c r="BG3265" s="373">
        <f t="shared" si="993"/>
        <v>351</v>
      </c>
    </row>
    <row r="3266" spans="1:59" s="46" customFormat="1" ht="15.95" customHeight="1">
      <c r="A3266" s="176">
        <v>88</v>
      </c>
      <c r="B3266" s="31" t="s">
        <v>2478</v>
      </c>
      <c r="C3266" s="34" t="s">
        <v>2479</v>
      </c>
      <c r="D3266" s="390"/>
      <c r="E3266" s="390"/>
      <c r="F3266" s="390"/>
      <c r="G3266" s="390"/>
      <c r="H3266" s="390"/>
      <c r="I3266" s="390"/>
      <c r="J3266" s="390"/>
      <c r="K3266" s="390"/>
      <c r="L3266" s="390"/>
      <c r="M3266" s="390"/>
      <c r="N3266" s="390"/>
      <c r="O3266" s="390"/>
      <c r="P3266" s="390"/>
      <c r="Q3266" s="390"/>
      <c r="R3266" s="390"/>
      <c r="S3266" s="390"/>
      <c r="T3266" s="390"/>
      <c r="U3266" s="390"/>
      <c r="V3266" s="390"/>
      <c r="W3266" s="390"/>
      <c r="X3266" s="390"/>
      <c r="Y3266" s="390"/>
      <c r="Z3266" s="390"/>
      <c r="AA3266" s="390"/>
      <c r="AB3266" s="22">
        <f t="shared" si="988"/>
        <v>0</v>
      </c>
      <c r="AC3266" s="23">
        <v>0</v>
      </c>
      <c r="AD3266" s="35"/>
      <c r="AE3266" s="35"/>
      <c r="AF3266" s="35"/>
      <c r="AG3266" s="35"/>
      <c r="AH3266" s="35"/>
      <c r="AI3266" s="35"/>
      <c r="AJ3266" s="35"/>
      <c r="AK3266" s="35"/>
      <c r="AL3266" s="35"/>
      <c r="AM3266" s="35"/>
      <c r="AN3266" s="35"/>
      <c r="AO3266" s="35"/>
      <c r="AP3266" s="35">
        <v>1</v>
      </c>
      <c r="AQ3266" s="35"/>
      <c r="AR3266" s="35"/>
      <c r="AS3266" s="35"/>
      <c r="AT3266" s="35"/>
      <c r="AU3266" s="35"/>
      <c r="AV3266" s="35"/>
      <c r="AW3266" s="35"/>
      <c r="AX3266" s="35"/>
      <c r="AY3266" s="35"/>
      <c r="AZ3266" s="35"/>
      <c r="BA3266" s="35"/>
      <c r="BB3266" s="22">
        <f t="shared" si="989"/>
        <v>1</v>
      </c>
      <c r="BC3266" s="23">
        <v>1</v>
      </c>
      <c r="BD3266" s="130">
        <f t="shared" si="990"/>
        <v>1</v>
      </c>
      <c r="BE3266" s="130">
        <f t="shared" si="991"/>
        <v>1</v>
      </c>
      <c r="BF3266" s="195">
        <f t="shared" si="992"/>
        <v>100</v>
      </c>
      <c r="BG3266" s="373">
        <f t="shared" si="993"/>
        <v>0</v>
      </c>
    </row>
    <row r="3267" spans="1:59" s="46" customFormat="1" ht="15.95" customHeight="1">
      <c r="A3267" s="176">
        <v>89</v>
      </c>
      <c r="B3267" s="31" t="s">
        <v>3024</v>
      </c>
      <c r="C3267" s="34" t="s">
        <v>3030</v>
      </c>
      <c r="D3267" s="231"/>
      <c r="E3267" s="231"/>
      <c r="F3267" s="231"/>
      <c r="G3267" s="231"/>
      <c r="H3267" s="231"/>
      <c r="I3267" s="231"/>
      <c r="J3267" s="231"/>
      <c r="K3267" s="231"/>
      <c r="L3267" s="231"/>
      <c r="M3267" s="231"/>
      <c r="N3267" s="231"/>
      <c r="O3267" s="231"/>
      <c r="P3267" s="231"/>
      <c r="Q3267" s="231"/>
      <c r="R3267" s="231"/>
      <c r="S3267" s="231"/>
      <c r="T3267" s="231"/>
      <c r="U3267" s="231"/>
      <c r="V3267" s="231"/>
      <c r="W3267" s="231"/>
      <c r="X3267" s="231"/>
      <c r="Y3267" s="231"/>
      <c r="Z3267" s="231"/>
      <c r="AA3267" s="231"/>
      <c r="AB3267" s="22">
        <f t="shared" si="988"/>
        <v>0</v>
      </c>
      <c r="AC3267" s="23">
        <v>1</v>
      </c>
      <c r="AD3267" s="35"/>
      <c r="AE3267" s="35"/>
      <c r="AF3267" s="35"/>
      <c r="AG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  <c r="AX3267" s="35"/>
      <c r="AY3267" s="35"/>
      <c r="AZ3267" s="35"/>
      <c r="BA3267" s="35"/>
      <c r="BB3267" s="22">
        <f t="shared" si="989"/>
        <v>0</v>
      </c>
      <c r="BC3267" s="23">
        <v>1</v>
      </c>
      <c r="BD3267" s="130">
        <f t="shared" si="990"/>
        <v>0</v>
      </c>
      <c r="BE3267" s="130">
        <f t="shared" si="991"/>
        <v>2</v>
      </c>
      <c r="BF3267" s="195">
        <f t="shared" si="992"/>
        <v>0</v>
      </c>
      <c r="BG3267" s="373">
        <f t="shared" si="993"/>
        <v>2</v>
      </c>
    </row>
    <row r="3268" spans="1:59" s="46" customFormat="1" ht="15.95" customHeight="1">
      <c r="A3268" s="176">
        <v>90</v>
      </c>
      <c r="B3268" s="31" t="s">
        <v>3564</v>
      </c>
      <c r="C3268" s="32" t="s">
        <v>2479</v>
      </c>
      <c r="D3268" s="231"/>
      <c r="E3268" s="231"/>
      <c r="F3268" s="231"/>
      <c r="G3268" s="231"/>
      <c r="H3268" s="231"/>
      <c r="I3268" s="231"/>
      <c r="J3268" s="231"/>
      <c r="K3268" s="231"/>
      <c r="L3268" s="231"/>
      <c r="M3268" s="231"/>
      <c r="N3268" s="231"/>
      <c r="O3268" s="231"/>
      <c r="P3268" s="231"/>
      <c r="Q3268" s="231"/>
      <c r="R3268" s="231"/>
      <c r="S3268" s="231"/>
      <c r="T3268" s="231"/>
      <c r="U3268" s="231"/>
      <c r="V3268" s="231"/>
      <c r="W3268" s="231"/>
      <c r="X3268" s="231"/>
      <c r="Y3268" s="231"/>
      <c r="Z3268" s="231"/>
      <c r="AA3268" s="231"/>
      <c r="AB3268" s="22">
        <f t="shared" si="988"/>
        <v>0</v>
      </c>
      <c r="AC3268" s="23">
        <v>0</v>
      </c>
      <c r="AD3268" s="35"/>
      <c r="AE3268" s="35"/>
      <c r="AF3268" s="35"/>
      <c r="AG3268" s="35"/>
      <c r="AH3268" s="35"/>
      <c r="AI3268" s="35"/>
      <c r="AJ3268" s="35"/>
      <c r="AK3268" s="35"/>
      <c r="AL3268" s="35"/>
      <c r="AM3268" s="35"/>
      <c r="AN3268" s="35"/>
      <c r="AO3268" s="35"/>
      <c r="AP3268" s="35">
        <v>1</v>
      </c>
      <c r="AQ3268" s="35"/>
      <c r="AR3268" s="35"/>
      <c r="AS3268" s="35"/>
      <c r="AT3268" s="35"/>
      <c r="AU3268" s="35"/>
      <c r="AV3268" s="35"/>
      <c r="AW3268" s="35"/>
      <c r="AX3268" s="35"/>
      <c r="AY3268" s="35"/>
      <c r="AZ3268" s="35"/>
      <c r="BA3268" s="35"/>
      <c r="BB3268" s="22">
        <f t="shared" si="989"/>
        <v>1</v>
      </c>
      <c r="BC3268" s="23">
        <v>1</v>
      </c>
      <c r="BD3268" s="130">
        <f t="shared" si="990"/>
        <v>1</v>
      </c>
      <c r="BE3268" s="130">
        <f t="shared" si="991"/>
        <v>1</v>
      </c>
      <c r="BF3268" s="195">
        <f t="shared" si="992"/>
        <v>100</v>
      </c>
      <c r="BG3268" s="373">
        <f t="shared" si="993"/>
        <v>0</v>
      </c>
    </row>
    <row r="3269" spans="1:59" s="46" customFormat="1" ht="15.95" customHeight="1">
      <c r="A3269" s="176">
        <v>91</v>
      </c>
      <c r="B3269" s="31" t="s">
        <v>1589</v>
      </c>
      <c r="C3269" s="32" t="s">
        <v>1590</v>
      </c>
      <c r="D3269" s="289"/>
      <c r="E3269" s="289"/>
      <c r="F3269" s="289"/>
      <c r="G3269" s="289"/>
      <c r="H3269" s="289"/>
      <c r="I3269" s="289"/>
      <c r="J3269" s="289"/>
      <c r="K3269" s="289"/>
      <c r="L3269" s="289"/>
      <c r="M3269" s="289"/>
      <c r="N3269" s="289"/>
      <c r="O3269" s="289"/>
      <c r="P3269" s="289"/>
      <c r="Q3269" s="289"/>
      <c r="R3269" s="289"/>
      <c r="S3269" s="289"/>
      <c r="T3269" s="289"/>
      <c r="U3269" s="289"/>
      <c r="V3269" s="289"/>
      <c r="W3269" s="289"/>
      <c r="X3269" s="289"/>
      <c r="Y3269" s="289"/>
      <c r="Z3269" s="289"/>
      <c r="AA3269" s="289"/>
      <c r="AB3269" s="22">
        <f t="shared" si="988"/>
        <v>0</v>
      </c>
      <c r="AC3269" s="23">
        <v>0</v>
      </c>
      <c r="AD3269" s="35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  <c r="AX3269" s="35"/>
      <c r="AY3269" s="35"/>
      <c r="AZ3269" s="35"/>
      <c r="BA3269" s="35"/>
      <c r="BB3269" s="22">
        <f t="shared" si="989"/>
        <v>0</v>
      </c>
      <c r="BC3269" s="23">
        <v>1</v>
      </c>
      <c r="BD3269" s="130">
        <f t="shared" si="990"/>
        <v>0</v>
      </c>
      <c r="BE3269" s="130">
        <f t="shared" si="991"/>
        <v>1</v>
      </c>
      <c r="BF3269" s="195">
        <f t="shared" si="992"/>
        <v>0</v>
      </c>
      <c r="BG3269" s="373">
        <f t="shared" si="993"/>
        <v>1</v>
      </c>
    </row>
    <row r="3270" spans="1:59" s="46" customFormat="1" ht="15.95" customHeight="1">
      <c r="A3270" s="176">
        <v>92</v>
      </c>
      <c r="B3270" s="31" t="s">
        <v>3565</v>
      </c>
      <c r="C3270" s="32" t="s">
        <v>3566</v>
      </c>
      <c r="D3270" s="231"/>
      <c r="E3270" s="231"/>
      <c r="F3270" s="231"/>
      <c r="G3270" s="231"/>
      <c r="H3270" s="231"/>
      <c r="I3270" s="231"/>
      <c r="J3270" s="231"/>
      <c r="K3270" s="231"/>
      <c r="L3270" s="231"/>
      <c r="M3270" s="231"/>
      <c r="N3270" s="231"/>
      <c r="O3270" s="231"/>
      <c r="P3270" s="231"/>
      <c r="Q3270" s="231"/>
      <c r="R3270" s="231"/>
      <c r="S3270" s="231"/>
      <c r="T3270" s="231"/>
      <c r="U3270" s="231"/>
      <c r="V3270" s="231"/>
      <c r="W3270" s="231"/>
      <c r="X3270" s="231"/>
      <c r="Y3270" s="231"/>
      <c r="Z3270" s="231"/>
      <c r="AA3270" s="231"/>
      <c r="AB3270" s="22">
        <f t="shared" si="988"/>
        <v>0</v>
      </c>
      <c r="AC3270" s="23">
        <v>0</v>
      </c>
      <c r="AD3270" s="35"/>
      <c r="AE3270" s="35"/>
      <c r="AF3270" s="35"/>
      <c r="AG3270" s="35"/>
      <c r="AH3270" s="35"/>
      <c r="AI3270" s="35"/>
      <c r="AJ3270" s="35"/>
      <c r="AK3270" s="35"/>
      <c r="AL3270" s="35">
        <v>1</v>
      </c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  <c r="AX3270" s="35"/>
      <c r="AY3270" s="35"/>
      <c r="AZ3270" s="35"/>
      <c r="BA3270" s="35"/>
      <c r="BB3270" s="22">
        <f t="shared" si="989"/>
        <v>1</v>
      </c>
      <c r="BC3270" s="23">
        <v>1</v>
      </c>
      <c r="BD3270" s="130">
        <f t="shared" si="990"/>
        <v>1</v>
      </c>
      <c r="BE3270" s="130">
        <f t="shared" si="991"/>
        <v>1</v>
      </c>
      <c r="BF3270" s="195">
        <f t="shared" si="992"/>
        <v>100</v>
      </c>
      <c r="BG3270" s="373">
        <f t="shared" si="993"/>
        <v>0</v>
      </c>
    </row>
    <row r="3271" spans="1:59" s="46" customFormat="1" ht="15.95" customHeight="1">
      <c r="A3271" s="176">
        <v>93</v>
      </c>
      <c r="B3271" s="31" t="s">
        <v>819</v>
      </c>
      <c r="C3271" s="32" t="s">
        <v>1591</v>
      </c>
      <c r="D3271" s="231"/>
      <c r="E3271" s="231"/>
      <c r="F3271" s="231"/>
      <c r="G3271" s="231"/>
      <c r="H3271" s="231"/>
      <c r="I3271" s="231"/>
      <c r="J3271" s="231"/>
      <c r="K3271" s="231"/>
      <c r="L3271" s="231"/>
      <c r="M3271" s="231"/>
      <c r="N3271" s="231"/>
      <c r="O3271" s="231"/>
      <c r="P3271" s="231"/>
      <c r="Q3271" s="231"/>
      <c r="R3271" s="231"/>
      <c r="S3271" s="231"/>
      <c r="T3271" s="231"/>
      <c r="U3271" s="231"/>
      <c r="V3271" s="231"/>
      <c r="W3271" s="231"/>
      <c r="X3271" s="231"/>
      <c r="Y3271" s="231"/>
      <c r="Z3271" s="231"/>
      <c r="AA3271" s="231"/>
      <c r="AB3271" s="22">
        <f t="shared" si="988"/>
        <v>0</v>
      </c>
      <c r="AC3271" s="23">
        <v>0</v>
      </c>
      <c r="AD3271" s="35">
        <v>542</v>
      </c>
      <c r="AE3271" s="35"/>
      <c r="AF3271" s="35"/>
      <c r="AG3271" s="35"/>
      <c r="AH3271" s="35">
        <f>471+34</f>
        <v>505</v>
      </c>
      <c r="AI3271" s="35"/>
      <c r="AJ3271" s="35"/>
      <c r="AK3271" s="35"/>
      <c r="AL3271" s="35">
        <f>231+237</f>
        <v>468</v>
      </c>
      <c r="AM3271" s="35"/>
      <c r="AN3271" s="35"/>
      <c r="AO3271" s="35"/>
      <c r="AP3271" s="35">
        <f>27+162</f>
        <v>189</v>
      </c>
      <c r="AQ3271" s="35"/>
      <c r="AR3271" s="35"/>
      <c r="AS3271" s="35"/>
      <c r="AT3271" s="35"/>
      <c r="AU3271" s="35"/>
      <c r="AV3271" s="35"/>
      <c r="AW3271" s="35"/>
      <c r="AX3271" s="35"/>
      <c r="AY3271" s="35"/>
      <c r="AZ3271" s="35"/>
      <c r="BA3271" s="35"/>
      <c r="BB3271" s="22">
        <f t="shared" si="989"/>
        <v>1704</v>
      </c>
      <c r="BC3271" s="23">
        <v>1571</v>
      </c>
      <c r="BD3271" s="130">
        <f t="shared" si="990"/>
        <v>1704</v>
      </c>
      <c r="BE3271" s="130">
        <f t="shared" si="991"/>
        <v>1571</v>
      </c>
      <c r="BF3271" s="195">
        <f t="shared" si="992"/>
        <v>108.46594525779759</v>
      </c>
      <c r="BG3271" s="373">
        <f t="shared" si="993"/>
        <v>-133</v>
      </c>
    </row>
    <row r="3272" spans="1:59" s="46" customFormat="1" ht="15.95" customHeight="1">
      <c r="A3272" s="176">
        <v>94</v>
      </c>
      <c r="B3272" s="31" t="s">
        <v>3829</v>
      </c>
      <c r="C3272" s="32" t="s">
        <v>3830</v>
      </c>
      <c r="D3272" s="535"/>
      <c r="E3272" s="535"/>
      <c r="F3272" s="535"/>
      <c r="G3272" s="535"/>
      <c r="H3272" s="535"/>
      <c r="I3272" s="535"/>
      <c r="J3272" s="535"/>
      <c r="K3272" s="535"/>
      <c r="L3272" s="535"/>
      <c r="M3272" s="535"/>
      <c r="N3272" s="535"/>
      <c r="O3272" s="535"/>
      <c r="P3272" s="535"/>
      <c r="Q3272" s="535"/>
      <c r="R3272" s="535"/>
      <c r="S3272" s="535"/>
      <c r="T3272" s="535"/>
      <c r="U3272" s="535"/>
      <c r="V3272" s="535"/>
      <c r="W3272" s="535"/>
      <c r="X3272" s="535"/>
      <c r="Y3272" s="535"/>
      <c r="Z3272" s="535"/>
      <c r="AA3272" s="535"/>
      <c r="AB3272" s="22">
        <f t="shared" si="988"/>
        <v>0</v>
      </c>
      <c r="AC3272" s="23">
        <v>0</v>
      </c>
      <c r="AD3272" s="35"/>
      <c r="AE3272" s="35"/>
      <c r="AF3272" s="35"/>
      <c r="AG3272" s="35"/>
      <c r="AH3272" s="35"/>
      <c r="AI3272" s="35"/>
      <c r="AJ3272" s="35"/>
      <c r="AK3272" s="35">
        <v>2</v>
      </c>
      <c r="AL3272" s="35">
        <v>1</v>
      </c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  <c r="AX3272" s="35"/>
      <c r="AY3272" s="35"/>
      <c r="AZ3272" s="35"/>
      <c r="BA3272" s="35"/>
      <c r="BB3272" s="22">
        <f t="shared" si="989"/>
        <v>3</v>
      </c>
      <c r="BC3272" s="23">
        <v>0</v>
      </c>
      <c r="BD3272" s="130">
        <f t="shared" si="990"/>
        <v>3</v>
      </c>
      <c r="BE3272" s="130">
        <f t="shared" si="991"/>
        <v>0</v>
      </c>
      <c r="BF3272" s="195" t="e">
        <f t="shared" si="992"/>
        <v>#DIV/0!</v>
      </c>
      <c r="BG3272" s="373"/>
    </row>
    <row r="3273" spans="1:59" s="46" customFormat="1" ht="15.95" customHeight="1">
      <c r="A3273" s="176">
        <v>95</v>
      </c>
      <c r="B3273" s="31" t="s">
        <v>1047</v>
      </c>
      <c r="C3273" s="32" t="s">
        <v>2742</v>
      </c>
      <c r="D3273" s="231"/>
      <c r="E3273" s="231"/>
      <c r="F3273" s="231"/>
      <c r="G3273" s="231"/>
      <c r="H3273" s="231">
        <f>5+4+1</f>
        <v>10</v>
      </c>
      <c r="I3273" s="231"/>
      <c r="J3273" s="231"/>
      <c r="K3273" s="231"/>
      <c r="L3273" s="231">
        <v>3</v>
      </c>
      <c r="M3273" s="231"/>
      <c r="N3273" s="231"/>
      <c r="O3273" s="231"/>
      <c r="P3273" s="231">
        <f>17+1</f>
        <v>18</v>
      </c>
      <c r="Q3273" s="231"/>
      <c r="R3273" s="231"/>
      <c r="S3273" s="231"/>
      <c r="T3273" s="231"/>
      <c r="U3273" s="231"/>
      <c r="V3273" s="231"/>
      <c r="W3273" s="231"/>
      <c r="X3273" s="231"/>
      <c r="Y3273" s="231"/>
      <c r="Z3273" s="231"/>
      <c r="AA3273" s="231"/>
      <c r="AB3273" s="22">
        <f t="shared" si="988"/>
        <v>31</v>
      </c>
      <c r="AC3273" s="23">
        <v>0</v>
      </c>
      <c r="AD3273" s="35"/>
      <c r="AE3273" s="35"/>
      <c r="AF3273" s="35"/>
      <c r="AG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  <c r="AX3273" s="35"/>
      <c r="AY3273" s="35"/>
      <c r="AZ3273" s="35"/>
      <c r="BA3273" s="35"/>
      <c r="BB3273" s="22">
        <f t="shared" si="989"/>
        <v>0</v>
      </c>
      <c r="BC3273" s="23">
        <v>1</v>
      </c>
      <c r="BD3273" s="130">
        <f t="shared" si="990"/>
        <v>31</v>
      </c>
      <c r="BE3273" s="130">
        <f t="shared" si="991"/>
        <v>1</v>
      </c>
      <c r="BF3273" s="195">
        <f t="shared" si="992"/>
        <v>3100</v>
      </c>
      <c r="BG3273" s="373">
        <f t="shared" ref="BG3273:BG3289" si="994">BE3273-BD3273</f>
        <v>-30</v>
      </c>
    </row>
    <row r="3274" spans="1:59" s="46" customFormat="1" ht="15.95" customHeight="1">
      <c r="A3274" s="176">
        <v>96</v>
      </c>
      <c r="B3274" s="31" t="s">
        <v>1327</v>
      </c>
      <c r="C3274" s="32" t="s">
        <v>3567</v>
      </c>
      <c r="D3274" s="231"/>
      <c r="E3274" s="231"/>
      <c r="F3274" s="231"/>
      <c r="G3274" s="231"/>
      <c r="H3274" s="231">
        <v>1</v>
      </c>
      <c r="I3274" s="231"/>
      <c r="J3274" s="231"/>
      <c r="K3274" s="231"/>
      <c r="L3274" s="231">
        <v>3</v>
      </c>
      <c r="M3274" s="231"/>
      <c r="N3274" s="231"/>
      <c r="O3274" s="231"/>
      <c r="P3274" s="231">
        <f>16+2</f>
        <v>18</v>
      </c>
      <c r="Q3274" s="231"/>
      <c r="R3274" s="231"/>
      <c r="S3274" s="231"/>
      <c r="T3274" s="231"/>
      <c r="U3274" s="231"/>
      <c r="V3274" s="231"/>
      <c r="W3274" s="231"/>
      <c r="X3274" s="231"/>
      <c r="Y3274" s="231"/>
      <c r="Z3274" s="231"/>
      <c r="AA3274" s="231"/>
      <c r="AB3274" s="22">
        <f t="shared" si="988"/>
        <v>22</v>
      </c>
      <c r="AC3274" s="23">
        <v>2</v>
      </c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22">
        <f t="shared" si="989"/>
        <v>0</v>
      </c>
      <c r="BC3274" s="23">
        <v>0</v>
      </c>
      <c r="BD3274" s="130">
        <f t="shared" si="990"/>
        <v>22</v>
      </c>
      <c r="BE3274" s="130">
        <f t="shared" si="991"/>
        <v>2</v>
      </c>
      <c r="BF3274" s="195">
        <f t="shared" si="992"/>
        <v>1100</v>
      </c>
      <c r="BG3274" s="373">
        <f t="shared" si="994"/>
        <v>-20</v>
      </c>
    </row>
    <row r="3275" spans="1:59" s="46" customFormat="1" ht="15.95" customHeight="1">
      <c r="A3275" s="176">
        <v>97</v>
      </c>
      <c r="B3275" s="31" t="s">
        <v>1375</v>
      </c>
      <c r="C3275" s="32" t="s">
        <v>3203</v>
      </c>
      <c r="D3275" s="231"/>
      <c r="E3275" s="231"/>
      <c r="F3275" s="231"/>
      <c r="G3275" s="231"/>
      <c r="H3275" s="231"/>
      <c r="I3275" s="231"/>
      <c r="J3275" s="231"/>
      <c r="K3275" s="231"/>
      <c r="L3275" s="231"/>
      <c r="M3275" s="231"/>
      <c r="N3275" s="231"/>
      <c r="O3275" s="231"/>
      <c r="P3275" s="231"/>
      <c r="Q3275" s="231"/>
      <c r="R3275" s="231"/>
      <c r="S3275" s="231"/>
      <c r="T3275" s="231"/>
      <c r="U3275" s="231"/>
      <c r="V3275" s="231"/>
      <c r="W3275" s="231"/>
      <c r="X3275" s="231"/>
      <c r="Y3275" s="231"/>
      <c r="Z3275" s="231"/>
      <c r="AA3275" s="231"/>
      <c r="AB3275" s="22">
        <f t="shared" si="988"/>
        <v>0</v>
      </c>
      <c r="AC3275" s="23">
        <v>1</v>
      </c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22">
        <f t="shared" si="989"/>
        <v>0</v>
      </c>
      <c r="BC3275" s="23">
        <v>0</v>
      </c>
      <c r="BD3275" s="130">
        <f t="shared" si="990"/>
        <v>0</v>
      </c>
      <c r="BE3275" s="130">
        <f t="shared" si="991"/>
        <v>1</v>
      </c>
      <c r="BF3275" s="195">
        <f t="shared" si="992"/>
        <v>0</v>
      </c>
      <c r="BG3275" s="373">
        <f t="shared" si="994"/>
        <v>1</v>
      </c>
    </row>
    <row r="3276" spans="1:59" s="46" customFormat="1" ht="15.95" customHeight="1">
      <c r="A3276" s="176">
        <v>98</v>
      </c>
      <c r="B3276" s="31" t="s">
        <v>1592</v>
      </c>
      <c r="C3276" s="32" t="s">
        <v>1593</v>
      </c>
      <c r="D3276" s="231">
        <v>6</v>
      </c>
      <c r="E3276" s="231"/>
      <c r="F3276" s="231"/>
      <c r="G3276" s="231"/>
      <c r="H3276" s="231">
        <v>9</v>
      </c>
      <c r="I3276" s="231"/>
      <c r="J3276" s="231"/>
      <c r="K3276" s="231"/>
      <c r="L3276" s="231">
        <v>14</v>
      </c>
      <c r="M3276" s="231"/>
      <c r="N3276" s="231"/>
      <c r="O3276" s="231"/>
      <c r="P3276" s="231">
        <v>7</v>
      </c>
      <c r="Q3276" s="231"/>
      <c r="R3276" s="231"/>
      <c r="S3276" s="231"/>
      <c r="T3276" s="231"/>
      <c r="U3276" s="231"/>
      <c r="V3276" s="231"/>
      <c r="W3276" s="231"/>
      <c r="X3276" s="231"/>
      <c r="Y3276" s="231"/>
      <c r="Z3276" s="231"/>
      <c r="AA3276" s="231"/>
      <c r="AB3276" s="22">
        <f t="shared" si="988"/>
        <v>36</v>
      </c>
      <c r="AC3276" s="23">
        <v>1</v>
      </c>
      <c r="AD3276" s="35"/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  <c r="AX3276" s="35"/>
      <c r="AY3276" s="35"/>
      <c r="AZ3276" s="35"/>
      <c r="BA3276" s="35"/>
      <c r="BB3276" s="22">
        <f t="shared" si="989"/>
        <v>0</v>
      </c>
      <c r="BC3276" s="23">
        <v>0</v>
      </c>
      <c r="BD3276" s="130">
        <f t="shared" si="990"/>
        <v>36</v>
      </c>
      <c r="BE3276" s="130">
        <f t="shared" si="991"/>
        <v>1</v>
      </c>
      <c r="BF3276" s="195">
        <f t="shared" si="992"/>
        <v>3600</v>
      </c>
      <c r="BG3276" s="373">
        <f t="shared" si="994"/>
        <v>-35</v>
      </c>
    </row>
    <row r="3277" spans="1:59" s="46" customFormat="1" ht="15.95" customHeight="1">
      <c r="A3277" s="176">
        <v>99</v>
      </c>
      <c r="B3277" s="31" t="s">
        <v>1008</v>
      </c>
      <c r="C3277" s="32" t="s">
        <v>1009</v>
      </c>
      <c r="D3277" s="231"/>
      <c r="E3277" s="231"/>
      <c r="F3277" s="231"/>
      <c r="G3277" s="231"/>
      <c r="H3277" s="231"/>
      <c r="I3277" s="231"/>
      <c r="J3277" s="231"/>
      <c r="K3277" s="231"/>
      <c r="L3277" s="231"/>
      <c r="M3277" s="231"/>
      <c r="N3277" s="231"/>
      <c r="O3277" s="231"/>
      <c r="P3277" s="231">
        <v>2</v>
      </c>
      <c r="Q3277" s="231"/>
      <c r="R3277" s="231"/>
      <c r="S3277" s="231"/>
      <c r="T3277" s="231"/>
      <c r="U3277" s="231"/>
      <c r="V3277" s="231"/>
      <c r="W3277" s="231"/>
      <c r="X3277" s="231"/>
      <c r="Y3277" s="231"/>
      <c r="Z3277" s="231"/>
      <c r="AA3277" s="231"/>
      <c r="AB3277" s="22">
        <f t="shared" si="988"/>
        <v>2</v>
      </c>
      <c r="AC3277" s="23">
        <v>0</v>
      </c>
      <c r="AD3277" s="35"/>
      <c r="AE3277" s="35"/>
      <c r="AF3277" s="35"/>
      <c r="AG3277" s="35"/>
      <c r="AH3277" s="35">
        <v>1</v>
      </c>
      <c r="AI3277" s="35"/>
      <c r="AJ3277" s="35"/>
      <c r="AK3277" s="35"/>
      <c r="AL3277" s="35">
        <v>26</v>
      </c>
      <c r="AM3277" s="35"/>
      <c r="AN3277" s="35"/>
      <c r="AO3277" s="35"/>
      <c r="AP3277" s="35">
        <v>16</v>
      </c>
      <c r="AQ3277" s="35"/>
      <c r="AR3277" s="35"/>
      <c r="AS3277" s="35"/>
      <c r="AT3277" s="35"/>
      <c r="AU3277" s="35"/>
      <c r="AV3277" s="35"/>
      <c r="AW3277" s="35"/>
      <c r="AX3277" s="35"/>
      <c r="AY3277" s="35"/>
      <c r="AZ3277" s="35"/>
      <c r="BA3277" s="35"/>
      <c r="BB3277" s="22">
        <f t="shared" si="989"/>
        <v>43</v>
      </c>
      <c r="BC3277" s="23">
        <v>172</v>
      </c>
      <c r="BD3277" s="130">
        <f t="shared" si="990"/>
        <v>45</v>
      </c>
      <c r="BE3277" s="130">
        <f t="shared" si="991"/>
        <v>172</v>
      </c>
      <c r="BF3277" s="195">
        <f t="shared" si="992"/>
        <v>26.162790697674421</v>
      </c>
      <c r="BG3277" s="373">
        <f t="shared" si="994"/>
        <v>127</v>
      </c>
    </row>
    <row r="3278" spans="1:59" s="46" customFormat="1" ht="15.95" customHeight="1">
      <c r="A3278" s="176">
        <v>100</v>
      </c>
      <c r="B3278" s="31" t="s">
        <v>3249</v>
      </c>
      <c r="C3278" s="32" t="s">
        <v>3250</v>
      </c>
      <c r="D3278" s="231"/>
      <c r="E3278" s="231"/>
      <c r="F3278" s="231"/>
      <c r="G3278" s="231"/>
      <c r="H3278" s="231"/>
      <c r="I3278" s="231"/>
      <c r="J3278" s="231"/>
      <c r="K3278" s="231"/>
      <c r="L3278" s="231"/>
      <c r="M3278" s="231"/>
      <c r="N3278" s="231"/>
      <c r="O3278" s="231"/>
      <c r="P3278" s="231"/>
      <c r="Q3278" s="231"/>
      <c r="R3278" s="231"/>
      <c r="S3278" s="231"/>
      <c r="T3278" s="231"/>
      <c r="U3278" s="231"/>
      <c r="V3278" s="231"/>
      <c r="W3278" s="231"/>
      <c r="X3278" s="231"/>
      <c r="Y3278" s="231"/>
      <c r="Z3278" s="231"/>
      <c r="AA3278" s="231"/>
      <c r="AB3278" s="22">
        <f t="shared" si="988"/>
        <v>0</v>
      </c>
      <c r="AC3278" s="23">
        <v>0</v>
      </c>
      <c r="AD3278" s="35"/>
      <c r="AE3278" s="35"/>
      <c r="AF3278" s="35"/>
      <c r="AG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  <c r="AX3278" s="35"/>
      <c r="AY3278" s="35"/>
      <c r="AZ3278" s="35"/>
      <c r="BA3278" s="35"/>
      <c r="BB3278" s="22">
        <f t="shared" si="989"/>
        <v>0</v>
      </c>
      <c r="BC3278" s="23">
        <v>1</v>
      </c>
      <c r="BD3278" s="130">
        <f t="shared" si="990"/>
        <v>0</v>
      </c>
      <c r="BE3278" s="130">
        <f t="shared" si="991"/>
        <v>1</v>
      </c>
      <c r="BF3278" s="195">
        <f t="shared" si="992"/>
        <v>0</v>
      </c>
      <c r="BG3278" s="373">
        <f t="shared" si="994"/>
        <v>1</v>
      </c>
    </row>
    <row r="3279" spans="1:59" s="46" customFormat="1" ht="15.95" customHeight="1">
      <c r="A3279" s="176">
        <v>101</v>
      </c>
      <c r="B3279" s="31" t="s">
        <v>821</v>
      </c>
      <c r="C3279" s="32" t="s">
        <v>1594</v>
      </c>
      <c r="D3279" s="231"/>
      <c r="E3279" s="231"/>
      <c r="F3279" s="231"/>
      <c r="G3279" s="231"/>
      <c r="H3279" s="231"/>
      <c r="I3279" s="231"/>
      <c r="J3279" s="231"/>
      <c r="K3279" s="231"/>
      <c r="L3279" s="231"/>
      <c r="M3279" s="231"/>
      <c r="N3279" s="231"/>
      <c r="O3279" s="231"/>
      <c r="P3279" s="231"/>
      <c r="Q3279" s="231"/>
      <c r="R3279" s="231"/>
      <c r="S3279" s="231"/>
      <c r="T3279" s="231"/>
      <c r="U3279" s="231"/>
      <c r="V3279" s="231"/>
      <c r="W3279" s="231"/>
      <c r="X3279" s="231"/>
      <c r="Y3279" s="231"/>
      <c r="Z3279" s="231"/>
      <c r="AA3279" s="231"/>
      <c r="AB3279" s="22">
        <f t="shared" si="988"/>
        <v>0</v>
      </c>
      <c r="AC3279" s="23">
        <v>0</v>
      </c>
      <c r="AD3279" s="35"/>
      <c r="AE3279" s="35"/>
      <c r="AF3279" s="35"/>
      <c r="AG3279" s="35"/>
      <c r="AH3279" s="35">
        <v>1</v>
      </c>
      <c r="AI3279" s="35"/>
      <c r="AJ3279" s="35"/>
      <c r="AK3279" s="35"/>
      <c r="AL3279" s="35">
        <v>14</v>
      </c>
      <c r="AM3279" s="35"/>
      <c r="AN3279" s="35"/>
      <c r="AO3279" s="35"/>
      <c r="AP3279" s="35">
        <v>21</v>
      </c>
      <c r="AQ3279" s="35"/>
      <c r="AR3279" s="35"/>
      <c r="AS3279" s="35"/>
      <c r="AT3279" s="35"/>
      <c r="AU3279" s="35"/>
      <c r="AV3279" s="35"/>
      <c r="AW3279" s="35"/>
      <c r="AX3279" s="35"/>
      <c r="AY3279" s="35"/>
      <c r="AZ3279" s="35"/>
      <c r="BA3279" s="35"/>
      <c r="BB3279" s="22">
        <f t="shared" si="989"/>
        <v>36</v>
      </c>
      <c r="BC3279" s="23">
        <v>25</v>
      </c>
      <c r="BD3279" s="130">
        <f t="shared" si="990"/>
        <v>36</v>
      </c>
      <c r="BE3279" s="130">
        <f t="shared" si="991"/>
        <v>25</v>
      </c>
      <c r="BF3279" s="195">
        <f t="shared" si="992"/>
        <v>144</v>
      </c>
      <c r="BG3279" s="373">
        <f t="shared" si="994"/>
        <v>-11</v>
      </c>
    </row>
    <row r="3280" spans="1:59" s="46" customFormat="1" ht="15.95" customHeight="1">
      <c r="A3280" s="176">
        <v>102</v>
      </c>
      <c r="B3280" s="31" t="s">
        <v>1377</v>
      </c>
      <c r="C3280" s="32" t="s">
        <v>2285</v>
      </c>
      <c r="D3280" s="231"/>
      <c r="E3280" s="231"/>
      <c r="F3280" s="231"/>
      <c r="G3280" s="231"/>
      <c r="H3280" s="231"/>
      <c r="I3280" s="231"/>
      <c r="J3280" s="231"/>
      <c r="K3280" s="231"/>
      <c r="L3280" s="231"/>
      <c r="M3280" s="231"/>
      <c r="N3280" s="231"/>
      <c r="O3280" s="231"/>
      <c r="P3280" s="231"/>
      <c r="Q3280" s="231"/>
      <c r="R3280" s="231"/>
      <c r="S3280" s="231"/>
      <c r="T3280" s="231"/>
      <c r="U3280" s="231"/>
      <c r="V3280" s="231"/>
      <c r="W3280" s="231"/>
      <c r="X3280" s="231"/>
      <c r="Y3280" s="231"/>
      <c r="Z3280" s="231"/>
      <c r="AA3280" s="231"/>
      <c r="AB3280" s="22">
        <f t="shared" si="988"/>
        <v>0</v>
      </c>
      <c r="AC3280" s="23">
        <v>0</v>
      </c>
      <c r="AD3280" s="35"/>
      <c r="AE3280" s="35"/>
      <c r="AF3280" s="35"/>
      <c r="AG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  <c r="AX3280" s="35"/>
      <c r="AY3280" s="35"/>
      <c r="AZ3280" s="35"/>
      <c r="BA3280" s="35"/>
      <c r="BB3280" s="22">
        <f t="shared" si="989"/>
        <v>0</v>
      </c>
      <c r="BC3280" s="23">
        <v>2</v>
      </c>
      <c r="BD3280" s="130">
        <f t="shared" si="990"/>
        <v>0</v>
      </c>
      <c r="BE3280" s="130">
        <f t="shared" si="991"/>
        <v>2</v>
      </c>
      <c r="BF3280" s="195">
        <f t="shared" si="992"/>
        <v>0</v>
      </c>
      <c r="BG3280" s="373">
        <f t="shared" si="994"/>
        <v>2</v>
      </c>
    </row>
    <row r="3281" spans="1:59" s="46" customFormat="1" ht="15.95" customHeight="1">
      <c r="A3281" s="176">
        <v>103</v>
      </c>
      <c r="B3281" s="31" t="s">
        <v>823</v>
      </c>
      <c r="C3281" s="34" t="s">
        <v>824</v>
      </c>
      <c r="D3281" s="231"/>
      <c r="E3281" s="231"/>
      <c r="F3281" s="231"/>
      <c r="G3281" s="231"/>
      <c r="H3281" s="231"/>
      <c r="I3281" s="231"/>
      <c r="J3281" s="231"/>
      <c r="K3281" s="231"/>
      <c r="L3281" s="231"/>
      <c r="M3281" s="231"/>
      <c r="N3281" s="231"/>
      <c r="O3281" s="231"/>
      <c r="P3281" s="231"/>
      <c r="Q3281" s="231"/>
      <c r="R3281" s="231"/>
      <c r="S3281" s="231"/>
      <c r="T3281" s="231"/>
      <c r="U3281" s="231"/>
      <c r="V3281" s="231"/>
      <c r="W3281" s="231"/>
      <c r="X3281" s="231"/>
      <c r="Y3281" s="231"/>
      <c r="Z3281" s="231"/>
      <c r="AA3281" s="231"/>
      <c r="AB3281" s="22">
        <f t="shared" si="988"/>
        <v>0</v>
      </c>
      <c r="AC3281" s="23">
        <v>0</v>
      </c>
      <c r="AD3281" s="35"/>
      <c r="AE3281" s="35"/>
      <c r="AF3281" s="35"/>
      <c r="AG3281" s="35"/>
      <c r="AH3281" s="35">
        <v>3</v>
      </c>
      <c r="AI3281" s="35"/>
      <c r="AJ3281" s="35"/>
      <c r="AK3281" s="35"/>
      <c r="AL3281" s="35">
        <v>24</v>
      </c>
      <c r="AM3281" s="35"/>
      <c r="AN3281" s="35"/>
      <c r="AO3281" s="35"/>
      <c r="AP3281" s="35">
        <v>1</v>
      </c>
      <c r="AQ3281" s="35"/>
      <c r="AR3281" s="35"/>
      <c r="AS3281" s="35"/>
      <c r="AT3281" s="35"/>
      <c r="AU3281" s="35"/>
      <c r="AV3281" s="35"/>
      <c r="AW3281" s="35"/>
      <c r="AX3281" s="35"/>
      <c r="AY3281" s="35"/>
      <c r="AZ3281" s="35"/>
      <c r="BA3281" s="35"/>
      <c r="BB3281" s="22">
        <f t="shared" si="989"/>
        <v>28</v>
      </c>
      <c r="BC3281" s="23">
        <v>18</v>
      </c>
      <c r="BD3281" s="130">
        <f t="shared" si="990"/>
        <v>28</v>
      </c>
      <c r="BE3281" s="130">
        <f t="shared" si="991"/>
        <v>18</v>
      </c>
      <c r="BF3281" s="195">
        <f t="shared" si="992"/>
        <v>155.55555555555557</v>
      </c>
      <c r="BG3281" s="373">
        <f t="shared" si="994"/>
        <v>-10</v>
      </c>
    </row>
    <row r="3282" spans="1:59" s="46" customFormat="1" ht="15.95" customHeight="1">
      <c r="A3282" s="176">
        <v>104</v>
      </c>
      <c r="B3282" s="31" t="s">
        <v>825</v>
      </c>
      <c r="C3282" s="32" t="s">
        <v>907</v>
      </c>
      <c r="D3282" s="231"/>
      <c r="E3282" s="231"/>
      <c r="F3282" s="231"/>
      <c r="G3282" s="231"/>
      <c r="H3282" s="231"/>
      <c r="I3282" s="231"/>
      <c r="J3282" s="231"/>
      <c r="K3282" s="231"/>
      <c r="L3282" s="231"/>
      <c r="M3282" s="231"/>
      <c r="N3282" s="231"/>
      <c r="O3282" s="231"/>
      <c r="P3282" s="231"/>
      <c r="Q3282" s="231"/>
      <c r="R3282" s="231"/>
      <c r="S3282" s="231"/>
      <c r="T3282" s="231"/>
      <c r="U3282" s="231"/>
      <c r="V3282" s="231"/>
      <c r="W3282" s="231"/>
      <c r="X3282" s="231"/>
      <c r="Y3282" s="231"/>
      <c r="Z3282" s="231"/>
      <c r="AA3282" s="231"/>
      <c r="AB3282" s="22">
        <f t="shared" si="988"/>
        <v>0</v>
      </c>
      <c r="AC3282" s="23">
        <v>0</v>
      </c>
      <c r="AD3282" s="35">
        <v>58</v>
      </c>
      <c r="AE3282" s="35"/>
      <c r="AF3282" s="35"/>
      <c r="AG3282" s="35"/>
      <c r="AH3282" s="35">
        <f>6+2</f>
        <v>8</v>
      </c>
      <c r="AI3282" s="35"/>
      <c r="AJ3282" s="35"/>
      <c r="AK3282" s="35"/>
      <c r="AL3282" s="35">
        <f>11+21</f>
        <v>32</v>
      </c>
      <c r="AM3282" s="35"/>
      <c r="AN3282" s="35"/>
      <c r="AO3282" s="35"/>
      <c r="AP3282" s="35">
        <v>21</v>
      </c>
      <c r="AQ3282" s="35"/>
      <c r="AR3282" s="35"/>
      <c r="AS3282" s="35"/>
      <c r="AT3282" s="35"/>
      <c r="AU3282" s="35"/>
      <c r="AV3282" s="35"/>
      <c r="AW3282" s="35"/>
      <c r="AX3282" s="35"/>
      <c r="AY3282" s="35"/>
      <c r="AZ3282" s="35"/>
      <c r="BA3282" s="35"/>
      <c r="BB3282" s="22">
        <f t="shared" si="989"/>
        <v>119</v>
      </c>
      <c r="BC3282" s="23">
        <v>131</v>
      </c>
      <c r="BD3282" s="130">
        <f t="shared" si="990"/>
        <v>119</v>
      </c>
      <c r="BE3282" s="130">
        <f t="shared" si="991"/>
        <v>131</v>
      </c>
      <c r="BF3282" s="195">
        <f t="shared" si="992"/>
        <v>90.839694656488547</v>
      </c>
      <c r="BG3282" s="373">
        <f t="shared" si="994"/>
        <v>12</v>
      </c>
    </row>
    <row r="3283" spans="1:59" s="46" customFormat="1" ht="15.95" customHeight="1">
      <c r="A3283" s="176">
        <v>105</v>
      </c>
      <c r="B3283" s="31" t="s">
        <v>1451</v>
      </c>
      <c r="C3283" s="32" t="s">
        <v>1452</v>
      </c>
      <c r="D3283" s="231"/>
      <c r="E3283" s="231"/>
      <c r="F3283" s="231"/>
      <c r="G3283" s="231"/>
      <c r="H3283" s="231"/>
      <c r="I3283" s="231"/>
      <c r="J3283" s="231"/>
      <c r="K3283" s="231"/>
      <c r="L3283" s="231"/>
      <c r="M3283" s="231"/>
      <c r="N3283" s="231"/>
      <c r="O3283" s="231"/>
      <c r="P3283" s="231"/>
      <c r="Q3283" s="231"/>
      <c r="R3283" s="231"/>
      <c r="S3283" s="231"/>
      <c r="T3283" s="231"/>
      <c r="U3283" s="231"/>
      <c r="V3283" s="231"/>
      <c r="W3283" s="231"/>
      <c r="X3283" s="231"/>
      <c r="Y3283" s="231"/>
      <c r="Z3283" s="231"/>
      <c r="AA3283" s="231"/>
      <c r="AB3283" s="22">
        <f t="shared" si="988"/>
        <v>0</v>
      </c>
      <c r="AC3283" s="23">
        <v>0</v>
      </c>
      <c r="AD3283" s="35">
        <v>4</v>
      </c>
      <c r="AE3283" s="35"/>
      <c r="AF3283" s="35"/>
      <c r="AG3283" s="35"/>
      <c r="AH3283" s="35">
        <f>5+39</f>
        <v>44</v>
      </c>
      <c r="AI3283" s="35"/>
      <c r="AJ3283" s="35"/>
      <c r="AK3283" s="35"/>
      <c r="AL3283" s="35">
        <f>4+93</f>
        <v>97</v>
      </c>
      <c r="AM3283" s="35"/>
      <c r="AN3283" s="35"/>
      <c r="AO3283" s="35"/>
      <c r="AP3283" s="35">
        <v>119</v>
      </c>
      <c r="AQ3283" s="35"/>
      <c r="AR3283" s="35"/>
      <c r="AS3283" s="35"/>
      <c r="AT3283" s="35"/>
      <c r="AU3283" s="35"/>
      <c r="AV3283" s="35"/>
      <c r="AW3283" s="35"/>
      <c r="AX3283" s="35"/>
      <c r="AY3283" s="35"/>
      <c r="AZ3283" s="35"/>
      <c r="BA3283" s="35"/>
      <c r="BB3283" s="22">
        <f t="shared" si="989"/>
        <v>264</v>
      </c>
      <c r="BC3283" s="23">
        <v>515</v>
      </c>
      <c r="BD3283" s="130">
        <f t="shared" si="990"/>
        <v>264</v>
      </c>
      <c r="BE3283" s="130">
        <f t="shared" si="991"/>
        <v>515</v>
      </c>
      <c r="BF3283" s="195">
        <f t="shared" si="992"/>
        <v>51.262135922330096</v>
      </c>
      <c r="BG3283" s="373">
        <f t="shared" si="994"/>
        <v>251</v>
      </c>
    </row>
    <row r="3284" spans="1:59" s="46" customFormat="1" ht="15.95" customHeight="1">
      <c r="A3284" s="176">
        <v>106</v>
      </c>
      <c r="B3284" s="31" t="s">
        <v>827</v>
      </c>
      <c r="C3284" s="32" t="s">
        <v>1453</v>
      </c>
      <c r="D3284" s="231"/>
      <c r="E3284" s="231"/>
      <c r="F3284" s="231"/>
      <c r="G3284" s="231"/>
      <c r="H3284" s="231"/>
      <c r="I3284" s="231"/>
      <c r="J3284" s="231"/>
      <c r="K3284" s="231"/>
      <c r="L3284" s="231"/>
      <c r="M3284" s="231"/>
      <c r="N3284" s="231"/>
      <c r="O3284" s="231"/>
      <c r="P3284" s="231"/>
      <c r="Q3284" s="231"/>
      <c r="R3284" s="231"/>
      <c r="S3284" s="231"/>
      <c r="T3284" s="231"/>
      <c r="U3284" s="231"/>
      <c r="V3284" s="231"/>
      <c r="W3284" s="231"/>
      <c r="X3284" s="231"/>
      <c r="Y3284" s="231"/>
      <c r="Z3284" s="231"/>
      <c r="AA3284" s="231"/>
      <c r="AB3284" s="22">
        <f t="shared" si="988"/>
        <v>0</v>
      </c>
      <c r="AC3284" s="23">
        <v>0</v>
      </c>
      <c r="AD3284" s="35"/>
      <c r="AE3284" s="35"/>
      <c r="AF3284" s="35"/>
      <c r="AG3284" s="35"/>
      <c r="AH3284" s="35">
        <v>2</v>
      </c>
      <c r="AI3284" s="35"/>
      <c r="AJ3284" s="35"/>
      <c r="AK3284" s="35"/>
      <c r="AL3284" s="35"/>
      <c r="AM3284" s="35"/>
      <c r="AN3284" s="35"/>
      <c r="AO3284" s="35"/>
      <c r="AP3284" s="35">
        <v>1</v>
      </c>
      <c r="AQ3284" s="35"/>
      <c r="AR3284" s="35"/>
      <c r="AS3284" s="35"/>
      <c r="AT3284" s="35"/>
      <c r="AU3284" s="35"/>
      <c r="AV3284" s="35"/>
      <c r="AW3284" s="35"/>
      <c r="AX3284" s="35"/>
      <c r="AY3284" s="35"/>
      <c r="AZ3284" s="35"/>
      <c r="BA3284" s="35"/>
      <c r="BB3284" s="22">
        <f t="shared" si="989"/>
        <v>3</v>
      </c>
      <c r="BC3284" s="23">
        <v>1</v>
      </c>
      <c r="BD3284" s="130">
        <f t="shared" si="990"/>
        <v>3</v>
      </c>
      <c r="BE3284" s="130">
        <f t="shared" si="991"/>
        <v>1</v>
      </c>
      <c r="BF3284" s="195">
        <f t="shared" si="992"/>
        <v>300</v>
      </c>
      <c r="BG3284" s="373">
        <f t="shared" si="994"/>
        <v>-2</v>
      </c>
    </row>
    <row r="3285" spans="1:59" s="46" customFormat="1" ht="15.95" customHeight="1">
      <c r="A3285" s="176">
        <v>107</v>
      </c>
      <c r="B3285" s="31" t="s">
        <v>829</v>
      </c>
      <c r="C3285" s="32" t="s">
        <v>830</v>
      </c>
      <c r="D3285" s="231"/>
      <c r="E3285" s="231"/>
      <c r="F3285" s="231"/>
      <c r="G3285" s="231"/>
      <c r="H3285" s="231"/>
      <c r="I3285" s="231"/>
      <c r="J3285" s="231"/>
      <c r="K3285" s="231"/>
      <c r="L3285" s="231"/>
      <c r="M3285" s="231"/>
      <c r="N3285" s="231"/>
      <c r="O3285" s="231"/>
      <c r="P3285" s="231"/>
      <c r="Q3285" s="231"/>
      <c r="R3285" s="231"/>
      <c r="S3285" s="231"/>
      <c r="T3285" s="231"/>
      <c r="U3285" s="231"/>
      <c r="V3285" s="231"/>
      <c r="W3285" s="231"/>
      <c r="X3285" s="231"/>
      <c r="Y3285" s="231"/>
      <c r="Z3285" s="231"/>
      <c r="AA3285" s="231"/>
      <c r="AB3285" s="22">
        <f t="shared" si="988"/>
        <v>0</v>
      </c>
      <c r="AC3285" s="23">
        <v>0</v>
      </c>
      <c r="AD3285" s="35"/>
      <c r="AE3285" s="35"/>
      <c r="AF3285" s="35"/>
      <c r="AG3285" s="35"/>
      <c r="AH3285" s="35"/>
      <c r="AI3285" s="35"/>
      <c r="AJ3285" s="35"/>
      <c r="AK3285" s="35"/>
      <c r="AL3285" s="35"/>
      <c r="AM3285" s="35"/>
      <c r="AN3285" s="35"/>
      <c r="AO3285" s="35"/>
      <c r="AP3285" s="35">
        <v>1</v>
      </c>
      <c r="AQ3285" s="35"/>
      <c r="AR3285" s="35"/>
      <c r="AS3285" s="35"/>
      <c r="AT3285" s="35"/>
      <c r="AU3285" s="35"/>
      <c r="AV3285" s="35"/>
      <c r="AW3285" s="35"/>
      <c r="AX3285" s="35"/>
      <c r="AY3285" s="35"/>
      <c r="AZ3285" s="35"/>
      <c r="BA3285" s="35"/>
      <c r="BB3285" s="22">
        <f t="shared" si="989"/>
        <v>1</v>
      </c>
      <c r="BC3285" s="23">
        <v>1</v>
      </c>
      <c r="BD3285" s="130">
        <f t="shared" si="990"/>
        <v>1</v>
      </c>
      <c r="BE3285" s="130">
        <f t="shared" si="991"/>
        <v>1</v>
      </c>
      <c r="BF3285" s="195">
        <f t="shared" si="992"/>
        <v>100</v>
      </c>
      <c r="BG3285" s="373">
        <f t="shared" si="994"/>
        <v>0</v>
      </c>
    </row>
    <row r="3286" spans="1:59" s="46" customFormat="1" ht="15.95" customHeight="1">
      <c r="A3286" s="176">
        <v>108</v>
      </c>
      <c r="B3286" s="31" t="s">
        <v>835</v>
      </c>
      <c r="C3286" s="32" t="s">
        <v>947</v>
      </c>
      <c r="D3286" s="231"/>
      <c r="E3286" s="231"/>
      <c r="F3286" s="231"/>
      <c r="G3286" s="231"/>
      <c r="H3286" s="231"/>
      <c r="I3286" s="231"/>
      <c r="J3286" s="231"/>
      <c r="K3286" s="231"/>
      <c r="L3286" s="231"/>
      <c r="M3286" s="231"/>
      <c r="N3286" s="231"/>
      <c r="O3286" s="231"/>
      <c r="P3286" s="231"/>
      <c r="Q3286" s="231"/>
      <c r="R3286" s="231"/>
      <c r="S3286" s="231"/>
      <c r="T3286" s="231"/>
      <c r="U3286" s="231"/>
      <c r="V3286" s="231"/>
      <c r="W3286" s="231"/>
      <c r="X3286" s="231"/>
      <c r="Y3286" s="231"/>
      <c r="Z3286" s="231"/>
      <c r="AA3286" s="231"/>
      <c r="AB3286" s="22">
        <f t="shared" si="988"/>
        <v>0</v>
      </c>
      <c r="AC3286" s="23">
        <v>0</v>
      </c>
      <c r="AD3286" s="35">
        <v>1</v>
      </c>
      <c r="AE3286" s="35"/>
      <c r="AF3286" s="35"/>
      <c r="AG3286" s="35"/>
      <c r="AH3286" s="35">
        <v>2</v>
      </c>
      <c r="AI3286" s="35"/>
      <c r="AJ3286" s="35"/>
      <c r="AK3286" s="35"/>
      <c r="AL3286" s="35">
        <v>17</v>
      </c>
      <c r="AM3286" s="35"/>
      <c r="AN3286" s="35"/>
      <c r="AO3286" s="35"/>
      <c r="AP3286" s="35">
        <v>4</v>
      </c>
      <c r="AQ3286" s="35"/>
      <c r="AR3286" s="35"/>
      <c r="AS3286" s="35"/>
      <c r="AT3286" s="35"/>
      <c r="AU3286" s="35"/>
      <c r="AV3286" s="35"/>
      <c r="AW3286" s="35"/>
      <c r="AX3286" s="35"/>
      <c r="AY3286" s="35"/>
      <c r="AZ3286" s="35"/>
      <c r="BA3286" s="35"/>
      <c r="BB3286" s="22">
        <f t="shared" si="989"/>
        <v>24</v>
      </c>
      <c r="BC3286" s="23">
        <v>77</v>
      </c>
      <c r="BD3286" s="130">
        <f t="shared" si="990"/>
        <v>24</v>
      </c>
      <c r="BE3286" s="130">
        <f t="shared" si="991"/>
        <v>77</v>
      </c>
      <c r="BF3286" s="195">
        <f t="shared" si="992"/>
        <v>31.168831168831169</v>
      </c>
      <c r="BG3286" s="373">
        <f t="shared" si="994"/>
        <v>53</v>
      </c>
    </row>
    <row r="3287" spans="1:59" s="46" customFormat="1" ht="15.95" customHeight="1">
      <c r="A3287" s="176">
        <v>109</v>
      </c>
      <c r="B3287" s="31" t="s">
        <v>1013</v>
      </c>
      <c r="C3287" s="32" t="s">
        <v>1632</v>
      </c>
      <c r="D3287" s="366"/>
      <c r="E3287" s="366"/>
      <c r="F3287" s="366"/>
      <c r="G3287" s="366"/>
      <c r="H3287" s="366"/>
      <c r="I3287" s="366"/>
      <c r="J3287" s="366"/>
      <c r="K3287" s="366"/>
      <c r="L3287" s="366"/>
      <c r="M3287" s="366"/>
      <c r="N3287" s="366"/>
      <c r="O3287" s="366"/>
      <c r="P3287" s="366"/>
      <c r="Q3287" s="366"/>
      <c r="R3287" s="366"/>
      <c r="S3287" s="366"/>
      <c r="T3287" s="366"/>
      <c r="U3287" s="366"/>
      <c r="V3287" s="366"/>
      <c r="W3287" s="366"/>
      <c r="X3287" s="366"/>
      <c r="Y3287" s="366"/>
      <c r="Z3287" s="366"/>
      <c r="AA3287" s="366"/>
      <c r="AB3287" s="22">
        <f t="shared" si="988"/>
        <v>0</v>
      </c>
      <c r="AC3287" s="23">
        <v>0</v>
      </c>
      <c r="AD3287" s="35"/>
      <c r="AE3287" s="35"/>
      <c r="AF3287" s="35"/>
      <c r="AG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  <c r="AX3287" s="35"/>
      <c r="AY3287" s="35"/>
      <c r="AZ3287" s="35"/>
      <c r="BA3287" s="35"/>
      <c r="BB3287" s="22">
        <f t="shared" si="989"/>
        <v>0</v>
      </c>
      <c r="BC3287" s="23">
        <v>30</v>
      </c>
      <c r="BD3287" s="130">
        <f t="shared" si="990"/>
        <v>0</v>
      </c>
      <c r="BE3287" s="130">
        <f t="shared" si="991"/>
        <v>30</v>
      </c>
      <c r="BF3287" s="195">
        <f t="shared" si="992"/>
        <v>0</v>
      </c>
      <c r="BG3287" s="373">
        <f t="shared" si="994"/>
        <v>30</v>
      </c>
    </row>
    <row r="3288" spans="1:59" s="46" customFormat="1" ht="15.95" customHeight="1">
      <c r="A3288" s="176">
        <v>110</v>
      </c>
      <c r="B3288" s="31" t="s">
        <v>837</v>
      </c>
      <c r="C3288" s="32" t="s">
        <v>1595</v>
      </c>
      <c r="D3288" s="366"/>
      <c r="E3288" s="366"/>
      <c r="F3288" s="366"/>
      <c r="G3288" s="366"/>
      <c r="H3288" s="366"/>
      <c r="I3288" s="366"/>
      <c r="J3288" s="366"/>
      <c r="K3288" s="366"/>
      <c r="L3288" s="366"/>
      <c r="M3288" s="366"/>
      <c r="N3288" s="366"/>
      <c r="O3288" s="366"/>
      <c r="P3288" s="366"/>
      <c r="Q3288" s="366"/>
      <c r="R3288" s="366"/>
      <c r="S3288" s="366"/>
      <c r="T3288" s="366"/>
      <c r="U3288" s="366"/>
      <c r="V3288" s="366"/>
      <c r="W3288" s="366"/>
      <c r="X3288" s="366"/>
      <c r="Y3288" s="366"/>
      <c r="Z3288" s="366"/>
      <c r="AA3288" s="366"/>
      <c r="AB3288" s="22">
        <f t="shared" si="988"/>
        <v>0</v>
      </c>
      <c r="AC3288" s="23">
        <v>0</v>
      </c>
      <c r="AD3288" s="35">
        <v>5</v>
      </c>
      <c r="AE3288" s="35"/>
      <c r="AF3288" s="35"/>
      <c r="AG3288" s="35"/>
      <c r="AH3288" s="35">
        <v>2</v>
      </c>
      <c r="AI3288" s="35"/>
      <c r="AJ3288" s="35"/>
      <c r="AK3288" s="35"/>
      <c r="AL3288" s="35">
        <f>3+1</f>
        <v>4</v>
      </c>
      <c r="AM3288" s="35"/>
      <c r="AN3288" s="35"/>
      <c r="AO3288" s="35"/>
      <c r="AP3288" s="35">
        <v>10</v>
      </c>
      <c r="AQ3288" s="35"/>
      <c r="AR3288" s="35"/>
      <c r="AS3288" s="35"/>
      <c r="AT3288" s="35"/>
      <c r="AU3288" s="35"/>
      <c r="AV3288" s="35"/>
      <c r="AW3288" s="35"/>
      <c r="AX3288" s="35"/>
      <c r="AY3288" s="35"/>
      <c r="AZ3288" s="35"/>
      <c r="BA3288" s="35"/>
      <c r="BB3288" s="22">
        <f t="shared" si="989"/>
        <v>21</v>
      </c>
      <c r="BC3288" s="23">
        <v>59</v>
      </c>
      <c r="BD3288" s="130">
        <f t="shared" si="990"/>
        <v>21</v>
      </c>
      <c r="BE3288" s="130">
        <f t="shared" si="991"/>
        <v>59</v>
      </c>
      <c r="BF3288" s="195">
        <f t="shared" si="992"/>
        <v>35.593220338983052</v>
      </c>
      <c r="BG3288" s="373">
        <f t="shared" si="994"/>
        <v>38</v>
      </c>
    </row>
    <row r="3289" spans="1:59" s="46" customFormat="1" ht="15.95" customHeight="1">
      <c r="A3289" s="176">
        <v>111</v>
      </c>
      <c r="B3289" s="31" t="s">
        <v>839</v>
      </c>
      <c r="C3289" s="32" t="s">
        <v>840</v>
      </c>
      <c r="D3289" s="366"/>
      <c r="E3289" s="366"/>
      <c r="F3289" s="366"/>
      <c r="G3289" s="366"/>
      <c r="H3289" s="366"/>
      <c r="I3289" s="366"/>
      <c r="J3289" s="366"/>
      <c r="K3289" s="366"/>
      <c r="L3289" s="366"/>
      <c r="M3289" s="366"/>
      <c r="N3289" s="366"/>
      <c r="O3289" s="366"/>
      <c r="P3289" s="366"/>
      <c r="Q3289" s="366"/>
      <c r="R3289" s="366"/>
      <c r="S3289" s="366"/>
      <c r="T3289" s="366"/>
      <c r="U3289" s="366"/>
      <c r="V3289" s="366"/>
      <c r="W3289" s="366"/>
      <c r="X3289" s="366"/>
      <c r="Y3289" s="366"/>
      <c r="Z3289" s="366"/>
      <c r="AA3289" s="366"/>
      <c r="AB3289" s="22">
        <f t="shared" si="988"/>
        <v>0</v>
      </c>
      <c r="AC3289" s="23">
        <v>0</v>
      </c>
      <c r="AD3289" s="35"/>
      <c r="AE3289" s="35"/>
      <c r="AF3289" s="35"/>
      <c r="AG3289" s="35"/>
      <c r="AH3289" s="35"/>
      <c r="AI3289" s="35"/>
      <c r="AJ3289" s="35"/>
      <c r="AK3289" s="35"/>
      <c r="AL3289" s="35">
        <v>2</v>
      </c>
      <c r="AM3289" s="35"/>
      <c r="AN3289" s="35"/>
      <c r="AO3289" s="35"/>
      <c r="AP3289" s="35">
        <v>1</v>
      </c>
      <c r="AQ3289" s="35"/>
      <c r="AR3289" s="35"/>
      <c r="AS3289" s="35"/>
      <c r="AT3289" s="35"/>
      <c r="AU3289" s="35"/>
      <c r="AV3289" s="35"/>
      <c r="AW3289" s="35"/>
      <c r="AX3289" s="35"/>
      <c r="AY3289" s="35"/>
      <c r="AZ3289" s="35"/>
      <c r="BA3289" s="35"/>
      <c r="BB3289" s="22">
        <f t="shared" si="989"/>
        <v>3</v>
      </c>
      <c r="BC3289" s="23">
        <v>37</v>
      </c>
      <c r="BD3289" s="130">
        <f t="shared" si="990"/>
        <v>3</v>
      </c>
      <c r="BE3289" s="130">
        <f t="shared" si="991"/>
        <v>37</v>
      </c>
      <c r="BF3289" s="195">
        <f t="shared" si="992"/>
        <v>8.1081081081081088</v>
      </c>
      <c r="BG3289" s="373">
        <f t="shared" si="994"/>
        <v>34</v>
      </c>
    </row>
    <row r="3290" spans="1:59" s="46" customFormat="1" ht="15.95" customHeight="1">
      <c r="A3290" s="176">
        <v>112</v>
      </c>
      <c r="B3290" s="31" t="s">
        <v>1380</v>
      </c>
      <c r="C3290" s="32" t="s">
        <v>2508</v>
      </c>
      <c r="D3290" s="366"/>
      <c r="E3290" s="366"/>
      <c r="F3290" s="366"/>
      <c r="G3290" s="366"/>
      <c r="H3290" s="366"/>
      <c r="I3290" s="366"/>
      <c r="J3290" s="366"/>
      <c r="K3290" s="366"/>
      <c r="L3290" s="366"/>
      <c r="M3290" s="366"/>
      <c r="N3290" s="366"/>
      <c r="O3290" s="366"/>
      <c r="P3290" s="366"/>
      <c r="Q3290" s="366"/>
      <c r="R3290" s="366"/>
      <c r="S3290" s="366"/>
      <c r="T3290" s="366"/>
      <c r="U3290" s="366"/>
      <c r="V3290" s="366"/>
      <c r="W3290" s="366"/>
      <c r="X3290" s="366"/>
      <c r="Y3290" s="366"/>
      <c r="Z3290" s="366"/>
      <c r="AA3290" s="366"/>
      <c r="AB3290" s="22">
        <f t="shared" si="988"/>
        <v>0</v>
      </c>
      <c r="AC3290" s="23">
        <v>0</v>
      </c>
      <c r="AD3290" s="35">
        <v>1</v>
      </c>
      <c r="AE3290" s="35"/>
      <c r="AF3290" s="35"/>
      <c r="AG3290" s="35"/>
      <c r="AH3290" s="35"/>
      <c r="AI3290" s="35"/>
      <c r="AJ3290" s="35"/>
      <c r="AK3290" s="35"/>
      <c r="AL3290" s="35">
        <v>1</v>
      </c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  <c r="AX3290" s="35"/>
      <c r="AY3290" s="35"/>
      <c r="AZ3290" s="35"/>
      <c r="BA3290" s="35"/>
      <c r="BB3290" s="22">
        <f t="shared" si="989"/>
        <v>2</v>
      </c>
      <c r="BC3290" s="23">
        <v>0</v>
      </c>
      <c r="BD3290" s="130">
        <f t="shared" si="990"/>
        <v>2</v>
      </c>
      <c r="BE3290" s="130">
        <f t="shared" si="991"/>
        <v>0</v>
      </c>
      <c r="BF3290" s="195" t="e">
        <f t="shared" si="992"/>
        <v>#DIV/0!</v>
      </c>
      <c r="BG3290" s="373"/>
    </row>
    <row r="3291" spans="1:59" s="46" customFormat="1" ht="15.95" customHeight="1">
      <c r="A3291" s="176">
        <v>113</v>
      </c>
      <c r="B3291" s="31" t="s">
        <v>1112</v>
      </c>
      <c r="C3291" s="32" t="s">
        <v>1638</v>
      </c>
      <c r="D3291" s="407"/>
      <c r="E3291" s="407"/>
      <c r="F3291" s="407"/>
      <c r="G3291" s="407"/>
      <c r="H3291" s="407"/>
      <c r="I3291" s="407"/>
      <c r="J3291" s="407"/>
      <c r="K3291" s="407"/>
      <c r="L3291" s="407"/>
      <c r="M3291" s="407"/>
      <c r="N3291" s="407"/>
      <c r="O3291" s="407"/>
      <c r="P3291" s="407"/>
      <c r="Q3291" s="407"/>
      <c r="R3291" s="407"/>
      <c r="S3291" s="407"/>
      <c r="T3291" s="407"/>
      <c r="U3291" s="407"/>
      <c r="V3291" s="407"/>
      <c r="W3291" s="407"/>
      <c r="X3291" s="407"/>
      <c r="Y3291" s="407"/>
      <c r="Z3291" s="407"/>
      <c r="AA3291" s="407"/>
      <c r="AB3291" s="22">
        <f t="shared" si="988"/>
        <v>0</v>
      </c>
      <c r="AC3291" s="23">
        <v>0</v>
      </c>
      <c r="AD3291" s="35"/>
      <c r="AE3291" s="35"/>
      <c r="AF3291" s="35"/>
      <c r="AG3291" s="35"/>
      <c r="AH3291" s="35"/>
      <c r="AI3291" s="35"/>
      <c r="AJ3291" s="35"/>
      <c r="AK3291" s="35"/>
      <c r="AL3291" s="35"/>
      <c r="AM3291" s="35"/>
      <c r="AN3291" s="35"/>
      <c r="AO3291" s="35"/>
      <c r="AP3291" s="35">
        <v>1</v>
      </c>
      <c r="AQ3291" s="35"/>
      <c r="AR3291" s="35"/>
      <c r="AS3291" s="35"/>
      <c r="AT3291" s="35"/>
      <c r="AU3291" s="35"/>
      <c r="AV3291" s="35"/>
      <c r="AW3291" s="35"/>
      <c r="AX3291" s="35"/>
      <c r="AY3291" s="35"/>
      <c r="AZ3291" s="35"/>
      <c r="BA3291" s="35"/>
      <c r="BB3291" s="22">
        <f t="shared" si="989"/>
        <v>1</v>
      </c>
      <c r="BC3291" s="23">
        <v>1</v>
      </c>
      <c r="BD3291" s="130">
        <f t="shared" si="990"/>
        <v>1</v>
      </c>
      <c r="BE3291" s="130">
        <f t="shared" si="991"/>
        <v>1</v>
      </c>
      <c r="BF3291" s="195">
        <f t="shared" si="992"/>
        <v>100</v>
      </c>
      <c r="BG3291" s="373">
        <f t="shared" ref="BG3291:BG3318" si="995">BE3291-BD3291</f>
        <v>0</v>
      </c>
    </row>
    <row r="3292" spans="1:59" s="46" customFormat="1" ht="15.95" customHeight="1">
      <c r="A3292" s="176">
        <v>114</v>
      </c>
      <c r="B3292" s="31" t="s">
        <v>1332</v>
      </c>
      <c r="C3292" s="34" t="s">
        <v>1333</v>
      </c>
      <c r="D3292" s="366"/>
      <c r="E3292" s="366"/>
      <c r="F3292" s="366"/>
      <c r="G3292" s="366"/>
      <c r="H3292" s="366"/>
      <c r="I3292" s="366"/>
      <c r="J3292" s="366"/>
      <c r="K3292" s="366"/>
      <c r="L3292" s="366">
        <f>1+1</f>
        <v>2</v>
      </c>
      <c r="M3292" s="366"/>
      <c r="N3292" s="366"/>
      <c r="O3292" s="366"/>
      <c r="P3292" s="366">
        <f>4+10</f>
        <v>14</v>
      </c>
      <c r="Q3292" s="366"/>
      <c r="R3292" s="366"/>
      <c r="S3292" s="366"/>
      <c r="T3292" s="366"/>
      <c r="U3292" s="366"/>
      <c r="V3292" s="366"/>
      <c r="W3292" s="366"/>
      <c r="X3292" s="366"/>
      <c r="Y3292" s="366"/>
      <c r="Z3292" s="366"/>
      <c r="AA3292" s="366"/>
      <c r="AB3292" s="22">
        <f t="shared" si="988"/>
        <v>16</v>
      </c>
      <c r="AC3292" s="23">
        <v>0</v>
      </c>
      <c r="AD3292" s="35"/>
      <c r="AE3292" s="35"/>
      <c r="AF3292" s="35"/>
      <c r="AG3292" s="35"/>
      <c r="AH3292" s="35"/>
      <c r="AI3292" s="35"/>
      <c r="AJ3292" s="35"/>
      <c r="AK3292" s="35"/>
      <c r="AL3292" s="35">
        <v>18</v>
      </c>
      <c r="AM3292" s="35"/>
      <c r="AN3292" s="35"/>
      <c r="AO3292" s="35"/>
      <c r="AP3292" s="35">
        <v>1</v>
      </c>
      <c r="AQ3292" s="35"/>
      <c r="AR3292" s="35"/>
      <c r="AS3292" s="35"/>
      <c r="AT3292" s="35"/>
      <c r="AU3292" s="35"/>
      <c r="AV3292" s="35"/>
      <c r="AW3292" s="35"/>
      <c r="AX3292" s="35"/>
      <c r="AY3292" s="35"/>
      <c r="AZ3292" s="35"/>
      <c r="BA3292" s="35"/>
      <c r="BB3292" s="22">
        <f t="shared" si="989"/>
        <v>19</v>
      </c>
      <c r="BC3292" s="23">
        <v>46</v>
      </c>
      <c r="BD3292" s="130">
        <f t="shared" si="990"/>
        <v>35</v>
      </c>
      <c r="BE3292" s="130">
        <f t="shared" si="991"/>
        <v>46</v>
      </c>
      <c r="BF3292" s="195">
        <f t="shared" si="992"/>
        <v>76.08695652173914</v>
      </c>
      <c r="BG3292" s="373">
        <f t="shared" si="995"/>
        <v>11</v>
      </c>
    </row>
    <row r="3293" spans="1:59" s="46" customFormat="1" ht="15.95" customHeight="1">
      <c r="A3293" s="176">
        <v>115</v>
      </c>
      <c r="B3293" s="31" t="s">
        <v>1187</v>
      </c>
      <c r="C3293" s="34" t="s">
        <v>1188</v>
      </c>
      <c r="D3293" s="366"/>
      <c r="E3293" s="366"/>
      <c r="F3293" s="366"/>
      <c r="G3293" s="366"/>
      <c r="H3293" s="366"/>
      <c r="I3293" s="366"/>
      <c r="J3293" s="366"/>
      <c r="K3293" s="366"/>
      <c r="L3293" s="366"/>
      <c r="M3293" s="366"/>
      <c r="N3293" s="366"/>
      <c r="O3293" s="366"/>
      <c r="P3293" s="366"/>
      <c r="Q3293" s="366"/>
      <c r="R3293" s="366"/>
      <c r="S3293" s="366"/>
      <c r="T3293" s="366"/>
      <c r="U3293" s="366"/>
      <c r="V3293" s="366"/>
      <c r="W3293" s="366"/>
      <c r="X3293" s="366"/>
      <c r="Y3293" s="366"/>
      <c r="Z3293" s="366"/>
      <c r="AA3293" s="366"/>
      <c r="AB3293" s="22">
        <f t="shared" si="988"/>
        <v>0</v>
      </c>
      <c r="AC3293" s="23">
        <v>0</v>
      </c>
      <c r="AD3293" s="35"/>
      <c r="AE3293" s="35"/>
      <c r="AF3293" s="35"/>
      <c r="AG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  <c r="AX3293" s="35"/>
      <c r="AY3293" s="35"/>
      <c r="AZ3293" s="35"/>
      <c r="BA3293" s="35"/>
      <c r="BB3293" s="22">
        <f t="shared" si="989"/>
        <v>0</v>
      </c>
      <c r="BC3293" s="23">
        <v>1</v>
      </c>
      <c r="BD3293" s="130">
        <f t="shared" si="990"/>
        <v>0</v>
      </c>
      <c r="BE3293" s="130">
        <f t="shared" si="991"/>
        <v>1</v>
      </c>
      <c r="BF3293" s="195">
        <f t="shared" si="992"/>
        <v>0</v>
      </c>
      <c r="BG3293" s="373">
        <f t="shared" si="995"/>
        <v>1</v>
      </c>
    </row>
    <row r="3294" spans="1:59" s="46" customFormat="1" ht="15.95" customHeight="1">
      <c r="A3294" s="176">
        <v>116</v>
      </c>
      <c r="B3294" s="31" t="s">
        <v>845</v>
      </c>
      <c r="C3294" s="34" t="s">
        <v>948</v>
      </c>
      <c r="D3294" s="366"/>
      <c r="E3294" s="366"/>
      <c r="F3294" s="366"/>
      <c r="G3294" s="366"/>
      <c r="H3294" s="366"/>
      <c r="I3294" s="366"/>
      <c r="J3294" s="366"/>
      <c r="K3294" s="366"/>
      <c r="L3294" s="366"/>
      <c r="M3294" s="366"/>
      <c r="N3294" s="366"/>
      <c r="O3294" s="366"/>
      <c r="P3294" s="366"/>
      <c r="Q3294" s="366"/>
      <c r="R3294" s="366"/>
      <c r="S3294" s="366"/>
      <c r="T3294" s="366"/>
      <c r="U3294" s="366"/>
      <c r="V3294" s="366"/>
      <c r="W3294" s="366"/>
      <c r="X3294" s="366"/>
      <c r="Y3294" s="366"/>
      <c r="Z3294" s="366"/>
      <c r="AA3294" s="366"/>
      <c r="AB3294" s="22">
        <f t="shared" si="988"/>
        <v>0</v>
      </c>
      <c r="AC3294" s="23">
        <v>0</v>
      </c>
      <c r="AD3294" s="35"/>
      <c r="AE3294" s="35"/>
      <c r="AF3294" s="35"/>
      <c r="AG3294" s="35"/>
      <c r="AH3294" s="35">
        <v>18</v>
      </c>
      <c r="AI3294" s="35"/>
      <c r="AJ3294" s="35"/>
      <c r="AK3294" s="35"/>
      <c r="AL3294" s="35">
        <v>117</v>
      </c>
      <c r="AM3294" s="35"/>
      <c r="AN3294" s="35"/>
      <c r="AO3294" s="35"/>
      <c r="AP3294" s="35">
        <v>75</v>
      </c>
      <c r="AQ3294" s="35"/>
      <c r="AR3294" s="35"/>
      <c r="AS3294" s="35"/>
      <c r="AT3294" s="35"/>
      <c r="AU3294" s="35"/>
      <c r="AV3294" s="35"/>
      <c r="AW3294" s="35"/>
      <c r="AX3294" s="35"/>
      <c r="AY3294" s="35"/>
      <c r="AZ3294" s="35"/>
      <c r="BA3294" s="35"/>
      <c r="BB3294" s="22">
        <f t="shared" si="989"/>
        <v>210</v>
      </c>
      <c r="BC3294" s="23">
        <v>618</v>
      </c>
      <c r="BD3294" s="130">
        <f t="shared" si="990"/>
        <v>210</v>
      </c>
      <c r="BE3294" s="130">
        <f t="shared" si="991"/>
        <v>618</v>
      </c>
      <c r="BF3294" s="195">
        <f t="shared" si="992"/>
        <v>33.980582524271846</v>
      </c>
      <c r="BG3294" s="373">
        <f t="shared" si="995"/>
        <v>408</v>
      </c>
    </row>
    <row r="3295" spans="1:59" s="46" customFormat="1" ht="15.95" customHeight="1">
      <c r="A3295" s="176">
        <v>117</v>
      </c>
      <c r="B3295" s="31" t="s">
        <v>1075</v>
      </c>
      <c r="C3295" s="34" t="s">
        <v>1076</v>
      </c>
      <c r="D3295" s="366"/>
      <c r="E3295" s="366"/>
      <c r="F3295" s="366"/>
      <c r="G3295" s="366"/>
      <c r="H3295" s="366"/>
      <c r="I3295" s="366"/>
      <c r="J3295" s="366"/>
      <c r="K3295" s="366"/>
      <c r="L3295" s="366"/>
      <c r="M3295" s="366"/>
      <c r="N3295" s="366"/>
      <c r="O3295" s="366"/>
      <c r="P3295" s="366"/>
      <c r="Q3295" s="366"/>
      <c r="R3295" s="366"/>
      <c r="S3295" s="366"/>
      <c r="T3295" s="366"/>
      <c r="U3295" s="366"/>
      <c r="V3295" s="366"/>
      <c r="W3295" s="366"/>
      <c r="X3295" s="366"/>
      <c r="Y3295" s="366"/>
      <c r="Z3295" s="366"/>
      <c r="AA3295" s="366"/>
      <c r="AB3295" s="22">
        <f t="shared" si="988"/>
        <v>0</v>
      </c>
      <c r="AC3295" s="23">
        <v>0</v>
      </c>
      <c r="AD3295" s="35"/>
      <c r="AE3295" s="35"/>
      <c r="AF3295" s="35"/>
      <c r="AG3295" s="35"/>
      <c r="AH3295" s="35">
        <v>2</v>
      </c>
      <c r="AI3295" s="35"/>
      <c r="AJ3295" s="35"/>
      <c r="AK3295" s="35"/>
      <c r="AL3295" s="35">
        <v>2</v>
      </c>
      <c r="AM3295" s="35"/>
      <c r="AN3295" s="35"/>
      <c r="AO3295" s="35"/>
      <c r="AP3295" s="35">
        <v>5</v>
      </c>
      <c r="AQ3295" s="35"/>
      <c r="AR3295" s="35"/>
      <c r="AS3295" s="35"/>
      <c r="AT3295" s="35"/>
      <c r="AU3295" s="35"/>
      <c r="AV3295" s="35"/>
      <c r="AW3295" s="35"/>
      <c r="AX3295" s="35"/>
      <c r="AY3295" s="35"/>
      <c r="AZ3295" s="35"/>
      <c r="BA3295" s="35"/>
      <c r="BB3295" s="22">
        <f t="shared" si="989"/>
        <v>9</v>
      </c>
      <c r="BC3295" s="23">
        <v>31</v>
      </c>
      <c r="BD3295" s="130">
        <f t="shared" si="990"/>
        <v>9</v>
      </c>
      <c r="BE3295" s="130">
        <f t="shared" si="991"/>
        <v>31</v>
      </c>
      <c r="BF3295" s="195">
        <f t="shared" si="992"/>
        <v>29.032258064516132</v>
      </c>
      <c r="BG3295" s="373">
        <f t="shared" si="995"/>
        <v>22</v>
      </c>
    </row>
    <row r="3296" spans="1:59" s="46" customFormat="1" ht="15.95" customHeight="1">
      <c r="A3296" s="176">
        <v>118</v>
      </c>
      <c r="B3296" s="31" t="s">
        <v>1391</v>
      </c>
      <c r="C3296" s="32" t="s">
        <v>2094</v>
      </c>
      <c r="D3296" s="231"/>
      <c r="E3296" s="231"/>
      <c r="F3296" s="231"/>
      <c r="G3296" s="231"/>
      <c r="H3296" s="231"/>
      <c r="I3296" s="231"/>
      <c r="J3296" s="231"/>
      <c r="K3296" s="231"/>
      <c r="L3296" s="231"/>
      <c r="M3296" s="231"/>
      <c r="N3296" s="231"/>
      <c r="O3296" s="231"/>
      <c r="P3296" s="231"/>
      <c r="Q3296" s="231"/>
      <c r="R3296" s="231"/>
      <c r="S3296" s="231"/>
      <c r="T3296" s="231"/>
      <c r="U3296" s="231"/>
      <c r="V3296" s="231"/>
      <c r="W3296" s="231"/>
      <c r="X3296" s="231"/>
      <c r="Y3296" s="231"/>
      <c r="Z3296" s="231"/>
      <c r="AA3296" s="231"/>
      <c r="AB3296" s="22">
        <f t="shared" si="988"/>
        <v>0</v>
      </c>
      <c r="AC3296" s="23">
        <v>0</v>
      </c>
      <c r="AD3296" s="35"/>
      <c r="AE3296" s="35"/>
      <c r="AF3296" s="35"/>
      <c r="AG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  <c r="AX3296" s="35"/>
      <c r="AY3296" s="35"/>
      <c r="AZ3296" s="35"/>
      <c r="BA3296" s="35"/>
      <c r="BB3296" s="22">
        <f t="shared" si="989"/>
        <v>0</v>
      </c>
      <c r="BC3296" s="23">
        <v>1</v>
      </c>
      <c r="BD3296" s="130">
        <f t="shared" si="990"/>
        <v>0</v>
      </c>
      <c r="BE3296" s="130">
        <f t="shared" si="991"/>
        <v>1</v>
      </c>
      <c r="BF3296" s="195">
        <f t="shared" si="992"/>
        <v>0</v>
      </c>
      <c r="BG3296" s="373">
        <f t="shared" si="995"/>
        <v>1</v>
      </c>
    </row>
    <row r="3297" spans="1:59" s="46" customFormat="1" ht="15.95" customHeight="1">
      <c r="A3297" s="176">
        <v>119</v>
      </c>
      <c r="B3297" s="31" t="s">
        <v>1077</v>
      </c>
      <c r="C3297" s="32" t="s">
        <v>2575</v>
      </c>
      <c r="D3297" s="293"/>
      <c r="E3297" s="293"/>
      <c r="F3297" s="293"/>
      <c r="G3297" s="293"/>
      <c r="H3297" s="293"/>
      <c r="I3297" s="293"/>
      <c r="J3297" s="293"/>
      <c r="K3297" s="293"/>
      <c r="L3297" s="293"/>
      <c r="M3297" s="293"/>
      <c r="N3297" s="293"/>
      <c r="O3297" s="293"/>
      <c r="P3297" s="293"/>
      <c r="Q3297" s="293"/>
      <c r="R3297" s="293"/>
      <c r="S3297" s="293"/>
      <c r="T3297" s="293"/>
      <c r="U3297" s="293"/>
      <c r="V3297" s="293"/>
      <c r="W3297" s="293"/>
      <c r="X3297" s="293"/>
      <c r="Y3297" s="293"/>
      <c r="Z3297" s="293"/>
      <c r="AA3297" s="293"/>
      <c r="AB3297" s="22">
        <f t="shared" si="988"/>
        <v>0</v>
      </c>
      <c r="AC3297" s="23">
        <v>0</v>
      </c>
      <c r="AD3297" s="35"/>
      <c r="AE3297" s="35"/>
      <c r="AF3297" s="35"/>
      <c r="AG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  <c r="AX3297" s="35"/>
      <c r="AY3297" s="35"/>
      <c r="AZ3297" s="35"/>
      <c r="BA3297" s="35"/>
      <c r="BB3297" s="22">
        <f t="shared" si="989"/>
        <v>0</v>
      </c>
      <c r="BC3297" s="23">
        <v>1</v>
      </c>
      <c r="BD3297" s="130">
        <f t="shared" si="990"/>
        <v>0</v>
      </c>
      <c r="BE3297" s="130">
        <f t="shared" si="991"/>
        <v>1</v>
      </c>
      <c r="BF3297" s="195">
        <f t="shared" si="992"/>
        <v>0</v>
      </c>
      <c r="BG3297" s="373">
        <f t="shared" si="995"/>
        <v>1</v>
      </c>
    </row>
    <row r="3298" spans="1:59" s="46" customFormat="1" ht="15.95" customHeight="1">
      <c r="A3298" s="176">
        <v>120</v>
      </c>
      <c r="B3298" s="31" t="s">
        <v>915</v>
      </c>
      <c r="C3298" s="32" t="s">
        <v>1101</v>
      </c>
      <c r="D3298" s="231"/>
      <c r="E3298" s="231"/>
      <c r="F3298" s="231"/>
      <c r="G3298" s="231"/>
      <c r="H3298" s="231">
        <v>1</v>
      </c>
      <c r="I3298" s="231"/>
      <c r="J3298" s="231"/>
      <c r="K3298" s="231"/>
      <c r="L3298" s="231"/>
      <c r="M3298" s="231"/>
      <c r="N3298" s="231"/>
      <c r="O3298" s="231"/>
      <c r="P3298" s="231"/>
      <c r="Q3298" s="231"/>
      <c r="R3298" s="231"/>
      <c r="S3298" s="231"/>
      <c r="T3298" s="231"/>
      <c r="U3298" s="231"/>
      <c r="V3298" s="231"/>
      <c r="W3298" s="231"/>
      <c r="X3298" s="231"/>
      <c r="Y3298" s="231"/>
      <c r="Z3298" s="231"/>
      <c r="AA3298" s="231"/>
      <c r="AB3298" s="22">
        <f t="shared" si="988"/>
        <v>1</v>
      </c>
      <c r="AC3298" s="23">
        <v>1</v>
      </c>
      <c r="AD3298" s="35"/>
      <c r="AE3298" s="35"/>
      <c r="AF3298" s="35"/>
      <c r="AG3298" s="35"/>
      <c r="AH3298" s="35">
        <f>23+3</f>
        <v>26</v>
      </c>
      <c r="AI3298" s="35"/>
      <c r="AJ3298" s="35"/>
      <c r="AK3298" s="35"/>
      <c r="AL3298" s="35">
        <f>1+7</f>
        <v>8</v>
      </c>
      <c r="AM3298" s="35"/>
      <c r="AN3298" s="35"/>
      <c r="AO3298" s="35"/>
      <c r="AP3298" s="35">
        <f>66+14</f>
        <v>80</v>
      </c>
      <c r="AQ3298" s="35"/>
      <c r="AR3298" s="35"/>
      <c r="AS3298" s="35"/>
      <c r="AT3298" s="35"/>
      <c r="AU3298" s="35"/>
      <c r="AV3298" s="35"/>
      <c r="AW3298" s="35"/>
      <c r="AX3298" s="35"/>
      <c r="AY3298" s="35"/>
      <c r="AZ3298" s="35"/>
      <c r="BA3298" s="35"/>
      <c r="BB3298" s="22">
        <f t="shared" si="989"/>
        <v>114</v>
      </c>
      <c r="BC3298" s="23">
        <v>702</v>
      </c>
      <c r="BD3298" s="130">
        <f t="shared" si="990"/>
        <v>115</v>
      </c>
      <c r="BE3298" s="130">
        <f t="shared" si="991"/>
        <v>703</v>
      </c>
      <c r="BF3298" s="195">
        <f t="shared" si="992"/>
        <v>16.358463726884779</v>
      </c>
      <c r="BG3298" s="373">
        <f t="shared" si="995"/>
        <v>588</v>
      </c>
    </row>
    <row r="3299" spans="1:59" s="46" customFormat="1" ht="15.95" customHeight="1">
      <c r="A3299" s="176">
        <v>121</v>
      </c>
      <c r="B3299" s="31" t="s">
        <v>1082</v>
      </c>
      <c r="C3299" s="32" t="s">
        <v>1345</v>
      </c>
      <c r="D3299" s="231"/>
      <c r="E3299" s="231"/>
      <c r="F3299" s="231"/>
      <c r="G3299" s="231"/>
      <c r="H3299" s="231"/>
      <c r="I3299" s="231"/>
      <c r="J3299" s="231"/>
      <c r="K3299" s="231"/>
      <c r="L3299" s="231"/>
      <c r="M3299" s="231"/>
      <c r="N3299" s="231"/>
      <c r="O3299" s="231"/>
      <c r="P3299" s="231"/>
      <c r="Q3299" s="231"/>
      <c r="R3299" s="231"/>
      <c r="S3299" s="231"/>
      <c r="T3299" s="231"/>
      <c r="U3299" s="231"/>
      <c r="V3299" s="231"/>
      <c r="W3299" s="231"/>
      <c r="X3299" s="231"/>
      <c r="Y3299" s="231"/>
      <c r="Z3299" s="231"/>
      <c r="AA3299" s="231"/>
      <c r="AB3299" s="22">
        <f t="shared" si="988"/>
        <v>0</v>
      </c>
      <c r="AC3299" s="23">
        <v>1</v>
      </c>
      <c r="AD3299" s="35"/>
      <c r="AE3299" s="35"/>
      <c r="AF3299" s="35"/>
      <c r="AG3299" s="35"/>
      <c r="AH3299" s="35"/>
      <c r="AI3299" s="35"/>
      <c r="AJ3299" s="35"/>
      <c r="AK3299" s="35"/>
      <c r="AL3299" s="35">
        <v>1</v>
      </c>
      <c r="AM3299" s="35"/>
      <c r="AN3299" s="35"/>
      <c r="AO3299" s="35"/>
      <c r="AP3299" s="35">
        <v>1</v>
      </c>
      <c r="AQ3299" s="35"/>
      <c r="AR3299" s="35"/>
      <c r="AS3299" s="35"/>
      <c r="AT3299" s="35"/>
      <c r="AU3299" s="35"/>
      <c r="AV3299" s="35"/>
      <c r="AW3299" s="35"/>
      <c r="AX3299" s="35"/>
      <c r="AY3299" s="35"/>
      <c r="AZ3299" s="35"/>
      <c r="BA3299" s="35"/>
      <c r="BB3299" s="22">
        <f t="shared" si="989"/>
        <v>2</v>
      </c>
      <c r="BC3299" s="23">
        <v>3</v>
      </c>
      <c r="BD3299" s="130">
        <f t="shared" si="990"/>
        <v>2</v>
      </c>
      <c r="BE3299" s="130">
        <f t="shared" si="991"/>
        <v>4</v>
      </c>
      <c r="BF3299" s="195">
        <f t="shared" si="992"/>
        <v>50</v>
      </c>
      <c r="BG3299" s="373">
        <f t="shared" si="995"/>
        <v>2</v>
      </c>
    </row>
    <row r="3300" spans="1:59" s="46" customFormat="1" ht="15.95" customHeight="1">
      <c r="A3300" s="176">
        <v>122</v>
      </c>
      <c r="B3300" s="31" t="s">
        <v>949</v>
      </c>
      <c r="C3300" s="32" t="s">
        <v>1198</v>
      </c>
      <c r="D3300" s="328"/>
      <c r="E3300" s="328"/>
      <c r="F3300" s="328"/>
      <c r="G3300" s="328"/>
      <c r="H3300" s="328"/>
      <c r="I3300" s="328"/>
      <c r="J3300" s="328"/>
      <c r="K3300" s="328"/>
      <c r="L3300" s="328"/>
      <c r="M3300" s="328"/>
      <c r="N3300" s="328"/>
      <c r="O3300" s="328"/>
      <c r="P3300" s="328"/>
      <c r="Q3300" s="328"/>
      <c r="R3300" s="328"/>
      <c r="S3300" s="328"/>
      <c r="T3300" s="328"/>
      <c r="U3300" s="328"/>
      <c r="V3300" s="328"/>
      <c r="W3300" s="328"/>
      <c r="X3300" s="328"/>
      <c r="Y3300" s="328"/>
      <c r="Z3300" s="328"/>
      <c r="AA3300" s="328"/>
      <c r="AB3300" s="22">
        <f t="shared" si="988"/>
        <v>0</v>
      </c>
      <c r="AC3300" s="23">
        <v>0</v>
      </c>
      <c r="AD3300" s="35"/>
      <c r="AE3300" s="35"/>
      <c r="AF3300" s="35"/>
      <c r="AG3300" s="35"/>
      <c r="AH3300" s="35"/>
      <c r="AI3300" s="35"/>
      <c r="AJ3300" s="35"/>
      <c r="AK3300" s="35"/>
      <c r="AL3300" s="35"/>
      <c r="AM3300" s="35"/>
      <c r="AN3300" s="35"/>
      <c r="AO3300" s="35"/>
      <c r="AP3300" s="35">
        <v>1</v>
      </c>
      <c r="AQ3300" s="35"/>
      <c r="AR3300" s="35"/>
      <c r="AS3300" s="35"/>
      <c r="AT3300" s="35"/>
      <c r="AU3300" s="35"/>
      <c r="AV3300" s="35"/>
      <c r="AW3300" s="35"/>
      <c r="AX3300" s="35"/>
      <c r="AY3300" s="35"/>
      <c r="AZ3300" s="35"/>
      <c r="BA3300" s="35"/>
      <c r="BB3300" s="22">
        <f t="shared" si="989"/>
        <v>1</v>
      </c>
      <c r="BC3300" s="23">
        <v>4</v>
      </c>
      <c r="BD3300" s="130">
        <f t="shared" si="990"/>
        <v>1</v>
      </c>
      <c r="BE3300" s="130">
        <f t="shared" si="991"/>
        <v>4</v>
      </c>
      <c r="BF3300" s="195">
        <f t="shared" si="992"/>
        <v>25</v>
      </c>
      <c r="BG3300" s="373">
        <f t="shared" si="995"/>
        <v>3</v>
      </c>
    </row>
    <row r="3301" spans="1:59" s="46" customFormat="1" ht="15.95" customHeight="1">
      <c r="A3301" s="176">
        <v>123</v>
      </c>
      <c r="B3301" s="31" t="s">
        <v>1197</v>
      </c>
      <c r="C3301" s="32" t="s">
        <v>1198</v>
      </c>
      <c r="D3301" s="231"/>
      <c r="E3301" s="231"/>
      <c r="F3301" s="231"/>
      <c r="G3301" s="231"/>
      <c r="H3301" s="231"/>
      <c r="I3301" s="231"/>
      <c r="J3301" s="231"/>
      <c r="K3301" s="231"/>
      <c r="L3301" s="231"/>
      <c r="M3301" s="231"/>
      <c r="N3301" s="231"/>
      <c r="O3301" s="231"/>
      <c r="P3301" s="231"/>
      <c r="Q3301" s="231"/>
      <c r="R3301" s="231"/>
      <c r="S3301" s="231"/>
      <c r="T3301" s="231"/>
      <c r="U3301" s="231"/>
      <c r="V3301" s="231"/>
      <c r="W3301" s="231"/>
      <c r="X3301" s="231"/>
      <c r="Y3301" s="231"/>
      <c r="Z3301" s="231"/>
      <c r="AA3301" s="231"/>
      <c r="AB3301" s="22">
        <f t="shared" si="988"/>
        <v>0</v>
      </c>
      <c r="AC3301" s="23">
        <v>0</v>
      </c>
      <c r="AD3301" s="35"/>
      <c r="AE3301" s="35"/>
      <c r="AF3301" s="35"/>
      <c r="AG3301" s="35"/>
      <c r="AH3301" s="35">
        <v>2</v>
      </c>
      <c r="AI3301" s="35"/>
      <c r="AJ3301" s="35"/>
      <c r="AK3301" s="35"/>
      <c r="AL3301" s="35">
        <v>27</v>
      </c>
      <c r="AM3301" s="35"/>
      <c r="AN3301" s="35"/>
      <c r="AO3301" s="35"/>
      <c r="AP3301" s="35">
        <v>13</v>
      </c>
      <c r="AQ3301" s="35"/>
      <c r="AR3301" s="35"/>
      <c r="AS3301" s="35"/>
      <c r="AT3301" s="35"/>
      <c r="AU3301" s="35"/>
      <c r="AV3301" s="35"/>
      <c r="AW3301" s="35"/>
      <c r="AX3301" s="35"/>
      <c r="AY3301" s="35"/>
      <c r="AZ3301" s="35"/>
      <c r="BA3301" s="35"/>
      <c r="BB3301" s="22">
        <f t="shared" si="989"/>
        <v>42</v>
      </c>
      <c r="BC3301" s="23">
        <v>197</v>
      </c>
      <c r="BD3301" s="130">
        <f t="shared" si="990"/>
        <v>42</v>
      </c>
      <c r="BE3301" s="130">
        <f t="shared" si="991"/>
        <v>197</v>
      </c>
      <c r="BF3301" s="195">
        <f t="shared" si="992"/>
        <v>21.319796954314722</v>
      </c>
      <c r="BG3301" s="373">
        <f t="shared" si="995"/>
        <v>155</v>
      </c>
    </row>
    <row r="3302" spans="1:59" s="46" customFormat="1" ht="15.95" customHeight="1">
      <c r="A3302" s="176">
        <v>124</v>
      </c>
      <c r="B3302" s="31" t="s">
        <v>1251</v>
      </c>
      <c r="C3302" s="32" t="s">
        <v>1252</v>
      </c>
      <c r="D3302" s="231"/>
      <c r="E3302" s="231"/>
      <c r="F3302" s="231"/>
      <c r="G3302" s="231"/>
      <c r="H3302" s="231"/>
      <c r="I3302" s="231"/>
      <c r="J3302" s="231"/>
      <c r="K3302" s="231"/>
      <c r="L3302" s="231"/>
      <c r="M3302" s="231"/>
      <c r="N3302" s="231"/>
      <c r="O3302" s="231"/>
      <c r="P3302" s="231"/>
      <c r="Q3302" s="231"/>
      <c r="R3302" s="231"/>
      <c r="S3302" s="231"/>
      <c r="T3302" s="231"/>
      <c r="U3302" s="231"/>
      <c r="V3302" s="231"/>
      <c r="W3302" s="231"/>
      <c r="X3302" s="231"/>
      <c r="Y3302" s="231"/>
      <c r="Z3302" s="231"/>
      <c r="AA3302" s="231"/>
      <c r="AB3302" s="22">
        <f t="shared" si="988"/>
        <v>0</v>
      </c>
      <c r="AC3302" s="23">
        <v>0</v>
      </c>
      <c r="AD3302" s="35"/>
      <c r="AE3302" s="35"/>
      <c r="AF3302" s="35"/>
      <c r="AG3302" s="35"/>
      <c r="AH3302" s="35">
        <v>2</v>
      </c>
      <c r="AI3302" s="35"/>
      <c r="AJ3302" s="35"/>
      <c r="AK3302" s="35"/>
      <c r="AL3302" s="35"/>
      <c r="AM3302" s="35"/>
      <c r="AN3302" s="35"/>
      <c r="AO3302" s="35"/>
      <c r="AP3302" s="35">
        <v>1</v>
      </c>
      <c r="AQ3302" s="35"/>
      <c r="AR3302" s="35"/>
      <c r="AS3302" s="35"/>
      <c r="AT3302" s="35"/>
      <c r="AU3302" s="35"/>
      <c r="AV3302" s="35"/>
      <c r="AW3302" s="35"/>
      <c r="AX3302" s="35"/>
      <c r="AY3302" s="35"/>
      <c r="AZ3302" s="35"/>
      <c r="BA3302" s="35"/>
      <c r="BB3302" s="22">
        <f t="shared" si="989"/>
        <v>3</v>
      </c>
      <c r="BC3302" s="23">
        <v>8</v>
      </c>
      <c r="BD3302" s="130">
        <f t="shared" si="990"/>
        <v>3</v>
      </c>
      <c r="BE3302" s="130">
        <f t="shared" si="991"/>
        <v>8</v>
      </c>
      <c r="BF3302" s="195">
        <f t="shared" si="992"/>
        <v>37.5</v>
      </c>
      <c r="BG3302" s="373">
        <f t="shared" si="995"/>
        <v>5</v>
      </c>
    </row>
    <row r="3303" spans="1:59" s="46" customFormat="1" ht="15.95" customHeight="1">
      <c r="A3303" s="176">
        <v>125</v>
      </c>
      <c r="B3303" s="31" t="s">
        <v>1016</v>
      </c>
      <c r="C3303" s="32" t="s">
        <v>1017</v>
      </c>
      <c r="D3303" s="332"/>
      <c r="E3303" s="332"/>
      <c r="F3303" s="332"/>
      <c r="G3303" s="332"/>
      <c r="H3303" s="332"/>
      <c r="I3303" s="332"/>
      <c r="J3303" s="332"/>
      <c r="K3303" s="332"/>
      <c r="L3303" s="332"/>
      <c r="M3303" s="332"/>
      <c r="N3303" s="332"/>
      <c r="O3303" s="332"/>
      <c r="P3303" s="332"/>
      <c r="Q3303" s="332"/>
      <c r="R3303" s="332"/>
      <c r="S3303" s="332"/>
      <c r="T3303" s="332"/>
      <c r="U3303" s="332"/>
      <c r="V3303" s="332"/>
      <c r="W3303" s="332"/>
      <c r="X3303" s="332"/>
      <c r="Y3303" s="332"/>
      <c r="Z3303" s="332"/>
      <c r="AA3303" s="332"/>
      <c r="AB3303" s="22">
        <f t="shared" si="988"/>
        <v>0</v>
      </c>
      <c r="AC3303" s="23">
        <v>0</v>
      </c>
      <c r="AD3303" s="35"/>
      <c r="AE3303" s="35"/>
      <c r="AF3303" s="35"/>
      <c r="AG3303" s="35"/>
      <c r="AH3303" s="35">
        <v>9</v>
      </c>
      <c r="AI3303" s="35"/>
      <c r="AJ3303" s="35"/>
      <c r="AK3303" s="35"/>
      <c r="AL3303" s="35">
        <v>64</v>
      </c>
      <c r="AM3303" s="35"/>
      <c r="AN3303" s="35"/>
      <c r="AO3303" s="35"/>
      <c r="AP3303" s="35">
        <v>37</v>
      </c>
      <c r="AQ3303" s="35"/>
      <c r="AR3303" s="35"/>
      <c r="AS3303" s="35"/>
      <c r="AT3303" s="35"/>
      <c r="AU3303" s="35"/>
      <c r="AV3303" s="35"/>
      <c r="AW3303" s="35"/>
      <c r="AX3303" s="35"/>
      <c r="AY3303" s="35"/>
      <c r="AZ3303" s="35"/>
      <c r="BA3303" s="35"/>
      <c r="BB3303" s="22">
        <f t="shared" si="989"/>
        <v>110</v>
      </c>
      <c r="BC3303" s="23">
        <v>285</v>
      </c>
      <c r="BD3303" s="130">
        <f t="shared" si="990"/>
        <v>110</v>
      </c>
      <c r="BE3303" s="130">
        <f t="shared" si="991"/>
        <v>285</v>
      </c>
      <c r="BF3303" s="195">
        <f t="shared" si="992"/>
        <v>38.596491228070171</v>
      </c>
      <c r="BG3303" s="373">
        <f t="shared" si="995"/>
        <v>175</v>
      </c>
    </row>
    <row r="3304" spans="1:59" s="46" customFormat="1" ht="15.95" customHeight="1">
      <c r="A3304" s="176">
        <v>126</v>
      </c>
      <c r="B3304" s="31" t="s">
        <v>1347</v>
      </c>
      <c r="C3304" s="32" t="s">
        <v>1348</v>
      </c>
      <c r="D3304" s="231"/>
      <c r="E3304" s="231"/>
      <c r="F3304" s="231"/>
      <c r="G3304" s="231"/>
      <c r="H3304" s="231"/>
      <c r="I3304" s="231"/>
      <c r="J3304" s="231"/>
      <c r="K3304" s="231"/>
      <c r="L3304" s="231"/>
      <c r="M3304" s="231"/>
      <c r="N3304" s="231"/>
      <c r="O3304" s="231"/>
      <c r="P3304" s="231"/>
      <c r="Q3304" s="231"/>
      <c r="R3304" s="231"/>
      <c r="S3304" s="231"/>
      <c r="T3304" s="231"/>
      <c r="U3304" s="231"/>
      <c r="V3304" s="231"/>
      <c r="W3304" s="231"/>
      <c r="X3304" s="231"/>
      <c r="Y3304" s="231"/>
      <c r="Z3304" s="231"/>
      <c r="AA3304" s="231"/>
      <c r="AB3304" s="22">
        <f t="shared" si="988"/>
        <v>0</v>
      </c>
      <c r="AC3304" s="23">
        <v>0</v>
      </c>
      <c r="AD3304" s="35"/>
      <c r="AE3304" s="35"/>
      <c r="AF3304" s="35"/>
      <c r="AG3304" s="35"/>
      <c r="AH3304" s="35"/>
      <c r="AI3304" s="35"/>
      <c r="AJ3304" s="35"/>
      <c r="AK3304" s="35"/>
      <c r="AL3304" s="35">
        <v>1</v>
      </c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  <c r="AX3304" s="35"/>
      <c r="AY3304" s="35"/>
      <c r="AZ3304" s="35"/>
      <c r="BA3304" s="35"/>
      <c r="BB3304" s="22">
        <f t="shared" si="989"/>
        <v>1</v>
      </c>
      <c r="BC3304" s="23">
        <v>6</v>
      </c>
      <c r="BD3304" s="130">
        <f t="shared" si="990"/>
        <v>1</v>
      </c>
      <c r="BE3304" s="130">
        <f t="shared" si="991"/>
        <v>6</v>
      </c>
      <c r="BF3304" s="195">
        <f t="shared" si="992"/>
        <v>16.666666666666664</v>
      </c>
      <c r="BG3304" s="373">
        <f t="shared" si="995"/>
        <v>5</v>
      </c>
    </row>
    <row r="3305" spans="1:59" s="46" customFormat="1" ht="15.95" customHeight="1">
      <c r="A3305" s="176">
        <v>127</v>
      </c>
      <c r="B3305" s="31" t="s">
        <v>950</v>
      </c>
      <c r="C3305" s="32" t="s">
        <v>951</v>
      </c>
      <c r="D3305" s="231"/>
      <c r="E3305" s="231"/>
      <c r="F3305" s="231"/>
      <c r="G3305" s="231"/>
      <c r="H3305" s="231"/>
      <c r="I3305" s="231"/>
      <c r="J3305" s="231"/>
      <c r="K3305" s="231"/>
      <c r="L3305" s="231"/>
      <c r="M3305" s="231"/>
      <c r="N3305" s="231"/>
      <c r="O3305" s="231"/>
      <c r="P3305" s="231"/>
      <c r="Q3305" s="231"/>
      <c r="R3305" s="231"/>
      <c r="S3305" s="231"/>
      <c r="T3305" s="231"/>
      <c r="U3305" s="231"/>
      <c r="V3305" s="231"/>
      <c r="W3305" s="231"/>
      <c r="X3305" s="231"/>
      <c r="Y3305" s="231"/>
      <c r="Z3305" s="231"/>
      <c r="AA3305" s="231"/>
      <c r="AB3305" s="22">
        <f t="shared" si="988"/>
        <v>0</v>
      </c>
      <c r="AC3305" s="23">
        <v>0</v>
      </c>
      <c r="AD3305" s="35"/>
      <c r="AE3305" s="35"/>
      <c r="AF3305" s="35"/>
      <c r="AG3305" s="35"/>
      <c r="AH3305" s="35">
        <v>6</v>
      </c>
      <c r="AI3305" s="35"/>
      <c r="AJ3305" s="35"/>
      <c r="AK3305" s="35"/>
      <c r="AL3305" s="35">
        <v>22</v>
      </c>
      <c r="AM3305" s="35"/>
      <c r="AN3305" s="35"/>
      <c r="AO3305" s="35"/>
      <c r="AP3305" s="35">
        <v>21</v>
      </c>
      <c r="AQ3305" s="35"/>
      <c r="AR3305" s="35"/>
      <c r="AS3305" s="35"/>
      <c r="AT3305" s="35"/>
      <c r="AU3305" s="35"/>
      <c r="AV3305" s="35"/>
      <c r="AW3305" s="35"/>
      <c r="AX3305" s="35"/>
      <c r="AY3305" s="35"/>
      <c r="AZ3305" s="35"/>
      <c r="BA3305" s="35"/>
      <c r="BB3305" s="22">
        <f t="shared" si="989"/>
        <v>49</v>
      </c>
      <c r="BC3305" s="23">
        <v>115</v>
      </c>
      <c r="BD3305" s="130">
        <f t="shared" si="990"/>
        <v>49</v>
      </c>
      <c r="BE3305" s="130">
        <f t="shared" si="991"/>
        <v>115</v>
      </c>
      <c r="BF3305" s="195">
        <f t="shared" si="992"/>
        <v>42.608695652173914</v>
      </c>
      <c r="BG3305" s="373">
        <f t="shared" si="995"/>
        <v>66</v>
      </c>
    </row>
    <row r="3306" spans="1:59" s="46" customFormat="1" ht="15.95" customHeight="1">
      <c r="A3306" s="176">
        <v>128</v>
      </c>
      <c r="B3306" s="31" t="s">
        <v>952</v>
      </c>
      <c r="C3306" s="32" t="s">
        <v>953</v>
      </c>
      <c r="D3306" s="231"/>
      <c r="E3306" s="231"/>
      <c r="F3306" s="231"/>
      <c r="G3306" s="231"/>
      <c r="H3306" s="231"/>
      <c r="I3306" s="231"/>
      <c r="J3306" s="231"/>
      <c r="K3306" s="231"/>
      <c r="L3306" s="231"/>
      <c r="M3306" s="231"/>
      <c r="N3306" s="231"/>
      <c r="O3306" s="231"/>
      <c r="P3306" s="231"/>
      <c r="Q3306" s="231"/>
      <c r="R3306" s="231"/>
      <c r="S3306" s="231"/>
      <c r="T3306" s="231"/>
      <c r="U3306" s="231"/>
      <c r="V3306" s="231"/>
      <c r="W3306" s="231"/>
      <c r="X3306" s="231"/>
      <c r="Y3306" s="231"/>
      <c r="Z3306" s="231"/>
      <c r="AA3306" s="231"/>
      <c r="AB3306" s="22">
        <f t="shared" si="988"/>
        <v>0</v>
      </c>
      <c r="AC3306" s="23">
        <v>0</v>
      </c>
      <c r="AD3306" s="35"/>
      <c r="AE3306" s="35"/>
      <c r="AF3306" s="35"/>
      <c r="AG3306" s="35"/>
      <c r="AH3306" s="35"/>
      <c r="AI3306" s="35"/>
      <c r="AJ3306" s="35"/>
      <c r="AK3306" s="35"/>
      <c r="AL3306" s="35"/>
      <c r="AM3306" s="35"/>
      <c r="AN3306" s="35"/>
      <c r="AO3306" s="35"/>
      <c r="AP3306" s="35">
        <v>1</v>
      </c>
      <c r="AQ3306" s="35"/>
      <c r="AR3306" s="35"/>
      <c r="AS3306" s="35"/>
      <c r="AT3306" s="35"/>
      <c r="AU3306" s="35"/>
      <c r="AV3306" s="35"/>
      <c r="AW3306" s="35"/>
      <c r="AX3306" s="35"/>
      <c r="AY3306" s="35"/>
      <c r="AZ3306" s="35"/>
      <c r="BA3306" s="35"/>
      <c r="BB3306" s="22">
        <f t="shared" si="989"/>
        <v>1</v>
      </c>
      <c r="BC3306" s="23">
        <v>4</v>
      </c>
      <c r="BD3306" s="130">
        <f t="shared" si="990"/>
        <v>1</v>
      </c>
      <c r="BE3306" s="130">
        <f t="shared" si="991"/>
        <v>4</v>
      </c>
      <c r="BF3306" s="195">
        <f t="shared" si="992"/>
        <v>25</v>
      </c>
      <c r="BG3306" s="373">
        <f t="shared" si="995"/>
        <v>3</v>
      </c>
    </row>
    <row r="3307" spans="1:59" s="46" customFormat="1" ht="15.95" customHeight="1">
      <c r="A3307" s="176">
        <v>129</v>
      </c>
      <c r="B3307" s="31" t="s">
        <v>954</v>
      </c>
      <c r="C3307" s="32" t="s">
        <v>955</v>
      </c>
      <c r="D3307" s="231"/>
      <c r="E3307" s="231"/>
      <c r="F3307" s="231"/>
      <c r="G3307" s="231"/>
      <c r="H3307" s="231"/>
      <c r="I3307" s="231"/>
      <c r="J3307" s="231"/>
      <c r="K3307" s="231"/>
      <c r="L3307" s="231"/>
      <c r="M3307" s="231"/>
      <c r="N3307" s="231"/>
      <c r="O3307" s="231"/>
      <c r="P3307" s="231"/>
      <c r="Q3307" s="231"/>
      <c r="R3307" s="231"/>
      <c r="S3307" s="231"/>
      <c r="T3307" s="231"/>
      <c r="U3307" s="231"/>
      <c r="V3307" s="231"/>
      <c r="W3307" s="231"/>
      <c r="X3307" s="231"/>
      <c r="Y3307" s="231"/>
      <c r="Z3307" s="231"/>
      <c r="AA3307" s="231"/>
      <c r="AB3307" s="22">
        <f t="shared" ref="AB3307:AB3370" si="996">SUM(D3307:AA3307)</f>
        <v>0</v>
      </c>
      <c r="AC3307" s="23">
        <v>0</v>
      </c>
      <c r="AD3307" s="35"/>
      <c r="AE3307" s="35"/>
      <c r="AF3307" s="35"/>
      <c r="AG3307" s="35"/>
      <c r="AH3307" s="35">
        <v>1</v>
      </c>
      <c r="AI3307" s="35"/>
      <c r="AJ3307" s="35"/>
      <c r="AK3307" s="35"/>
      <c r="AL3307" s="35">
        <v>2</v>
      </c>
      <c r="AM3307" s="35"/>
      <c r="AN3307" s="35"/>
      <c r="AO3307" s="35"/>
      <c r="AP3307" s="35">
        <v>2</v>
      </c>
      <c r="AQ3307" s="35"/>
      <c r="AR3307" s="35"/>
      <c r="AS3307" s="35"/>
      <c r="AT3307" s="35"/>
      <c r="AU3307" s="35"/>
      <c r="AV3307" s="35"/>
      <c r="AW3307" s="35"/>
      <c r="AX3307" s="35"/>
      <c r="AY3307" s="35"/>
      <c r="AZ3307" s="35"/>
      <c r="BA3307" s="35"/>
      <c r="BB3307" s="22">
        <f t="shared" ref="BB3307:BB3370" si="997">SUM(AD3307:BA3307)</f>
        <v>5</v>
      </c>
      <c r="BC3307" s="23">
        <v>6</v>
      </c>
      <c r="BD3307" s="130">
        <f t="shared" ref="BD3307:BD3370" si="998">AB3307+BB3307</f>
        <v>5</v>
      </c>
      <c r="BE3307" s="130">
        <f t="shared" ref="BE3307:BE3370" si="999">AC3307+BC3307</f>
        <v>6</v>
      </c>
      <c r="BF3307" s="195">
        <f t="shared" ref="BF3307:BF3370" si="1000">BD3307/BE3307*100</f>
        <v>83.333333333333343</v>
      </c>
      <c r="BG3307" s="373">
        <f t="shared" si="995"/>
        <v>1</v>
      </c>
    </row>
    <row r="3308" spans="1:59" s="46" customFormat="1" ht="15.95" customHeight="1">
      <c r="A3308" s="176">
        <v>130</v>
      </c>
      <c r="B3308" s="31" t="s">
        <v>1349</v>
      </c>
      <c r="C3308" s="32" t="s">
        <v>1397</v>
      </c>
      <c r="D3308" s="231"/>
      <c r="E3308" s="231"/>
      <c r="F3308" s="231"/>
      <c r="G3308" s="231"/>
      <c r="H3308" s="231"/>
      <c r="I3308" s="231"/>
      <c r="J3308" s="231"/>
      <c r="K3308" s="231"/>
      <c r="L3308" s="231"/>
      <c r="M3308" s="231"/>
      <c r="N3308" s="231"/>
      <c r="O3308" s="231"/>
      <c r="P3308" s="231"/>
      <c r="Q3308" s="231"/>
      <c r="R3308" s="231"/>
      <c r="S3308" s="231"/>
      <c r="T3308" s="231"/>
      <c r="U3308" s="231"/>
      <c r="V3308" s="231"/>
      <c r="W3308" s="231"/>
      <c r="X3308" s="231"/>
      <c r="Y3308" s="231"/>
      <c r="Z3308" s="231"/>
      <c r="AA3308" s="231"/>
      <c r="AB3308" s="22">
        <f t="shared" si="996"/>
        <v>0</v>
      </c>
      <c r="AC3308" s="23">
        <v>0</v>
      </c>
      <c r="AD3308" s="35"/>
      <c r="AE3308" s="35"/>
      <c r="AF3308" s="35"/>
      <c r="AG3308" s="35"/>
      <c r="AH3308" s="35"/>
      <c r="AI3308" s="35"/>
      <c r="AJ3308" s="35"/>
      <c r="AK3308" s="35"/>
      <c r="AL3308" s="35"/>
      <c r="AM3308" s="35"/>
      <c r="AN3308" s="35"/>
      <c r="AO3308" s="35"/>
      <c r="AP3308" s="35">
        <v>1</v>
      </c>
      <c r="AQ3308" s="35"/>
      <c r="AR3308" s="35"/>
      <c r="AS3308" s="35"/>
      <c r="AT3308" s="35"/>
      <c r="AU3308" s="35"/>
      <c r="AV3308" s="35"/>
      <c r="AW3308" s="35"/>
      <c r="AX3308" s="35"/>
      <c r="AY3308" s="35"/>
      <c r="AZ3308" s="35"/>
      <c r="BA3308" s="35"/>
      <c r="BB3308" s="22">
        <f t="shared" si="997"/>
        <v>1</v>
      </c>
      <c r="BC3308" s="23">
        <v>2</v>
      </c>
      <c r="BD3308" s="130">
        <f t="shared" si="998"/>
        <v>1</v>
      </c>
      <c r="BE3308" s="130">
        <f t="shared" si="999"/>
        <v>2</v>
      </c>
      <c r="BF3308" s="195">
        <f t="shared" si="1000"/>
        <v>50</v>
      </c>
      <c r="BG3308" s="373">
        <f t="shared" si="995"/>
        <v>1</v>
      </c>
    </row>
    <row r="3309" spans="1:59" s="46" customFormat="1" ht="15.95" customHeight="1">
      <c r="A3309" s="176">
        <v>131</v>
      </c>
      <c r="B3309" s="31" t="s">
        <v>1398</v>
      </c>
      <c r="C3309" s="32" t="s">
        <v>1399</v>
      </c>
      <c r="D3309" s="231"/>
      <c r="E3309" s="231"/>
      <c r="F3309" s="231"/>
      <c r="G3309" s="231"/>
      <c r="H3309" s="231"/>
      <c r="I3309" s="231"/>
      <c r="J3309" s="231"/>
      <c r="K3309" s="231"/>
      <c r="L3309" s="231"/>
      <c r="M3309" s="231"/>
      <c r="N3309" s="231"/>
      <c r="O3309" s="231"/>
      <c r="P3309" s="231"/>
      <c r="Q3309" s="231"/>
      <c r="R3309" s="231"/>
      <c r="S3309" s="231"/>
      <c r="T3309" s="231"/>
      <c r="U3309" s="231"/>
      <c r="V3309" s="231"/>
      <c r="W3309" s="231"/>
      <c r="X3309" s="231"/>
      <c r="Y3309" s="231"/>
      <c r="Z3309" s="231"/>
      <c r="AA3309" s="231"/>
      <c r="AB3309" s="22">
        <f t="shared" si="996"/>
        <v>0</v>
      </c>
      <c r="AC3309" s="23">
        <v>0</v>
      </c>
      <c r="AD3309" s="35"/>
      <c r="AE3309" s="35"/>
      <c r="AF3309" s="35"/>
      <c r="AG3309" s="35"/>
      <c r="AH3309" s="35"/>
      <c r="AI3309" s="35"/>
      <c r="AJ3309" s="35"/>
      <c r="AK3309" s="35"/>
      <c r="AL3309" s="35">
        <v>1</v>
      </c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  <c r="AX3309" s="35"/>
      <c r="AY3309" s="35"/>
      <c r="AZ3309" s="35"/>
      <c r="BA3309" s="35"/>
      <c r="BB3309" s="22">
        <f t="shared" si="997"/>
        <v>1</v>
      </c>
      <c r="BC3309" s="23">
        <v>1</v>
      </c>
      <c r="BD3309" s="130">
        <f t="shared" si="998"/>
        <v>1</v>
      </c>
      <c r="BE3309" s="130">
        <f t="shared" si="999"/>
        <v>1</v>
      </c>
      <c r="BF3309" s="195">
        <f t="shared" si="1000"/>
        <v>100</v>
      </c>
      <c r="BG3309" s="373">
        <f t="shared" si="995"/>
        <v>0</v>
      </c>
    </row>
    <row r="3310" spans="1:59" s="46" customFormat="1" ht="15.95" customHeight="1">
      <c r="A3310" s="176">
        <v>132</v>
      </c>
      <c r="B3310" s="31" t="s">
        <v>957</v>
      </c>
      <c r="C3310" s="32" t="s">
        <v>1598</v>
      </c>
      <c r="D3310" s="231"/>
      <c r="E3310" s="231"/>
      <c r="F3310" s="231"/>
      <c r="G3310" s="231"/>
      <c r="H3310" s="231"/>
      <c r="I3310" s="231"/>
      <c r="J3310" s="231"/>
      <c r="K3310" s="231"/>
      <c r="L3310" s="231"/>
      <c r="M3310" s="231"/>
      <c r="N3310" s="231"/>
      <c r="O3310" s="231"/>
      <c r="P3310" s="231"/>
      <c r="Q3310" s="231"/>
      <c r="R3310" s="231"/>
      <c r="S3310" s="231"/>
      <c r="T3310" s="231"/>
      <c r="U3310" s="231"/>
      <c r="V3310" s="231"/>
      <c r="W3310" s="231"/>
      <c r="X3310" s="231"/>
      <c r="Y3310" s="231"/>
      <c r="Z3310" s="231"/>
      <c r="AA3310" s="231"/>
      <c r="AB3310" s="22">
        <f t="shared" si="996"/>
        <v>0</v>
      </c>
      <c r="AC3310" s="23">
        <v>0</v>
      </c>
      <c r="AD3310" s="35"/>
      <c r="AE3310" s="35"/>
      <c r="AF3310" s="35"/>
      <c r="AG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  <c r="AX3310" s="35"/>
      <c r="AY3310" s="35"/>
      <c r="AZ3310" s="35"/>
      <c r="BA3310" s="35"/>
      <c r="BB3310" s="22">
        <f t="shared" si="997"/>
        <v>0</v>
      </c>
      <c r="BC3310" s="23">
        <v>2</v>
      </c>
      <c r="BD3310" s="130">
        <f t="shared" si="998"/>
        <v>0</v>
      </c>
      <c r="BE3310" s="130">
        <f t="shared" si="999"/>
        <v>2</v>
      </c>
      <c r="BF3310" s="195">
        <f t="shared" si="1000"/>
        <v>0</v>
      </c>
      <c r="BG3310" s="373">
        <f t="shared" si="995"/>
        <v>2</v>
      </c>
    </row>
    <row r="3311" spans="1:59" s="46" customFormat="1" ht="15.95" customHeight="1">
      <c r="A3311" s="176">
        <v>133</v>
      </c>
      <c r="B3311" s="31" t="s">
        <v>959</v>
      </c>
      <c r="C3311" s="32" t="s">
        <v>2151</v>
      </c>
      <c r="D3311" s="231"/>
      <c r="E3311" s="231"/>
      <c r="F3311" s="231"/>
      <c r="G3311" s="231"/>
      <c r="H3311" s="231"/>
      <c r="I3311" s="231"/>
      <c r="J3311" s="231"/>
      <c r="K3311" s="231"/>
      <c r="L3311" s="231"/>
      <c r="M3311" s="231"/>
      <c r="N3311" s="231"/>
      <c r="O3311" s="231"/>
      <c r="P3311" s="231"/>
      <c r="Q3311" s="231"/>
      <c r="R3311" s="231"/>
      <c r="S3311" s="231"/>
      <c r="T3311" s="231"/>
      <c r="U3311" s="231"/>
      <c r="V3311" s="231"/>
      <c r="W3311" s="231"/>
      <c r="X3311" s="231"/>
      <c r="Y3311" s="231"/>
      <c r="Z3311" s="231"/>
      <c r="AA3311" s="231"/>
      <c r="AB3311" s="22">
        <f t="shared" si="996"/>
        <v>0</v>
      </c>
      <c r="AC3311" s="23">
        <v>0</v>
      </c>
      <c r="AD3311" s="35"/>
      <c r="AE3311" s="35"/>
      <c r="AF3311" s="35"/>
      <c r="AG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  <c r="AX3311" s="35"/>
      <c r="AY3311" s="35"/>
      <c r="AZ3311" s="35"/>
      <c r="BA3311" s="35"/>
      <c r="BB3311" s="22">
        <f t="shared" si="997"/>
        <v>0</v>
      </c>
      <c r="BC3311" s="23">
        <v>1</v>
      </c>
      <c r="BD3311" s="130">
        <f t="shared" si="998"/>
        <v>0</v>
      </c>
      <c r="BE3311" s="130">
        <f t="shared" si="999"/>
        <v>1</v>
      </c>
      <c r="BF3311" s="195">
        <f t="shared" si="1000"/>
        <v>0</v>
      </c>
      <c r="BG3311" s="373">
        <f t="shared" si="995"/>
        <v>1</v>
      </c>
    </row>
    <row r="3312" spans="1:59" s="46" customFormat="1" ht="15.95" customHeight="1">
      <c r="A3312" s="176">
        <v>134</v>
      </c>
      <c r="B3312" s="31" t="s">
        <v>961</v>
      </c>
      <c r="C3312" s="32" t="s">
        <v>1599</v>
      </c>
      <c r="D3312" s="231"/>
      <c r="E3312" s="231"/>
      <c r="F3312" s="231"/>
      <c r="G3312" s="231"/>
      <c r="H3312" s="231"/>
      <c r="I3312" s="231"/>
      <c r="J3312" s="231"/>
      <c r="K3312" s="231"/>
      <c r="L3312" s="231"/>
      <c r="M3312" s="231"/>
      <c r="N3312" s="231"/>
      <c r="O3312" s="231"/>
      <c r="P3312" s="231"/>
      <c r="Q3312" s="231"/>
      <c r="R3312" s="231"/>
      <c r="S3312" s="231"/>
      <c r="T3312" s="231"/>
      <c r="U3312" s="231"/>
      <c r="V3312" s="231"/>
      <c r="W3312" s="231"/>
      <c r="X3312" s="231"/>
      <c r="Y3312" s="231"/>
      <c r="Z3312" s="231"/>
      <c r="AA3312" s="231"/>
      <c r="AB3312" s="22">
        <f t="shared" si="996"/>
        <v>0</v>
      </c>
      <c r="AC3312" s="23">
        <v>0</v>
      </c>
      <c r="AD3312" s="35"/>
      <c r="AE3312" s="35"/>
      <c r="AF3312" s="35"/>
      <c r="AG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  <c r="AX3312" s="35"/>
      <c r="AY3312" s="35"/>
      <c r="AZ3312" s="35"/>
      <c r="BA3312" s="35"/>
      <c r="BB3312" s="22">
        <f t="shared" si="997"/>
        <v>0</v>
      </c>
      <c r="BC3312" s="23">
        <v>1</v>
      </c>
      <c r="BD3312" s="130">
        <f t="shared" si="998"/>
        <v>0</v>
      </c>
      <c r="BE3312" s="130">
        <f t="shared" si="999"/>
        <v>1</v>
      </c>
      <c r="BF3312" s="195">
        <f t="shared" si="1000"/>
        <v>0</v>
      </c>
      <c r="BG3312" s="373">
        <f t="shared" si="995"/>
        <v>1</v>
      </c>
    </row>
    <row r="3313" spans="1:59" s="46" customFormat="1" ht="15.95" customHeight="1">
      <c r="A3313" s="176">
        <v>135</v>
      </c>
      <c r="B3313" s="31" t="s">
        <v>1355</v>
      </c>
      <c r="C3313" s="32" t="s">
        <v>1505</v>
      </c>
      <c r="D3313" s="231"/>
      <c r="E3313" s="231"/>
      <c r="F3313" s="231"/>
      <c r="G3313" s="231"/>
      <c r="H3313" s="231"/>
      <c r="I3313" s="231"/>
      <c r="J3313" s="231"/>
      <c r="K3313" s="231"/>
      <c r="L3313" s="231"/>
      <c r="M3313" s="231"/>
      <c r="N3313" s="231"/>
      <c r="O3313" s="231"/>
      <c r="P3313" s="231"/>
      <c r="Q3313" s="231"/>
      <c r="R3313" s="231"/>
      <c r="S3313" s="231"/>
      <c r="T3313" s="231"/>
      <c r="U3313" s="231"/>
      <c r="V3313" s="231"/>
      <c r="W3313" s="231"/>
      <c r="X3313" s="231"/>
      <c r="Y3313" s="231"/>
      <c r="Z3313" s="231"/>
      <c r="AA3313" s="231"/>
      <c r="AB3313" s="22">
        <f t="shared" si="996"/>
        <v>0</v>
      </c>
      <c r="AC3313" s="23">
        <v>0</v>
      </c>
      <c r="AD3313" s="35"/>
      <c r="AE3313" s="35"/>
      <c r="AF3313" s="35"/>
      <c r="AG3313" s="35"/>
      <c r="AH3313" s="35"/>
      <c r="AI3313" s="35"/>
      <c r="AJ3313" s="35"/>
      <c r="AK3313" s="35"/>
      <c r="AL3313" s="35"/>
      <c r="AM3313" s="35"/>
      <c r="AN3313" s="35"/>
      <c r="AO3313" s="35"/>
      <c r="AP3313" s="35">
        <v>1</v>
      </c>
      <c r="AQ3313" s="35"/>
      <c r="AR3313" s="35"/>
      <c r="AS3313" s="35"/>
      <c r="AT3313" s="35"/>
      <c r="AU3313" s="35"/>
      <c r="AV3313" s="35"/>
      <c r="AW3313" s="35"/>
      <c r="AX3313" s="35"/>
      <c r="AY3313" s="35"/>
      <c r="AZ3313" s="35"/>
      <c r="BA3313" s="35"/>
      <c r="BB3313" s="22">
        <f t="shared" si="997"/>
        <v>1</v>
      </c>
      <c r="BC3313" s="23">
        <v>2</v>
      </c>
      <c r="BD3313" s="130">
        <f t="shared" si="998"/>
        <v>1</v>
      </c>
      <c r="BE3313" s="130">
        <f t="shared" si="999"/>
        <v>2</v>
      </c>
      <c r="BF3313" s="195">
        <f t="shared" si="1000"/>
        <v>50</v>
      </c>
      <c r="BG3313" s="373">
        <f t="shared" si="995"/>
        <v>1</v>
      </c>
    </row>
    <row r="3314" spans="1:59" s="46" customFormat="1" ht="15.95" customHeight="1">
      <c r="A3314" s="176">
        <v>136</v>
      </c>
      <c r="B3314" s="31" t="s">
        <v>963</v>
      </c>
      <c r="C3314" s="32" t="s">
        <v>2020</v>
      </c>
      <c r="D3314" s="231"/>
      <c r="E3314" s="231"/>
      <c r="F3314" s="231"/>
      <c r="G3314" s="231"/>
      <c r="H3314" s="231"/>
      <c r="I3314" s="231"/>
      <c r="J3314" s="231"/>
      <c r="K3314" s="231"/>
      <c r="L3314" s="231"/>
      <c r="M3314" s="231"/>
      <c r="N3314" s="231"/>
      <c r="O3314" s="231"/>
      <c r="P3314" s="231"/>
      <c r="Q3314" s="231"/>
      <c r="R3314" s="231"/>
      <c r="S3314" s="231"/>
      <c r="T3314" s="231"/>
      <c r="U3314" s="231"/>
      <c r="V3314" s="231"/>
      <c r="W3314" s="231"/>
      <c r="X3314" s="231"/>
      <c r="Y3314" s="231"/>
      <c r="Z3314" s="231"/>
      <c r="AA3314" s="231"/>
      <c r="AB3314" s="22">
        <f t="shared" si="996"/>
        <v>0</v>
      </c>
      <c r="AC3314" s="23">
        <v>0</v>
      </c>
      <c r="AD3314" s="35"/>
      <c r="AE3314" s="35"/>
      <c r="AF3314" s="35"/>
      <c r="AG3314" s="35"/>
      <c r="AH3314" s="35"/>
      <c r="AI3314" s="35"/>
      <c r="AJ3314" s="35"/>
      <c r="AK3314" s="35"/>
      <c r="AL3314" s="35">
        <v>1</v>
      </c>
      <c r="AM3314" s="35"/>
      <c r="AN3314" s="35"/>
      <c r="AO3314" s="35"/>
      <c r="AP3314" s="35">
        <v>2</v>
      </c>
      <c r="AQ3314" s="35"/>
      <c r="AR3314" s="35"/>
      <c r="AS3314" s="35"/>
      <c r="AT3314" s="35"/>
      <c r="AU3314" s="35"/>
      <c r="AV3314" s="35"/>
      <c r="AW3314" s="35"/>
      <c r="AX3314" s="35"/>
      <c r="AY3314" s="35"/>
      <c r="AZ3314" s="35"/>
      <c r="BA3314" s="35"/>
      <c r="BB3314" s="22">
        <f t="shared" si="997"/>
        <v>3</v>
      </c>
      <c r="BC3314" s="23">
        <v>0</v>
      </c>
      <c r="BD3314" s="130">
        <f t="shared" si="998"/>
        <v>3</v>
      </c>
      <c r="BE3314" s="130">
        <f t="shared" si="999"/>
        <v>0</v>
      </c>
      <c r="BF3314" s="195" t="e">
        <f t="shared" si="1000"/>
        <v>#DIV/0!</v>
      </c>
      <c r="BG3314" s="373">
        <f t="shared" si="995"/>
        <v>-3</v>
      </c>
    </row>
    <row r="3315" spans="1:59" s="46" customFormat="1" ht="15.95" customHeight="1">
      <c r="A3315" s="176">
        <v>137</v>
      </c>
      <c r="B3315" s="31" t="s">
        <v>965</v>
      </c>
      <c r="C3315" s="32" t="s">
        <v>966</v>
      </c>
      <c r="D3315" s="231"/>
      <c r="E3315" s="231"/>
      <c r="F3315" s="231"/>
      <c r="G3315" s="231"/>
      <c r="H3315" s="231"/>
      <c r="I3315" s="231"/>
      <c r="J3315" s="231"/>
      <c r="K3315" s="231"/>
      <c r="L3315" s="231"/>
      <c r="M3315" s="231"/>
      <c r="N3315" s="231"/>
      <c r="O3315" s="231"/>
      <c r="P3315" s="231"/>
      <c r="Q3315" s="231"/>
      <c r="R3315" s="231"/>
      <c r="S3315" s="231"/>
      <c r="T3315" s="231"/>
      <c r="U3315" s="231"/>
      <c r="V3315" s="231"/>
      <c r="W3315" s="231"/>
      <c r="X3315" s="231"/>
      <c r="Y3315" s="231"/>
      <c r="Z3315" s="231"/>
      <c r="AA3315" s="231"/>
      <c r="AB3315" s="22">
        <f t="shared" si="996"/>
        <v>0</v>
      </c>
      <c r="AC3315" s="23">
        <v>0</v>
      </c>
      <c r="AD3315" s="35"/>
      <c r="AE3315" s="35"/>
      <c r="AF3315" s="35"/>
      <c r="AG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  <c r="AX3315" s="35"/>
      <c r="AY3315" s="35"/>
      <c r="AZ3315" s="35"/>
      <c r="BA3315" s="35"/>
      <c r="BB3315" s="22">
        <f t="shared" si="997"/>
        <v>0</v>
      </c>
      <c r="BC3315" s="23">
        <v>1</v>
      </c>
      <c r="BD3315" s="130">
        <f t="shared" si="998"/>
        <v>0</v>
      </c>
      <c r="BE3315" s="130">
        <f t="shared" si="999"/>
        <v>1</v>
      </c>
      <c r="BF3315" s="195">
        <f t="shared" si="1000"/>
        <v>0</v>
      </c>
      <c r="BG3315" s="373">
        <f t="shared" si="995"/>
        <v>1</v>
      </c>
    </row>
    <row r="3316" spans="1:59" s="46" customFormat="1" ht="15.95" customHeight="1">
      <c r="A3316" s="176">
        <v>138</v>
      </c>
      <c r="B3316" s="31" t="s">
        <v>967</v>
      </c>
      <c r="C3316" s="32" t="s">
        <v>968</v>
      </c>
      <c r="D3316" s="231"/>
      <c r="E3316" s="231"/>
      <c r="F3316" s="231"/>
      <c r="G3316" s="231"/>
      <c r="H3316" s="231"/>
      <c r="I3316" s="231"/>
      <c r="J3316" s="231"/>
      <c r="K3316" s="231"/>
      <c r="L3316" s="231"/>
      <c r="M3316" s="231"/>
      <c r="N3316" s="231"/>
      <c r="O3316" s="231"/>
      <c r="P3316" s="231"/>
      <c r="Q3316" s="231"/>
      <c r="R3316" s="231"/>
      <c r="S3316" s="231"/>
      <c r="T3316" s="231"/>
      <c r="U3316" s="231"/>
      <c r="V3316" s="231"/>
      <c r="W3316" s="231"/>
      <c r="X3316" s="231"/>
      <c r="Y3316" s="231"/>
      <c r="Z3316" s="231"/>
      <c r="AA3316" s="231"/>
      <c r="AB3316" s="22">
        <f t="shared" si="996"/>
        <v>0</v>
      </c>
      <c r="AC3316" s="23">
        <v>0</v>
      </c>
      <c r="AD3316" s="35"/>
      <c r="AE3316" s="35"/>
      <c r="AF3316" s="35"/>
      <c r="AG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  <c r="AX3316" s="35"/>
      <c r="AY3316" s="35"/>
      <c r="AZ3316" s="35"/>
      <c r="BA3316" s="35"/>
      <c r="BB3316" s="22">
        <f t="shared" si="997"/>
        <v>0</v>
      </c>
      <c r="BC3316" s="23">
        <v>2</v>
      </c>
      <c r="BD3316" s="130">
        <f t="shared" si="998"/>
        <v>0</v>
      </c>
      <c r="BE3316" s="130">
        <f t="shared" si="999"/>
        <v>2</v>
      </c>
      <c r="BF3316" s="195">
        <f t="shared" si="1000"/>
        <v>0</v>
      </c>
      <c r="BG3316" s="373">
        <f t="shared" si="995"/>
        <v>2</v>
      </c>
    </row>
    <row r="3317" spans="1:59" s="46" customFormat="1" ht="15.95" customHeight="1">
      <c r="A3317" s="176">
        <v>139</v>
      </c>
      <c r="B3317" s="31" t="s">
        <v>969</v>
      </c>
      <c r="C3317" s="32" t="s">
        <v>1086</v>
      </c>
      <c r="D3317" s="231"/>
      <c r="E3317" s="231"/>
      <c r="F3317" s="231"/>
      <c r="G3317" s="231"/>
      <c r="H3317" s="231"/>
      <c r="I3317" s="231"/>
      <c r="J3317" s="231"/>
      <c r="K3317" s="231"/>
      <c r="L3317" s="231"/>
      <c r="M3317" s="231"/>
      <c r="N3317" s="231"/>
      <c r="O3317" s="231"/>
      <c r="P3317" s="231"/>
      <c r="Q3317" s="231"/>
      <c r="R3317" s="231"/>
      <c r="S3317" s="231"/>
      <c r="T3317" s="231"/>
      <c r="U3317" s="231"/>
      <c r="V3317" s="231"/>
      <c r="W3317" s="231"/>
      <c r="X3317" s="231"/>
      <c r="Y3317" s="231"/>
      <c r="Z3317" s="231"/>
      <c r="AA3317" s="231"/>
      <c r="AB3317" s="22">
        <f t="shared" si="996"/>
        <v>0</v>
      </c>
      <c r="AC3317" s="23">
        <v>0</v>
      </c>
      <c r="AD3317" s="35"/>
      <c r="AE3317" s="35"/>
      <c r="AF3317" s="35"/>
      <c r="AG3317" s="35"/>
      <c r="AH3317" s="35">
        <v>1</v>
      </c>
      <c r="AI3317" s="35"/>
      <c r="AJ3317" s="35"/>
      <c r="AK3317" s="35"/>
      <c r="AL3317" s="35">
        <v>3</v>
      </c>
      <c r="AM3317" s="35"/>
      <c r="AN3317" s="35"/>
      <c r="AO3317" s="35"/>
      <c r="AP3317" s="35">
        <v>1</v>
      </c>
      <c r="AQ3317" s="35"/>
      <c r="AR3317" s="35"/>
      <c r="AS3317" s="35"/>
      <c r="AT3317" s="35"/>
      <c r="AU3317" s="35"/>
      <c r="AV3317" s="35"/>
      <c r="AW3317" s="35"/>
      <c r="AX3317" s="35"/>
      <c r="AY3317" s="35"/>
      <c r="AZ3317" s="35"/>
      <c r="BA3317" s="35"/>
      <c r="BB3317" s="22">
        <f t="shared" si="997"/>
        <v>5</v>
      </c>
      <c r="BC3317" s="23">
        <v>20</v>
      </c>
      <c r="BD3317" s="130">
        <f t="shared" si="998"/>
        <v>5</v>
      </c>
      <c r="BE3317" s="130">
        <f t="shared" si="999"/>
        <v>20</v>
      </c>
      <c r="BF3317" s="195">
        <f t="shared" si="1000"/>
        <v>25</v>
      </c>
      <c r="BG3317" s="373">
        <f t="shared" si="995"/>
        <v>15</v>
      </c>
    </row>
    <row r="3318" spans="1:59" s="46" customFormat="1" ht="15.95" customHeight="1">
      <c r="A3318" s="176">
        <v>140</v>
      </c>
      <c r="B3318" s="31" t="s">
        <v>2184</v>
      </c>
      <c r="C3318" s="32" t="s">
        <v>2185</v>
      </c>
      <c r="D3318" s="231"/>
      <c r="E3318" s="231"/>
      <c r="F3318" s="231"/>
      <c r="G3318" s="231"/>
      <c r="H3318" s="231"/>
      <c r="I3318" s="231"/>
      <c r="J3318" s="231"/>
      <c r="K3318" s="231"/>
      <c r="L3318" s="231"/>
      <c r="M3318" s="231"/>
      <c r="N3318" s="231"/>
      <c r="O3318" s="231"/>
      <c r="P3318" s="231"/>
      <c r="Q3318" s="231"/>
      <c r="R3318" s="231"/>
      <c r="S3318" s="231"/>
      <c r="T3318" s="231"/>
      <c r="U3318" s="231"/>
      <c r="V3318" s="231"/>
      <c r="W3318" s="231"/>
      <c r="X3318" s="231"/>
      <c r="Y3318" s="231"/>
      <c r="Z3318" s="231"/>
      <c r="AA3318" s="231"/>
      <c r="AB3318" s="22">
        <f t="shared" si="996"/>
        <v>0</v>
      </c>
      <c r="AC3318" s="23">
        <v>0</v>
      </c>
      <c r="AD3318" s="35"/>
      <c r="AE3318" s="35"/>
      <c r="AF3318" s="35"/>
      <c r="AG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  <c r="AX3318" s="35"/>
      <c r="AY3318" s="35"/>
      <c r="AZ3318" s="35"/>
      <c r="BA3318" s="35"/>
      <c r="BB3318" s="22">
        <f t="shared" si="997"/>
        <v>0</v>
      </c>
      <c r="BC3318" s="23">
        <v>7</v>
      </c>
      <c r="BD3318" s="130">
        <f t="shared" si="998"/>
        <v>0</v>
      </c>
      <c r="BE3318" s="130">
        <f t="shared" si="999"/>
        <v>7</v>
      </c>
      <c r="BF3318" s="195">
        <f t="shared" si="1000"/>
        <v>0</v>
      </c>
      <c r="BG3318" s="373">
        <f t="shared" si="995"/>
        <v>7</v>
      </c>
    </row>
    <row r="3319" spans="1:59" s="46" customFormat="1" ht="15.95" customHeight="1">
      <c r="A3319" s="176">
        <v>141</v>
      </c>
      <c r="B3319" s="31" t="s">
        <v>1049</v>
      </c>
      <c r="C3319" s="32" t="s">
        <v>1050</v>
      </c>
      <c r="D3319" s="552"/>
      <c r="E3319" s="552"/>
      <c r="F3319" s="552"/>
      <c r="G3319" s="552"/>
      <c r="H3319" s="552"/>
      <c r="I3319" s="552"/>
      <c r="J3319" s="552"/>
      <c r="K3319" s="552"/>
      <c r="L3319" s="552"/>
      <c r="M3319" s="552"/>
      <c r="N3319" s="552"/>
      <c r="O3319" s="552"/>
      <c r="P3319" s="552"/>
      <c r="Q3319" s="552"/>
      <c r="R3319" s="552"/>
      <c r="S3319" s="552"/>
      <c r="T3319" s="552"/>
      <c r="U3319" s="552"/>
      <c r="V3319" s="552"/>
      <c r="W3319" s="552"/>
      <c r="X3319" s="552"/>
      <c r="Y3319" s="552"/>
      <c r="Z3319" s="552"/>
      <c r="AA3319" s="552"/>
      <c r="AB3319" s="22">
        <f t="shared" si="996"/>
        <v>0</v>
      </c>
      <c r="AC3319" s="23">
        <v>0</v>
      </c>
      <c r="AD3319" s="35"/>
      <c r="AE3319" s="35"/>
      <c r="AF3319" s="35"/>
      <c r="AG3319" s="35"/>
      <c r="AH3319" s="35"/>
      <c r="AI3319" s="35"/>
      <c r="AJ3319" s="35"/>
      <c r="AK3319" s="35"/>
      <c r="AL3319" s="35">
        <v>14</v>
      </c>
      <c r="AM3319" s="35"/>
      <c r="AN3319" s="35"/>
      <c r="AO3319" s="35"/>
      <c r="AP3319" s="35">
        <v>11</v>
      </c>
      <c r="AQ3319" s="35"/>
      <c r="AR3319" s="35"/>
      <c r="AS3319" s="35"/>
      <c r="AT3319" s="35"/>
      <c r="AU3319" s="35"/>
      <c r="AV3319" s="35"/>
      <c r="AW3319" s="35"/>
      <c r="AX3319" s="35"/>
      <c r="AY3319" s="35"/>
      <c r="AZ3319" s="35"/>
      <c r="BA3319" s="35"/>
      <c r="BB3319" s="22">
        <f t="shared" si="997"/>
        <v>25</v>
      </c>
      <c r="BC3319" s="23">
        <v>0</v>
      </c>
      <c r="BD3319" s="130">
        <f t="shared" si="998"/>
        <v>25</v>
      </c>
      <c r="BE3319" s="130">
        <f t="shared" si="999"/>
        <v>0</v>
      </c>
      <c r="BF3319" s="195" t="e">
        <f t="shared" si="1000"/>
        <v>#DIV/0!</v>
      </c>
      <c r="BG3319" s="373"/>
    </row>
    <row r="3320" spans="1:59" s="46" customFormat="1" ht="15.95" customHeight="1">
      <c r="A3320" s="176">
        <v>142</v>
      </c>
      <c r="B3320" s="31" t="s">
        <v>3998</v>
      </c>
      <c r="C3320" s="32" t="s">
        <v>3999</v>
      </c>
      <c r="D3320" s="552"/>
      <c r="E3320" s="552"/>
      <c r="F3320" s="552"/>
      <c r="G3320" s="552"/>
      <c r="H3320" s="552"/>
      <c r="I3320" s="552"/>
      <c r="J3320" s="552"/>
      <c r="K3320" s="552"/>
      <c r="L3320" s="552"/>
      <c r="M3320" s="552"/>
      <c r="N3320" s="552"/>
      <c r="O3320" s="552"/>
      <c r="P3320" s="552"/>
      <c r="Q3320" s="552"/>
      <c r="R3320" s="552"/>
      <c r="S3320" s="552"/>
      <c r="T3320" s="552"/>
      <c r="U3320" s="552"/>
      <c r="V3320" s="552"/>
      <c r="W3320" s="552"/>
      <c r="X3320" s="552"/>
      <c r="Y3320" s="552"/>
      <c r="Z3320" s="552"/>
      <c r="AA3320" s="552"/>
      <c r="AB3320" s="22">
        <f t="shared" si="996"/>
        <v>0</v>
      </c>
      <c r="AC3320" s="23">
        <v>0</v>
      </c>
      <c r="AD3320" s="35"/>
      <c r="AE3320" s="35"/>
      <c r="AF3320" s="35"/>
      <c r="AG3320" s="35"/>
      <c r="AH3320" s="35"/>
      <c r="AI3320" s="35"/>
      <c r="AJ3320" s="35"/>
      <c r="AK3320" s="35"/>
      <c r="AL3320" s="35">
        <v>1</v>
      </c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  <c r="AX3320" s="35"/>
      <c r="AY3320" s="35"/>
      <c r="AZ3320" s="35"/>
      <c r="BA3320" s="35"/>
      <c r="BB3320" s="22">
        <f t="shared" si="997"/>
        <v>1</v>
      </c>
      <c r="BC3320" s="23">
        <v>0</v>
      </c>
      <c r="BD3320" s="130">
        <f t="shared" si="998"/>
        <v>1</v>
      </c>
      <c r="BE3320" s="130">
        <f t="shared" si="999"/>
        <v>0</v>
      </c>
      <c r="BF3320" s="195" t="e">
        <f t="shared" si="1000"/>
        <v>#DIV/0!</v>
      </c>
      <c r="BG3320" s="373"/>
    </row>
    <row r="3321" spans="1:59" s="46" customFormat="1" ht="15.95" customHeight="1">
      <c r="A3321" s="176">
        <v>143</v>
      </c>
      <c r="B3321" s="31" t="s">
        <v>3957</v>
      </c>
      <c r="C3321" s="32" t="s">
        <v>3958</v>
      </c>
      <c r="D3321" s="542"/>
      <c r="E3321" s="542"/>
      <c r="F3321" s="542"/>
      <c r="G3321" s="542"/>
      <c r="H3321" s="542"/>
      <c r="I3321" s="542"/>
      <c r="J3321" s="542"/>
      <c r="K3321" s="542"/>
      <c r="L3321" s="542"/>
      <c r="M3321" s="542"/>
      <c r="N3321" s="542"/>
      <c r="O3321" s="542"/>
      <c r="P3321" s="542"/>
      <c r="Q3321" s="542"/>
      <c r="R3321" s="542"/>
      <c r="S3321" s="542"/>
      <c r="T3321" s="542"/>
      <c r="U3321" s="542"/>
      <c r="V3321" s="542"/>
      <c r="W3321" s="542"/>
      <c r="X3321" s="542"/>
      <c r="Y3321" s="542"/>
      <c r="Z3321" s="542"/>
      <c r="AA3321" s="542"/>
      <c r="AB3321" s="22">
        <f t="shared" si="996"/>
        <v>0</v>
      </c>
      <c r="AC3321" s="23">
        <v>0</v>
      </c>
      <c r="AD3321" s="35"/>
      <c r="AE3321" s="35"/>
      <c r="AF3321" s="35"/>
      <c r="AG3321" s="35"/>
      <c r="AH3321" s="35"/>
      <c r="AI3321" s="35"/>
      <c r="AJ3321" s="35"/>
      <c r="AK3321" s="35"/>
      <c r="AL3321" s="35">
        <v>1</v>
      </c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  <c r="AX3321" s="35"/>
      <c r="AY3321" s="35"/>
      <c r="AZ3321" s="35"/>
      <c r="BA3321" s="35"/>
      <c r="BB3321" s="22">
        <f t="shared" si="997"/>
        <v>1</v>
      </c>
      <c r="BC3321" s="23">
        <v>0</v>
      </c>
      <c r="BD3321" s="130">
        <f t="shared" si="998"/>
        <v>1</v>
      </c>
      <c r="BE3321" s="130">
        <f t="shared" si="999"/>
        <v>0</v>
      </c>
      <c r="BF3321" s="195" t="e">
        <f t="shared" si="1000"/>
        <v>#DIV/0!</v>
      </c>
      <c r="BG3321" s="373"/>
    </row>
    <row r="3322" spans="1:59" s="46" customFormat="1" ht="15.95" customHeight="1">
      <c r="A3322" s="176">
        <v>144</v>
      </c>
      <c r="B3322" s="31" t="s">
        <v>1600</v>
      </c>
      <c r="C3322" s="34" t="s">
        <v>1601</v>
      </c>
      <c r="D3322" s="231">
        <v>162</v>
      </c>
      <c r="E3322" s="231"/>
      <c r="F3322" s="231"/>
      <c r="G3322" s="231"/>
      <c r="H3322" s="231">
        <v>104</v>
      </c>
      <c r="I3322" s="231"/>
      <c r="J3322" s="231"/>
      <c r="K3322" s="231"/>
      <c r="L3322" s="231">
        <v>257</v>
      </c>
      <c r="M3322" s="231"/>
      <c r="N3322" s="231"/>
      <c r="O3322" s="231"/>
      <c r="P3322" s="231">
        <v>22</v>
      </c>
      <c r="Q3322" s="231"/>
      <c r="R3322" s="231"/>
      <c r="S3322" s="231"/>
      <c r="T3322" s="231"/>
      <c r="U3322" s="231"/>
      <c r="V3322" s="231"/>
      <c r="W3322" s="231"/>
      <c r="X3322" s="231"/>
      <c r="Y3322" s="231"/>
      <c r="Z3322" s="231"/>
      <c r="AA3322" s="231"/>
      <c r="AB3322" s="22">
        <f t="shared" si="996"/>
        <v>545</v>
      </c>
      <c r="AC3322" s="23">
        <v>224</v>
      </c>
      <c r="AD3322" s="35"/>
      <c r="AE3322" s="35"/>
      <c r="AF3322" s="35"/>
      <c r="AG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  <c r="AX3322" s="35"/>
      <c r="AY3322" s="35"/>
      <c r="AZ3322" s="35"/>
      <c r="BA3322" s="35"/>
      <c r="BB3322" s="22">
        <f t="shared" si="997"/>
        <v>0</v>
      </c>
      <c r="BC3322" s="23">
        <v>1</v>
      </c>
      <c r="BD3322" s="130">
        <f t="shared" si="998"/>
        <v>545</v>
      </c>
      <c r="BE3322" s="130">
        <f t="shared" si="999"/>
        <v>225</v>
      </c>
      <c r="BF3322" s="195">
        <f t="shared" si="1000"/>
        <v>242.2222222222222</v>
      </c>
      <c r="BG3322" s="373">
        <f t="shared" ref="BG3322:BG3358" si="1001">BE3322-BD3322</f>
        <v>-320</v>
      </c>
    </row>
    <row r="3323" spans="1:59" s="46" customFormat="1" ht="15.95" customHeight="1">
      <c r="A3323" s="176">
        <v>145</v>
      </c>
      <c r="B3323" s="31" t="s">
        <v>1602</v>
      </c>
      <c r="C3323" s="36" t="s">
        <v>1603</v>
      </c>
      <c r="D3323" s="339"/>
      <c r="E3323" s="339"/>
      <c r="F3323" s="339"/>
      <c r="G3323" s="339"/>
      <c r="H3323" s="339"/>
      <c r="I3323" s="339"/>
      <c r="J3323" s="339"/>
      <c r="K3323" s="339"/>
      <c r="L3323" s="339"/>
      <c r="M3323" s="339"/>
      <c r="N3323" s="339"/>
      <c r="O3323" s="339"/>
      <c r="P3323" s="339"/>
      <c r="Q3323" s="339"/>
      <c r="R3323" s="339"/>
      <c r="S3323" s="339"/>
      <c r="T3323" s="339"/>
      <c r="U3323" s="339"/>
      <c r="V3323" s="339"/>
      <c r="W3323" s="339"/>
      <c r="X3323" s="339"/>
      <c r="Y3323" s="339"/>
      <c r="Z3323" s="339"/>
      <c r="AA3323" s="339"/>
      <c r="AB3323" s="22">
        <f t="shared" si="996"/>
        <v>0</v>
      </c>
      <c r="AC3323" s="23">
        <v>1</v>
      </c>
      <c r="AD3323" s="35">
        <v>3</v>
      </c>
      <c r="AE3323" s="35"/>
      <c r="AF3323" s="35"/>
      <c r="AG3323" s="35"/>
      <c r="AH3323" s="35"/>
      <c r="AI3323" s="35"/>
      <c r="AJ3323" s="35"/>
      <c r="AK3323" s="35"/>
      <c r="AL3323" s="35">
        <v>2</v>
      </c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  <c r="AX3323" s="35"/>
      <c r="AY3323" s="35"/>
      <c r="AZ3323" s="35"/>
      <c r="BA3323" s="35"/>
      <c r="BB3323" s="22">
        <f t="shared" si="997"/>
        <v>5</v>
      </c>
      <c r="BC3323" s="23">
        <v>0</v>
      </c>
      <c r="BD3323" s="130">
        <f t="shared" si="998"/>
        <v>5</v>
      </c>
      <c r="BE3323" s="130">
        <f t="shared" si="999"/>
        <v>1</v>
      </c>
      <c r="BF3323" s="195">
        <f t="shared" si="1000"/>
        <v>500</v>
      </c>
      <c r="BG3323" s="373">
        <f t="shared" si="1001"/>
        <v>-4</v>
      </c>
    </row>
    <row r="3324" spans="1:59" s="46" customFormat="1" ht="15.95" customHeight="1">
      <c r="A3324" s="176">
        <v>146</v>
      </c>
      <c r="B3324" s="31" t="s">
        <v>1087</v>
      </c>
      <c r="C3324" s="32" t="s">
        <v>1277</v>
      </c>
      <c r="D3324" s="231">
        <v>8</v>
      </c>
      <c r="E3324" s="231"/>
      <c r="F3324" s="231"/>
      <c r="G3324" s="231"/>
      <c r="H3324" s="231">
        <v>39</v>
      </c>
      <c r="I3324" s="231"/>
      <c r="J3324" s="231"/>
      <c r="K3324" s="231"/>
      <c r="L3324" s="231">
        <v>62</v>
      </c>
      <c r="M3324" s="231"/>
      <c r="N3324" s="231"/>
      <c r="O3324" s="231"/>
      <c r="P3324" s="231">
        <v>14</v>
      </c>
      <c r="Q3324" s="231"/>
      <c r="R3324" s="231"/>
      <c r="S3324" s="231"/>
      <c r="T3324" s="231"/>
      <c r="U3324" s="231"/>
      <c r="V3324" s="231"/>
      <c r="W3324" s="231"/>
      <c r="X3324" s="231"/>
      <c r="Y3324" s="231"/>
      <c r="Z3324" s="231"/>
      <c r="AA3324" s="231"/>
      <c r="AB3324" s="22">
        <f t="shared" si="996"/>
        <v>123</v>
      </c>
      <c r="AC3324" s="23">
        <v>164</v>
      </c>
      <c r="AD3324" s="35"/>
      <c r="AE3324" s="35"/>
      <c r="AF3324" s="35"/>
      <c r="AG3324" s="35"/>
      <c r="AH3324" s="35">
        <v>1</v>
      </c>
      <c r="AI3324" s="35"/>
      <c r="AJ3324" s="35"/>
      <c r="AK3324" s="35"/>
      <c r="AL3324" s="35">
        <v>1</v>
      </c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  <c r="AX3324" s="35"/>
      <c r="AY3324" s="35"/>
      <c r="AZ3324" s="35"/>
      <c r="BA3324" s="35"/>
      <c r="BB3324" s="22">
        <f t="shared" si="997"/>
        <v>2</v>
      </c>
      <c r="BC3324" s="23">
        <v>0</v>
      </c>
      <c r="BD3324" s="130">
        <f t="shared" si="998"/>
        <v>125</v>
      </c>
      <c r="BE3324" s="130">
        <f t="shared" si="999"/>
        <v>164</v>
      </c>
      <c r="BF3324" s="195">
        <f t="shared" si="1000"/>
        <v>76.219512195121951</v>
      </c>
      <c r="BG3324" s="373">
        <f t="shared" si="1001"/>
        <v>39</v>
      </c>
    </row>
    <row r="3325" spans="1:59" s="46" customFormat="1" ht="15.95" customHeight="1">
      <c r="A3325" s="176">
        <v>147</v>
      </c>
      <c r="B3325" s="31" t="s">
        <v>1116</v>
      </c>
      <c r="C3325" s="34" t="s">
        <v>1117</v>
      </c>
      <c r="D3325" s="231">
        <v>8</v>
      </c>
      <c r="E3325" s="231"/>
      <c r="F3325" s="231"/>
      <c r="G3325" s="231"/>
      <c r="H3325" s="231">
        <v>39</v>
      </c>
      <c r="I3325" s="231"/>
      <c r="J3325" s="231"/>
      <c r="K3325" s="231"/>
      <c r="L3325" s="231">
        <v>62</v>
      </c>
      <c r="M3325" s="231"/>
      <c r="N3325" s="231"/>
      <c r="O3325" s="231"/>
      <c r="P3325" s="231">
        <v>14</v>
      </c>
      <c r="Q3325" s="231"/>
      <c r="R3325" s="231"/>
      <c r="S3325" s="231"/>
      <c r="T3325" s="231"/>
      <c r="U3325" s="231"/>
      <c r="V3325" s="231"/>
      <c r="W3325" s="231"/>
      <c r="X3325" s="231"/>
      <c r="Y3325" s="231"/>
      <c r="Z3325" s="231"/>
      <c r="AA3325" s="231"/>
      <c r="AB3325" s="22">
        <f t="shared" si="996"/>
        <v>123</v>
      </c>
      <c r="AC3325" s="23">
        <v>164</v>
      </c>
      <c r="AD3325" s="35"/>
      <c r="AE3325" s="35"/>
      <c r="AF3325" s="35"/>
      <c r="AG3325" s="35"/>
      <c r="AH3325" s="35">
        <v>1</v>
      </c>
      <c r="AI3325" s="35"/>
      <c r="AJ3325" s="35"/>
      <c r="AK3325" s="35"/>
      <c r="AL3325" s="35">
        <v>1</v>
      </c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  <c r="AX3325" s="35"/>
      <c r="AY3325" s="35"/>
      <c r="AZ3325" s="35"/>
      <c r="BA3325" s="35"/>
      <c r="BB3325" s="22">
        <f t="shared" si="997"/>
        <v>2</v>
      </c>
      <c r="BC3325" s="23">
        <v>0</v>
      </c>
      <c r="BD3325" s="130">
        <f t="shared" si="998"/>
        <v>125</v>
      </c>
      <c r="BE3325" s="130">
        <f t="shared" si="999"/>
        <v>164</v>
      </c>
      <c r="BF3325" s="195">
        <f t="shared" si="1000"/>
        <v>76.219512195121951</v>
      </c>
      <c r="BG3325" s="373">
        <f t="shared" si="1001"/>
        <v>39</v>
      </c>
    </row>
    <row r="3326" spans="1:59" s="46" customFormat="1" ht="15.95" customHeight="1">
      <c r="A3326" s="176">
        <v>148</v>
      </c>
      <c r="B3326" s="31" t="s">
        <v>2931</v>
      </c>
      <c r="C3326" s="34" t="s">
        <v>2932</v>
      </c>
      <c r="D3326" s="231"/>
      <c r="E3326" s="231"/>
      <c r="F3326" s="231"/>
      <c r="G3326" s="231"/>
      <c r="H3326" s="231"/>
      <c r="I3326" s="231"/>
      <c r="J3326" s="231"/>
      <c r="K3326" s="231"/>
      <c r="L3326" s="231"/>
      <c r="M3326" s="231"/>
      <c r="N3326" s="231"/>
      <c r="O3326" s="231"/>
      <c r="P3326" s="231"/>
      <c r="Q3326" s="231"/>
      <c r="R3326" s="231"/>
      <c r="S3326" s="231"/>
      <c r="T3326" s="231"/>
      <c r="U3326" s="231"/>
      <c r="V3326" s="231"/>
      <c r="W3326" s="231"/>
      <c r="X3326" s="231"/>
      <c r="Y3326" s="231"/>
      <c r="Z3326" s="231"/>
      <c r="AA3326" s="231"/>
      <c r="AB3326" s="22">
        <f t="shared" si="996"/>
        <v>0</v>
      </c>
      <c r="AC3326" s="23">
        <v>0</v>
      </c>
      <c r="AD3326" s="35"/>
      <c r="AE3326" s="35"/>
      <c r="AF3326" s="35"/>
      <c r="AG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  <c r="AX3326" s="35"/>
      <c r="AY3326" s="35"/>
      <c r="AZ3326" s="35"/>
      <c r="BA3326" s="35"/>
      <c r="BB3326" s="22">
        <f t="shared" si="997"/>
        <v>0</v>
      </c>
      <c r="BC3326" s="23">
        <v>1</v>
      </c>
      <c r="BD3326" s="130">
        <f t="shared" si="998"/>
        <v>0</v>
      </c>
      <c r="BE3326" s="130">
        <f t="shared" si="999"/>
        <v>1</v>
      </c>
      <c r="BF3326" s="195">
        <f t="shared" si="1000"/>
        <v>0</v>
      </c>
      <c r="BG3326" s="373">
        <f t="shared" si="1001"/>
        <v>1</v>
      </c>
    </row>
    <row r="3327" spans="1:59" s="46" customFormat="1" ht="15.95" customHeight="1">
      <c r="A3327" s="176">
        <v>149</v>
      </c>
      <c r="B3327" s="31" t="s">
        <v>1088</v>
      </c>
      <c r="C3327" s="32" t="s">
        <v>1089</v>
      </c>
      <c r="D3327" s="231"/>
      <c r="E3327" s="231"/>
      <c r="F3327" s="231"/>
      <c r="G3327" s="231"/>
      <c r="H3327" s="231"/>
      <c r="I3327" s="231"/>
      <c r="J3327" s="231"/>
      <c r="K3327" s="231"/>
      <c r="L3327" s="231"/>
      <c r="M3327" s="231"/>
      <c r="N3327" s="231"/>
      <c r="O3327" s="231"/>
      <c r="P3327" s="231"/>
      <c r="Q3327" s="231"/>
      <c r="R3327" s="231"/>
      <c r="S3327" s="231"/>
      <c r="T3327" s="231"/>
      <c r="U3327" s="231"/>
      <c r="V3327" s="231"/>
      <c r="W3327" s="231"/>
      <c r="X3327" s="231"/>
      <c r="Y3327" s="231"/>
      <c r="Z3327" s="231"/>
      <c r="AA3327" s="231"/>
      <c r="AB3327" s="22">
        <f t="shared" si="996"/>
        <v>0</v>
      </c>
      <c r="AC3327" s="23">
        <v>0</v>
      </c>
      <c r="AD3327" s="35"/>
      <c r="AE3327" s="35"/>
      <c r="AF3327" s="35"/>
      <c r="AG3327" s="35"/>
      <c r="AH3327" s="35">
        <v>31</v>
      </c>
      <c r="AI3327" s="35"/>
      <c r="AJ3327" s="35"/>
      <c r="AK3327" s="35"/>
      <c r="AL3327" s="35">
        <v>173</v>
      </c>
      <c r="AM3327" s="35"/>
      <c r="AN3327" s="35"/>
      <c r="AO3327" s="35"/>
      <c r="AP3327" s="35">
        <v>156</v>
      </c>
      <c r="AQ3327" s="35"/>
      <c r="AR3327" s="35"/>
      <c r="AS3327" s="35"/>
      <c r="AT3327" s="35"/>
      <c r="AU3327" s="35"/>
      <c r="AV3327" s="35"/>
      <c r="AW3327" s="35"/>
      <c r="AX3327" s="35"/>
      <c r="AY3327" s="35"/>
      <c r="AZ3327" s="35"/>
      <c r="BA3327" s="35"/>
      <c r="BB3327" s="22">
        <f t="shared" si="997"/>
        <v>360</v>
      </c>
      <c r="BC3327" s="23">
        <v>983</v>
      </c>
      <c r="BD3327" s="130">
        <f t="shared" si="998"/>
        <v>360</v>
      </c>
      <c r="BE3327" s="130">
        <f t="shared" si="999"/>
        <v>983</v>
      </c>
      <c r="BF3327" s="195">
        <f t="shared" si="1000"/>
        <v>36.622583926754828</v>
      </c>
      <c r="BG3327" s="373">
        <f t="shared" si="1001"/>
        <v>623</v>
      </c>
    </row>
    <row r="3328" spans="1:59" s="46" customFormat="1" ht="15.95" customHeight="1">
      <c r="A3328" s="176">
        <v>150</v>
      </c>
      <c r="B3328" s="31" t="s">
        <v>1773</v>
      </c>
      <c r="C3328" s="32" t="s">
        <v>3465</v>
      </c>
      <c r="D3328" s="231"/>
      <c r="E3328" s="231"/>
      <c r="F3328" s="231"/>
      <c r="G3328" s="231"/>
      <c r="H3328" s="231"/>
      <c r="I3328" s="231"/>
      <c r="J3328" s="231"/>
      <c r="K3328" s="231"/>
      <c r="L3328" s="231"/>
      <c r="M3328" s="231"/>
      <c r="N3328" s="231"/>
      <c r="O3328" s="231"/>
      <c r="P3328" s="231"/>
      <c r="Q3328" s="231"/>
      <c r="R3328" s="231"/>
      <c r="S3328" s="231"/>
      <c r="T3328" s="231"/>
      <c r="U3328" s="231"/>
      <c r="V3328" s="231"/>
      <c r="W3328" s="231"/>
      <c r="X3328" s="231"/>
      <c r="Y3328" s="231"/>
      <c r="Z3328" s="231"/>
      <c r="AA3328" s="231"/>
      <c r="AB3328" s="22">
        <f t="shared" si="996"/>
        <v>0</v>
      </c>
      <c r="AC3328" s="23">
        <v>0</v>
      </c>
      <c r="AD3328" s="35"/>
      <c r="AE3328" s="35"/>
      <c r="AF3328" s="35"/>
      <c r="AG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  <c r="AX3328" s="35"/>
      <c r="AY3328" s="35"/>
      <c r="AZ3328" s="35"/>
      <c r="BA3328" s="35"/>
      <c r="BB3328" s="22">
        <f t="shared" si="997"/>
        <v>0</v>
      </c>
      <c r="BC3328" s="23">
        <v>1</v>
      </c>
      <c r="BD3328" s="130">
        <f t="shared" si="998"/>
        <v>0</v>
      </c>
      <c r="BE3328" s="130">
        <f t="shared" si="999"/>
        <v>1</v>
      </c>
      <c r="BF3328" s="195">
        <f t="shared" si="1000"/>
        <v>0</v>
      </c>
      <c r="BG3328" s="373">
        <f t="shared" si="1001"/>
        <v>1</v>
      </c>
    </row>
    <row r="3329" spans="1:59" s="46" customFormat="1" ht="15.95" customHeight="1">
      <c r="A3329" s="176">
        <v>151</v>
      </c>
      <c r="B3329" s="31" t="s">
        <v>1018</v>
      </c>
      <c r="C3329" s="32" t="s">
        <v>1402</v>
      </c>
      <c r="D3329" s="231"/>
      <c r="E3329" s="231"/>
      <c r="F3329" s="231"/>
      <c r="G3329" s="231"/>
      <c r="H3329" s="231"/>
      <c r="I3329" s="231"/>
      <c r="J3329" s="231"/>
      <c r="K3329" s="231"/>
      <c r="L3329" s="231"/>
      <c r="M3329" s="231"/>
      <c r="N3329" s="231"/>
      <c r="O3329" s="231"/>
      <c r="P3329" s="231"/>
      <c r="Q3329" s="231"/>
      <c r="R3329" s="231"/>
      <c r="S3329" s="231"/>
      <c r="T3329" s="231"/>
      <c r="U3329" s="231"/>
      <c r="V3329" s="231"/>
      <c r="W3329" s="231"/>
      <c r="X3329" s="231"/>
      <c r="Y3329" s="231"/>
      <c r="Z3329" s="231"/>
      <c r="AA3329" s="231"/>
      <c r="AB3329" s="22">
        <f t="shared" si="996"/>
        <v>0</v>
      </c>
      <c r="AC3329" s="23">
        <v>0</v>
      </c>
      <c r="AD3329" s="35"/>
      <c r="AE3329" s="35"/>
      <c r="AF3329" s="35"/>
      <c r="AG3329" s="35"/>
      <c r="AH3329" s="35"/>
      <c r="AI3329" s="35"/>
      <c r="AJ3329" s="35"/>
      <c r="AK3329" s="35"/>
      <c r="AL3329" s="35">
        <v>3</v>
      </c>
      <c r="AM3329" s="35"/>
      <c r="AN3329" s="35"/>
      <c r="AO3329" s="35"/>
      <c r="AP3329" s="35">
        <v>2</v>
      </c>
      <c r="AQ3329" s="35"/>
      <c r="AR3329" s="35"/>
      <c r="AS3329" s="35"/>
      <c r="AT3329" s="35"/>
      <c r="AU3329" s="35"/>
      <c r="AV3329" s="35"/>
      <c r="AW3329" s="35"/>
      <c r="AX3329" s="35"/>
      <c r="AY3329" s="35"/>
      <c r="AZ3329" s="35"/>
      <c r="BA3329" s="35"/>
      <c r="BB3329" s="22">
        <f t="shared" si="997"/>
        <v>5</v>
      </c>
      <c r="BC3329" s="23">
        <v>7</v>
      </c>
      <c r="BD3329" s="130">
        <f t="shared" si="998"/>
        <v>5</v>
      </c>
      <c r="BE3329" s="130">
        <f t="shared" si="999"/>
        <v>7</v>
      </c>
      <c r="BF3329" s="195">
        <f t="shared" si="1000"/>
        <v>71.428571428571431</v>
      </c>
      <c r="BG3329" s="373">
        <f t="shared" si="1001"/>
        <v>2</v>
      </c>
    </row>
    <row r="3330" spans="1:59" s="46" customFormat="1" ht="15.95" customHeight="1">
      <c r="A3330" s="176">
        <v>152</v>
      </c>
      <c r="B3330" s="31" t="s">
        <v>1203</v>
      </c>
      <c r="C3330" s="32" t="s">
        <v>2078</v>
      </c>
      <c r="D3330" s="231"/>
      <c r="E3330" s="231"/>
      <c r="F3330" s="231"/>
      <c r="G3330" s="231"/>
      <c r="H3330" s="231"/>
      <c r="I3330" s="231"/>
      <c r="J3330" s="231"/>
      <c r="K3330" s="231"/>
      <c r="L3330" s="231"/>
      <c r="M3330" s="231"/>
      <c r="N3330" s="231"/>
      <c r="O3330" s="231"/>
      <c r="P3330" s="231"/>
      <c r="Q3330" s="231"/>
      <c r="R3330" s="231"/>
      <c r="S3330" s="231"/>
      <c r="T3330" s="231"/>
      <c r="U3330" s="231"/>
      <c r="V3330" s="231"/>
      <c r="W3330" s="231"/>
      <c r="X3330" s="231"/>
      <c r="Y3330" s="231"/>
      <c r="Z3330" s="231"/>
      <c r="AA3330" s="231"/>
      <c r="AB3330" s="22">
        <f t="shared" si="996"/>
        <v>0</v>
      </c>
      <c r="AC3330" s="23">
        <v>0</v>
      </c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22">
        <f t="shared" si="997"/>
        <v>0</v>
      </c>
      <c r="BC3330" s="23">
        <v>134</v>
      </c>
      <c r="BD3330" s="130">
        <f t="shared" si="998"/>
        <v>0</v>
      </c>
      <c r="BE3330" s="130">
        <f t="shared" si="999"/>
        <v>134</v>
      </c>
      <c r="BF3330" s="195">
        <f t="shared" si="1000"/>
        <v>0</v>
      </c>
      <c r="BG3330" s="373">
        <f t="shared" si="1001"/>
        <v>134</v>
      </c>
    </row>
    <row r="3331" spans="1:59" s="46" customFormat="1" ht="15.95" customHeight="1">
      <c r="A3331" s="176">
        <v>153</v>
      </c>
      <c r="B3331" s="31" t="s">
        <v>1051</v>
      </c>
      <c r="C3331" s="32" t="s">
        <v>973</v>
      </c>
      <c r="D3331" s="231"/>
      <c r="E3331" s="231"/>
      <c r="F3331" s="231"/>
      <c r="G3331" s="231"/>
      <c r="H3331" s="231"/>
      <c r="I3331" s="231"/>
      <c r="J3331" s="231"/>
      <c r="K3331" s="231"/>
      <c r="L3331" s="231"/>
      <c r="M3331" s="231"/>
      <c r="N3331" s="231"/>
      <c r="O3331" s="231"/>
      <c r="P3331" s="231"/>
      <c r="Q3331" s="231"/>
      <c r="R3331" s="231"/>
      <c r="S3331" s="231"/>
      <c r="T3331" s="231"/>
      <c r="U3331" s="231"/>
      <c r="V3331" s="231"/>
      <c r="W3331" s="231"/>
      <c r="X3331" s="231"/>
      <c r="Y3331" s="231"/>
      <c r="Z3331" s="231"/>
      <c r="AA3331" s="231"/>
      <c r="AB3331" s="22">
        <f t="shared" si="996"/>
        <v>0</v>
      </c>
      <c r="AC3331" s="23">
        <v>0</v>
      </c>
      <c r="AD3331" s="35"/>
      <c r="AE3331" s="35"/>
      <c r="AF3331" s="35"/>
      <c r="AG3331" s="35"/>
      <c r="AH3331" s="35"/>
      <c r="AI3331" s="35"/>
      <c r="AJ3331" s="35"/>
      <c r="AK3331" s="35"/>
      <c r="AL3331" s="35">
        <v>2</v>
      </c>
      <c r="AM3331" s="35"/>
      <c r="AN3331" s="35"/>
      <c r="AO3331" s="35"/>
      <c r="AP3331" s="35">
        <v>1</v>
      </c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22">
        <f t="shared" si="997"/>
        <v>3</v>
      </c>
      <c r="BC3331" s="23">
        <v>5</v>
      </c>
      <c r="BD3331" s="130">
        <f t="shared" si="998"/>
        <v>3</v>
      </c>
      <c r="BE3331" s="130">
        <f t="shared" si="999"/>
        <v>5</v>
      </c>
      <c r="BF3331" s="195">
        <f t="shared" si="1000"/>
        <v>60</v>
      </c>
      <c r="BG3331" s="373">
        <f t="shared" si="1001"/>
        <v>2</v>
      </c>
    </row>
    <row r="3332" spans="1:59" s="46" customFormat="1" ht="15.95" customHeight="1">
      <c r="A3332" s="176">
        <v>154</v>
      </c>
      <c r="B3332" s="31" t="s">
        <v>1053</v>
      </c>
      <c r="C3332" s="32" t="s">
        <v>1054</v>
      </c>
      <c r="D3332" s="231"/>
      <c r="E3332" s="231"/>
      <c r="F3332" s="231"/>
      <c r="G3332" s="231"/>
      <c r="H3332" s="231"/>
      <c r="I3332" s="231"/>
      <c r="J3332" s="231"/>
      <c r="K3332" s="231"/>
      <c r="L3332" s="231"/>
      <c r="M3332" s="231"/>
      <c r="N3332" s="231"/>
      <c r="O3332" s="231"/>
      <c r="P3332" s="231"/>
      <c r="Q3332" s="231"/>
      <c r="R3332" s="231"/>
      <c r="S3332" s="231"/>
      <c r="T3332" s="231"/>
      <c r="U3332" s="231"/>
      <c r="V3332" s="231"/>
      <c r="W3332" s="231"/>
      <c r="X3332" s="231"/>
      <c r="Y3332" s="231"/>
      <c r="Z3332" s="231"/>
      <c r="AA3332" s="231"/>
      <c r="AB3332" s="22">
        <f t="shared" si="996"/>
        <v>0</v>
      </c>
      <c r="AC3332" s="23">
        <v>0</v>
      </c>
      <c r="AD3332" s="35"/>
      <c r="AE3332" s="35"/>
      <c r="AF3332" s="35"/>
      <c r="AG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  <c r="AX3332" s="35"/>
      <c r="AY3332" s="35"/>
      <c r="AZ3332" s="35"/>
      <c r="BA3332" s="35"/>
      <c r="BB3332" s="22">
        <f t="shared" si="997"/>
        <v>0</v>
      </c>
      <c r="BC3332" s="23">
        <v>2</v>
      </c>
      <c r="BD3332" s="130">
        <f t="shared" si="998"/>
        <v>0</v>
      </c>
      <c r="BE3332" s="130">
        <f t="shared" si="999"/>
        <v>2</v>
      </c>
      <c r="BF3332" s="195">
        <f t="shared" si="1000"/>
        <v>0</v>
      </c>
      <c r="BG3332" s="373">
        <f t="shared" si="1001"/>
        <v>2</v>
      </c>
    </row>
    <row r="3333" spans="1:59" s="46" customFormat="1" ht="15.95" customHeight="1">
      <c r="A3333" s="176">
        <v>155</v>
      </c>
      <c r="B3333" s="31" t="s">
        <v>1205</v>
      </c>
      <c r="C3333" s="32" t="s">
        <v>2827</v>
      </c>
      <c r="D3333" s="231"/>
      <c r="E3333" s="231"/>
      <c r="F3333" s="231"/>
      <c r="G3333" s="231"/>
      <c r="H3333" s="231"/>
      <c r="I3333" s="231"/>
      <c r="J3333" s="231"/>
      <c r="K3333" s="231"/>
      <c r="L3333" s="231"/>
      <c r="M3333" s="231"/>
      <c r="N3333" s="231"/>
      <c r="O3333" s="231"/>
      <c r="P3333" s="231"/>
      <c r="Q3333" s="231"/>
      <c r="R3333" s="231"/>
      <c r="S3333" s="231"/>
      <c r="T3333" s="231"/>
      <c r="U3333" s="231"/>
      <c r="V3333" s="231"/>
      <c r="W3333" s="231"/>
      <c r="X3333" s="231"/>
      <c r="Y3333" s="231"/>
      <c r="Z3333" s="231"/>
      <c r="AA3333" s="231"/>
      <c r="AB3333" s="22">
        <f t="shared" si="996"/>
        <v>0</v>
      </c>
      <c r="AC3333" s="23">
        <v>0</v>
      </c>
      <c r="AD3333" s="35"/>
      <c r="AE3333" s="35"/>
      <c r="AF3333" s="35"/>
      <c r="AG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  <c r="AX3333" s="35"/>
      <c r="AY3333" s="35"/>
      <c r="AZ3333" s="35"/>
      <c r="BA3333" s="35"/>
      <c r="BB3333" s="22">
        <f t="shared" si="997"/>
        <v>0</v>
      </c>
      <c r="BC3333" s="23">
        <v>1</v>
      </c>
      <c r="BD3333" s="130">
        <f t="shared" si="998"/>
        <v>0</v>
      </c>
      <c r="BE3333" s="130">
        <f t="shared" si="999"/>
        <v>1</v>
      </c>
      <c r="BF3333" s="195">
        <f t="shared" si="1000"/>
        <v>0</v>
      </c>
      <c r="BG3333" s="373">
        <f t="shared" si="1001"/>
        <v>1</v>
      </c>
    </row>
    <row r="3334" spans="1:59" s="46" customFormat="1" ht="15.95" customHeight="1">
      <c r="A3334" s="176">
        <v>156</v>
      </c>
      <c r="B3334" s="31" t="s">
        <v>854</v>
      </c>
      <c r="C3334" s="34" t="s">
        <v>1514</v>
      </c>
      <c r="D3334" s="273"/>
      <c r="E3334" s="273"/>
      <c r="F3334" s="273"/>
      <c r="G3334" s="273"/>
      <c r="H3334" s="273">
        <v>1</v>
      </c>
      <c r="I3334" s="273"/>
      <c r="J3334" s="273"/>
      <c r="K3334" s="273"/>
      <c r="L3334" s="273">
        <v>6</v>
      </c>
      <c r="M3334" s="273"/>
      <c r="N3334" s="273"/>
      <c r="O3334" s="273"/>
      <c r="P3334" s="273">
        <f>1+2</f>
        <v>3</v>
      </c>
      <c r="Q3334" s="273"/>
      <c r="R3334" s="273"/>
      <c r="S3334" s="273"/>
      <c r="T3334" s="273"/>
      <c r="U3334" s="273"/>
      <c r="V3334" s="273"/>
      <c r="W3334" s="273"/>
      <c r="X3334" s="273"/>
      <c r="Y3334" s="273"/>
      <c r="Z3334" s="273"/>
      <c r="AA3334" s="273"/>
      <c r="AB3334" s="22">
        <f t="shared" si="996"/>
        <v>10</v>
      </c>
      <c r="AC3334" s="23">
        <v>1</v>
      </c>
      <c r="AD3334" s="35">
        <v>44</v>
      </c>
      <c r="AE3334" s="35"/>
      <c r="AF3334" s="35"/>
      <c r="AG3334" s="35"/>
      <c r="AH3334" s="35">
        <f>9+55</f>
        <v>64</v>
      </c>
      <c r="AI3334" s="35"/>
      <c r="AJ3334" s="35"/>
      <c r="AK3334" s="35"/>
      <c r="AL3334" s="35">
        <f>22+69</f>
        <v>91</v>
      </c>
      <c r="AM3334" s="35"/>
      <c r="AN3334" s="35"/>
      <c r="AO3334" s="35"/>
      <c r="AP3334" s="35">
        <v>85</v>
      </c>
      <c r="AQ3334" s="35"/>
      <c r="AR3334" s="35"/>
      <c r="AS3334" s="35"/>
      <c r="AT3334" s="35"/>
      <c r="AU3334" s="35"/>
      <c r="AV3334" s="35"/>
      <c r="AW3334" s="35"/>
      <c r="AX3334" s="35"/>
      <c r="AY3334" s="35"/>
      <c r="AZ3334" s="35"/>
      <c r="BA3334" s="35"/>
      <c r="BB3334" s="22">
        <f t="shared" si="997"/>
        <v>284</v>
      </c>
      <c r="BC3334" s="23">
        <v>798</v>
      </c>
      <c r="BD3334" s="130">
        <f t="shared" si="998"/>
        <v>294</v>
      </c>
      <c r="BE3334" s="130">
        <f t="shared" si="999"/>
        <v>799</v>
      </c>
      <c r="BF3334" s="195">
        <f t="shared" si="1000"/>
        <v>36.795994993742177</v>
      </c>
      <c r="BG3334" s="373">
        <f t="shared" si="1001"/>
        <v>505</v>
      </c>
    </row>
    <row r="3335" spans="1:59" s="46" customFormat="1" ht="15.95" customHeight="1">
      <c r="A3335" s="176">
        <v>157</v>
      </c>
      <c r="B3335" s="31" t="s">
        <v>856</v>
      </c>
      <c r="C3335" s="32" t="s">
        <v>1606</v>
      </c>
      <c r="D3335" s="231"/>
      <c r="E3335" s="231"/>
      <c r="F3335" s="231"/>
      <c r="G3335" s="231"/>
      <c r="H3335" s="231"/>
      <c r="I3335" s="231"/>
      <c r="J3335" s="231"/>
      <c r="K3335" s="231"/>
      <c r="L3335" s="231"/>
      <c r="M3335" s="231"/>
      <c r="N3335" s="231"/>
      <c r="O3335" s="231"/>
      <c r="P3335" s="231"/>
      <c r="Q3335" s="231"/>
      <c r="R3335" s="231"/>
      <c r="S3335" s="231"/>
      <c r="T3335" s="231"/>
      <c r="U3335" s="231"/>
      <c r="V3335" s="231"/>
      <c r="W3335" s="231"/>
      <c r="X3335" s="231"/>
      <c r="Y3335" s="231"/>
      <c r="Z3335" s="231"/>
      <c r="AA3335" s="231"/>
      <c r="AB3335" s="22">
        <f t="shared" si="996"/>
        <v>0</v>
      </c>
      <c r="AC3335" s="23">
        <v>0</v>
      </c>
      <c r="AD3335" s="35"/>
      <c r="AE3335" s="35"/>
      <c r="AF3335" s="35"/>
      <c r="AG3335" s="35"/>
      <c r="AH3335" s="35">
        <v>6</v>
      </c>
      <c r="AI3335" s="35"/>
      <c r="AJ3335" s="35"/>
      <c r="AK3335" s="35"/>
      <c r="AL3335" s="35">
        <v>10</v>
      </c>
      <c r="AM3335" s="35"/>
      <c r="AN3335" s="35"/>
      <c r="AO3335" s="35"/>
      <c r="AP3335" s="35">
        <v>8</v>
      </c>
      <c r="AQ3335" s="35"/>
      <c r="AR3335" s="35"/>
      <c r="AS3335" s="35"/>
      <c r="AT3335" s="35"/>
      <c r="AU3335" s="35"/>
      <c r="AV3335" s="35"/>
      <c r="AW3335" s="35"/>
      <c r="AX3335" s="35"/>
      <c r="AY3335" s="35"/>
      <c r="AZ3335" s="35"/>
      <c r="BA3335" s="35"/>
      <c r="BB3335" s="22">
        <f t="shared" si="997"/>
        <v>24</v>
      </c>
      <c r="BC3335" s="23">
        <v>196</v>
      </c>
      <c r="BD3335" s="130">
        <f t="shared" si="998"/>
        <v>24</v>
      </c>
      <c r="BE3335" s="130">
        <f t="shared" si="999"/>
        <v>196</v>
      </c>
      <c r="BF3335" s="195">
        <f t="shared" si="1000"/>
        <v>12.244897959183673</v>
      </c>
      <c r="BG3335" s="373">
        <f t="shared" si="1001"/>
        <v>172</v>
      </c>
    </row>
    <row r="3336" spans="1:59" s="46" customFormat="1" ht="15.95" customHeight="1">
      <c r="A3336" s="176">
        <v>158</v>
      </c>
      <c r="B3336" s="31" t="s">
        <v>1022</v>
      </c>
      <c r="C3336" s="32" t="s">
        <v>1023</v>
      </c>
      <c r="D3336" s="231"/>
      <c r="E3336" s="231"/>
      <c r="F3336" s="231"/>
      <c r="G3336" s="231"/>
      <c r="H3336" s="231"/>
      <c r="I3336" s="231"/>
      <c r="J3336" s="231"/>
      <c r="K3336" s="231"/>
      <c r="L3336" s="231"/>
      <c r="M3336" s="231"/>
      <c r="N3336" s="231"/>
      <c r="O3336" s="231"/>
      <c r="P3336" s="231"/>
      <c r="Q3336" s="231"/>
      <c r="R3336" s="231"/>
      <c r="S3336" s="231"/>
      <c r="T3336" s="231"/>
      <c r="U3336" s="231"/>
      <c r="V3336" s="231"/>
      <c r="W3336" s="231"/>
      <c r="X3336" s="231"/>
      <c r="Y3336" s="231"/>
      <c r="Z3336" s="231"/>
      <c r="AA3336" s="231"/>
      <c r="AB3336" s="22">
        <f t="shared" si="996"/>
        <v>0</v>
      </c>
      <c r="AC3336" s="23">
        <v>0</v>
      </c>
      <c r="AD3336" s="35"/>
      <c r="AE3336" s="35"/>
      <c r="AF3336" s="35"/>
      <c r="AG3336" s="35"/>
      <c r="AH3336" s="35">
        <v>2</v>
      </c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  <c r="AX3336" s="35"/>
      <c r="AY3336" s="35"/>
      <c r="AZ3336" s="35"/>
      <c r="BA3336" s="35"/>
      <c r="BB3336" s="22">
        <f t="shared" si="997"/>
        <v>2</v>
      </c>
      <c r="BC3336" s="23">
        <v>18</v>
      </c>
      <c r="BD3336" s="130">
        <f t="shared" si="998"/>
        <v>2</v>
      </c>
      <c r="BE3336" s="130">
        <f t="shared" si="999"/>
        <v>18</v>
      </c>
      <c r="BF3336" s="195">
        <f t="shared" si="1000"/>
        <v>11.111111111111111</v>
      </c>
      <c r="BG3336" s="373">
        <f t="shared" si="1001"/>
        <v>16</v>
      </c>
    </row>
    <row r="3337" spans="1:59" s="46" customFormat="1" ht="15.95" customHeight="1">
      <c r="A3337" s="176">
        <v>159</v>
      </c>
      <c r="B3337" s="31" t="s">
        <v>1024</v>
      </c>
      <c r="C3337" s="32" t="s">
        <v>2303</v>
      </c>
      <c r="D3337" s="231"/>
      <c r="E3337" s="231"/>
      <c r="F3337" s="231"/>
      <c r="G3337" s="231"/>
      <c r="H3337" s="231"/>
      <c r="I3337" s="231"/>
      <c r="J3337" s="231"/>
      <c r="K3337" s="231"/>
      <c r="L3337" s="231"/>
      <c r="M3337" s="231"/>
      <c r="N3337" s="231"/>
      <c r="O3337" s="231"/>
      <c r="P3337" s="231"/>
      <c r="Q3337" s="231"/>
      <c r="R3337" s="231"/>
      <c r="S3337" s="231"/>
      <c r="T3337" s="231"/>
      <c r="U3337" s="231"/>
      <c r="V3337" s="231"/>
      <c r="W3337" s="231"/>
      <c r="X3337" s="231"/>
      <c r="Y3337" s="231"/>
      <c r="Z3337" s="231"/>
      <c r="AA3337" s="231"/>
      <c r="AB3337" s="22">
        <f t="shared" si="996"/>
        <v>0</v>
      </c>
      <c r="AC3337" s="23">
        <v>0</v>
      </c>
      <c r="AD3337" s="35"/>
      <c r="AE3337" s="35"/>
      <c r="AF3337" s="35"/>
      <c r="AG3337" s="35"/>
      <c r="AH3337" s="35">
        <v>20</v>
      </c>
      <c r="AI3337" s="35"/>
      <c r="AJ3337" s="35"/>
      <c r="AK3337" s="35"/>
      <c r="AL3337" s="35">
        <v>114</v>
      </c>
      <c r="AM3337" s="35"/>
      <c r="AN3337" s="35"/>
      <c r="AO3337" s="35"/>
      <c r="AP3337" s="35">
        <v>73</v>
      </c>
      <c r="AQ3337" s="35"/>
      <c r="AR3337" s="35"/>
      <c r="AS3337" s="35"/>
      <c r="AT3337" s="35"/>
      <c r="AU3337" s="35"/>
      <c r="AV3337" s="35"/>
      <c r="AW3337" s="35"/>
      <c r="AX3337" s="35"/>
      <c r="AY3337" s="35"/>
      <c r="AZ3337" s="35"/>
      <c r="BA3337" s="35"/>
      <c r="BB3337" s="22">
        <f t="shared" si="997"/>
        <v>207</v>
      </c>
      <c r="BC3337" s="23">
        <v>612</v>
      </c>
      <c r="BD3337" s="130">
        <f t="shared" si="998"/>
        <v>207</v>
      </c>
      <c r="BE3337" s="130">
        <f t="shared" si="999"/>
        <v>612</v>
      </c>
      <c r="BF3337" s="195">
        <f t="shared" si="1000"/>
        <v>33.82352941176471</v>
      </c>
      <c r="BG3337" s="373">
        <f t="shared" si="1001"/>
        <v>405</v>
      </c>
    </row>
    <row r="3338" spans="1:59" s="46" customFormat="1" ht="15.95" customHeight="1">
      <c r="A3338" s="176">
        <v>160</v>
      </c>
      <c r="B3338" s="31" t="s">
        <v>1059</v>
      </c>
      <c r="C3338" s="32" t="s">
        <v>1060</v>
      </c>
      <c r="D3338" s="231"/>
      <c r="E3338" s="231"/>
      <c r="F3338" s="231"/>
      <c r="G3338" s="231"/>
      <c r="H3338" s="231"/>
      <c r="I3338" s="231"/>
      <c r="J3338" s="231"/>
      <c r="K3338" s="231"/>
      <c r="L3338" s="231"/>
      <c r="M3338" s="231"/>
      <c r="N3338" s="231"/>
      <c r="O3338" s="231"/>
      <c r="P3338" s="231"/>
      <c r="Q3338" s="231"/>
      <c r="R3338" s="231"/>
      <c r="S3338" s="231"/>
      <c r="T3338" s="231"/>
      <c r="U3338" s="231"/>
      <c r="V3338" s="231"/>
      <c r="W3338" s="231"/>
      <c r="X3338" s="231"/>
      <c r="Y3338" s="231"/>
      <c r="Z3338" s="231"/>
      <c r="AA3338" s="231"/>
      <c r="AB3338" s="22">
        <f t="shared" si="996"/>
        <v>0</v>
      </c>
      <c r="AC3338" s="23">
        <v>0</v>
      </c>
      <c r="AD3338" s="35"/>
      <c r="AE3338" s="35"/>
      <c r="AF3338" s="35"/>
      <c r="AG3338" s="35"/>
      <c r="AH3338" s="35">
        <v>5</v>
      </c>
      <c r="AI3338" s="35"/>
      <c r="AJ3338" s="35"/>
      <c r="AK3338" s="35"/>
      <c r="AL3338" s="35">
        <v>3</v>
      </c>
      <c r="AM3338" s="35"/>
      <c r="AN3338" s="35"/>
      <c r="AO3338" s="35"/>
      <c r="AP3338" s="35">
        <v>3</v>
      </c>
      <c r="AQ3338" s="35"/>
      <c r="AR3338" s="35"/>
      <c r="AS3338" s="35"/>
      <c r="AT3338" s="35"/>
      <c r="AU3338" s="35"/>
      <c r="AV3338" s="35"/>
      <c r="AW3338" s="35"/>
      <c r="AX3338" s="35"/>
      <c r="AY3338" s="35"/>
      <c r="AZ3338" s="35"/>
      <c r="BA3338" s="35"/>
      <c r="BB3338" s="22">
        <f t="shared" si="997"/>
        <v>11</v>
      </c>
      <c r="BC3338" s="23">
        <v>81</v>
      </c>
      <c r="BD3338" s="130">
        <f t="shared" si="998"/>
        <v>11</v>
      </c>
      <c r="BE3338" s="130">
        <f t="shared" si="999"/>
        <v>81</v>
      </c>
      <c r="BF3338" s="195">
        <f t="shared" si="1000"/>
        <v>13.580246913580247</v>
      </c>
      <c r="BG3338" s="373">
        <f t="shared" si="1001"/>
        <v>70</v>
      </c>
    </row>
    <row r="3339" spans="1:59" s="46" customFormat="1" ht="15.95" customHeight="1">
      <c r="A3339" s="176">
        <v>161</v>
      </c>
      <c r="B3339" s="31" t="s">
        <v>1209</v>
      </c>
      <c r="C3339" s="32" t="s">
        <v>1645</v>
      </c>
      <c r="D3339" s="231"/>
      <c r="E3339" s="231"/>
      <c r="F3339" s="231"/>
      <c r="G3339" s="231"/>
      <c r="H3339" s="231"/>
      <c r="I3339" s="231"/>
      <c r="J3339" s="231"/>
      <c r="K3339" s="231"/>
      <c r="L3339" s="231"/>
      <c r="M3339" s="231"/>
      <c r="N3339" s="231"/>
      <c r="O3339" s="231"/>
      <c r="P3339" s="231"/>
      <c r="Q3339" s="231"/>
      <c r="R3339" s="231"/>
      <c r="S3339" s="231"/>
      <c r="T3339" s="231"/>
      <c r="U3339" s="231"/>
      <c r="V3339" s="231"/>
      <c r="W3339" s="231"/>
      <c r="X3339" s="231"/>
      <c r="Y3339" s="231"/>
      <c r="Z3339" s="231"/>
      <c r="AA3339" s="231"/>
      <c r="AB3339" s="22">
        <f t="shared" si="996"/>
        <v>0</v>
      </c>
      <c r="AC3339" s="23">
        <v>0</v>
      </c>
      <c r="AD3339" s="35">
        <v>1923</v>
      </c>
      <c r="AE3339" s="35"/>
      <c r="AF3339" s="35"/>
      <c r="AG3339" s="35"/>
      <c r="AH3339" s="35">
        <f>1017+153</f>
        <v>1170</v>
      </c>
      <c r="AI3339" s="35"/>
      <c r="AJ3339" s="35"/>
      <c r="AK3339" s="35"/>
      <c r="AL3339" s="35">
        <f>914+561</f>
        <v>1475</v>
      </c>
      <c r="AM3339" s="35"/>
      <c r="AN3339" s="35"/>
      <c r="AO3339" s="35"/>
      <c r="AP3339" s="35">
        <f>44+558</f>
        <v>602</v>
      </c>
      <c r="AQ3339" s="35"/>
      <c r="AR3339" s="35"/>
      <c r="AS3339" s="35"/>
      <c r="AT3339" s="35"/>
      <c r="AU3339" s="35"/>
      <c r="AV3339" s="35"/>
      <c r="AW3339" s="35"/>
      <c r="AX3339" s="35"/>
      <c r="AY3339" s="35"/>
      <c r="AZ3339" s="35"/>
      <c r="BA3339" s="35"/>
      <c r="BB3339" s="22">
        <f t="shared" si="997"/>
        <v>5170</v>
      </c>
      <c r="BC3339" s="23">
        <v>3314</v>
      </c>
      <c r="BD3339" s="130">
        <f t="shared" si="998"/>
        <v>5170</v>
      </c>
      <c r="BE3339" s="130">
        <f t="shared" si="999"/>
        <v>3314</v>
      </c>
      <c r="BF3339" s="195">
        <f t="shared" si="1000"/>
        <v>156.004828002414</v>
      </c>
      <c r="BG3339" s="373">
        <f t="shared" si="1001"/>
        <v>-1856</v>
      </c>
    </row>
    <row r="3340" spans="1:59" s="46" customFormat="1" ht="15.95" customHeight="1">
      <c r="A3340" s="176">
        <v>162</v>
      </c>
      <c r="B3340" s="31" t="s">
        <v>858</v>
      </c>
      <c r="C3340" s="32" t="s">
        <v>859</v>
      </c>
      <c r="D3340" s="231"/>
      <c r="E3340" s="231"/>
      <c r="F3340" s="231"/>
      <c r="G3340" s="231"/>
      <c r="H3340" s="231"/>
      <c r="I3340" s="231"/>
      <c r="J3340" s="231"/>
      <c r="K3340" s="231"/>
      <c r="L3340" s="231"/>
      <c r="M3340" s="231"/>
      <c r="N3340" s="231"/>
      <c r="O3340" s="231"/>
      <c r="P3340" s="231"/>
      <c r="Q3340" s="231"/>
      <c r="R3340" s="231"/>
      <c r="S3340" s="231"/>
      <c r="T3340" s="231"/>
      <c r="U3340" s="231"/>
      <c r="V3340" s="231"/>
      <c r="W3340" s="231"/>
      <c r="X3340" s="231"/>
      <c r="Y3340" s="231"/>
      <c r="Z3340" s="231"/>
      <c r="AA3340" s="231"/>
      <c r="AB3340" s="22">
        <f t="shared" si="996"/>
        <v>0</v>
      </c>
      <c r="AC3340" s="23">
        <v>0</v>
      </c>
      <c r="AD3340" s="35"/>
      <c r="AE3340" s="35"/>
      <c r="AF3340" s="35"/>
      <c r="AG3340" s="35"/>
      <c r="AH3340" s="35">
        <f>5+8</f>
        <v>13</v>
      </c>
      <c r="AI3340" s="35"/>
      <c r="AJ3340" s="35"/>
      <c r="AK3340" s="35"/>
      <c r="AL3340" s="35">
        <f>5+89</f>
        <v>94</v>
      </c>
      <c r="AM3340" s="35"/>
      <c r="AN3340" s="35"/>
      <c r="AO3340" s="35"/>
      <c r="AP3340" s="35">
        <v>65</v>
      </c>
      <c r="AQ3340" s="35"/>
      <c r="AR3340" s="35"/>
      <c r="AS3340" s="35"/>
      <c r="AT3340" s="35"/>
      <c r="AU3340" s="35"/>
      <c r="AV3340" s="35"/>
      <c r="AW3340" s="35"/>
      <c r="AX3340" s="35"/>
      <c r="AY3340" s="35"/>
      <c r="AZ3340" s="35"/>
      <c r="BA3340" s="35"/>
      <c r="BB3340" s="22">
        <f t="shared" si="997"/>
        <v>172</v>
      </c>
      <c r="BC3340" s="23">
        <v>520</v>
      </c>
      <c r="BD3340" s="130">
        <f t="shared" si="998"/>
        <v>172</v>
      </c>
      <c r="BE3340" s="130">
        <f t="shared" si="999"/>
        <v>520</v>
      </c>
      <c r="BF3340" s="195">
        <f t="shared" si="1000"/>
        <v>33.076923076923073</v>
      </c>
      <c r="BG3340" s="373">
        <f t="shared" si="1001"/>
        <v>348</v>
      </c>
    </row>
    <row r="3341" spans="1:59" s="46" customFormat="1" ht="15.95" customHeight="1">
      <c r="A3341" s="176">
        <v>163</v>
      </c>
      <c r="B3341" s="31" t="s">
        <v>860</v>
      </c>
      <c r="C3341" s="34" t="s">
        <v>861</v>
      </c>
      <c r="D3341" s="231"/>
      <c r="E3341" s="231"/>
      <c r="F3341" s="231"/>
      <c r="G3341" s="231"/>
      <c r="H3341" s="231"/>
      <c r="I3341" s="231"/>
      <c r="J3341" s="231"/>
      <c r="K3341" s="231"/>
      <c r="L3341" s="231"/>
      <c r="M3341" s="231"/>
      <c r="N3341" s="231"/>
      <c r="O3341" s="231"/>
      <c r="P3341" s="231"/>
      <c r="Q3341" s="231"/>
      <c r="R3341" s="231"/>
      <c r="S3341" s="231"/>
      <c r="T3341" s="231"/>
      <c r="U3341" s="231"/>
      <c r="V3341" s="231"/>
      <c r="W3341" s="231"/>
      <c r="X3341" s="231"/>
      <c r="Y3341" s="231"/>
      <c r="Z3341" s="231"/>
      <c r="AA3341" s="231"/>
      <c r="AB3341" s="22">
        <f t="shared" si="996"/>
        <v>0</v>
      </c>
      <c r="AC3341" s="23">
        <v>0</v>
      </c>
      <c r="AD3341" s="35">
        <v>2203</v>
      </c>
      <c r="AE3341" s="35"/>
      <c r="AF3341" s="35"/>
      <c r="AG3341" s="35"/>
      <c r="AH3341" s="35">
        <f>1146+434</f>
        <v>1580</v>
      </c>
      <c r="AI3341" s="35"/>
      <c r="AJ3341" s="35"/>
      <c r="AK3341" s="35"/>
      <c r="AL3341" s="35">
        <f>1057+2123</f>
        <v>3180</v>
      </c>
      <c r="AM3341" s="35"/>
      <c r="AN3341" s="35"/>
      <c r="AO3341" s="35"/>
      <c r="AP3341" s="35">
        <f>51+1662</f>
        <v>1713</v>
      </c>
      <c r="AQ3341" s="35"/>
      <c r="AR3341" s="35"/>
      <c r="AS3341" s="35"/>
      <c r="AT3341" s="35"/>
      <c r="AU3341" s="35"/>
      <c r="AV3341" s="35"/>
      <c r="AW3341" s="35"/>
      <c r="AX3341" s="35"/>
      <c r="AY3341" s="35"/>
      <c r="AZ3341" s="35"/>
      <c r="BA3341" s="35"/>
      <c r="BB3341" s="22">
        <f t="shared" si="997"/>
        <v>8676</v>
      </c>
      <c r="BC3341" s="23">
        <v>13268</v>
      </c>
      <c r="BD3341" s="130">
        <f t="shared" si="998"/>
        <v>8676</v>
      </c>
      <c r="BE3341" s="130">
        <f t="shared" si="999"/>
        <v>13268</v>
      </c>
      <c r="BF3341" s="195">
        <f t="shared" si="1000"/>
        <v>65.390413023816706</v>
      </c>
      <c r="BG3341" s="373">
        <f t="shared" si="1001"/>
        <v>4592</v>
      </c>
    </row>
    <row r="3342" spans="1:59" s="46" customFormat="1" ht="15.95" customHeight="1">
      <c r="A3342" s="176">
        <v>164</v>
      </c>
      <c r="B3342" s="31" t="s">
        <v>862</v>
      </c>
      <c r="C3342" s="34" t="s">
        <v>1515</v>
      </c>
      <c r="D3342" s="231"/>
      <c r="E3342" s="231"/>
      <c r="F3342" s="231"/>
      <c r="G3342" s="231"/>
      <c r="H3342" s="231"/>
      <c r="I3342" s="231"/>
      <c r="J3342" s="231"/>
      <c r="K3342" s="231"/>
      <c r="L3342" s="231"/>
      <c r="M3342" s="231"/>
      <c r="N3342" s="231"/>
      <c r="O3342" s="231"/>
      <c r="P3342" s="231"/>
      <c r="Q3342" s="231"/>
      <c r="R3342" s="231"/>
      <c r="S3342" s="231"/>
      <c r="T3342" s="231"/>
      <c r="U3342" s="231"/>
      <c r="V3342" s="231"/>
      <c r="W3342" s="231"/>
      <c r="X3342" s="231"/>
      <c r="Y3342" s="231"/>
      <c r="Z3342" s="231"/>
      <c r="AA3342" s="231"/>
      <c r="AB3342" s="22">
        <f t="shared" si="996"/>
        <v>0</v>
      </c>
      <c r="AC3342" s="23">
        <v>0</v>
      </c>
      <c r="AD3342" s="35">
        <v>4</v>
      </c>
      <c r="AE3342" s="35"/>
      <c r="AF3342" s="35"/>
      <c r="AG3342" s="35"/>
      <c r="AH3342" s="35">
        <f>2+1</f>
        <v>3</v>
      </c>
      <c r="AI3342" s="35"/>
      <c r="AJ3342" s="35"/>
      <c r="AK3342" s="35"/>
      <c r="AL3342" s="35">
        <f>2+6</f>
        <v>8</v>
      </c>
      <c r="AM3342" s="35"/>
      <c r="AN3342" s="35"/>
      <c r="AO3342" s="35"/>
      <c r="AP3342" s="35">
        <v>12</v>
      </c>
      <c r="AQ3342" s="35"/>
      <c r="AR3342" s="35"/>
      <c r="AS3342" s="35"/>
      <c r="AT3342" s="35"/>
      <c r="AU3342" s="35"/>
      <c r="AV3342" s="35"/>
      <c r="AW3342" s="35"/>
      <c r="AX3342" s="35"/>
      <c r="AY3342" s="35"/>
      <c r="AZ3342" s="35"/>
      <c r="BA3342" s="35"/>
      <c r="BB3342" s="22">
        <f t="shared" si="997"/>
        <v>27</v>
      </c>
      <c r="BC3342" s="23">
        <v>56</v>
      </c>
      <c r="BD3342" s="130">
        <f t="shared" si="998"/>
        <v>27</v>
      </c>
      <c r="BE3342" s="130">
        <f t="shared" si="999"/>
        <v>56</v>
      </c>
      <c r="BF3342" s="195">
        <f t="shared" si="1000"/>
        <v>48.214285714285715</v>
      </c>
      <c r="BG3342" s="373">
        <f t="shared" si="1001"/>
        <v>29</v>
      </c>
    </row>
    <row r="3343" spans="1:59" s="46" customFormat="1" ht="15.95" customHeight="1">
      <c r="A3343" s="176">
        <v>165</v>
      </c>
      <c r="B3343" s="31" t="s">
        <v>864</v>
      </c>
      <c r="C3343" s="34" t="s">
        <v>2032</v>
      </c>
      <c r="D3343" s="366"/>
      <c r="E3343" s="366"/>
      <c r="F3343" s="366"/>
      <c r="G3343" s="366"/>
      <c r="H3343" s="366"/>
      <c r="I3343" s="366"/>
      <c r="J3343" s="366"/>
      <c r="K3343" s="366"/>
      <c r="L3343" s="366"/>
      <c r="M3343" s="366"/>
      <c r="N3343" s="366"/>
      <c r="O3343" s="366"/>
      <c r="P3343" s="366"/>
      <c r="Q3343" s="366"/>
      <c r="R3343" s="366"/>
      <c r="S3343" s="366"/>
      <c r="T3343" s="366"/>
      <c r="U3343" s="366"/>
      <c r="V3343" s="366"/>
      <c r="W3343" s="366"/>
      <c r="X3343" s="366"/>
      <c r="Y3343" s="366"/>
      <c r="Z3343" s="366"/>
      <c r="AA3343" s="366"/>
      <c r="AB3343" s="22">
        <f t="shared" si="996"/>
        <v>0</v>
      </c>
      <c r="AC3343" s="23">
        <v>0</v>
      </c>
      <c r="AD3343" s="35"/>
      <c r="AE3343" s="35"/>
      <c r="AF3343" s="35"/>
      <c r="AG3343" s="35"/>
      <c r="AH3343" s="35">
        <v>5</v>
      </c>
      <c r="AI3343" s="35"/>
      <c r="AJ3343" s="35"/>
      <c r="AK3343" s="35"/>
      <c r="AL3343" s="35"/>
      <c r="AM3343" s="35"/>
      <c r="AN3343" s="35"/>
      <c r="AO3343" s="35"/>
      <c r="AP3343" s="35">
        <v>15</v>
      </c>
      <c r="AQ3343" s="35"/>
      <c r="AR3343" s="35"/>
      <c r="AS3343" s="35"/>
      <c r="AT3343" s="35"/>
      <c r="AU3343" s="35"/>
      <c r="AV3343" s="35"/>
      <c r="AW3343" s="35"/>
      <c r="AX3343" s="35"/>
      <c r="AY3343" s="35"/>
      <c r="AZ3343" s="35"/>
      <c r="BA3343" s="35"/>
      <c r="BB3343" s="22">
        <f t="shared" si="997"/>
        <v>20</v>
      </c>
      <c r="BC3343" s="23">
        <v>155</v>
      </c>
      <c r="BD3343" s="130">
        <f t="shared" si="998"/>
        <v>20</v>
      </c>
      <c r="BE3343" s="130">
        <f t="shared" si="999"/>
        <v>155</v>
      </c>
      <c r="BF3343" s="195">
        <f t="shared" si="1000"/>
        <v>12.903225806451612</v>
      </c>
      <c r="BG3343" s="373">
        <f t="shared" si="1001"/>
        <v>135</v>
      </c>
    </row>
    <row r="3344" spans="1:59" s="46" customFormat="1" ht="15.95" customHeight="1">
      <c r="A3344" s="176">
        <v>166</v>
      </c>
      <c r="B3344" s="31" t="s">
        <v>865</v>
      </c>
      <c r="C3344" s="34" t="s">
        <v>1647</v>
      </c>
      <c r="D3344" s="366"/>
      <c r="E3344" s="366"/>
      <c r="F3344" s="366"/>
      <c r="G3344" s="366"/>
      <c r="H3344" s="366"/>
      <c r="I3344" s="366"/>
      <c r="J3344" s="366"/>
      <c r="K3344" s="366"/>
      <c r="L3344" s="366"/>
      <c r="M3344" s="366"/>
      <c r="N3344" s="366"/>
      <c r="O3344" s="366"/>
      <c r="P3344" s="366"/>
      <c r="Q3344" s="366"/>
      <c r="R3344" s="366"/>
      <c r="S3344" s="366"/>
      <c r="T3344" s="366"/>
      <c r="U3344" s="366"/>
      <c r="V3344" s="366"/>
      <c r="W3344" s="366"/>
      <c r="X3344" s="366"/>
      <c r="Y3344" s="366"/>
      <c r="Z3344" s="366"/>
      <c r="AA3344" s="366"/>
      <c r="AB3344" s="22">
        <f t="shared" si="996"/>
        <v>0</v>
      </c>
      <c r="AC3344" s="23">
        <v>0</v>
      </c>
      <c r="AD3344" s="35">
        <v>1801</v>
      </c>
      <c r="AE3344" s="35"/>
      <c r="AF3344" s="35"/>
      <c r="AG3344" s="35"/>
      <c r="AH3344" s="35">
        <f>961+7</f>
        <v>968</v>
      </c>
      <c r="AI3344" s="35"/>
      <c r="AJ3344" s="35"/>
      <c r="AK3344" s="35"/>
      <c r="AL3344" s="35">
        <f>851+285</f>
        <v>1136</v>
      </c>
      <c r="AM3344" s="35"/>
      <c r="AN3344" s="35"/>
      <c r="AO3344" s="35"/>
      <c r="AP3344" s="35">
        <f>44+254</f>
        <v>298</v>
      </c>
      <c r="AQ3344" s="35"/>
      <c r="AR3344" s="35"/>
      <c r="AS3344" s="35"/>
      <c r="AT3344" s="35"/>
      <c r="AU3344" s="35"/>
      <c r="AV3344" s="35"/>
      <c r="AW3344" s="35"/>
      <c r="AX3344" s="35"/>
      <c r="AY3344" s="35"/>
      <c r="AZ3344" s="35"/>
      <c r="BA3344" s="35"/>
      <c r="BB3344" s="22">
        <f t="shared" si="997"/>
        <v>4203</v>
      </c>
      <c r="BC3344" s="23">
        <v>1022</v>
      </c>
      <c r="BD3344" s="130">
        <f t="shared" si="998"/>
        <v>4203</v>
      </c>
      <c r="BE3344" s="130">
        <f t="shared" si="999"/>
        <v>1022</v>
      </c>
      <c r="BF3344" s="195">
        <f t="shared" si="1000"/>
        <v>411.25244618395305</v>
      </c>
      <c r="BG3344" s="373">
        <f t="shared" si="1001"/>
        <v>-3181</v>
      </c>
    </row>
    <row r="3345" spans="1:59" s="46" customFormat="1" ht="15.95" customHeight="1">
      <c r="A3345" s="176">
        <v>167</v>
      </c>
      <c r="B3345" s="411" t="s">
        <v>2815</v>
      </c>
      <c r="C3345" s="448" t="s">
        <v>3072</v>
      </c>
      <c r="D3345" s="366"/>
      <c r="E3345" s="366"/>
      <c r="F3345" s="366"/>
      <c r="G3345" s="366"/>
      <c r="H3345" s="366"/>
      <c r="I3345" s="366"/>
      <c r="J3345" s="366"/>
      <c r="K3345" s="366"/>
      <c r="L3345" s="366"/>
      <c r="M3345" s="366"/>
      <c r="N3345" s="366"/>
      <c r="O3345" s="366"/>
      <c r="P3345" s="366"/>
      <c r="Q3345" s="366"/>
      <c r="R3345" s="366"/>
      <c r="S3345" s="366"/>
      <c r="T3345" s="366"/>
      <c r="U3345" s="366"/>
      <c r="V3345" s="366"/>
      <c r="W3345" s="366"/>
      <c r="X3345" s="366"/>
      <c r="Y3345" s="366"/>
      <c r="Z3345" s="366"/>
      <c r="AA3345" s="366"/>
      <c r="AB3345" s="22">
        <f t="shared" si="996"/>
        <v>0</v>
      </c>
      <c r="AC3345" s="23">
        <v>2</v>
      </c>
      <c r="AD3345" s="35"/>
      <c r="AE3345" s="35"/>
      <c r="AF3345" s="35"/>
      <c r="AG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  <c r="AX3345" s="35"/>
      <c r="AY3345" s="35"/>
      <c r="AZ3345" s="35"/>
      <c r="BA3345" s="35"/>
      <c r="BB3345" s="22">
        <f t="shared" si="997"/>
        <v>0</v>
      </c>
      <c r="BC3345" s="23">
        <v>2</v>
      </c>
      <c r="BD3345" s="130">
        <f t="shared" si="998"/>
        <v>0</v>
      </c>
      <c r="BE3345" s="130">
        <f t="shared" si="999"/>
        <v>4</v>
      </c>
      <c r="BF3345" s="195">
        <f t="shared" si="1000"/>
        <v>0</v>
      </c>
      <c r="BG3345" s="373">
        <f t="shared" si="1001"/>
        <v>4</v>
      </c>
    </row>
    <row r="3346" spans="1:59" s="46" customFormat="1" ht="15.95" customHeight="1">
      <c r="A3346" s="176">
        <v>168</v>
      </c>
      <c r="B3346" s="31" t="s">
        <v>2815</v>
      </c>
      <c r="C3346" s="34" t="s">
        <v>2816</v>
      </c>
      <c r="D3346" s="366"/>
      <c r="E3346" s="366"/>
      <c r="F3346" s="366"/>
      <c r="G3346" s="366"/>
      <c r="H3346" s="366"/>
      <c r="I3346" s="366"/>
      <c r="J3346" s="366"/>
      <c r="K3346" s="366"/>
      <c r="L3346" s="366"/>
      <c r="M3346" s="366"/>
      <c r="N3346" s="366"/>
      <c r="O3346" s="366"/>
      <c r="P3346" s="366"/>
      <c r="Q3346" s="366"/>
      <c r="R3346" s="366"/>
      <c r="S3346" s="366"/>
      <c r="T3346" s="366"/>
      <c r="U3346" s="366"/>
      <c r="V3346" s="366"/>
      <c r="W3346" s="366"/>
      <c r="X3346" s="366"/>
      <c r="Y3346" s="366"/>
      <c r="Z3346" s="366"/>
      <c r="AA3346" s="366"/>
      <c r="AB3346" s="22">
        <f t="shared" si="996"/>
        <v>0</v>
      </c>
      <c r="AC3346" s="23">
        <v>0</v>
      </c>
      <c r="AD3346" s="35"/>
      <c r="AE3346" s="35"/>
      <c r="AF3346" s="35"/>
      <c r="AG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  <c r="AX3346" s="35"/>
      <c r="AY3346" s="35"/>
      <c r="AZ3346" s="35"/>
      <c r="BA3346" s="35"/>
      <c r="BB3346" s="22">
        <f t="shared" si="997"/>
        <v>0</v>
      </c>
      <c r="BC3346" s="23">
        <v>4</v>
      </c>
      <c r="BD3346" s="130">
        <f t="shared" si="998"/>
        <v>0</v>
      </c>
      <c r="BE3346" s="130">
        <f t="shared" si="999"/>
        <v>4</v>
      </c>
      <c r="BF3346" s="195">
        <f t="shared" si="1000"/>
        <v>0</v>
      </c>
      <c r="BG3346" s="373">
        <f t="shared" si="1001"/>
        <v>4</v>
      </c>
    </row>
    <row r="3347" spans="1:59" s="46" customFormat="1" ht="15.95" customHeight="1">
      <c r="A3347" s="176">
        <v>169</v>
      </c>
      <c r="B3347" s="31" t="s">
        <v>3568</v>
      </c>
      <c r="C3347" s="32" t="s">
        <v>3569</v>
      </c>
      <c r="D3347" s="366"/>
      <c r="E3347" s="366"/>
      <c r="F3347" s="366"/>
      <c r="G3347" s="366"/>
      <c r="H3347" s="366"/>
      <c r="I3347" s="366"/>
      <c r="J3347" s="366"/>
      <c r="K3347" s="366"/>
      <c r="L3347" s="366"/>
      <c r="M3347" s="366"/>
      <c r="N3347" s="366"/>
      <c r="O3347" s="366"/>
      <c r="P3347" s="366"/>
      <c r="Q3347" s="366"/>
      <c r="R3347" s="366"/>
      <c r="S3347" s="366"/>
      <c r="T3347" s="366"/>
      <c r="U3347" s="366"/>
      <c r="V3347" s="366"/>
      <c r="W3347" s="366"/>
      <c r="X3347" s="366"/>
      <c r="Y3347" s="366"/>
      <c r="Z3347" s="366"/>
      <c r="AA3347" s="366"/>
      <c r="AB3347" s="22">
        <f t="shared" si="996"/>
        <v>0</v>
      </c>
      <c r="AC3347" s="23">
        <v>0</v>
      </c>
      <c r="AD3347" s="35"/>
      <c r="AE3347" s="35"/>
      <c r="AF3347" s="35"/>
      <c r="AG3347" s="35"/>
      <c r="AH3347" s="35"/>
      <c r="AI3347" s="35"/>
      <c r="AJ3347" s="35"/>
      <c r="AK3347" s="35"/>
      <c r="AL3347" s="35">
        <v>5</v>
      </c>
      <c r="AM3347" s="35"/>
      <c r="AN3347" s="35"/>
      <c r="AO3347" s="35"/>
      <c r="AP3347" s="35">
        <v>3</v>
      </c>
      <c r="AQ3347" s="35"/>
      <c r="AR3347" s="35"/>
      <c r="AS3347" s="35"/>
      <c r="AT3347" s="35"/>
      <c r="AU3347" s="35"/>
      <c r="AV3347" s="35"/>
      <c r="AW3347" s="35"/>
      <c r="AX3347" s="35"/>
      <c r="AY3347" s="35"/>
      <c r="AZ3347" s="35"/>
      <c r="BA3347" s="35"/>
      <c r="BB3347" s="22">
        <f t="shared" si="997"/>
        <v>8</v>
      </c>
      <c r="BC3347" s="23">
        <v>1</v>
      </c>
      <c r="BD3347" s="130">
        <f t="shared" si="998"/>
        <v>8</v>
      </c>
      <c r="BE3347" s="130">
        <f t="shared" si="999"/>
        <v>1</v>
      </c>
      <c r="BF3347" s="195">
        <f t="shared" si="1000"/>
        <v>800</v>
      </c>
      <c r="BG3347" s="373">
        <f t="shared" si="1001"/>
        <v>-7</v>
      </c>
    </row>
    <row r="3348" spans="1:59" s="46" customFormat="1" ht="15.95" customHeight="1">
      <c r="A3348" s="176">
        <v>170</v>
      </c>
      <c r="B3348" s="31" t="s">
        <v>1027</v>
      </c>
      <c r="C3348" s="34" t="s">
        <v>2577</v>
      </c>
      <c r="D3348" s="366"/>
      <c r="E3348" s="366"/>
      <c r="F3348" s="366"/>
      <c r="G3348" s="366"/>
      <c r="H3348" s="366"/>
      <c r="I3348" s="366"/>
      <c r="J3348" s="366"/>
      <c r="K3348" s="366"/>
      <c r="L3348" s="366"/>
      <c r="M3348" s="366"/>
      <c r="N3348" s="366"/>
      <c r="O3348" s="366"/>
      <c r="P3348" s="366"/>
      <c r="Q3348" s="366"/>
      <c r="R3348" s="366"/>
      <c r="S3348" s="366"/>
      <c r="T3348" s="366"/>
      <c r="U3348" s="366"/>
      <c r="V3348" s="366"/>
      <c r="W3348" s="366"/>
      <c r="X3348" s="366"/>
      <c r="Y3348" s="366"/>
      <c r="Z3348" s="366"/>
      <c r="AA3348" s="366"/>
      <c r="AB3348" s="22">
        <f t="shared" si="996"/>
        <v>0</v>
      </c>
      <c r="AC3348" s="23">
        <v>0</v>
      </c>
      <c r="AD3348" s="35"/>
      <c r="AE3348" s="35"/>
      <c r="AF3348" s="35"/>
      <c r="AG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  <c r="AX3348" s="35"/>
      <c r="AY3348" s="35"/>
      <c r="AZ3348" s="35"/>
      <c r="BA3348" s="35"/>
      <c r="BB3348" s="22">
        <f t="shared" si="997"/>
        <v>0</v>
      </c>
      <c r="BC3348" s="23">
        <v>1</v>
      </c>
      <c r="BD3348" s="130">
        <f t="shared" si="998"/>
        <v>0</v>
      </c>
      <c r="BE3348" s="130">
        <f t="shared" si="999"/>
        <v>1</v>
      </c>
      <c r="BF3348" s="195">
        <f t="shared" si="1000"/>
        <v>0</v>
      </c>
      <c r="BG3348" s="373">
        <f t="shared" si="1001"/>
        <v>1</v>
      </c>
    </row>
    <row r="3349" spans="1:59" s="46" customFormat="1" ht="15.95" customHeight="1">
      <c r="A3349" s="176">
        <v>171</v>
      </c>
      <c r="B3349" s="31" t="s">
        <v>2578</v>
      </c>
      <c r="C3349" s="34" t="s">
        <v>2579</v>
      </c>
      <c r="D3349" s="366"/>
      <c r="E3349" s="366"/>
      <c r="F3349" s="366"/>
      <c r="G3349" s="366"/>
      <c r="H3349" s="366"/>
      <c r="I3349" s="366"/>
      <c r="J3349" s="366"/>
      <c r="K3349" s="366"/>
      <c r="L3349" s="366"/>
      <c r="M3349" s="366"/>
      <c r="N3349" s="366"/>
      <c r="O3349" s="366"/>
      <c r="P3349" s="366"/>
      <c r="Q3349" s="366"/>
      <c r="R3349" s="366"/>
      <c r="S3349" s="366"/>
      <c r="T3349" s="366"/>
      <c r="U3349" s="366"/>
      <c r="V3349" s="366"/>
      <c r="W3349" s="366"/>
      <c r="X3349" s="366"/>
      <c r="Y3349" s="366"/>
      <c r="Z3349" s="366"/>
      <c r="AA3349" s="366"/>
      <c r="AB3349" s="22">
        <f t="shared" si="996"/>
        <v>0</v>
      </c>
      <c r="AC3349" s="23">
        <v>0</v>
      </c>
      <c r="AD3349" s="35"/>
      <c r="AE3349" s="35"/>
      <c r="AF3349" s="35"/>
      <c r="AG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  <c r="AX3349" s="35"/>
      <c r="AY3349" s="35"/>
      <c r="AZ3349" s="35"/>
      <c r="BA3349" s="35"/>
      <c r="BB3349" s="22">
        <f t="shared" si="997"/>
        <v>0</v>
      </c>
      <c r="BC3349" s="23">
        <v>1</v>
      </c>
      <c r="BD3349" s="130">
        <f t="shared" si="998"/>
        <v>0</v>
      </c>
      <c r="BE3349" s="130">
        <f t="shared" si="999"/>
        <v>1</v>
      </c>
      <c r="BF3349" s="195">
        <f t="shared" si="1000"/>
        <v>0</v>
      </c>
      <c r="BG3349" s="373">
        <f t="shared" si="1001"/>
        <v>1</v>
      </c>
    </row>
    <row r="3350" spans="1:59" s="46" customFormat="1" ht="15.95" customHeight="1">
      <c r="A3350" s="176">
        <v>172</v>
      </c>
      <c r="B3350" s="31" t="s">
        <v>1650</v>
      </c>
      <c r="C3350" s="34" t="s">
        <v>2033</v>
      </c>
      <c r="D3350" s="231"/>
      <c r="E3350" s="231"/>
      <c r="F3350" s="231"/>
      <c r="G3350" s="231"/>
      <c r="H3350" s="231"/>
      <c r="I3350" s="231"/>
      <c r="J3350" s="231"/>
      <c r="K3350" s="231"/>
      <c r="L3350" s="231"/>
      <c r="M3350" s="231"/>
      <c r="N3350" s="231"/>
      <c r="O3350" s="231"/>
      <c r="P3350" s="231"/>
      <c r="Q3350" s="231"/>
      <c r="R3350" s="231"/>
      <c r="S3350" s="231"/>
      <c r="T3350" s="231"/>
      <c r="U3350" s="231"/>
      <c r="V3350" s="231"/>
      <c r="W3350" s="231"/>
      <c r="X3350" s="231"/>
      <c r="Y3350" s="231"/>
      <c r="Z3350" s="231"/>
      <c r="AA3350" s="231"/>
      <c r="AB3350" s="22">
        <f t="shared" si="996"/>
        <v>0</v>
      </c>
      <c r="AC3350" s="23">
        <v>0</v>
      </c>
      <c r="AD3350" s="35"/>
      <c r="AE3350" s="35"/>
      <c r="AF3350" s="35"/>
      <c r="AG3350" s="35"/>
      <c r="AH3350" s="35"/>
      <c r="AI3350" s="35"/>
      <c r="AJ3350" s="35"/>
      <c r="AK3350" s="35"/>
      <c r="AL3350" s="35">
        <v>39</v>
      </c>
      <c r="AM3350" s="35"/>
      <c r="AN3350" s="35"/>
      <c r="AO3350" s="35"/>
      <c r="AP3350" s="35">
        <v>17</v>
      </c>
      <c r="AQ3350" s="35"/>
      <c r="AR3350" s="35"/>
      <c r="AS3350" s="35"/>
      <c r="AT3350" s="35"/>
      <c r="AU3350" s="35"/>
      <c r="AV3350" s="35"/>
      <c r="AW3350" s="35"/>
      <c r="AX3350" s="35"/>
      <c r="AY3350" s="35"/>
      <c r="AZ3350" s="35"/>
      <c r="BA3350" s="35"/>
      <c r="BB3350" s="22">
        <f t="shared" si="997"/>
        <v>56</v>
      </c>
      <c r="BC3350" s="23">
        <v>21</v>
      </c>
      <c r="BD3350" s="130">
        <f t="shared" si="998"/>
        <v>56</v>
      </c>
      <c r="BE3350" s="130">
        <f t="shared" si="999"/>
        <v>21</v>
      </c>
      <c r="BF3350" s="195">
        <f t="shared" si="1000"/>
        <v>266.66666666666663</v>
      </c>
      <c r="BG3350" s="373">
        <f t="shared" si="1001"/>
        <v>-35</v>
      </c>
    </row>
    <row r="3351" spans="1:59" s="46" customFormat="1" ht="15.95" customHeight="1">
      <c r="A3351" s="176">
        <v>173</v>
      </c>
      <c r="B3351" s="31" t="s">
        <v>2430</v>
      </c>
      <c r="C3351" s="34" t="s">
        <v>2431</v>
      </c>
      <c r="D3351" s="289"/>
      <c r="E3351" s="289"/>
      <c r="F3351" s="289"/>
      <c r="G3351" s="289"/>
      <c r="H3351" s="289"/>
      <c r="I3351" s="289"/>
      <c r="J3351" s="289"/>
      <c r="K3351" s="289"/>
      <c r="L3351" s="289"/>
      <c r="M3351" s="289"/>
      <c r="N3351" s="289"/>
      <c r="O3351" s="289"/>
      <c r="P3351" s="289"/>
      <c r="Q3351" s="289"/>
      <c r="R3351" s="289"/>
      <c r="S3351" s="289"/>
      <c r="T3351" s="289"/>
      <c r="U3351" s="289"/>
      <c r="V3351" s="289"/>
      <c r="W3351" s="289"/>
      <c r="X3351" s="289"/>
      <c r="Y3351" s="289"/>
      <c r="Z3351" s="289"/>
      <c r="AA3351" s="289"/>
      <c r="AB3351" s="22">
        <f t="shared" si="996"/>
        <v>0</v>
      </c>
      <c r="AC3351" s="23">
        <v>0</v>
      </c>
      <c r="AD3351" s="35"/>
      <c r="AE3351" s="35"/>
      <c r="AF3351" s="35"/>
      <c r="AG3351" s="35"/>
      <c r="AH3351" s="35"/>
      <c r="AI3351" s="35"/>
      <c r="AJ3351" s="35"/>
      <c r="AK3351" s="35"/>
      <c r="AL3351" s="35">
        <v>1</v>
      </c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  <c r="AX3351" s="35"/>
      <c r="AY3351" s="35"/>
      <c r="AZ3351" s="35"/>
      <c r="BA3351" s="35"/>
      <c r="BB3351" s="22">
        <f t="shared" si="997"/>
        <v>1</v>
      </c>
      <c r="BC3351" s="23">
        <v>5</v>
      </c>
      <c r="BD3351" s="130">
        <f t="shared" si="998"/>
        <v>1</v>
      </c>
      <c r="BE3351" s="130">
        <f t="shared" si="999"/>
        <v>5</v>
      </c>
      <c r="BF3351" s="195">
        <f t="shared" si="1000"/>
        <v>20</v>
      </c>
      <c r="BG3351" s="373">
        <f t="shared" si="1001"/>
        <v>4</v>
      </c>
    </row>
    <row r="3352" spans="1:59" s="46" customFormat="1" ht="15.95" customHeight="1">
      <c r="A3352" s="176">
        <v>174</v>
      </c>
      <c r="B3352" s="31" t="s">
        <v>1028</v>
      </c>
      <c r="C3352" s="34" t="s">
        <v>2034</v>
      </c>
      <c r="D3352" s="255"/>
      <c r="E3352" s="255"/>
      <c r="F3352" s="255"/>
      <c r="G3352" s="255"/>
      <c r="H3352" s="255"/>
      <c r="I3352" s="255"/>
      <c r="J3352" s="255"/>
      <c r="K3352" s="255"/>
      <c r="L3352" s="255"/>
      <c r="M3352" s="255"/>
      <c r="N3352" s="255"/>
      <c r="O3352" s="255"/>
      <c r="P3352" s="255"/>
      <c r="Q3352" s="255"/>
      <c r="R3352" s="255"/>
      <c r="S3352" s="255"/>
      <c r="T3352" s="255"/>
      <c r="U3352" s="255"/>
      <c r="V3352" s="255"/>
      <c r="W3352" s="255"/>
      <c r="X3352" s="255"/>
      <c r="Y3352" s="255"/>
      <c r="Z3352" s="255"/>
      <c r="AA3352" s="255"/>
      <c r="AB3352" s="22">
        <f t="shared" si="996"/>
        <v>0</v>
      </c>
      <c r="AC3352" s="23">
        <v>0</v>
      </c>
      <c r="AD3352" s="35"/>
      <c r="AE3352" s="35"/>
      <c r="AF3352" s="35"/>
      <c r="AG3352" s="35"/>
      <c r="AH3352" s="35"/>
      <c r="AI3352" s="35"/>
      <c r="AJ3352" s="35"/>
      <c r="AK3352" s="35"/>
      <c r="AL3352" s="35">
        <v>48</v>
      </c>
      <c r="AM3352" s="35"/>
      <c r="AN3352" s="35"/>
      <c r="AO3352" s="35"/>
      <c r="AP3352" s="35">
        <v>60</v>
      </c>
      <c r="AQ3352" s="35"/>
      <c r="AR3352" s="35"/>
      <c r="AS3352" s="35"/>
      <c r="AT3352" s="35"/>
      <c r="AU3352" s="35"/>
      <c r="AV3352" s="35"/>
      <c r="AW3352" s="35"/>
      <c r="AX3352" s="35"/>
      <c r="AY3352" s="35"/>
      <c r="AZ3352" s="35"/>
      <c r="BA3352" s="35"/>
      <c r="BB3352" s="22">
        <f t="shared" si="997"/>
        <v>108</v>
      </c>
      <c r="BC3352" s="23">
        <v>89</v>
      </c>
      <c r="BD3352" s="130">
        <f t="shared" si="998"/>
        <v>108</v>
      </c>
      <c r="BE3352" s="130">
        <f t="shared" si="999"/>
        <v>89</v>
      </c>
      <c r="BF3352" s="195">
        <f t="shared" si="1000"/>
        <v>121.34831460674158</v>
      </c>
      <c r="BG3352" s="373">
        <f t="shared" si="1001"/>
        <v>-19</v>
      </c>
    </row>
    <row r="3353" spans="1:59" s="46" customFormat="1" ht="15.95" customHeight="1">
      <c r="A3353" s="176">
        <v>175</v>
      </c>
      <c r="B3353" s="31" t="s">
        <v>922</v>
      </c>
      <c r="C3353" s="34" t="s">
        <v>2013</v>
      </c>
      <c r="D3353" s="231"/>
      <c r="E3353" s="231"/>
      <c r="F3353" s="231"/>
      <c r="G3353" s="231"/>
      <c r="H3353" s="231"/>
      <c r="I3353" s="231"/>
      <c r="J3353" s="231"/>
      <c r="K3353" s="231"/>
      <c r="L3353" s="231"/>
      <c r="M3353" s="231"/>
      <c r="N3353" s="231"/>
      <c r="O3353" s="231"/>
      <c r="P3353" s="231"/>
      <c r="Q3353" s="231"/>
      <c r="R3353" s="231"/>
      <c r="S3353" s="231"/>
      <c r="T3353" s="231"/>
      <c r="U3353" s="231"/>
      <c r="V3353" s="231"/>
      <c r="W3353" s="231"/>
      <c r="X3353" s="231"/>
      <c r="Y3353" s="231"/>
      <c r="Z3353" s="231"/>
      <c r="AA3353" s="231"/>
      <c r="AB3353" s="22">
        <f t="shared" si="996"/>
        <v>0</v>
      </c>
      <c r="AC3353" s="23">
        <v>0</v>
      </c>
      <c r="AD3353" s="35"/>
      <c r="AE3353" s="35"/>
      <c r="AF3353" s="35"/>
      <c r="AG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  <c r="AX3353" s="35"/>
      <c r="AY3353" s="35"/>
      <c r="AZ3353" s="35"/>
      <c r="BA3353" s="35"/>
      <c r="BB3353" s="22">
        <f t="shared" si="997"/>
        <v>0</v>
      </c>
      <c r="BC3353" s="23">
        <v>4</v>
      </c>
      <c r="BD3353" s="130">
        <f t="shared" si="998"/>
        <v>0</v>
      </c>
      <c r="BE3353" s="130">
        <f t="shared" si="999"/>
        <v>4</v>
      </c>
      <c r="BF3353" s="195">
        <f t="shared" si="1000"/>
        <v>0</v>
      </c>
      <c r="BG3353" s="373">
        <f t="shared" si="1001"/>
        <v>4</v>
      </c>
    </row>
    <row r="3354" spans="1:59" s="46" customFormat="1" ht="15.95" customHeight="1">
      <c r="A3354" s="176">
        <v>176</v>
      </c>
      <c r="B3354" s="31" t="s">
        <v>1030</v>
      </c>
      <c r="C3354" s="34" t="s">
        <v>2281</v>
      </c>
      <c r="D3354" s="273"/>
      <c r="E3354" s="273"/>
      <c r="F3354" s="273"/>
      <c r="G3354" s="273"/>
      <c r="H3354" s="273"/>
      <c r="I3354" s="273"/>
      <c r="J3354" s="273"/>
      <c r="K3354" s="273"/>
      <c r="L3354" s="273"/>
      <c r="M3354" s="273"/>
      <c r="N3354" s="273"/>
      <c r="O3354" s="273"/>
      <c r="P3354" s="273"/>
      <c r="Q3354" s="273"/>
      <c r="R3354" s="273"/>
      <c r="S3354" s="273"/>
      <c r="T3354" s="273"/>
      <c r="U3354" s="273"/>
      <c r="V3354" s="273"/>
      <c r="W3354" s="273"/>
      <c r="X3354" s="273"/>
      <c r="Y3354" s="273"/>
      <c r="Z3354" s="273"/>
      <c r="AA3354" s="273"/>
      <c r="AB3354" s="22">
        <f t="shared" si="996"/>
        <v>0</v>
      </c>
      <c r="AC3354" s="23">
        <v>0</v>
      </c>
      <c r="AD3354" s="35"/>
      <c r="AE3354" s="35"/>
      <c r="AF3354" s="35"/>
      <c r="AG3354" s="35"/>
      <c r="AH3354" s="35"/>
      <c r="AI3354" s="35"/>
      <c r="AJ3354" s="35"/>
      <c r="AK3354" s="35"/>
      <c r="AL3354" s="35">
        <v>1</v>
      </c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  <c r="AX3354" s="35"/>
      <c r="AY3354" s="35"/>
      <c r="AZ3354" s="35"/>
      <c r="BA3354" s="35"/>
      <c r="BB3354" s="22">
        <f t="shared" si="997"/>
        <v>1</v>
      </c>
      <c r="BC3354" s="23">
        <v>3</v>
      </c>
      <c r="BD3354" s="130">
        <f t="shared" si="998"/>
        <v>1</v>
      </c>
      <c r="BE3354" s="130">
        <f t="shared" si="999"/>
        <v>3</v>
      </c>
      <c r="BF3354" s="195">
        <f t="shared" si="1000"/>
        <v>33.333333333333329</v>
      </c>
      <c r="BG3354" s="373">
        <f t="shared" si="1001"/>
        <v>2</v>
      </c>
    </row>
    <row r="3355" spans="1:59" s="46" customFormat="1" ht="16.5" customHeight="1">
      <c r="A3355" s="176">
        <v>177</v>
      </c>
      <c r="B3355" s="31" t="s">
        <v>1654</v>
      </c>
      <c r="C3355" s="32" t="s">
        <v>1655</v>
      </c>
      <c r="D3355" s="231"/>
      <c r="E3355" s="231"/>
      <c r="F3355" s="231"/>
      <c r="G3355" s="231"/>
      <c r="H3355" s="231"/>
      <c r="I3355" s="231"/>
      <c r="J3355" s="231"/>
      <c r="K3355" s="231"/>
      <c r="L3355" s="231"/>
      <c r="M3355" s="231"/>
      <c r="N3355" s="231"/>
      <c r="O3355" s="231"/>
      <c r="P3355" s="231"/>
      <c r="Q3355" s="231"/>
      <c r="R3355" s="231"/>
      <c r="S3355" s="231"/>
      <c r="T3355" s="231"/>
      <c r="U3355" s="231"/>
      <c r="V3355" s="231"/>
      <c r="W3355" s="231"/>
      <c r="X3355" s="231"/>
      <c r="Y3355" s="231"/>
      <c r="Z3355" s="231"/>
      <c r="AA3355" s="231"/>
      <c r="AB3355" s="22">
        <f t="shared" si="996"/>
        <v>0</v>
      </c>
      <c r="AC3355" s="23">
        <v>2</v>
      </c>
      <c r="AD3355" s="35"/>
      <c r="AE3355" s="35"/>
      <c r="AF3355" s="35"/>
      <c r="AG3355" s="35"/>
      <c r="AH3355" s="35">
        <v>3</v>
      </c>
      <c r="AI3355" s="35"/>
      <c r="AJ3355" s="35"/>
      <c r="AK3355" s="35"/>
      <c r="AL3355" s="35">
        <v>1</v>
      </c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  <c r="AX3355" s="35"/>
      <c r="AY3355" s="35"/>
      <c r="AZ3355" s="35"/>
      <c r="BA3355" s="35"/>
      <c r="BB3355" s="22">
        <f t="shared" si="997"/>
        <v>4</v>
      </c>
      <c r="BC3355" s="23">
        <v>16</v>
      </c>
      <c r="BD3355" s="130">
        <f t="shared" si="998"/>
        <v>4</v>
      </c>
      <c r="BE3355" s="130">
        <f t="shared" si="999"/>
        <v>18</v>
      </c>
      <c r="BF3355" s="195">
        <f t="shared" si="1000"/>
        <v>22.222222222222221</v>
      </c>
      <c r="BG3355" s="373">
        <f t="shared" si="1001"/>
        <v>14</v>
      </c>
    </row>
    <row r="3356" spans="1:59" s="46" customFormat="1" ht="15.95" customHeight="1">
      <c r="A3356" s="176">
        <v>178</v>
      </c>
      <c r="B3356" s="31" t="s">
        <v>1658</v>
      </c>
      <c r="C3356" s="32" t="s">
        <v>1659</v>
      </c>
      <c r="D3356" s="231"/>
      <c r="E3356" s="231"/>
      <c r="F3356" s="231"/>
      <c r="G3356" s="231"/>
      <c r="H3356" s="231"/>
      <c r="I3356" s="231"/>
      <c r="J3356" s="231"/>
      <c r="K3356" s="231"/>
      <c r="L3356" s="231"/>
      <c r="M3356" s="231"/>
      <c r="N3356" s="231"/>
      <c r="O3356" s="231"/>
      <c r="P3356" s="231"/>
      <c r="Q3356" s="231"/>
      <c r="R3356" s="231"/>
      <c r="S3356" s="231"/>
      <c r="T3356" s="231"/>
      <c r="U3356" s="231"/>
      <c r="V3356" s="231"/>
      <c r="W3356" s="231"/>
      <c r="X3356" s="231"/>
      <c r="Y3356" s="231"/>
      <c r="Z3356" s="231"/>
      <c r="AA3356" s="231"/>
      <c r="AB3356" s="22">
        <f t="shared" si="996"/>
        <v>0</v>
      </c>
      <c r="AC3356" s="23">
        <v>0</v>
      </c>
      <c r="AD3356" s="35"/>
      <c r="AE3356" s="35"/>
      <c r="AF3356" s="35"/>
      <c r="AG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  <c r="AX3356" s="35"/>
      <c r="AY3356" s="35"/>
      <c r="AZ3356" s="35"/>
      <c r="BA3356" s="35"/>
      <c r="BB3356" s="22">
        <f t="shared" si="997"/>
        <v>0</v>
      </c>
      <c r="BC3356" s="23">
        <v>2</v>
      </c>
      <c r="BD3356" s="130">
        <f t="shared" si="998"/>
        <v>0</v>
      </c>
      <c r="BE3356" s="130">
        <f t="shared" si="999"/>
        <v>2</v>
      </c>
      <c r="BF3356" s="195">
        <f t="shared" si="1000"/>
        <v>0</v>
      </c>
      <c r="BG3356" s="373">
        <f t="shared" si="1001"/>
        <v>2</v>
      </c>
    </row>
    <row r="3357" spans="1:59" s="46" customFormat="1" ht="15.95" customHeight="1">
      <c r="A3357" s="176">
        <v>179</v>
      </c>
      <c r="B3357" s="31" t="s">
        <v>1034</v>
      </c>
      <c r="C3357" s="34" t="s">
        <v>1655</v>
      </c>
      <c r="D3357" s="231"/>
      <c r="E3357" s="231"/>
      <c r="F3357" s="231"/>
      <c r="G3357" s="231"/>
      <c r="H3357" s="231"/>
      <c r="I3357" s="231"/>
      <c r="J3357" s="231"/>
      <c r="K3357" s="231"/>
      <c r="L3357" s="231"/>
      <c r="M3357" s="231"/>
      <c r="N3357" s="231"/>
      <c r="O3357" s="231"/>
      <c r="P3357" s="231"/>
      <c r="Q3357" s="231"/>
      <c r="R3357" s="231"/>
      <c r="S3357" s="231"/>
      <c r="T3357" s="231"/>
      <c r="U3357" s="231"/>
      <c r="V3357" s="231"/>
      <c r="W3357" s="231"/>
      <c r="X3357" s="231"/>
      <c r="Y3357" s="231"/>
      <c r="Z3357" s="231"/>
      <c r="AA3357" s="231"/>
      <c r="AB3357" s="22">
        <f t="shared" si="996"/>
        <v>0</v>
      </c>
      <c r="AC3357" s="23">
        <v>0</v>
      </c>
      <c r="AD3357" s="35">
        <v>1783</v>
      </c>
      <c r="AE3357" s="35"/>
      <c r="AF3357" s="35"/>
      <c r="AG3357" s="35"/>
      <c r="AH3357" s="35">
        <f>992+72</f>
        <v>1064</v>
      </c>
      <c r="AI3357" s="35"/>
      <c r="AJ3357" s="35"/>
      <c r="AK3357" s="35"/>
      <c r="AL3357" s="35">
        <f>836+518</f>
        <v>1354</v>
      </c>
      <c r="AM3357" s="35"/>
      <c r="AN3357" s="35"/>
      <c r="AO3357" s="35"/>
      <c r="AP3357" s="35">
        <f>44+448</f>
        <v>492</v>
      </c>
      <c r="AQ3357" s="35"/>
      <c r="AR3357" s="35"/>
      <c r="AS3357" s="35"/>
      <c r="AT3357" s="35"/>
      <c r="AU3357" s="35"/>
      <c r="AV3357" s="35"/>
      <c r="AW3357" s="35"/>
      <c r="AX3357" s="35"/>
      <c r="AY3357" s="35"/>
      <c r="AZ3357" s="35"/>
      <c r="BA3357" s="35"/>
      <c r="BB3357" s="22">
        <f t="shared" si="997"/>
        <v>4693</v>
      </c>
      <c r="BC3357" s="23">
        <v>987</v>
      </c>
      <c r="BD3357" s="130">
        <f t="shared" si="998"/>
        <v>4693</v>
      </c>
      <c r="BE3357" s="130">
        <f t="shared" si="999"/>
        <v>987</v>
      </c>
      <c r="BF3357" s="195">
        <f t="shared" si="1000"/>
        <v>475.48125633232019</v>
      </c>
      <c r="BG3357" s="373">
        <f t="shared" si="1001"/>
        <v>-3706</v>
      </c>
    </row>
    <row r="3358" spans="1:59" s="46" customFormat="1" ht="15.95" customHeight="1">
      <c r="A3358" s="176">
        <v>180</v>
      </c>
      <c r="B3358" s="31" t="s">
        <v>1035</v>
      </c>
      <c r="C3358" s="34" t="s">
        <v>2828</v>
      </c>
      <c r="D3358" s="231"/>
      <c r="E3358" s="231"/>
      <c r="F3358" s="231"/>
      <c r="G3358" s="231"/>
      <c r="H3358" s="231"/>
      <c r="I3358" s="231"/>
      <c r="J3358" s="231"/>
      <c r="K3358" s="231"/>
      <c r="L3358" s="231"/>
      <c r="M3358" s="231"/>
      <c r="N3358" s="231"/>
      <c r="O3358" s="231"/>
      <c r="P3358" s="231"/>
      <c r="Q3358" s="231"/>
      <c r="R3358" s="231"/>
      <c r="S3358" s="231"/>
      <c r="T3358" s="231"/>
      <c r="U3358" s="231"/>
      <c r="V3358" s="231"/>
      <c r="W3358" s="231"/>
      <c r="X3358" s="231"/>
      <c r="Y3358" s="231"/>
      <c r="Z3358" s="231"/>
      <c r="AA3358" s="231"/>
      <c r="AB3358" s="22">
        <f t="shared" si="996"/>
        <v>0</v>
      </c>
      <c r="AC3358" s="23">
        <v>0</v>
      </c>
      <c r="AD3358" s="35"/>
      <c r="AE3358" s="35"/>
      <c r="AF3358" s="35"/>
      <c r="AG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  <c r="AX3358" s="35"/>
      <c r="AY3358" s="35"/>
      <c r="AZ3358" s="35"/>
      <c r="BA3358" s="35"/>
      <c r="BB3358" s="22">
        <f t="shared" si="997"/>
        <v>0</v>
      </c>
      <c r="BC3358" s="23">
        <v>4</v>
      </c>
      <c r="BD3358" s="130">
        <f t="shared" si="998"/>
        <v>0</v>
      </c>
      <c r="BE3358" s="130">
        <f t="shared" si="999"/>
        <v>4</v>
      </c>
      <c r="BF3358" s="195">
        <f t="shared" si="1000"/>
        <v>0</v>
      </c>
      <c r="BG3358" s="373">
        <f t="shared" si="1001"/>
        <v>4</v>
      </c>
    </row>
    <row r="3359" spans="1:59" s="46" customFormat="1" ht="15.95" customHeight="1">
      <c r="A3359" s="176">
        <v>181</v>
      </c>
      <c r="B3359" s="31" t="s">
        <v>977</v>
      </c>
      <c r="C3359" s="34" t="s">
        <v>978</v>
      </c>
      <c r="D3359" s="580"/>
      <c r="E3359" s="580"/>
      <c r="F3359" s="580"/>
      <c r="G3359" s="580"/>
      <c r="H3359" s="580"/>
      <c r="I3359" s="580"/>
      <c r="J3359" s="580"/>
      <c r="K3359" s="580"/>
      <c r="L3359" s="580"/>
      <c r="M3359" s="580"/>
      <c r="N3359" s="580"/>
      <c r="O3359" s="580"/>
      <c r="P3359" s="580">
        <v>3</v>
      </c>
      <c r="Q3359" s="580"/>
      <c r="R3359" s="580"/>
      <c r="S3359" s="580"/>
      <c r="T3359" s="580"/>
      <c r="U3359" s="580"/>
      <c r="V3359" s="580"/>
      <c r="W3359" s="580"/>
      <c r="X3359" s="580"/>
      <c r="Y3359" s="580"/>
      <c r="Z3359" s="580"/>
      <c r="AA3359" s="580"/>
      <c r="AB3359" s="22">
        <f t="shared" si="996"/>
        <v>3</v>
      </c>
      <c r="AC3359" s="23">
        <v>0</v>
      </c>
      <c r="AD3359" s="35"/>
      <c r="AE3359" s="35"/>
      <c r="AF3359" s="35"/>
      <c r="AG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  <c r="AX3359" s="35"/>
      <c r="AY3359" s="35"/>
      <c r="AZ3359" s="35"/>
      <c r="BA3359" s="35"/>
      <c r="BB3359" s="22">
        <f t="shared" si="997"/>
        <v>0</v>
      </c>
      <c r="BC3359" s="23">
        <v>0</v>
      </c>
      <c r="BD3359" s="130">
        <f t="shared" si="998"/>
        <v>3</v>
      </c>
      <c r="BE3359" s="130">
        <f t="shared" si="999"/>
        <v>0</v>
      </c>
      <c r="BF3359" s="195" t="e">
        <f t="shared" si="1000"/>
        <v>#DIV/0!</v>
      </c>
      <c r="BG3359" s="373"/>
    </row>
    <row r="3360" spans="1:59" s="46" customFormat="1" ht="15.95" customHeight="1">
      <c r="A3360" s="176">
        <v>182</v>
      </c>
      <c r="B3360" s="31" t="s">
        <v>1091</v>
      </c>
      <c r="C3360" s="34" t="s">
        <v>1092</v>
      </c>
      <c r="D3360" s="231"/>
      <c r="E3360" s="231"/>
      <c r="F3360" s="231"/>
      <c r="G3360" s="231"/>
      <c r="H3360" s="231"/>
      <c r="I3360" s="231"/>
      <c r="J3360" s="231"/>
      <c r="K3360" s="231"/>
      <c r="L3360" s="231"/>
      <c r="M3360" s="231"/>
      <c r="N3360" s="231"/>
      <c r="O3360" s="231"/>
      <c r="P3360" s="231"/>
      <c r="Q3360" s="231"/>
      <c r="R3360" s="231"/>
      <c r="S3360" s="231"/>
      <c r="T3360" s="231"/>
      <c r="U3360" s="231"/>
      <c r="V3360" s="231"/>
      <c r="W3360" s="231"/>
      <c r="X3360" s="231"/>
      <c r="Y3360" s="231"/>
      <c r="Z3360" s="231"/>
      <c r="AA3360" s="231"/>
      <c r="AB3360" s="22">
        <f t="shared" si="996"/>
        <v>0</v>
      </c>
      <c r="AC3360" s="23">
        <v>0</v>
      </c>
      <c r="AD3360" s="35"/>
      <c r="AE3360" s="35"/>
      <c r="AF3360" s="35"/>
      <c r="AG3360" s="35"/>
      <c r="AH3360" s="35"/>
      <c r="AI3360" s="35"/>
      <c r="AJ3360" s="35"/>
      <c r="AK3360" s="35"/>
      <c r="AL3360" s="35"/>
      <c r="AM3360" s="35"/>
      <c r="AN3360" s="35"/>
      <c r="AO3360" s="35"/>
      <c r="AP3360" s="35">
        <v>1</v>
      </c>
      <c r="AQ3360" s="35"/>
      <c r="AR3360" s="35"/>
      <c r="AS3360" s="35"/>
      <c r="AT3360" s="35"/>
      <c r="AU3360" s="35"/>
      <c r="AV3360" s="35"/>
      <c r="AW3360" s="35"/>
      <c r="AX3360" s="35"/>
      <c r="AY3360" s="35"/>
      <c r="AZ3360" s="35"/>
      <c r="BA3360" s="35"/>
      <c r="BB3360" s="22">
        <f t="shared" si="997"/>
        <v>1</v>
      </c>
      <c r="BC3360" s="23">
        <v>12</v>
      </c>
      <c r="BD3360" s="130">
        <f t="shared" si="998"/>
        <v>1</v>
      </c>
      <c r="BE3360" s="130">
        <f t="shared" si="999"/>
        <v>12</v>
      </c>
      <c r="BF3360" s="195">
        <f t="shared" si="1000"/>
        <v>8.3333333333333321</v>
      </c>
      <c r="BG3360" s="373">
        <f>BE3360-BD3360</f>
        <v>11</v>
      </c>
    </row>
    <row r="3361" spans="1:59" s="46" customFormat="1" ht="15.95" customHeight="1">
      <c r="A3361" s="176">
        <v>183</v>
      </c>
      <c r="B3361" s="31" t="s">
        <v>1607</v>
      </c>
      <c r="C3361" s="32" t="s">
        <v>1608</v>
      </c>
      <c r="D3361" s="231"/>
      <c r="E3361" s="231"/>
      <c r="F3361" s="231"/>
      <c r="G3361" s="231"/>
      <c r="H3361" s="231"/>
      <c r="I3361" s="231"/>
      <c r="J3361" s="231"/>
      <c r="K3361" s="231"/>
      <c r="L3361" s="231"/>
      <c r="M3361" s="231"/>
      <c r="N3361" s="231"/>
      <c r="O3361" s="231"/>
      <c r="P3361" s="231"/>
      <c r="Q3361" s="231"/>
      <c r="R3361" s="231"/>
      <c r="S3361" s="231"/>
      <c r="T3361" s="231"/>
      <c r="U3361" s="231"/>
      <c r="V3361" s="231"/>
      <c r="W3361" s="231"/>
      <c r="X3361" s="231"/>
      <c r="Y3361" s="231"/>
      <c r="Z3361" s="231"/>
      <c r="AA3361" s="231"/>
      <c r="AB3361" s="22">
        <f t="shared" si="996"/>
        <v>0</v>
      </c>
      <c r="AC3361" s="23">
        <v>0</v>
      </c>
      <c r="AD3361" s="35"/>
      <c r="AE3361" s="35"/>
      <c r="AF3361" s="35"/>
      <c r="AG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  <c r="AX3361" s="35"/>
      <c r="AY3361" s="35"/>
      <c r="AZ3361" s="35"/>
      <c r="BA3361" s="35"/>
      <c r="BB3361" s="22">
        <f t="shared" si="997"/>
        <v>0</v>
      </c>
      <c r="BC3361" s="23">
        <v>1</v>
      </c>
      <c r="BD3361" s="130">
        <f t="shared" si="998"/>
        <v>0</v>
      </c>
      <c r="BE3361" s="130">
        <f t="shared" si="999"/>
        <v>1</v>
      </c>
      <c r="BF3361" s="195">
        <f t="shared" si="1000"/>
        <v>0</v>
      </c>
      <c r="BG3361" s="373">
        <f>BE3361-BD3361</f>
        <v>1</v>
      </c>
    </row>
    <row r="3362" spans="1:59" s="46" customFormat="1" ht="15.95" customHeight="1">
      <c r="A3362" s="176">
        <v>184</v>
      </c>
      <c r="B3362" s="31" t="s">
        <v>1361</v>
      </c>
      <c r="C3362" s="32" t="s">
        <v>1362</v>
      </c>
      <c r="D3362" s="231">
        <f>186+58</f>
        <v>244</v>
      </c>
      <c r="E3362" s="231"/>
      <c r="F3362" s="231"/>
      <c r="G3362" s="231"/>
      <c r="H3362" s="231">
        <f>214+2+106+327</f>
        <v>649</v>
      </c>
      <c r="I3362" s="231"/>
      <c r="J3362" s="231"/>
      <c r="K3362" s="231"/>
      <c r="L3362" s="231">
        <f>470+500+1047</f>
        <v>2017</v>
      </c>
      <c r="M3362" s="231"/>
      <c r="N3362" s="231"/>
      <c r="O3362" s="231"/>
      <c r="P3362" s="231">
        <f>88+199+554</f>
        <v>841</v>
      </c>
      <c r="Q3362" s="231"/>
      <c r="R3362" s="231"/>
      <c r="S3362" s="231"/>
      <c r="T3362" s="231"/>
      <c r="U3362" s="231"/>
      <c r="V3362" s="231"/>
      <c r="W3362" s="231"/>
      <c r="X3362" s="231"/>
      <c r="Y3362" s="231"/>
      <c r="Z3362" s="231"/>
      <c r="AA3362" s="231"/>
      <c r="AB3362" s="22">
        <f t="shared" si="996"/>
        <v>3751</v>
      </c>
      <c r="AC3362" s="23">
        <v>1260</v>
      </c>
      <c r="AD3362" s="35"/>
      <c r="AE3362" s="35"/>
      <c r="AF3362" s="35"/>
      <c r="AG3362" s="35"/>
      <c r="AH3362" s="35">
        <f>25+2</f>
        <v>27</v>
      </c>
      <c r="AI3362" s="35"/>
      <c r="AJ3362" s="35"/>
      <c r="AK3362" s="35"/>
      <c r="AL3362" s="35">
        <f>7+42</f>
        <v>49</v>
      </c>
      <c r="AM3362" s="35"/>
      <c r="AN3362" s="35"/>
      <c r="AO3362" s="35"/>
      <c r="AP3362" s="35">
        <f>6+18</f>
        <v>24</v>
      </c>
      <c r="AQ3362" s="35"/>
      <c r="AR3362" s="35"/>
      <c r="AS3362" s="35"/>
      <c r="AT3362" s="35"/>
      <c r="AU3362" s="35"/>
      <c r="AV3362" s="35"/>
      <c r="AW3362" s="35"/>
      <c r="AX3362" s="35"/>
      <c r="AY3362" s="35"/>
      <c r="AZ3362" s="35"/>
      <c r="BA3362" s="35"/>
      <c r="BB3362" s="22">
        <f t="shared" si="997"/>
        <v>100</v>
      </c>
      <c r="BC3362" s="23">
        <v>314</v>
      </c>
      <c r="BD3362" s="130">
        <f t="shared" si="998"/>
        <v>3851</v>
      </c>
      <c r="BE3362" s="130">
        <f t="shared" si="999"/>
        <v>1574</v>
      </c>
      <c r="BF3362" s="195">
        <f t="shared" si="1000"/>
        <v>244.6632782719187</v>
      </c>
      <c r="BG3362" s="373">
        <f>BE3362-BD3362</f>
        <v>-2277</v>
      </c>
    </row>
    <row r="3363" spans="1:59" s="46" customFormat="1" ht="15.95" customHeight="1">
      <c r="A3363" s="176">
        <v>185</v>
      </c>
      <c r="B3363" s="411" t="s">
        <v>3085</v>
      </c>
      <c r="C3363" s="32" t="s">
        <v>1733</v>
      </c>
      <c r="D3363" s="231"/>
      <c r="E3363" s="231"/>
      <c r="F3363" s="231"/>
      <c r="G3363" s="231"/>
      <c r="H3363" s="231"/>
      <c r="I3363" s="231"/>
      <c r="J3363" s="231"/>
      <c r="K3363" s="231"/>
      <c r="L3363" s="231"/>
      <c r="M3363" s="231"/>
      <c r="N3363" s="231"/>
      <c r="O3363" s="231"/>
      <c r="P3363" s="231"/>
      <c r="Q3363" s="231"/>
      <c r="R3363" s="231"/>
      <c r="S3363" s="231"/>
      <c r="T3363" s="231"/>
      <c r="U3363" s="231"/>
      <c r="V3363" s="231"/>
      <c r="W3363" s="231"/>
      <c r="X3363" s="231"/>
      <c r="Y3363" s="231"/>
      <c r="Z3363" s="231"/>
      <c r="AA3363" s="231"/>
      <c r="AB3363" s="22">
        <f t="shared" si="996"/>
        <v>0</v>
      </c>
      <c r="AC3363" s="23">
        <v>0</v>
      </c>
      <c r="AD3363" s="35">
        <v>3</v>
      </c>
      <c r="AE3363" s="35"/>
      <c r="AF3363" s="35"/>
      <c r="AG3363" s="35"/>
      <c r="AH3363" s="35"/>
      <c r="AI3363" s="35"/>
      <c r="AJ3363" s="35"/>
      <c r="AK3363" s="35"/>
      <c r="AL3363" s="35">
        <v>2</v>
      </c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  <c r="AX3363" s="35"/>
      <c r="AY3363" s="35"/>
      <c r="AZ3363" s="35"/>
      <c r="BA3363" s="35"/>
      <c r="BB3363" s="22">
        <f t="shared" si="997"/>
        <v>5</v>
      </c>
      <c r="BC3363" s="23">
        <v>0</v>
      </c>
      <c r="BD3363" s="130">
        <f t="shared" si="998"/>
        <v>5</v>
      </c>
      <c r="BE3363" s="130">
        <f t="shared" si="999"/>
        <v>0</v>
      </c>
      <c r="BF3363" s="195" t="e">
        <f t="shared" si="1000"/>
        <v>#DIV/0!</v>
      </c>
      <c r="BG3363" s="373"/>
    </row>
    <row r="3364" spans="1:59" s="46" customFormat="1" ht="15.95" customHeight="1">
      <c r="A3364" s="176">
        <v>186</v>
      </c>
      <c r="B3364" s="411" t="s">
        <v>3087</v>
      </c>
      <c r="C3364" s="32" t="s">
        <v>1734</v>
      </c>
      <c r="D3364" s="407"/>
      <c r="E3364" s="407"/>
      <c r="F3364" s="407"/>
      <c r="G3364" s="407"/>
      <c r="H3364" s="407"/>
      <c r="I3364" s="407"/>
      <c r="J3364" s="407"/>
      <c r="K3364" s="407"/>
      <c r="L3364" s="407"/>
      <c r="M3364" s="407"/>
      <c r="N3364" s="407"/>
      <c r="O3364" s="407"/>
      <c r="P3364" s="407"/>
      <c r="Q3364" s="407"/>
      <c r="R3364" s="407"/>
      <c r="S3364" s="407"/>
      <c r="T3364" s="407"/>
      <c r="U3364" s="407"/>
      <c r="V3364" s="407"/>
      <c r="W3364" s="407"/>
      <c r="X3364" s="407"/>
      <c r="Y3364" s="407"/>
      <c r="Z3364" s="407"/>
      <c r="AA3364" s="407"/>
      <c r="AB3364" s="22">
        <f t="shared" si="996"/>
        <v>0</v>
      </c>
      <c r="AC3364" s="23">
        <v>0</v>
      </c>
      <c r="AD3364" s="35">
        <v>3</v>
      </c>
      <c r="AE3364" s="35"/>
      <c r="AF3364" s="35"/>
      <c r="AG3364" s="35"/>
      <c r="AH3364" s="35"/>
      <c r="AI3364" s="35"/>
      <c r="AJ3364" s="35"/>
      <c r="AK3364" s="35"/>
      <c r="AL3364" s="35">
        <v>2</v>
      </c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  <c r="AX3364" s="35"/>
      <c r="AY3364" s="35"/>
      <c r="AZ3364" s="35"/>
      <c r="BA3364" s="35"/>
      <c r="BB3364" s="22">
        <f t="shared" si="997"/>
        <v>5</v>
      </c>
      <c r="BC3364" s="23">
        <v>0</v>
      </c>
      <c r="BD3364" s="130">
        <f t="shared" si="998"/>
        <v>5</v>
      </c>
      <c r="BE3364" s="130">
        <f t="shared" si="999"/>
        <v>0</v>
      </c>
      <c r="BF3364" s="195" t="e">
        <f t="shared" si="1000"/>
        <v>#DIV/0!</v>
      </c>
      <c r="BG3364" s="373"/>
    </row>
    <row r="3365" spans="1:59" s="46" customFormat="1" ht="15.95" customHeight="1">
      <c r="A3365" s="176">
        <v>187</v>
      </c>
      <c r="B3365" s="411" t="s">
        <v>3089</v>
      </c>
      <c r="C3365" s="32" t="s">
        <v>1735</v>
      </c>
      <c r="D3365" s="407"/>
      <c r="E3365" s="407"/>
      <c r="F3365" s="407"/>
      <c r="G3365" s="407"/>
      <c r="H3365" s="407"/>
      <c r="I3365" s="407"/>
      <c r="J3365" s="407"/>
      <c r="K3365" s="407"/>
      <c r="L3365" s="407"/>
      <c r="M3365" s="407"/>
      <c r="N3365" s="407"/>
      <c r="O3365" s="407"/>
      <c r="P3365" s="407"/>
      <c r="Q3365" s="407"/>
      <c r="R3365" s="407"/>
      <c r="S3365" s="407"/>
      <c r="T3365" s="407"/>
      <c r="U3365" s="407"/>
      <c r="V3365" s="407"/>
      <c r="W3365" s="407"/>
      <c r="X3365" s="407"/>
      <c r="Y3365" s="407"/>
      <c r="Z3365" s="407"/>
      <c r="AA3365" s="407"/>
      <c r="AB3365" s="22">
        <f t="shared" si="996"/>
        <v>0</v>
      </c>
      <c r="AC3365" s="23">
        <v>0</v>
      </c>
      <c r="AD3365" s="35">
        <v>3</v>
      </c>
      <c r="AE3365" s="35"/>
      <c r="AF3365" s="35"/>
      <c r="AG3365" s="35"/>
      <c r="AH3365" s="35"/>
      <c r="AI3365" s="35"/>
      <c r="AJ3365" s="35"/>
      <c r="AK3365" s="35"/>
      <c r="AL3365" s="35">
        <v>2</v>
      </c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  <c r="AX3365" s="35"/>
      <c r="AY3365" s="35"/>
      <c r="AZ3365" s="35"/>
      <c r="BA3365" s="35"/>
      <c r="BB3365" s="22">
        <f t="shared" si="997"/>
        <v>5</v>
      </c>
      <c r="BC3365" s="23">
        <v>0</v>
      </c>
      <c r="BD3365" s="130">
        <f t="shared" si="998"/>
        <v>5</v>
      </c>
      <c r="BE3365" s="130">
        <f t="shared" si="999"/>
        <v>0</v>
      </c>
      <c r="BF3365" s="195" t="e">
        <f t="shared" si="1000"/>
        <v>#DIV/0!</v>
      </c>
      <c r="BG3365" s="373"/>
    </row>
    <row r="3366" spans="1:59" s="46" customFormat="1" ht="15.95" customHeight="1">
      <c r="A3366" s="176">
        <v>188</v>
      </c>
      <c r="B3366" s="411" t="s">
        <v>3091</v>
      </c>
      <c r="C3366" s="32" t="s">
        <v>1734</v>
      </c>
      <c r="D3366" s="407"/>
      <c r="E3366" s="407"/>
      <c r="F3366" s="407"/>
      <c r="G3366" s="407"/>
      <c r="H3366" s="407"/>
      <c r="I3366" s="407"/>
      <c r="J3366" s="407"/>
      <c r="K3366" s="407"/>
      <c r="L3366" s="407"/>
      <c r="M3366" s="407"/>
      <c r="N3366" s="407"/>
      <c r="O3366" s="407"/>
      <c r="P3366" s="407"/>
      <c r="Q3366" s="407"/>
      <c r="R3366" s="407"/>
      <c r="S3366" s="407"/>
      <c r="T3366" s="407"/>
      <c r="U3366" s="407"/>
      <c r="V3366" s="407"/>
      <c r="W3366" s="407"/>
      <c r="X3366" s="407"/>
      <c r="Y3366" s="407"/>
      <c r="Z3366" s="407"/>
      <c r="AA3366" s="407"/>
      <c r="AB3366" s="22">
        <f t="shared" si="996"/>
        <v>0</v>
      </c>
      <c r="AC3366" s="23">
        <v>0</v>
      </c>
      <c r="AD3366" s="35">
        <v>3</v>
      </c>
      <c r="AE3366" s="35"/>
      <c r="AF3366" s="35"/>
      <c r="AG3366" s="35"/>
      <c r="AH3366" s="35"/>
      <c r="AI3366" s="35"/>
      <c r="AJ3366" s="35"/>
      <c r="AK3366" s="35"/>
      <c r="AL3366" s="35">
        <v>2</v>
      </c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  <c r="AX3366" s="35"/>
      <c r="AY3366" s="35"/>
      <c r="AZ3366" s="35"/>
      <c r="BA3366" s="35"/>
      <c r="BB3366" s="22">
        <f t="shared" si="997"/>
        <v>5</v>
      </c>
      <c r="BC3366" s="23">
        <v>0</v>
      </c>
      <c r="BD3366" s="130">
        <f t="shared" si="998"/>
        <v>5</v>
      </c>
      <c r="BE3366" s="130">
        <f t="shared" si="999"/>
        <v>0</v>
      </c>
      <c r="BF3366" s="195" t="e">
        <f t="shared" si="1000"/>
        <v>#DIV/0!</v>
      </c>
      <c r="BG3366" s="373"/>
    </row>
    <row r="3367" spans="1:59" s="46" customFormat="1" ht="15.95" customHeight="1">
      <c r="A3367" s="176">
        <v>189</v>
      </c>
      <c r="B3367" s="411" t="s">
        <v>3093</v>
      </c>
      <c r="C3367" s="32" t="s">
        <v>1734</v>
      </c>
      <c r="D3367" s="407"/>
      <c r="E3367" s="407"/>
      <c r="F3367" s="407"/>
      <c r="G3367" s="407"/>
      <c r="H3367" s="407"/>
      <c r="I3367" s="407"/>
      <c r="J3367" s="407"/>
      <c r="K3367" s="407"/>
      <c r="L3367" s="407"/>
      <c r="M3367" s="407"/>
      <c r="N3367" s="407"/>
      <c r="O3367" s="407"/>
      <c r="P3367" s="407"/>
      <c r="Q3367" s="407"/>
      <c r="R3367" s="407"/>
      <c r="S3367" s="407"/>
      <c r="T3367" s="407"/>
      <c r="U3367" s="407"/>
      <c r="V3367" s="407"/>
      <c r="W3367" s="407"/>
      <c r="X3367" s="407"/>
      <c r="Y3367" s="407"/>
      <c r="Z3367" s="407"/>
      <c r="AA3367" s="407"/>
      <c r="AB3367" s="22">
        <f t="shared" si="996"/>
        <v>0</v>
      </c>
      <c r="AC3367" s="23">
        <v>0</v>
      </c>
      <c r="AD3367" s="35">
        <v>3</v>
      </c>
      <c r="AE3367" s="35"/>
      <c r="AF3367" s="35"/>
      <c r="AG3367" s="35"/>
      <c r="AH3367" s="35"/>
      <c r="AI3367" s="35"/>
      <c r="AJ3367" s="35"/>
      <c r="AK3367" s="35"/>
      <c r="AL3367" s="35">
        <v>2</v>
      </c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  <c r="AX3367" s="35"/>
      <c r="AY3367" s="35"/>
      <c r="AZ3367" s="35"/>
      <c r="BA3367" s="35"/>
      <c r="BB3367" s="22">
        <f t="shared" si="997"/>
        <v>5</v>
      </c>
      <c r="BC3367" s="23">
        <v>0</v>
      </c>
      <c r="BD3367" s="130">
        <f t="shared" si="998"/>
        <v>5</v>
      </c>
      <c r="BE3367" s="130">
        <f t="shared" si="999"/>
        <v>0</v>
      </c>
      <c r="BF3367" s="195" t="e">
        <f t="shared" si="1000"/>
        <v>#DIV/0!</v>
      </c>
      <c r="BG3367" s="373"/>
    </row>
    <row r="3368" spans="1:59" s="46" customFormat="1" ht="15.95" customHeight="1">
      <c r="A3368" s="176">
        <v>190</v>
      </c>
      <c r="B3368" s="411" t="s">
        <v>3095</v>
      </c>
      <c r="C3368" s="32" t="s">
        <v>1734</v>
      </c>
      <c r="D3368" s="407"/>
      <c r="E3368" s="407"/>
      <c r="F3368" s="407"/>
      <c r="G3368" s="407"/>
      <c r="H3368" s="407"/>
      <c r="I3368" s="407"/>
      <c r="J3368" s="407"/>
      <c r="K3368" s="407"/>
      <c r="L3368" s="407"/>
      <c r="M3368" s="407"/>
      <c r="N3368" s="407"/>
      <c r="O3368" s="407"/>
      <c r="P3368" s="407"/>
      <c r="Q3368" s="407"/>
      <c r="R3368" s="407"/>
      <c r="S3368" s="407"/>
      <c r="T3368" s="407"/>
      <c r="U3368" s="407"/>
      <c r="V3368" s="407"/>
      <c r="W3368" s="407"/>
      <c r="X3368" s="407"/>
      <c r="Y3368" s="407"/>
      <c r="Z3368" s="407"/>
      <c r="AA3368" s="407"/>
      <c r="AB3368" s="22">
        <f t="shared" si="996"/>
        <v>0</v>
      </c>
      <c r="AC3368" s="23">
        <v>0</v>
      </c>
      <c r="AD3368" s="35">
        <v>3</v>
      </c>
      <c r="AE3368" s="35"/>
      <c r="AF3368" s="35"/>
      <c r="AG3368" s="35"/>
      <c r="AH3368" s="35"/>
      <c r="AI3368" s="35"/>
      <c r="AJ3368" s="35"/>
      <c r="AK3368" s="35"/>
      <c r="AL3368" s="35">
        <v>2</v>
      </c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  <c r="AX3368" s="35"/>
      <c r="AY3368" s="35"/>
      <c r="AZ3368" s="35"/>
      <c r="BA3368" s="35"/>
      <c r="BB3368" s="22">
        <f t="shared" si="997"/>
        <v>5</v>
      </c>
      <c r="BC3368" s="23">
        <v>0</v>
      </c>
      <c r="BD3368" s="130">
        <f t="shared" si="998"/>
        <v>5</v>
      </c>
      <c r="BE3368" s="130">
        <f t="shared" si="999"/>
        <v>0</v>
      </c>
      <c r="BF3368" s="195" t="e">
        <f t="shared" si="1000"/>
        <v>#DIV/0!</v>
      </c>
      <c r="BG3368" s="373"/>
    </row>
    <row r="3369" spans="1:59" s="46" customFormat="1" ht="15.95" customHeight="1">
      <c r="A3369" s="176">
        <v>191</v>
      </c>
      <c r="B3369" s="411" t="s">
        <v>3831</v>
      </c>
      <c r="C3369" s="32" t="s">
        <v>3832</v>
      </c>
      <c r="D3369" s="535"/>
      <c r="E3369" s="535"/>
      <c r="F3369" s="535"/>
      <c r="G3369" s="535"/>
      <c r="H3369" s="535"/>
      <c r="I3369" s="535"/>
      <c r="J3369" s="535"/>
      <c r="K3369" s="535"/>
      <c r="L3369" s="535"/>
      <c r="M3369" s="535"/>
      <c r="N3369" s="535"/>
      <c r="O3369" s="535"/>
      <c r="P3369" s="535"/>
      <c r="Q3369" s="535"/>
      <c r="R3369" s="535"/>
      <c r="S3369" s="535"/>
      <c r="T3369" s="535"/>
      <c r="U3369" s="535"/>
      <c r="V3369" s="535"/>
      <c r="W3369" s="535"/>
      <c r="X3369" s="535"/>
      <c r="Y3369" s="535"/>
      <c r="Z3369" s="535"/>
      <c r="AA3369" s="535"/>
      <c r="AB3369" s="22">
        <f t="shared" si="996"/>
        <v>0</v>
      </c>
      <c r="AC3369" s="23">
        <v>0</v>
      </c>
      <c r="AD3369" s="35"/>
      <c r="AE3369" s="35"/>
      <c r="AF3369" s="35"/>
      <c r="AG3369" s="35"/>
      <c r="AH3369" s="35"/>
      <c r="AI3369" s="35"/>
      <c r="AJ3369" s="35"/>
      <c r="AK3369" s="35">
        <v>3</v>
      </c>
      <c r="AL3369" s="35">
        <v>2</v>
      </c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  <c r="AX3369" s="35"/>
      <c r="AY3369" s="35"/>
      <c r="AZ3369" s="35"/>
      <c r="BA3369" s="35"/>
      <c r="BB3369" s="22">
        <f t="shared" si="997"/>
        <v>5</v>
      </c>
      <c r="BC3369" s="23">
        <v>0</v>
      </c>
      <c r="BD3369" s="130">
        <f t="shared" si="998"/>
        <v>5</v>
      </c>
      <c r="BE3369" s="130">
        <f t="shared" si="999"/>
        <v>0</v>
      </c>
      <c r="BF3369" s="195" t="e">
        <f t="shared" si="1000"/>
        <v>#DIV/0!</v>
      </c>
      <c r="BG3369" s="373"/>
    </row>
    <row r="3370" spans="1:59" s="46" customFormat="1" ht="15.95" customHeight="1">
      <c r="A3370" s="176">
        <v>192</v>
      </c>
      <c r="B3370" s="411" t="s">
        <v>3066</v>
      </c>
      <c r="C3370" s="448" t="s">
        <v>3067</v>
      </c>
      <c r="D3370" s="407">
        <v>162</v>
      </c>
      <c r="E3370" s="407"/>
      <c r="F3370" s="407"/>
      <c r="G3370" s="407"/>
      <c r="H3370" s="407">
        <v>104</v>
      </c>
      <c r="I3370" s="407"/>
      <c r="J3370" s="407"/>
      <c r="K3370" s="407"/>
      <c r="L3370" s="407">
        <v>257</v>
      </c>
      <c r="M3370" s="407"/>
      <c r="N3370" s="407"/>
      <c r="O3370" s="407"/>
      <c r="P3370" s="407">
        <v>22</v>
      </c>
      <c r="Q3370" s="407"/>
      <c r="R3370" s="407"/>
      <c r="S3370" s="407"/>
      <c r="T3370" s="407"/>
      <c r="U3370" s="407"/>
      <c r="V3370" s="407"/>
      <c r="W3370" s="407"/>
      <c r="X3370" s="407"/>
      <c r="Y3370" s="407"/>
      <c r="Z3370" s="407"/>
      <c r="AA3370" s="407"/>
      <c r="AB3370" s="22">
        <f t="shared" si="996"/>
        <v>545</v>
      </c>
      <c r="AC3370" s="23">
        <f>178+47</f>
        <v>225</v>
      </c>
      <c r="AD3370" s="35"/>
      <c r="AE3370" s="35"/>
      <c r="AF3370" s="35"/>
      <c r="AG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  <c r="AX3370" s="35"/>
      <c r="AY3370" s="35"/>
      <c r="AZ3370" s="35"/>
      <c r="BA3370" s="35"/>
      <c r="BB3370" s="22">
        <f t="shared" si="997"/>
        <v>0</v>
      </c>
      <c r="BC3370" s="23">
        <v>0</v>
      </c>
      <c r="BD3370" s="130">
        <f t="shared" si="998"/>
        <v>545</v>
      </c>
      <c r="BE3370" s="130">
        <f t="shared" si="999"/>
        <v>225</v>
      </c>
      <c r="BF3370" s="195">
        <f t="shared" si="1000"/>
        <v>242.2222222222222</v>
      </c>
      <c r="BG3370" s="373">
        <f>BE3370-BD3370</f>
        <v>-320</v>
      </c>
    </row>
    <row r="3371" spans="1:59" s="46" customFormat="1" ht="15.95" customHeight="1">
      <c r="A3371" s="176">
        <v>193</v>
      </c>
      <c r="B3371" s="411" t="s">
        <v>3068</v>
      </c>
      <c r="C3371" s="448" t="s">
        <v>3069</v>
      </c>
      <c r="D3371" s="231">
        <v>366</v>
      </c>
      <c r="E3371" s="231"/>
      <c r="F3371" s="231"/>
      <c r="G3371" s="231"/>
      <c r="H3371" s="231">
        <v>422</v>
      </c>
      <c r="I3371" s="231"/>
      <c r="J3371" s="231"/>
      <c r="K3371" s="231"/>
      <c r="L3371" s="231">
        <v>930</v>
      </c>
      <c r="M3371" s="231"/>
      <c r="N3371" s="231"/>
      <c r="O3371" s="231"/>
      <c r="P3371" s="231">
        <v>162</v>
      </c>
      <c r="Q3371" s="231"/>
      <c r="R3371" s="231"/>
      <c r="S3371" s="231"/>
      <c r="T3371" s="231"/>
      <c r="U3371" s="231"/>
      <c r="V3371" s="231"/>
      <c r="W3371" s="231"/>
      <c r="X3371" s="231"/>
      <c r="Y3371" s="231"/>
      <c r="Z3371" s="231"/>
      <c r="AA3371" s="231"/>
      <c r="AB3371" s="22">
        <f t="shared" ref="AB3371:AB3390" si="1002">SUM(D3371:AA3371)</f>
        <v>1880</v>
      </c>
      <c r="AC3371" s="23">
        <f>1114+185</f>
        <v>1299</v>
      </c>
      <c r="AD3371" s="35"/>
      <c r="AE3371" s="35"/>
      <c r="AF3371" s="35"/>
      <c r="AG3371" s="35"/>
      <c r="AH3371" s="35">
        <v>4</v>
      </c>
      <c r="AI3371" s="35"/>
      <c r="AJ3371" s="35"/>
      <c r="AK3371" s="35"/>
      <c r="AL3371" s="35">
        <v>10</v>
      </c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  <c r="AX3371" s="35"/>
      <c r="AY3371" s="35"/>
      <c r="AZ3371" s="35"/>
      <c r="BA3371" s="35"/>
      <c r="BB3371" s="22">
        <f t="shared" ref="BB3371:BB3390" si="1003">SUM(AD3371:BA3371)</f>
        <v>14</v>
      </c>
      <c r="BC3371" s="23">
        <v>0</v>
      </c>
      <c r="BD3371" s="130">
        <f t="shared" ref="BD3371:BD3390" si="1004">AB3371+BB3371</f>
        <v>1894</v>
      </c>
      <c r="BE3371" s="130">
        <f t="shared" ref="BE3371:BE3390" si="1005">AC3371+BC3371</f>
        <v>1299</v>
      </c>
      <c r="BF3371" s="195">
        <f t="shared" ref="BF3371:BF3390" si="1006">BD3371/BE3371*100</f>
        <v>145.80446497305618</v>
      </c>
      <c r="BG3371" s="373">
        <f>BE3371-BD3371</f>
        <v>-595</v>
      </c>
    </row>
    <row r="3372" spans="1:59" s="46" customFormat="1" ht="15.95" customHeight="1">
      <c r="A3372" s="176">
        <v>194</v>
      </c>
      <c r="B3372" s="31" t="s">
        <v>3570</v>
      </c>
      <c r="C3372" s="32" t="s">
        <v>3571</v>
      </c>
      <c r="D3372" s="231"/>
      <c r="E3372" s="231"/>
      <c r="F3372" s="231"/>
      <c r="G3372" s="231"/>
      <c r="H3372" s="231"/>
      <c r="I3372" s="231"/>
      <c r="J3372" s="231"/>
      <c r="K3372" s="231">
        <v>3</v>
      </c>
      <c r="L3372" s="231">
        <v>5</v>
      </c>
      <c r="M3372" s="231"/>
      <c r="N3372" s="231"/>
      <c r="O3372" s="231"/>
      <c r="P3372" s="231"/>
      <c r="Q3372" s="231"/>
      <c r="R3372" s="231"/>
      <c r="S3372" s="231"/>
      <c r="T3372" s="231"/>
      <c r="U3372" s="231"/>
      <c r="V3372" s="231"/>
      <c r="W3372" s="231"/>
      <c r="X3372" s="231"/>
      <c r="Y3372" s="231"/>
      <c r="Z3372" s="231"/>
      <c r="AA3372" s="231"/>
      <c r="AB3372" s="22">
        <f t="shared" si="1002"/>
        <v>8</v>
      </c>
      <c r="AC3372" s="23">
        <v>1</v>
      </c>
      <c r="AD3372" s="35"/>
      <c r="AE3372" s="35"/>
      <c r="AF3372" s="35"/>
      <c r="AG3372" s="35"/>
      <c r="AH3372" s="35"/>
      <c r="AI3372" s="35"/>
      <c r="AJ3372" s="35"/>
      <c r="AK3372" s="35"/>
      <c r="AL3372" s="35">
        <v>4</v>
      </c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  <c r="AX3372" s="35"/>
      <c r="AY3372" s="35"/>
      <c r="AZ3372" s="35"/>
      <c r="BA3372" s="35"/>
      <c r="BB3372" s="22">
        <f t="shared" si="1003"/>
        <v>4</v>
      </c>
      <c r="BC3372" s="23">
        <v>0</v>
      </c>
      <c r="BD3372" s="130">
        <f t="shared" si="1004"/>
        <v>12</v>
      </c>
      <c r="BE3372" s="130">
        <f t="shared" si="1005"/>
        <v>1</v>
      </c>
      <c r="BF3372" s="195">
        <f t="shared" si="1006"/>
        <v>1200</v>
      </c>
      <c r="BG3372" s="373">
        <f>BE3372-BD3372</f>
        <v>-11</v>
      </c>
    </row>
    <row r="3373" spans="1:59" s="46" customFormat="1" ht="15.95" customHeight="1">
      <c r="A3373" s="176">
        <v>195</v>
      </c>
      <c r="B3373" s="31" t="s">
        <v>3959</v>
      </c>
      <c r="C3373" s="32" t="s">
        <v>3960</v>
      </c>
      <c r="D3373" s="542"/>
      <c r="E3373" s="542"/>
      <c r="F3373" s="542"/>
      <c r="G3373" s="542"/>
      <c r="H3373" s="542"/>
      <c r="I3373" s="542"/>
      <c r="J3373" s="542"/>
      <c r="K3373" s="542"/>
      <c r="L3373" s="542"/>
      <c r="M3373" s="542"/>
      <c r="N3373" s="542"/>
      <c r="O3373" s="542"/>
      <c r="P3373" s="542"/>
      <c r="Q3373" s="542"/>
      <c r="R3373" s="542"/>
      <c r="S3373" s="542"/>
      <c r="T3373" s="542"/>
      <c r="U3373" s="542"/>
      <c r="V3373" s="542"/>
      <c r="W3373" s="542"/>
      <c r="X3373" s="542"/>
      <c r="Y3373" s="542"/>
      <c r="Z3373" s="542"/>
      <c r="AA3373" s="542"/>
      <c r="AB3373" s="22">
        <f t="shared" si="1002"/>
        <v>0</v>
      </c>
      <c r="AC3373" s="23">
        <v>0</v>
      </c>
      <c r="AD3373" s="35"/>
      <c r="AE3373" s="35"/>
      <c r="AF3373" s="35"/>
      <c r="AG3373" s="35"/>
      <c r="AH3373" s="35"/>
      <c r="AI3373" s="35"/>
      <c r="AJ3373" s="35"/>
      <c r="AK3373" s="35"/>
      <c r="AL3373" s="35">
        <f>2+1</f>
        <v>3</v>
      </c>
      <c r="AM3373" s="35"/>
      <c r="AN3373" s="35"/>
      <c r="AO3373" s="35"/>
      <c r="AP3373" s="35">
        <v>1</v>
      </c>
      <c r="AQ3373" s="35"/>
      <c r="AR3373" s="35"/>
      <c r="AS3373" s="35"/>
      <c r="AT3373" s="35"/>
      <c r="AU3373" s="35"/>
      <c r="AV3373" s="35"/>
      <c r="AW3373" s="35"/>
      <c r="AX3373" s="35"/>
      <c r="AY3373" s="35"/>
      <c r="AZ3373" s="35"/>
      <c r="BA3373" s="35"/>
      <c r="BB3373" s="22">
        <f t="shared" si="1003"/>
        <v>4</v>
      </c>
      <c r="BC3373" s="23">
        <v>0</v>
      </c>
      <c r="BD3373" s="130">
        <f t="shared" si="1004"/>
        <v>4</v>
      </c>
      <c r="BE3373" s="130">
        <f t="shared" si="1005"/>
        <v>0</v>
      </c>
      <c r="BF3373" s="195" t="e">
        <f t="shared" si="1006"/>
        <v>#DIV/0!</v>
      </c>
      <c r="BG3373" s="373"/>
    </row>
    <row r="3374" spans="1:59" s="46" customFormat="1" ht="15.95" customHeight="1">
      <c r="A3374" s="176">
        <v>196</v>
      </c>
      <c r="B3374" s="31" t="s">
        <v>3572</v>
      </c>
      <c r="C3374" s="32" t="s">
        <v>3573</v>
      </c>
      <c r="D3374" s="231"/>
      <c r="E3374" s="231"/>
      <c r="F3374" s="231"/>
      <c r="G3374" s="231"/>
      <c r="H3374" s="231"/>
      <c r="I3374" s="231"/>
      <c r="J3374" s="231"/>
      <c r="K3374" s="231">
        <v>3</v>
      </c>
      <c r="L3374" s="231">
        <v>5</v>
      </c>
      <c r="M3374" s="231"/>
      <c r="N3374" s="231"/>
      <c r="O3374" s="231"/>
      <c r="P3374" s="231"/>
      <c r="Q3374" s="231"/>
      <c r="R3374" s="231"/>
      <c r="S3374" s="231"/>
      <c r="T3374" s="231"/>
      <c r="U3374" s="231"/>
      <c r="V3374" s="231"/>
      <c r="W3374" s="231"/>
      <c r="X3374" s="231"/>
      <c r="Y3374" s="231"/>
      <c r="Z3374" s="231"/>
      <c r="AA3374" s="231"/>
      <c r="AB3374" s="22">
        <f t="shared" si="1002"/>
        <v>8</v>
      </c>
      <c r="AC3374" s="23">
        <v>1</v>
      </c>
      <c r="AD3374" s="35"/>
      <c r="AE3374" s="35"/>
      <c r="AF3374" s="35"/>
      <c r="AG3374" s="35"/>
      <c r="AH3374" s="35"/>
      <c r="AI3374" s="35"/>
      <c r="AJ3374" s="35"/>
      <c r="AK3374" s="35"/>
      <c r="AL3374" s="35">
        <v>2</v>
      </c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  <c r="AX3374" s="35"/>
      <c r="AY3374" s="35"/>
      <c r="AZ3374" s="35"/>
      <c r="BA3374" s="35"/>
      <c r="BB3374" s="22">
        <f t="shared" si="1003"/>
        <v>2</v>
      </c>
      <c r="BC3374" s="23">
        <v>0</v>
      </c>
      <c r="BD3374" s="130">
        <f t="shared" si="1004"/>
        <v>10</v>
      </c>
      <c r="BE3374" s="130">
        <f t="shared" si="1005"/>
        <v>1</v>
      </c>
      <c r="BF3374" s="195">
        <f t="shared" si="1006"/>
        <v>1000</v>
      </c>
      <c r="BG3374" s="373">
        <f t="shared" ref="BG3374:BG3385" si="1007">BE3374-BD3374</f>
        <v>-9</v>
      </c>
    </row>
    <row r="3375" spans="1:59" s="46" customFormat="1" ht="15.95" customHeight="1">
      <c r="A3375" s="176">
        <v>197</v>
      </c>
      <c r="B3375" s="31" t="s">
        <v>3574</v>
      </c>
      <c r="C3375" s="32" t="s">
        <v>3575</v>
      </c>
      <c r="D3375" s="326"/>
      <c r="E3375" s="326"/>
      <c r="F3375" s="326"/>
      <c r="G3375" s="326"/>
      <c r="H3375" s="326"/>
      <c r="I3375" s="326"/>
      <c r="J3375" s="326"/>
      <c r="K3375" s="326">
        <v>34</v>
      </c>
      <c r="L3375" s="326">
        <v>47</v>
      </c>
      <c r="M3375" s="326"/>
      <c r="N3375" s="326"/>
      <c r="O3375" s="326"/>
      <c r="P3375" s="326">
        <v>12</v>
      </c>
      <c r="Q3375" s="326"/>
      <c r="R3375" s="326"/>
      <c r="S3375" s="326"/>
      <c r="T3375" s="326"/>
      <c r="U3375" s="326"/>
      <c r="V3375" s="326"/>
      <c r="W3375" s="326"/>
      <c r="X3375" s="326"/>
      <c r="Y3375" s="326"/>
      <c r="Z3375" s="326"/>
      <c r="AA3375" s="326"/>
      <c r="AB3375" s="22">
        <f t="shared" si="1002"/>
        <v>93</v>
      </c>
      <c r="AC3375" s="23">
        <v>8</v>
      </c>
      <c r="AD3375" s="35"/>
      <c r="AE3375" s="35"/>
      <c r="AF3375" s="35"/>
      <c r="AG3375" s="35"/>
      <c r="AH3375" s="35"/>
      <c r="AI3375" s="35"/>
      <c r="AJ3375" s="35"/>
      <c r="AK3375" s="35"/>
      <c r="AL3375" s="35">
        <v>2</v>
      </c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  <c r="AX3375" s="35"/>
      <c r="AY3375" s="35"/>
      <c r="AZ3375" s="35"/>
      <c r="BA3375" s="35"/>
      <c r="BB3375" s="22">
        <f t="shared" si="1003"/>
        <v>2</v>
      </c>
      <c r="BC3375" s="23">
        <v>0</v>
      </c>
      <c r="BD3375" s="130">
        <f t="shared" si="1004"/>
        <v>95</v>
      </c>
      <c r="BE3375" s="130">
        <f t="shared" si="1005"/>
        <v>8</v>
      </c>
      <c r="BF3375" s="195">
        <f t="shared" si="1006"/>
        <v>1187.5</v>
      </c>
      <c r="BG3375" s="373">
        <f t="shared" si="1007"/>
        <v>-87</v>
      </c>
    </row>
    <row r="3376" spans="1:59" s="46" customFormat="1" ht="15.95" customHeight="1">
      <c r="A3376" s="176">
        <v>198</v>
      </c>
      <c r="B3376" s="31" t="s">
        <v>3576</v>
      </c>
      <c r="C3376" s="32" t="s">
        <v>3577</v>
      </c>
      <c r="D3376" s="231"/>
      <c r="E3376" s="231"/>
      <c r="F3376" s="231"/>
      <c r="G3376" s="231"/>
      <c r="H3376" s="231"/>
      <c r="I3376" s="231"/>
      <c r="J3376" s="231"/>
      <c r="K3376" s="231">
        <v>34</v>
      </c>
      <c r="L3376" s="231">
        <v>47</v>
      </c>
      <c r="M3376" s="231"/>
      <c r="N3376" s="231"/>
      <c r="O3376" s="231"/>
      <c r="P3376" s="231">
        <v>12</v>
      </c>
      <c r="Q3376" s="231"/>
      <c r="R3376" s="231"/>
      <c r="S3376" s="231"/>
      <c r="T3376" s="231"/>
      <c r="U3376" s="231"/>
      <c r="V3376" s="231"/>
      <c r="W3376" s="231"/>
      <c r="X3376" s="231"/>
      <c r="Y3376" s="231"/>
      <c r="Z3376" s="231"/>
      <c r="AA3376" s="231"/>
      <c r="AB3376" s="22">
        <f t="shared" si="1002"/>
        <v>93</v>
      </c>
      <c r="AC3376" s="23">
        <v>8</v>
      </c>
      <c r="AD3376" s="35"/>
      <c r="AE3376" s="35"/>
      <c r="AF3376" s="35"/>
      <c r="AG3376" s="35"/>
      <c r="AH3376" s="35"/>
      <c r="AI3376" s="35"/>
      <c r="AJ3376" s="35"/>
      <c r="AK3376" s="35"/>
      <c r="AL3376" s="35">
        <v>2</v>
      </c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  <c r="AX3376" s="35"/>
      <c r="AY3376" s="35"/>
      <c r="AZ3376" s="35"/>
      <c r="BA3376" s="35"/>
      <c r="BB3376" s="22">
        <f t="shared" si="1003"/>
        <v>2</v>
      </c>
      <c r="BC3376" s="23">
        <v>0</v>
      </c>
      <c r="BD3376" s="130">
        <f t="shared" si="1004"/>
        <v>95</v>
      </c>
      <c r="BE3376" s="130">
        <f t="shared" si="1005"/>
        <v>8</v>
      </c>
      <c r="BF3376" s="195">
        <f t="shared" si="1006"/>
        <v>1187.5</v>
      </c>
      <c r="BG3376" s="373">
        <f t="shared" si="1007"/>
        <v>-87</v>
      </c>
    </row>
    <row r="3377" spans="1:61" s="46" customFormat="1" ht="15.95" customHeight="1">
      <c r="A3377" s="176">
        <v>199</v>
      </c>
      <c r="B3377" s="31" t="s">
        <v>3578</v>
      </c>
      <c r="C3377" s="32" t="s">
        <v>3581</v>
      </c>
      <c r="D3377" s="231"/>
      <c r="E3377" s="231"/>
      <c r="F3377" s="231"/>
      <c r="G3377" s="231"/>
      <c r="H3377" s="231"/>
      <c r="I3377" s="231"/>
      <c r="J3377" s="231"/>
      <c r="K3377" s="231">
        <v>34</v>
      </c>
      <c r="L3377" s="231">
        <v>47</v>
      </c>
      <c r="M3377" s="231"/>
      <c r="N3377" s="231"/>
      <c r="O3377" s="231"/>
      <c r="P3377" s="231">
        <v>12</v>
      </c>
      <c r="Q3377" s="231"/>
      <c r="R3377" s="231"/>
      <c r="S3377" s="231"/>
      <c r="T3377" s="231"/>
      <c r="U3377" s="231"/>
      <c r="V3377" s="231"/>
      <c r="W3377" s="231"/>
      <c r="X3377" s="231"/>
      <c r="Y3377" s="231"/>
      <c r="Z3377" s="231"/>
      <c r="AA3377" s="231"/>
      <c r="AB3377" s="22">
        <f t="shared" si="1002"/>
        <v>93</v>
      </c>
      <c r="AC3377" s="23">
        <v>8</v>
      </c>
      <c r="AD3377" s="35"/>
      <c r="AE3377" s="35"/>
      <c r="AF3377" s="35"/>
      <c r="AG3377" s="35"/>
      <c r="AH3377" s="35"/>
      <c r="AI3377" s="35"/>
      <c r="AJ3377" s="35"/>
      <c r="AK3377" s="35"/>
      <c r="AL3377" s="35">
        <v>2</v>
      </c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  <c r="AX3377" s="35"/>
      <c r="AY3377" s="35"/>
      <c r="AZ3377" s="35"/>
      <c r="BA3377" s="35"/>
      <c r="BB3377" s="22">
        <f t="shared" si="1003"/>
        <v>2</v>
      </c>
      <c r="BC3377" s="23">
        <v>0</v>
      </c>
      <c r="BD3377" s="130">
        <f t="shared" si="1004"/>
        <v>95</v>
      </c>
      <c r="BE3377" s="130">
        <f t="shared" si="1005"/>
        <v>8</v>
      </c>
      <c r="BF3377" s="195">
        <f t="shared" si="1006"/>
        <v>1187.5</v>
      </c>
      <c r="BG3377" s="373">
        <f t="shared" si="1007"/>
        <v>-87</v>
      </c>
    </row>
    <row r="3378" spans="1:61" s="46" customFormat="1" ht="15.95" customHeight="1">
      <c r="A3378" s="176">
        <v>200</v>
      </c>
      <c r="B3378" s="31" t="s">
        <v>3579</v>
      </c>
      <c r="C3378" s="32" t="s">
        <v>3582</v>
      </c>
      <c r="D3378" s="231"/>
      <c r="E3378" s="231"/>
      <c r="F3378" s="231"/>
      <c r="G3378" s="231"/>
      <c r="H3378" s="231"/>
      <c r="I3378" s="231"/>
      <c r="J3378" s="231"/>
      <c r="K3378" s="231">
        <v>34</v>
      </c>
      <c r="L3378" s="231">
        <v>47</v>
      </c>
      <c r="M3378" s="231"/>
      <c r="N3378" s="231"/>
      <c r="O3378" s="231"/>
      <c r="P3378" s="231">
        <v>12</v>
      </c>
      <c r="Q3378" s="231"/>
      <c r="R3378" s="231"/>
      <c r="S3378" s="231"/>
      <c r="T3378" s="231"/>
      <c r="U3378" s="231"/>
      <c r="V3378" s="231"/>
      <c r="W3378" s="231"/>
      <c r="X3378" s="231"/>
      <c r="Y3378" s="231"/>
      <c r="Z3378" s="231"/>
      <c r="AA3378" s="231"/>
      <c r="AB3378" s="22">
        <f t="shared" si="1002"/>
        <v>93</v>
      </c>
      <c r="AC3378" s="23">
        <v>8</v>
      </c>
      <c r="AD3378" s="35"/>
      <c r="AE3378" s="35"/>
      <c r="AF3378" s="35"/>
      <c r="AG3378" s="35"/>
      <c r="AH3378" s="35"/>
      <c r="AI3378" s="35"/>
      <c r="AJ3378" s="35"/>
      <c r="AK3378" s="35"/>
      <c r="AL3378" s="35">
        <v>2</v>
      </c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  <c r="AX3378" s="35"/>
      <c r="AY3378" s="35"/>
      <c r="AZ3378" s="35"/>
      <c r="BA3378" s="35"/>
      <c r="BB3378" s="22">
        <f t="shared" si="1003"/>
        <v>2</v>
      </c>
      <c r="BC3378" s="23">
        <v>0</v>
      </c>
      <c r="BD3378" s="130">
        <f t="shared" si="1004"/>
        <v>95</v>
      </c>
      <c r="BE3378" s="130">
        <f t="shared" si="1005"/>
        <v>8</v>
      </c>
      <c r="BF3378" s="195">
        <f t="shared" si="1006"/>
        <v>1187.5</v>
      </c>
      <c r="BG3378" s="373">
        <f t="shared" si="1007"/>
        <v>-87</v>
      </c>
    </row>
    <row r="3379" spans="1:61" s="46" customFormat="1" ht="15.95" customHeight="1">
      <c r="A3379" s="176">
        <v>201</v>
      </c>
      <c r="B3379" s="31" t="s">
        <v>3580</v>
      </c>
      <c r="C3379" s="32" t="s">
        <v>3583</v>
      </c>
      <c r="D3379" s="231"/>
      <c r="E3379" s="231"/>
      <c r="F3379" s="231"/>
      <c r="G3379" s="231"/>
      <c r="H3379" s="231"/>
      <c r="I3379" s="231"/>
      <c r="J3379" s="231"/>
      <c r="K3379" s="231">
        <v>34</v>
      </c>
      <c r="L3379" s="231">
        <v>47</v>
      </c>
      <c r="M3379" s="231"/>
      <c r="N3379" s="231"/>
      <c r="O3379" s="231"/>
      <c r="P3379" s="231">
        <v>12</v>
      </c>
      <c r="Q3379" s="231"/>
      <c r="R3379" s="231"/>
      <c r="S3379" s="231"/>
      <c r="T3379" s="231"/>
      <c r="U3379" s="231"/>
      <c r="V3379" s="231"/>
      <c r="W3379" s="231"/>
      <c r="X3379" s="231"/>
      <c r="Y3379" s="231"/>
      <c r="Z3379" s="231"/>
      <c r="AA3379" s="231"/>
      <c r="AB3379" s="22">
        <f t="shared" si="1002"/>
        <v>93</v>
      </c>
      <c r="AC3379" s="23">
        <v>8</v>
      </c>
      <c r="AD3379" s="35"/>
      <c r="AE3379" s="35"/>
      <c r="AF3379" s="35"/>
      <c r="AG3379" s="35"/>
      <c r="AH3379" s="35"/>
      <c r="AI3379" s="35"/>
      <c r="AJ3379" s="35"/>
      <c r="AK3379" s="35"/>
      <c r="AL3379" s="35">
        <v>2</v>
      </c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  <c r="AX3379" s="35"/>
      <c r="AY3379" s="35"/>
      <c r="AZ3379" s="35"/>
      <c r="BA3379" s="35"/>
      <c r="BB3379" s="22">
        <f t="shared" si="1003"/>
        <v>2</v>
      </c>
      <c r="BC3379" s="23">
        <v>0</v>
      </c>
      <c r="BD3379" s="130">
        <f t="shared" si="1004"/>
        <v>95</v>
      </c>
      <c r="BE3379" s="130">
        <f t="shared" si="1005"/>
        <v>8</v>
      </c>
      <c r="BF3379" s="195">
        <f t="shared" si="1006"/>
        <v>1187.5</v>
      </c>
      <c r="BG3379" s="373">
        <f t="shared" si="1007"/>
        <v>-87</v>
      </c>
    </row>
    <row r="3380" spans="1:61" s="46" customFormat="1" ht="15.95" customHeight="1">
      <c r="A3380" s="176">
        <v>202</v>
      </c>
      <c r="B3380" s="440" t="s">
        <v>3047</v>
      </c>
      <c r="C3380" s="446" t="s">
        <v>3048</v>
      </c>
      <c r="D3380" s="231"/>
      <c r="E3380" s="231"/>
      <c r="F3380" s="231"/>
      <c r="G3380" s="231"/>
      <c r="H3380" s="231"/>
      <c r="I3380" s="231"/>
      <c r="J3380" s="231"/>
      <c r="K3380" s="231"/>
      <c r="L3380" s="231"/>
      <c r="M3380" s="231"/>
      <c r="N3380" s="231"/>
      <c r="O3380" s="231"/>
      <c r="P3380" s="231"/>
      <c r="Q3380" s="231"/>
      <c r="R3380" s="231"/>
      <c r="S3380" s="231"/>
      <c r="T3380" s="231"/>
      <c r="U3380" s="231"/>
      <c r="V3380" s="231"/>
      <c r="W3380" s="231"/>
      <c r="X3380" s="231"/>
      <c r="Y3380" s="231"/>
      <c r="Z3380" s="231"/>
      <c r="AA3380" s="231"/>
      <c r="AB3380" s="22">
        <f t="shared" si="1002"/>
        <v>0</v>
      </c>
      <c r="AC3380" s="23">
        <v>428</v>
      </c>
      <c r="AD3380" s="35"/>
      <c r="AE3380" s="35"/>
      <c r="AF3380" s="35"/>
      <c r="AG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  <c r="AX3380" s="35"/>
      <c r="AY3380" s="35"/>
      <c r="AZ3380" s="35"/>
      <c r="BA3380" s="35"/>
      <c r="BB3380" s="22">
        <f t="shared" si="1003"/>
        <v>0</v>
      </c>
      <c r="BC3380" s="23">
        <v>0</v>
      </c>
      <c r="BD3380" s="130">
        <f t="shared" si="1004"/>
        <v>0</v>
      </c>
      <c r="BE3380" s="130">
        <f t="shared" si="1005"/>
        <v>428</v>
      </c>
      <c r="BF3380" s="195">
        <f t="shared" si="1006"/>
        <v>0</v>
      </c>
      <c r="BG3380" s="373">
        <f t="shared" si="1007"/>
        <v>428</v>
      </c>
    </row>
    <row r="3381" spans="1:61" s="46" customFormat="1" ht="15.95" customHeight="1">
      <c r="A3381" s="176">
        <v>203</v>
      </c>
      <c r="B3381" s="31" t="s">
        <v>3584</v>
      </c>
      <c r="C3381" s="32" t="s">
        <v>3585</v>
      </c>
      <c r="D3381" s="231"/>
      <c r="E3381" s="231"/>
      <c r="F3381" s="231"/>
      <c r="G3381" s="231"/>
      <c r="H3381" s="231"/>
      <c r="I3381" s="231"/>
      <c r="J3381" s="231"/>
      <c r="K3381" s="231">
        <v>3</v>
      </c>
      <c r="L3381" s="231">
        <v>5</v>
      </c>
      <c r="M3381" s="231"/>
      <c r="N3381" s="231"/>
      <c r="O3381" s="231"/>
      <c r="P3381" s="231"/>
      <c r="Q3381" s="231"/>
      <c r="R3381" s="231"/>
      <c r="S3381" s="231"/>
      <c r="T3381" s="231"/>
      <c r="U3381" s="231"/>
      <c r="V3381" s="231"/>
      <c r="W3381" s="231"/>
      <c r="X3381" s="231"/>
      <c r="Y3381" s="231"/>
      <c r="Z3381" s="231"/>
      <c r="AA3381" s="231"/>
      <c r="AB3381" s="22">
        <f t="shared" si="1002"/>
        <v>8</v>
      </c>
      <c r="AC3381" s="23">
        <v>1</v>
      </c>
      <c r="AD3381" s="35"/>
      <c r="AE3381" s="35"/>
      <c r="AF3381" s="35"/>
      <c r="AG3381" s="35"/>
      <c r="AH3381" s="35"/>
      <c r="AI3381" s="35"/>
      <c r="AJ3381" s="35"/>
      <c r="AK3381" s="35"/>
      <c r="AL3381" s="35">
        <v>3</v>
      </c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  <c r="AX3381" s="35"/>
      <c r="AY3381" s="35"/>
      <c r="AZ3381" s="35"/>
      <c r="BA3381" s="35"/>
      <c r="BB3381" s="22">
        <f t="shared" si="1003"/>
        <v>3</v>
      </c>
      <c r="BC3381" s="23">
        <v>0</v>
      </c>
      <c r="BD3381" s="130">
        <f t="shared" si="1004"/>
        <v>11</v>
      </c>
      <c r="BE3381" s="130">
        <f t="shared" si="1005"/>
        <v>1</v>
      </c>
      <c r="BF3381" s="195">
        <f t="shared" si="1006"/>
        <v>1100</v>
      </c>
      <c r="BG3381" s="373">
        <f t="shared" si="1007"/>
        <v>-10</v>
      </c>
    </row>
    <row r="3382" spans="1:61" s="46" customFormat="1" ht="15.95" customHeight="1">
      <c r="A3382" s="176">
        <v>204</v>
      </c>
      <c r="B3382" s="31" t="s">
        <v>3586</v>
      </c>
      <c r="C3382" s="32" t="s">
        <v>3587</v>
      </c>
      <c r="D3382" s="231"/>
      <c r="E3382" s="231"/>
      <c r="F3382" s="231"/>
      <c r="G3382" s="231"/>
      <c r="H3382" s="231"/>
      <c r="I3382" s="231"/>
      <c r="J3382" s="231"/>
      <c r="K3382" s="231">
        <v>3</v>
      </c>
      <c r="L3382" s="231">
        <v>5</v>
      </c>
      <c r="M3382" s="231"/>
      <c r="N3382" s="231"/>
      <c r="O3382" s="231"/>
      <c r="P3382" s="231"/>
      <c r="Q3382" s="231"/>
      <c r="R3382" s="231"/>
      <c r="S3382" s="231"/>
      <c r="T3382" s="231"/>
      <c r="U3382" s="231"/>
      <c r="V3382" s="231"/>
      <c r="W3382" s="231"/>
      <c r="X3382" s="231"/>
      <c r="Y3382" s="231"/>
      <c r="Z3382" s="231"/>
      <c r="AA3382" s="231"/>
      <c r="AB3382" s="22">
        <f t="shared" si="1002"/>
        <v>8</v>
      </c>
      <c r="AC3382" s="23">
        <v>1</v>
      </c>
      <c r="AD3382" s="35"/>
      <c r="AE3382" s="35"/>
      <c r="AF3382" s="35"/>
      <c r="AG3382" s="35"/>
      <c r="AH3382" s="35"/>
      <c r="AI3382" s="35"/>
      <c r="AJ3382" s="35"/>
      <c r="AK3382" s="35"/>
      <c r="AL3382" s="35">
        <v>4</v>
      </c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  <c r="AX3382" s="35"/>
      <c r="AY3382" s="35"/>
      <c r="AZ3382" s="35"/>
      <c r="BA3382" s="35"/>
      <c r="BB3382" s="22">
        <f t="shared" si="1003"/>
        <v>4</v>
      </c>
      <c r="BC3382" s="23">
        <v>0</v>
      </c>
      <c r="BD3382" s="130">
        <f t="shared" si="1004"/>
        <v>12</v>
      </c>
      <c r="BE3382" s="130">
        <f t="shared" si="1005"/>
        <v>1</v>
      </c>
      <c r="BF3382" s="195">
        <f t="shared" si="1006"/>
        <v>1200</v>
      </c>
      <c r="BG3382" s="373">
        <f t="shared" si="1007"/>
        <v>-11</v>
      </c>
    </row>
    <row r="3383" spans="1:61" s="46" customFormat="1" ht="15.95" customHeight="1">
      <c r="A3383" s="176">
        <v>205</v>
      </c>
      <c r="B3383" s="31" t="s">
        <v>3588</v>
      </c>
      <c r="C3383" s="32" t="s">
        <v>3591</v>
      </c>
      <c r="D3383" s="231"/>
      <c r="E3383" s="231"/>
      <c r="F3383" s="231"/>
      <c r="G3383" s="231"/>
      <c r="H3383" s="231"/>
      <c r="I3383" s="231"/>
      <c r="J3383" s="231"/>
      <c r="K3383" s="231">
        <v>3</v>
      </c>
      <c r="L3383" s="231">
        <v>5</v>
      </c>
      <c r="M3383" s="231"/>
      <c r="N3383" s="231"/>
      <c r="O3383" s="231"/>
      <c r="P3383" s="231"/>
      <c r="Q3383" s="231"/>
      <c r="R3383" s="231"/>
      <c r="S3383" s="231"/>
      <c r="T3383" s="231"/>
      <c r="U3383" s="231"/>
      <c r="V3383" s="231"/>
      <c r="W3383" s="231"/>
      <c r="X3383" s="231"/>
      <c r="Y3383" s="231"/>
      <c r="Z3383" s="231"/>
      <c r="AA3383" s="231"/>
      <c r="AB3383" s="22">
        <f t="shared" si="1002"/>
        <v>8</v>
      </c>
      <c r="AC3383" s="23">
        <v>1</v>
      </c>
      <c r="AD3383" s="35"/>
      <c r="AE3383" s="35"/>
      <c r="AF3383" s="35"/>
      <c r="AG3383" s="35"/>
      <c r="AH3383" s="35"/>
      <c r="AI3383" s="35"/>
      <c r="AJ3383" s="35"/>
      <c r="AK3383" s="35"/>
      <c r="AL3383" s="35">
        <v>4</v>
      </c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  <c r="AX3383" s="35"/>
      <c r="AY3383" s="35"/>
      <c r="AZ3383" s="35"/>
      <c r="BA3383" s="35"/>
      <c r="BB3383" s="22">
        <f t="shared" si="1003"/>
        <v>4</v>
      </c>
      <c r="BC3383" s="23">
        <v>0</v>
      </c>
      <c r="BD3383" s="130">
        <f t="shared" si="1004"/>
        <v>12</v>
      </c>
      <c r="BE3383" s="130">
        <f t="shared" si="1005"/>
        <v>1</v>
      </c>
      <c r="BF3383" s="195">
        <f t="shared" si="1006"/>
        <v>1200</v>
      </c>
      <c r="BG3383" s="373">
        <f t="shared" si="1007"/>
        <v>-11</v>
      </c>
    </row>
    <row r="3384" spans="1:61" s="46" customFormat="1" ht="15.95" customHeight="1">
      <c r="A3384" s="176">
        <v>206</v>
      </c>
      <c r="B3384" s="31" t="s">
        <v>3589</v>
      </c>
      <c r="C3384" s="32" t="s">
        <v>3592</v>
      </c>
      <c r="D3384" s="231"/>
      <c r="E3384" s="231"/>
      <c r="F3384" s="231"/>
      <c r="G3384" s="231"/>
      <c r="H3384" s="231"/>
      <c r="I3384" s="231"/>
      <c r="J3384" s="231"/>
      <c r="K3384" s="231">
        <v>3</v>
      </c>
      <c r="L3384" s="231">
        <v>5</v>
      </c>
      <c r="M3384" s="231"/>
      <c r="N3384" s="231"/>
      <c r="O3384" s="231"/>
      <c r="P3384" s="231"/>
      <c r="Q3384" s="231"/>
      <c r="R3384" s="231"/>
      <c r="S3384" s="231"/>
      <c r="T3384" s="231"/>
      <c r="U3384" s="231"/>
      <c r="V3384" s="231"/>
      <c r="W3384" s="231"/>
      <c r="X3384" s="231"/>
      <c r="Y3384" s="231"/>
      <c r="Z3384" s="231"/>
      <c r="AA3384" s="231"/>
      <c r="AB3384" s="22">
        <f t="shared" si="1002"/>
        <v>8</v>
      </c>
      <c r="AC3384" s="23">
        <v>1</v>
      </c>
      <c r="AD3384" s="35"/>
      <c r="AE3384" s="35"/>
      <c r="AF3384" s="35"/>
      <c r="AG3384" s="35"/>
      <c r="AH3384" s="35"/>
      <c r="AI3384" s="35"/>
      <c r="AJ3384" s="35"/>
      <c r="AK3384" s="35"/>
      <c r="AL3384" s="35">
        <v>3</v>
      </c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  <c r="AX3384" s="35"/>
      <c r="AY3384" s="35"/>
      <c r="AZ3384" s="35"/>
      <c r="BA3384" s="35"/>
      <c r="BB3384" s="22">
        <f t="shared" si="1003"/>
        <v>3</v>
      </c>
      <c r="BC3384" s="23">
        <v>0</v>
      </c>
      <c r="BD3384" s="130">
        <f t="shared" si="1004"/>
        <v>11</v>
      </c>
      <c r="BE3384" s="130">
        <f t="shared" si="1005"/>
        <v>1</v>
      </c>
      <c r="BF3384" s="195">
        <f t="shared" si="1006"/>
        <v>1100</v>
      </c>
      <c r="BG3384" s="373">
        <f t="shared" si="1007"/>
        <v>-10</v>
      </c>
    </row>
    <row r="3385" spans="1:61" s="46" customFormat="1" ht="15.95" customHeight="1">
      <c r="A3385" s="176">
        <v>207</v>
      </c>
      <c r="B3385" s="31" t="s">
        <v>3590</v>
      </c>
      <c r="C3385" s="32" t="s">
        <v>3593</v>
      </c>
      <c r="D3385" s="273"/>
      <c r="E3385" s="273"/>
      <c r="F3385" s="273"/>
      <c r="G3385" s="273"/>
      <c r="H3385" s="273"/>
      <c r="I3385" s="273"/>
      <c r="J3385" s="273"/>
      <c r="K3385" s="273">
        <v>3</v>
      </c>
      <c r="L3385" s="273">
        <v>5</v>
      </c>
      <c r="M3385" s="273"/>
      <c r="N3385" s="273"/>
      <c r="O3385" s="273"/>
      <c r="P3385" s="273"/>
      <c r="Q3385" s="273"/>
      <c r="R3385" s="273"/>
      <c r="S3385" s="273"/>
      <c r="T3385" s="273"/>
      <c r="U3385" s="273"/>
      <c r="V3385" s="273"/>
      <c r="W3385" s="273"/>
      <c r="X3385" s="273"/>
      <c r="Y3385" s="273"/>
      <c r="Z3385" s="273"/>
      <c r="AA3385" s="273"/>
      <c r="AB3385" s="22">
        <f t="shared" si="1002"/>
        <v>8</v>
      </c>
      <c r="AC3385" s="23">
        <v>1</v>
      </c>
      <c r="AD3385" s="35"/>
      <c r="AE3385" s="35"/>
      <c r="AF3385" s="35"/>
      <c r="AG3385" s="35"/>
      <c r="AH3385" s="35"/>
      <c r="AI3385" s="35"/>
      <c r="AJ3385" s="35"/>
      <c r="AK3385" s="35"/>
      <c r="AL3385" s="35">
        <v>3</v>
      </c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  <c r="AX3385" s="35"/>
      <c r="AY3385" s="35"/>
      <c r="AZ3385" s="35"/>
      <c r="BA3385" s="35"/>
      <c r="BB3385" s="22">
        <f t="shared" si="1003"/>
        <v>3</v>
      </c>
      <c r="BC3385" s="23">
        <v>0</v>
      </c>
      <c r="BD3385" s="130">
        <f t="shared" si="1004"/>
        <v>11</v>
      </c>
      <c r="BE3385" s="130">
        <f t="shared" si="1005"/>
        <v>1</v>
      </c>
      <c r="BF3385" s="195">
        <f t="shared" si="1006"/>
        <v>1100</v>
      </c>
      <c r="BG3385" s="373">
        <f t="shared" si="1007"/>
        <v>-10</v>
      </c>
    </row>
    <row r="3386" spans="1:61" s="46" customFormat="1" ht="15.95" customHeight="1">
      <c r="A3386" s="176">
        <v>208</v>
      </c>
      <c r="B3386" s="31" t="s">
        <v>3961</v>
      </c>
      <c r="C3386" s="32" t="s">
        <v>3962</v>
      </c>
      <c r="D3386" s="542"/>
      <c r="E3386" s="542"/>
      <c r="F3386" s="542"/>
      <c r="G3386" s="542"/>
      <c r="H3386" s="542"/>
      <c r="I3386" s="542"/>
      <c r="J3386" s="542"/>
      <c r="K3386" s="542"/>
      <c r="L3386" s="542">
        <v>1</v>
      </c>
      <c r="M3386" s="542"/>
      <c r="N3386" s="542"/>
      <c r="O3386" s="542"/>
      <c r="P3386" s="542"/>
      <c r="Q3386" s="542"/>
      <c r="R3386" s="542"/>
      <c r="S3386" s="542"/>
      <c r="T3386" s="542"/>
      <c r="U3386" s="542"/>
      <c r="V3386" s="542"/>
      <c r="W3386" s="542"/>
      <c r="X3386" s="542"/>
      <c r="Y3386" s="542"/>
      <c r="Z3386" s="542"/>
      <c r="AA3386" s="542"/>
      <c r="AB3386" s="22">
        <f t="shared" si="1002"/>
        <v>1</v>
      </c>
      <c r="AC3386" s="23">
        <v>0</v>
      </c>
      <c r="AD3386" s="35"/>
      <c r="AE3386" s="35"/>
      <c r="AF3386" s="35"/>
      <c r="AG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  <c r="AX3386" s="35"/>
      <c r="AY3386" s="35"/>
      <c r="AZ3386" s="35"/>
      <c r="BA3386" s="35"/>
      <c r="BB3386" s="22">
        <f t="shared" si="1003"/>
        <v>0</v>
      </c>
      <c r="BC3386" s="23">
        <v>0</v>
      </c>
      <c r="BD3386" s="130">
        <f t="shared" si="1004"/>
        <v>1</v>
      </c>
      <c r="BE3386" s="130">
        <f t="shared" si="1005"/>
        <v>0</v>
      </c>
      <c r="BF3386" s="195" t="e">
        <f t="shared" si="1006"/>
        <v>#DIV/0!</v>
      </c>
      <c r="BG3386" s="373"/>
    </row>
    <row r="3387" spans="1:61" s="46" customFormat="1" ht="21" customHeight="1">
      <c r="A3387" s="176">
        <v>209</v>
      </c>
      <c r="B3387" s="31" t="s">
        <v>3075</v>
      </c>
      <c r="C3387" s="32" t="s">
        <v>1697</v>
      </c>
      <c r="D3387" s="231"/>
      <c r="E3387" s="231"/>
      <c r="F3387" s="231"/>
      <c r="G3387" s="231"/>
      <c r="H3387" s="231"/>
      <c r="I3387" s="231"/>
      <c r="J3387" s="231"/>
      <c r="K3387" s="231"/>
      <c r="L3387" s="231"/>
      <c r="M3387" s="231"/>
      <c r="N3387" s="231"/>
      <c r="O3387" s="231"/>
      <c r="P3387" s="231"/>
      <c r="Q3387" s="231"/>
      <c r="R3387" s="231"/>
      <c r="S3387" s="231"/>
      <c r="T3387" s="231"/>
      <c r="U3387" s="231"/>
      <c r="V3387" s="231"/>
      <c r="W3387" s="231"/>
      <c r="X3387" s="231"/>
      <c r="Y3387" s="231"/>
      <c r="Z3387" s="231"/>
      <c r="AA3387" s="231"/>
      <c r="AB3387" s="22">
        <f t="shared" si="1002"/>
        <v>0</v>
      </c>
      <c r="AC3387" s="23">
        <v>1</v>
      </c>
      <c r="AD3387" s="35"/>
      <c r="AE3387" s="35"/>
      <c r="AF3387" s="35"/>
      <c r="AG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  <c r="AX3387" s="35"/>
      <c r="AY3387" s="35"/>
      <c r="AZ3387" s="35"/>
      <c r="BA3387" s="35"/>
      <c r="BB3387" s="22">
        <f t="shared" si="1003"/>
        <v>0</v>
      </c>
      <c r="BC3387" s="23">
        <v>0</v>
      </c>
      <c r="BD3387" s="130">
        <f t="shared" si="1004"/>
        <v>0</v>
      </c>
      <c r="BE3387" s="130">
        <f t="shared" si="1005"/>
        <v>1</v>
      </c>
      <c r="BF3387" s="195">
        <f t="shared" si="1006"/>
        <v>0</v>
      </c>
      <c r="BG3387" s="373">
        <f>BE3387-BD3387</f>
        <v>1</v>
      </c>
    </row>
    <row r="3388" spans="1:61" s="46" customFormat="1" ht="21" customHeight="1">
      <c r="A3388" s="176">
        <v>210</v>
      </c>
      <c r="B3388" s="31" t="s">
        <v>3252</v>
      </c>
      <c r="C3388" s="32" t="s">
        <v>3822</v>
      </c>
      <c r="D3388" s="525"/>
      <c r="E3388" s="525"/>
      <c r="F3388" s="525"/>
      <c r="G3388" s="525"/>
      <c r="H3388" s="525"/>
      <c r="I3388" s="525"/>
      <c r="J3388" s="525"/>
      <c r="K3388" s="525"/>
      <c r="L3388" s="525"/>
      <c r="M3388" s="525"/>
      <c r="N3388" s="525"/>
      <c r="O3388" s="525"/>
      <c r="P3388" s="525"/>
      <c r="Q3388" s="525"/>
      <c r="R3388" s="525"/>
      <c r="S3388" s="525"/>
      <c r="T3388" s="525"/>
      <c r="U3388" s="525"/>
      <c r="V3388" s="525"/>
      <c r="W3388" s="525"/>
      <c r="X3388" s="525"/>
      <c r="Y3388" s="525"/>
      <c r="Z3388" s="525"/>
      <c r="AA3388" s="525"/>
      <c r="AB3388" s="22">
        <f t="shared" si="1002"/>
        <v>0</v>
      </c>
      <c r="AC3388" s="23">
        <v>0</v>
      </c>
      <c r="AD3388" s="35"/>
      <c r="AE3388" s="35"/>
      <c r="AF3388" s="35"/>
      <c r="AG3388" s="35"/>
      <c r="AH3388" s="35">
        <v>1</v>
      </c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  <c r="AX3388" s="35"/>
      <c r="AY3388" s="35"/>
      <c r="AZ3388" s="35"/>
      <c r="BA3388" s="35"/>
      <c r="BB3388" s="22">
        <f t="shared" si="1003"/>
        <v>1</v>
      </c>
      <c r="BC3388" s="23">
        <v>0</v>
      </c>
      <c r="BD3388" s="130">
        <f t="shared" si="1004"/>
        <v>1</v>
      </c>
      <c r="BE3388" s="130">
        <f t="shared" si="1005"/>
        <v>0</v>
      </c>
      <c r="BF3388" s="195" t="e">
        <f t="shared" si="1006"/>
        <v>#DIV/0!</v>
      </c>
      <c r="BG3388" s="373"/>
    </row>
    <row r="3389" spans="1:61" s="46" customFormat="1" ht="15.95" customHeight="1">
      <c r="A3389" s="176">
        <v>211</v>
      </c>
      <c r="B3389" s="31" t="s">
        <v>3594</v>
      </c>
      <c r="C3389" s="32" t="s">
        <v>3595</v>
      </c>
      <c r="D3389" s="231"/>
      <c r="E3389" s="231"/>
      <c r="F3389" s="231"/>
      <c r="G3389" s="231"/>
      <c r="H3389" s="231"/>
      <c r="I3389" s="231"/>
      <c r="J3389" s="231"/>
      <c r="K3389" s="231">
        <v>1</v>
      </c>
      <c r="L3389" s="231">
        <v>4</v>
      </c>
      <c r="M3389" s="231"/>
      <c r="N3389" s="231"/>
      <c r="O3389" s="231"/>
      <c r="P3389" s="231"/>
      <c r="Q3389" s="231"/>
      <c r="R3389" s="231"/>
      <c r="S3389" s="231"/>
      <c r="T3389" s="231"/>
      <c r="U3389" s="231"/>
      <c r="V3389" s="231"/>
      <c r="W3389" s="231"/>
      <c r="X3389" s="231"/>
      <c r="Y3389" s="231"/>
      <c r="Z3389" s="231"/>
      <c r="AA3389" s="231"/>
      <c r="AB3389" s="22">
        <f t="shared" si="1002"/>
        <v>5</v>
      </c>
      <c r="AC3389" s="23">
        <v>9</v>
      </c>
      <c r="AD3389" s="35"/>
      <c r="AE3389" s="35"/>
      <c r="AF3389" s="35"/>
      <c r="AG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  <c r="AX3389" s="35"/>
      <c r="AY3389" s="35"/>
      <c r="AZ3389" s="35"/>
      <c r="BA3389" s="35"/>
      <c r="BB3389" s="22">
        <f t="shared" si="1003"/>
        <v>0</v>
      </c>
      <c r="BC3389" s="23">
        <v>0</v>
      </c>
      <c r="BD3389" s="130">
        <f t="shared" si="1004"/>
        <v>5</v>
      </c>
      <c r="BE3389" s="130">
        <f t="shared" si="1005"/>
        <v>9</v>
      </c>
      <c r="BF3389" s="195">
        <f t="shared" si="1006"/>
        <v>55.555555555555557</v>
      </c>
      <c r="BG3389" s="373">
        <f>BE3389-BD3389</f>
        <v>4</v>
      </c>
    </row>
    <row r="3390" spans="1:61" s="46" customFormat="1" ht="15.95" customHeight="1">
      <c r="A3390" s="176">
        <v>212</v>
      </c>
      <c r="B3390" s="411" t="s">
        <v>3073</v>
      </c>
      <c r="C3390" s="448" t="s">
        <v>3074</v>
      </c>
      <c r="D3390" s="231">
        <v>362</v>
      </c>
      <c r="E3390" s="231"/>
      <c r="F3390" s="231"/>
      <c r="G3390" s="231"/>
      <c r="H3390" s="231">
        <v>420</v>
      </c>
      <c r="I3390" s="231"/>
      <c r="J3390" s="231"/>
      <c r="K3390" s="231"/>
      <c r="L3390" s="231">
        <v>920</v>
      </c>
      <c r="M3390" s="231"/>
      <c r="N3390" s="231"/>
      <c r="O3390" s="231"/>
      <c r="P3390" s="231">
        <v>162</v>
      </c>
      <c r="Q3390" s="231"/>
      <c r="R3390" s="231"/>
      <c r="S3390" s="231"/>
      <c r="T3390" s="231"/>
      <c r="U3390" s="231"/>
      <c r="V3390" s="231"/>
      <c r="W3390" s="231"/>
      <c r="X3390" s="231"/>
      <c r="Y3390" s="231"/>
      <c r="Z3390" s="231"/>
      <c r="AA3390" s="231"/>
      <c r="AB3390" s="22">
        <f t="shared" si="1002"/>
        <v>1864</v>
      </c>
      <c r="AC3390" s="23">
        <f>1104+184</f>
        <v>1288</v>
      </c>
      <c r="AD3390" s="35"/>
      <c r="AE3390" s="35"/>
      <c r="AF3390" s="35"/>
      <c r="AG3390" s="35"/>
      <c r="AH3390" s="35">
        <v>4</v>
      </c>
      <c r="AI3390" s="35"/>
      <c r="AJ3390" s="35"/>
      <c r="AK3390" s="35"/>
      <c r="AL3390" s="35">
        <v>8</v>
      </c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  <c r="AX3390" s="35"/>
      <c r="AY3390" s="35"/>
      <c r="AZ3390" s="35"/>
      <c r="BA3390" s="35"/>
      <c r="BB3390" s="22">
        <f t="shared" si="1003"/>
        <v>12</v>
      </c>
      <c r="BC3390" s="23">
        <v>0</v>
      </c>
      <c r="BD3390" s="130">
        <f t="shared" si="1004"/>
        <v>1876</v>
      </c>
      <c r="BE3390" s="130">
        <f t="shared" si="1005"/>
        <v>1288</v>
      </c>
      <c r="BF3390" s="195">
        <f t="shared" si="1006"/>
        <v>145.65217391304347</v>
      </c>
      <c r="BG3390" s="373">
        <f>BE3390-BD3390</f>
        <v>-588</v>
      </c>
    </row>
    <row r="3391" spans="1:61" s="46" customFormat="1" ht="15.95" customHeight="1">
      <c r="A3391" s="636" t="s">
        <v>1609</v>
      </c>
      <c r="B3391" s="637"/>
      <c r="C3391" s="637"/>
      <c r="D3391" s="98">
        <f t="shared" ref="D3391:AI3391" si="1008">SUM(D3392:D3487)</f>
        <v>4</v>
      </c>
      <c r="E3391" s="98">
        <f t="shared" si="1008"/>
        <v>0</v>
      </c>
      <c r="F3391" s="98">
        <f t="shared" si="1008"/>
        <v>0</v>
      </c>
      <c r="G3391" s="98">
        <f t="shared" si="1008"/>
        <v>155</v>
      </c>
      <c r="H3391" s="98">
        <f t="shared" si="1008"/>
        <v>120</v>
      </c>
      <c r="I3391" s="98">
        <f t="shared" si="1008"/>
        <v>0</v>
      </c>
      <c r="J3391" s="98">
        <f t="shared" si="1008"/>
        <v>0</v>
      </c>
      <c r="K3391" s="98">
        <f t="shared" si="1008"/>
        <v>244</v>
      </c>
      <c r="L3391" s="98">
        <f t="shared" si="1008"/>
        <v>2630</v>
      </c>
      <c r="M3391" s="98">
        <f t="shared" si="1008"/>
        <v>0</v>
      </c>
      <c r="N3391" s="98">
        <f t="shared" si="1008"/>
        <v>0</v>
      </c>
      <c r="O3391" s="98">
        <f t="shared" si="1008"/>
        <v>2675</v>
      </c>
      <c r="P3391" s="98">
        <f t="shared" si="1008"/>
        <v>526</v>
      </c>
      <c r="Q3391" s="98">
        <f t="shared" si="1008"/>
        <v>0</v>
      </c>
      <c r="R3391" s="98">
        <f t="shared" si="1008"/>
        <v>0</v>
      </c>
      <c r="S3391" s="98">
        <f t="shared" si="1008"/>
        <v>4444</v>
      </c>
      <c r="T3391" s="98">
        <f t="shared" si="1008"/>
        <v>0</v>
      </c>
      <c r="U3391" s="98">
        <f t="shared" si="1008"/>
        <v>0</v>
      </c>
      <c r="V3391" s="98">
        <f t="shared" si="1008"/>
        <v>0</v>
      </c>
      <c r="W3391" s="98">
        <f t="shared" si="1008"/>
        <v>0</v>
      </c>
      <c r="X3391" s="98">
        <f t="shared" si="1008"/>
        <v>0</v>
      </c>
      <c r="Y3391" s="98">
        <f t="shared" si="1008"/>
        <v>0</v>
      </c>
      <c r="Z3391" s="98">
        <f t="shared" si="1008"/>
        <v>0</v>
      </c>
      <c r="AA3391" s="98">
        <f t="shared" si="1008"/>
        <v>0</v>
      </c>
      <c r="AB3391" s="98">
        <f t="shared" si="1008"/>
        <v>10798</v>
      </c>
      <c r="AC3391" s="161">
        <f t="shared" si="1008"/>
        <v>41746</v>
      </c>
      <c r="AD3391" s="130">
        <f t="shared" si="1008"/>
        <v>712</v>
      </c>
      <c r="AE3391" s="130">
        <f t="shared" si="1008"/>
        <v>0</v>
      </c>
      <c r="AF3391" s="130">
        <f t="shared" si="1008"/>
        <v>0</v>
      </c>
      <c r="AG3391" s="130">
        <f t="shared" si="1008"/>
        <v>0</v>
      </c>
      <c r="AH3391" s="130">
        <f t="shared" si="1008"/>
        <v>1158</v>
      </c>
      <c r="AI3391" s="130">
        <f t="shared" si="1008"/>
        <v>0</v>
      </c>
      <c r="AJ3391" s="130">
        <f t="shared" ref="AJ3391:BC3391" si="1009">SUM(AJ3392:AJ3487)</f>
        <v>0</v>
      </c>
      <c r="AK3391" s="130">
        <f t="shared" si="1009"/>
        <v>0</v>
      </c>
      <c r="AL3391" s="130">
        <f t="shared" si="1009"/>
        <v>6596</v>
      </c>
      <c r="AM3391" s="130">
        <f t="shared" si="1009"/>
        <v>0</v>
      </c>
      <c r="AN3391" s="130">
        <f t="shared" si="1009"/>
        <v>0</v>
      </c>
      <c r="AO3391" s="130">
        <f t="shared" si="1009"/>
        <v>0</v>
      </c>
      <c r="AP3391" s="130">
        <f t="shared" si="1009"/>
        <v>11037</v>
      </c>
      <c r="AQ3391" s="130">
        <f t="shared" si="1009"/>
        <v>0</v>
      </c>
      <c r="AR3391" s="130">
        <f t="shared" si="1009"/>
        <v>0</v>
      </c>
      <c r="AS3391" s="130">
        <f t="shared" si="1009"/>
        <v>0</v>
      </c>
      <c r="AT3391" s="130">
        <f t="shared" si="1009"/>
        <v>0</v>
      </c>
      <c r="AU3391" s="130">
        <f t="shared" si="1009"/>
        <v>0</v>
      </c>
      <c r="AV3391" s="130">
        <f t="shared" si="1009"/>
        <v>0</v>
      </c>
      <c r="AW3391" s="130">
        <f t="shared" si="1009"/>
        <v>0</v>
      </c>
      <c r="AX3391" s="130">
        <f t="shared" si="1009"/>
        <v>0</v>
      </c>
      <c r="AY3391" s="130">
        <f t="shared" si="1009"/>
        <v>0</v>
      </c>
      <c r="AZ3391" s="130">
        <f t="shared" si="1009"/>
        <v>0</v>
      </c>
      <c r="BA3391" s="130">
        <f t="shared" si="1009"/>
        <v>0</v>
      </c>
      <c r="BB3391" s="130">
        <f t="shared" si="1009"/>
        <v>19503</v>
      </c>
      <c r="BC3391" s="103">
        <f t="shared" si="1009"/>
        <v>55196</v>
      </c>
      <c r="BD3391" s="130">
        <f t="shared" ref="BD3391" si="1010">AB3391+BB3391</f>
        <v>30301</v>
      </c>
      <c r="BE3391" s="130">
        <f t="shared" ref="BE3391" si="1011">AC3391+BC3391</f>
        <v>96942</v>
      </c>
      <c r="BF3391" s="195">
        <f t="shared" ref="BF3391" si="1012">BD3391/BE3391*100</f>
        <v>31.256833983206455</v>
      </c>
      <c r="BG3391" s="374">
        <f t="shared" ref="BG3391" si="1013">BE3391-BD3391</f>
        <v>66641</v>
      </c>
    </row>
    <row r="3392" spans="1:61" s="46" customFormat="1" ht="21" customHeight="1">
      <c r="A3392" s="417">
        <v>1</v>
      </c>
      <c r="B3392" s="418" t="s">
        <v>731</v>
      </c>
      <c r="C3392" s="419" t="s">
        <v>2050</v>
      </c>
      <c r="D3392" s="231"/>
      <c r="E3392" s="231"/>
      <c r="F3392" s="231"/>
      <c r="G3392" s="231"/>
      <c r="H3392" s="231"/>
      <c r="I3392" s="231"/>
      <c r="J3392" s="231"/>
      <c r="K3392" s="231"/>
      <c r="L3392" s="231"/>
      <c r="M3392" s="231"/>
      <c r="N3392" s="231"/>
      <c r="O3392" s="231"/>
      <c r="P3392" s="231"/>
      <c r="Q3392" s="231"/>
      <c r="R3392" s="231"/>
      <c r="S3392" s="231"/>
      <c r="T3392" s="231"/>
      <c r="U3392" s="231"/>
      <c r="V3392" s="231"/>
      <c r="W3392" s="231"/>
      <c r="X3392" s="231"/>
      <c r="Y3392" s="231"/>
      <c r="Z3392" s="231"/>
      <c r="AA3392" s="231"/>
      <c r="AB3392" s="22">
        <f>SUM(D3392:Z3392)</f>
        <v>0</v>
      </c>
      <c r="AC3392" s="23">
        <v>1</v>
      </c>
      <c r="AD3392" s="35"/>
      <c r="AE3392" s="35"/>
      <c r="AF3392" s="35"/>
      <c r="AG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  <c r="AX3392" s="35"/>
      <c r="AY3392" s="35"/>
      <c r="AZ3392" s="35"/>
      <c r="BA3392" s="35"/>
      <c r="BB3392" s="22">
        <f t="shared" ref="BB3392:BB3422" si="1014">SUM(AD3392:BA3392)</f>
        <v>0</v>
      </c>
      <c r="BC3392" s="23">
        <v>0</v>
      </c>
      <c r="BD3392" s="130">
        <f t="shared" ref="BD3392:BD3422" si="1015">AB3392+BB3392</f>
        <v>0</v>
      </c>
      <c r="BE3392" s="130">
        <f t="shared" ref="BE3392:BE3422" si="1016">AC3392+BC3392</f>
        <v>1</v>
      </c>
      <c r="BF3392" s="195">
        <f t="shared" ref="BF3392:BF3422" si="1017">BD3392/BE3392*100</f>
        <v>0</v>
      </c>
      <c r="BG3392" s="373">
        <f>BE3392-BD3392</f>
        <v>1</v>
      </c>
      <c r="BH3392" s="426" t="s">
        <v>3675</v>
      </c>
      <c r="BI3392" s="420"/>
    </row>
    <row r="3393" spans="1:61" s="46" customFormat="1" ht="21" customHeight="1">
      <c r="A3393" s="417">
        <v>2</v>
      </c>
      <c r="B3393" s="418" t="s">
        <v>926</v>
      </c>
      <c r="C3393" s="423" t="s">
        <v>927</v>
      </c>
      <c r="D3393" s="231"/>
      <c r="E3393" s="231"/>
      <c r="F3393" s="231"/>
      <c r="G3393" s="231"/>
      <c r="H3393" s="231"/>
      <c r="I3393" s="231"/>
      <c r="J3393" s="231"/>
      <c r="K3393" s="231"/>
      <c r="L3393" s="231"/>
      <c r="M3393" s="231"/>
      <c r="N3393" s="231"/>
      <c r="O3393" s="231">
        <f>18+152+14</f>
        <v>184</v>
      </c>
      <c r="P3393" s="231"/>
      <c r="Q3393" s="231"/>
      <c r="R3393" s="231"/>
      <c r="S3393" s="231">
        <f>52+243+1+24</f>
        <v>320</v>
      </c>
      <c r="T3393" s="231"/>
      <c r="U3393" s="231"/>
      <c r="V3393" s="231"/>
      <c r="W3393" s="231"/>
      <c r="X3393" s="231"/>
      <c r="Y3393" s="231"/>
      <c r="Z3393" s="231"/>
      <c r="AA3393" s="231"/>
      <c r="AB3393" s="22">
        <f t="shared" ref="AB3393:AB3399" si="1018">SUBTOTAL(9,D3393:AA3393)</f>
        <v>504</v>
      </c>
      <c r="AC3393" s="23">
        <v>0</v>
      </c>
      <c r="AD3393" s="35"/>
      <c r="AE3393" s="35"/>
      <c r="AF3393" s="35"/>
      <c r="AG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  <c r="AX3393" s="35"/>
      <c r="AY3393" s="35"/>
      <c r="AZ3393" s="35"/>
      <c r="BA3393" s="35"/>
      <c r="BB3393" s="22">
        <f t="shared" si="1014"/>
        <v>0</v>
      </c>
      <c r="BC3393" s="23">
        <v>0</v>
      </c>
      <c r="BD3393" s="130">
        <f t="shared" si="1015"/>
        <v>504</v>
      </c>
      <c r="BE3393" s="130">
        <f t="shared" si="1016"/>
        <v>0</v>
      </c>
      <c r="BF3393" s="195" t="e">
        <f t="shared" si="1017"/>
        <v>#DIV/0!</v>
      </c>
      <c r="BG3393" s="373"/>
      <c r="BH3393" s="426" t="s">
        <v>3675</v>
      </c>
      <c r="BI3393" s="421"/>
    </row>
    <row r="3394" spans="1:61" s="46" customFormat="1" ht="21" customHeight="1">
      <c r="A3394" s="417">
        <v>3</v>
      </c>
      <c r="B3394" s="418" t="s">
        <v>1610</v>
      </c>
      <c r="C3394" s="423" t="s">
        <v>1611</v>
      </c>
      <c r="D3394" s="231"/>
      <c r="E3394" s="231"/>
      <c r="F3394" s="231"/>
      <c r="G3394" s="231"/>
      <c r="H3394" s="231"/>
      <c r="I3394" s="231"/>
      <c r="J3394" s="231"/>
      <c r="K3394" s="231">
        <v>6</v>
      </c>
      <c r="L3394" s="231"/>
      <c r="M3394" s="231"/>
      <c r="N3394" s="231"/>
      <c r="O3394" s="231">
        <f>69+126</f>
        <v>195</v>
      </c>
      <c r="P3394" s="231"/>
      <c r="Q3394" s="231"/>
      <c r="R3394" s="231"/>
      <c r="S3394" s="231">
        <f>311+87</f>
        <v>398</v>
      </c>
      <c r="T3394" s="231"/>
      <c r="U3394" s="231"/>
      <c r="V3394" s="231"/>
      <c r="W3394" s="231"/>
      <c r="X3394" s="231"/>
      <c r="Y3394" s="231"/>
      <c r="Z3394" s="231"/>
      <c r="AA3394" s="231"/>
      <c r="AB3394" s="22">
        <f t="shared" si="1018"/>
        <v>599</v>
      </c>
      <c r="AC3394" s="23">
        <f>404+3795</f>
        <v>4199</v>
      </c>
      <c r="AD3394" s="35"/>
      <c r="AE3394" s="35"/>
      <c r="AF3394" s="35"/>
      <c r="AG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  <c r="AX3394" s="35"/>
      <c r="AY3394" s="35"/>
      <c r="AZ3394" s="35"/>
      <c r="BA3394" s="35"/>
      <c r="BB3394" s="22">
        <f t="shared" si="1014"/>
        <v>0</v>
      </c>
      <c r="BC3394" s="23">
        <v>0</v>
      </c>
      <c r="BD3394" s="130">
        <f t="shared" si="1015"/>
        <v>599</v>
      </c>
      <c r="BE3394" s="130">
        <f t="shared" si="1016"/>
        <v>4199</v>
      </c>
      <c r="BF3394" s="195">
        <f t="shared" si="1017"/>
        <v>14.265301262205288</v>
      </c>
      <c r="BG3394" s="373">
        <f>BE3394-BD3394</f>
        <v>3600</v>
      </c>
      <c r="BH3394" s="426" t="s">
        <v>3675</v>
      </c>
      <c r="BI3394" s="421"/>
    </row>
    <row r="3395" spans="1:61" s="46" customFormat="1" ht="21" customHeight="1">
      <c r="A3395" s="417">
        <v>5</v>
      </c>
      <c r="B3395" s="418" t="s">
        <v>1612</v>
      </c>
      <c r="C3395" s="419" t="s">
        <v>1613</v>
      </c>
      <c r="D3395" s="390"/>
      <c r="E3395" s="390"/>
      <c r="F3395" s="390"/>
      <c r="G3395" s="390"/>
      <c r="H3395" s="390"/>
      <c r="I3395" s="390"/>
      <c r="J3395" s="390"/>
      <c r="K3395" s="390">
        <v>6</v>
      </c>
      <c r="L3395" s="390"/>
      <c r="M3395" s="390"/>
      <c r="N3395" s="390"/>
      <c r="O3395" s="390">
        <f>126+69</f>
        <v>195</v>
      </c>
      <c r="P3395" s="390"/>
      <c r="Q3395" s="390"/>
      <c r="R3395" s="390"/>
      <c r="S3395" s="390">
        <f>311+87</f>
        <v>398</v>
      </c>
      <c r="T3395" s="390"/>
      <c r="U3395" s="390"/>
      <c r="V3395" s="390"/>
      <c r="W3395" s="390"/>
      <c r="X3395" s="390"/>
      <c r="Y3395" s="390"/>
      <c r="Z3395" s="390"/>
      <c r="AA3395" s="390"/>
      <c r="AB3395" s="22">
        <f t="shared" si="1018"/>
        <v>599</v>
      </c>
      <c r="AC3395" s="23">
        <f>404+3795</f>
        <v>4199</v>
      </c>
      <c r="AD3395" s="35"/>
      <c r="AE3395" s="35"/>
      <c r="AF3395" s="35"/>
      <c r="AG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  <c r="AX3395" s="35"/>
      <c r="AY3395" s="35"/>
      <c r="AZ3395" s="35"/>
      <c r="BA3395" s="35"/>
      <c r="BB3395" s="22">
        <f t="shared" si="1014"/>
        <v>0</v>
      </c>
      <c r="BC3395" s="23">
        <v>0</v>
      </c>
      <c r="BD3395" s="130">
        <f t="shared" si="1015"/>
        <v>599</v>
      </c>
      <c r="BE3395" s="130">
        <f t="shared" si="1016"/>
        <v>4199</v>
      </c>
      <c r="BF3395" s="195">
        <f t="shared" si="1017"/>
        <v>14.265301262205288</v>
      </c>
      <c r="BG3395" s="373">
        <f t="shared" ref="BG3395:BG3426" si="1019">BE3395-BD3395</f>
        <v>3600</v>
      </c>
      <c r="BH3395" s="426" t="s">
        <v>3675</v>
      </c>
      <c r="BI3395" s="421"/>
    </row>
    <row r="3396" spans="1:61" s="46" customFormat="1" ht="21" customHeight="1">
      <c r="A3396" s="417">
        <v>6</v>
      </c>
      <c r="B3396" s="418" t="s">
        <v>1063</v>
      </c>
      <c r="C3396" s="419" t="s">
        <v>1614</v>
      </c>
      <c r="D3396" s="390"/>
      <c r="E3396" s="390"/>
      <c r="F3396" s="390"/>
      <c r="G3396" s="390"/>
      <c r="H3396" s="390"/>
      <c r="I3396" s="390"/>
      <c r="J3396" s="390"/>
      <c r="K3396" s="390">
        <v>6</v>
      </c>
      <c r="L3396" s="390"/>
      <c r="M3396" s="390"/>
      <c r="N3396" s="390"/>
      <c r="O3396" s="390">
        <f>126+69+69</f>
        <v>264</v>
      </c>
      <c r="P3396" s="390"/>
      <c r="Q3396" s="390"/>
      <c r="R3396" s="390"/>
      <c r="S3396" s="390">
        <f>312+87</f>
        <v>399</v>
      </c>
      <c r="T3396" s="390"/>
      <c r="U3396" s="390"/>
      <c r="V3396" s="390"/>
      <c r="W3396" s="390"/>
      <c r="X3396" s="390"/>
      <c r="Y3396" s="390"/>
      <c r="Z3396" s="390"/>
      <c r="AA3396" s="390"/>
      <c r="AB3396" s="22">
        <f t="shared" si="1018"/>
        <v>669</v>
      </c>
      <c r="AC3396" s="23">
        <f>404+3795</f>
        <v>4199</v>
      </c>
      <c r="AD3396" s="35"/>
      <c r="AE3396" s="35"/>
      <c r="AF3396" s="35"/>
      <c r="AG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  <c r="AX3396" s="35"/>
      <c r="AY3396" s="35"/>
      <c r="AZ3396" s="35"/>
      <c r="BA3396" s="35"/>
      <c r="BB3396" s="22">
        <f t="shared" si="1014"/>
        <v>0</v>
      </c>
      <c r="BC3396" s="23">
        <v>0</v>
      </c>
      <c r="BD3396" s="130">
        <f t="shared" si="1015"/>
        <v>669</v>
      </c>
      <c r="BE3396" s="130">
        <f t="shared" si="1016"/>
        <v>4199</v>
      </c>
      <c r="BF3396" s="195">
        <f t="shared" si="1017"/>
        <v>15.932364848773517</v>
      </c>
      <c r="BG3396" s="373">
        <f t="shared" si="1019"/>
        <v>3530</v>
      </c>
      <c r="BH3396" s="426" t="s">
        <v>3675</v>
      </c>
      <c r="BI3396" s="421"/>
    </row>
    <row r="3397" spans="1:61" s="46" customFormat="1" ht="21" customHeight="1">
      <c r="A3397" s="417">
        <v>7</v>
      </c>
      <c r="B3397" s="418" t="s">
        <v>1615</v>
      </c>
      <c r="C3397" s="419" t="s">
        <v>1616</v>
      </c>
      <c r="D3397" s="553"/>
      <c r="E3397" s="553"/>
      <c r="F3397" s="553"/>
      <c r="G3397" s="553"/>
      <c r="H3397" s="553"/>
      <c r="I3397" s="553"/>
      <c r="J3397" s="553"/>
      <c r="K3397" s="553">
        <v>6</v>
      </c>
      <c r="L3397" s="553"/>
      <c r="M3397" s="553"/>
      <c r="N3397" s="553"/>
      <c r="O3397" s="553">
        <f>126+69+69</f>
        <v>264</v>
      </c>
      <c r="P3397" s="553"/>
      <c r="Q3397" s="553"/>
      <c r="R3397" s="553"/>
      <c r="S3397" s="553">
        <f>311+87</f>
        <v>398</v>
      </c>
      <c r="T3397" s="553"/>
      <c r="U3397" s="553"/>
      <c r="V3397" s="553"/>
      <c r="W3397" s="553"/>
      <c r="X3397" s="553"/>
      <c r="Y3397" s="553"/>
      <c r="Z3397" s="553"/>
      <c r="AA3397" s="553"/>
      <c r="AB3397" s="22">
        <f t="shared" si="1018"/>
        <v>668</v>
      </c>
      <c r="AC3397" s="23">
        <f>404+3795</f>
        <v>4199</v>
      </c>
      <c r="AD3397" s="35"/>
      <c r="AE3397" s="35"/>
      <c r="AF3397" s="35"/>
      <c r="AG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  <c r="AX3397" s="35"/>
      <c r="AY3397" s="35"/>
      <c r="AZ3397" s="35"/>
      <c r="BA3397" s="35"/>
      <c r="BB3397" s="22">
        <f t="shared" si="1014"/>
        <v>0</v>
      </c>
      <c r="BC3397" s="23">
        <v>0</v>
      </c>
      <c r="BD3397" s="130">
        <f t="shared" si="1015"/>
        <v>668</v>
      </c>
      <c r="BE3397" s="130">
        <f t="shared" si="1016"/>
        <v>4199</v>
      </c>
      <c r="BF3397" s="195">
        <f t="shared" si="1017"/>
        <v>15.908549654679685</v>
      </c>
      <c r="BG3397" s="373">
        <f t="shared" si="1019"/>
        <v>3531</v>
      </c>
      <c r="BH3397" s="426" t="s">
        <v>3675</v>
      </c>
      <c r="BI3397" s="421"/>
    </row>
    <row r="3398" spans="1:61" s="46" customFormat="1" ht="21" customHeight="1">
      <c r="A3398" s="417">
        <v>8</v>
      </c>
      <c r="B3398" s="418" t="s">
        <v>1617</v>
      </c>
      <c r="C3398" s="423" t="s">
        <v>1618</v>
      </c>
      <c r="D3398" s="390"/>
      <c r="E3398" s="390"/>
      <c r="F3398" s="390"/>
      <c r="G3398" s="390"/>
      <c r="H3398" s="390"/>
      <c r="I3398" s="390"/>
      <c r="J3398" s="390"/>
      <c r="K3398" s="390">
        <v>6</v>
      </c>
      <c r="L3398" s="390"/>
      <c r="M3398" s="390"/>
      <c r="N3398" s="390"/>
      <c r="O3398" s="390">
        <f>126+69</f>
        <v>195</v>
      </c>
      <c r="P3398" s="390"/>
      <c r="Q3398" s="390"/>
      <c r="R3398" s="390"/>
      <c r="S3398" s="390">
        <f>311+87</f>
        <v>398</v>
      </c>
      <c r="T3398" s="390"/>
      <c r="U3398" s="390"/>
      <c r="V3398" s="390"/>
      <c r="W3398" s="390"/>
      <c r="X3398" s="390"/>
      <c r="Y3398" s="390"/>
      <c r="Z3398" s="390"/>
      <c r="AA3398" s="390"/>
      <c r="AB3398" s="22">
        <f t="shared" si="1018"/>
        <v>599</v>
      </c>
      <c r="AC3398" s="23">
        <f>404+3795</f>
        <v>4199</v>
      </c>
      <c r="AD3398" s="35"/>
      <c r="AE3398" s="35"/>
      <c r="AF3398" s="35"/>
      <c r="AG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  <c r="AX3398" s="35"/>
      <c r="AY3398" s="35"/>
      <c r="AZ3398" s="35"/>
      <c r="BA3398" s="35"/>
      <c r="BB3398" s="22">
        <f t="shared" si="1014"/>
        <v>0</v>
      </c>
      <c r="BC3398" s="23">
        <v>0</v>
      </c>
      <c r="BD3398" s="130">
        <f t="shared" si="1015"/>
        <v>599</v>
      </c>
      <c r="BE3398" s="130">
        <f t="shared" si="1016"/>
        <v>4199</v>
      </c>
      <c r="BF3398" s="195">
        <f t="shared" si="1017"/>
        <v>14.265301262205288</v>
      </c>
      <c r="BG3398" s="373">
        <f t="shared" si="1019"/>
        <v>3600</v>
      </c>
      <c r="BH3398" s="426" t="s">
        <v>3675</v>
      </c>
      <c r="BI3398" s="421"/>
    </row>
    <row r="3399" spans="1:61" s="46" customFormat="1" ht="21" customHeight="1">
      <c r="A3399" s="417">
        <v>9</v>
      </c>
      <c r="B3399" s="418" t="s">
        <v>1619</v>
      </c>
      <c r="C3399" s="423" t="s">
        <v>1620</v>
      </c>
      <c r="D3399" s="553"/>
      <c r="E3399" s="553"/>
      <c r="F3399" s="553"/>
      <c r="G3399" s="553"/>
      <c r="H3399" s="553"/>
      <c r="I3399" s="553"/>
      <c r="J3399" s="553"/>
      <c r="K3399" s="553">
        <v>10</v>
      </c>
      <c r="L3399" s="553"/>
      <c r="M3399" s="553"/>
      <c r="N3399" s="553"/>
      <c r="O3399" s="553">
        <f>355+80</f>
        <v>435</v>
      </c>
      <c r="P3399" s="553"/>
      <c r="Q3399" s="553"/>
      <c r="R3399" s="553"/>
      <c r="S3399" s="553">
        <f>761+137</f>
        <v>898</v>
      </c>
      <c r="T3399" s="553"/>
      <c r="U3399" s="553"/>
      <c r="V3399" s="553"/>
      <c r="W3399" s="553"/>
      <c r="X3399" s="553"/>
      <c r="Y3399" s="553"/>
      <c r="Z3399" s="553"/>
      <c r="AA3399" s="553"/>
      <c r="AB3399" s="22">
        <f t="shared" si="1018"/>
        <v>1343</v>
      </c>
      <c r="AC3399" s="23">
        <f>999+8158</f>
        <v>9157</v>
      </c>
      <c r="AD3399" s="35"/>
      <c r="AE3399" s="35"/>
      <c r="AF3399" s="35"/>
      <c r="AG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  <c r="AX3399" s="35"/>
      <c r="AY3399" s="35"/>
      <c r="AZ3399" s="35"/>
      <c r="BA3399" s="35"/>
      <c r="BB3399" s="22">
        <f t="shared" si="1014"/>
        <v>0</v>
      </c>
      <c r="BC3399" s="23">
        <v>0</v>
      </c>
      <c r="BD3399" s="130">
        <f t="shared" si="1015"/>
        <v>1343</v>
      </c>
      <c r="BE3399" s="130">
        <f t="shared" si="1016"/>
        <v>9157</v>
      </c>
      <c r="BF3399" s="195">
        <f t="shared" si="1017"/>
        <v>14.666375450475048</v>
      </c>
      <c r="BG3399" s="373">
        <f t="shared" si="1019"/>
        <v>7814</v>
      </c>
      <c r="BH3399" s="426" t="s">
        <v>3675</v>
      </c>
      <c r="BI3399" s="421"/>
    </row>
    <row r="3400" spans="1:61" s="46" customFormat="1" ht="21" customHeight="1">
      <c r="A3400" s="417">
        <v>10</v>
      </c>
      <c r="B3400" s="418" t="s">
        <v>1266</v>
      </c>
      <c r="C3400" s="419" t="s">
        <v>1267</v>
      </c>
      <c r="D3400" s="390"/>
      <c r="E3400" s="390"/>
      <c r="F3400" s="390"/>
      <c r="G3400" s="390">
        <v>4</v>
      </c>
      <c r="H3400" s="390"/>
      <c r="I3400" s="390"/>
      <c r="J3400" s="390"/>
      <c r="K3400" s="390">
        <f>2+17</f>
        <v>19</v>
      </c>
      <c r="L3400" s="390"/>
      <c r="M3400" s="390"/>
      <c r="N3400" s="390"/>
      <c r="O3400" s="390">
        <f>65+1</f>
        <v>66</v>
      </c>
      <c r="P3400" s="390"/>
      <c r="Q3400" s="390"/>
      <c r="R3400" s="390"/>
      <c r="S3400" s="390">
        <f>62+4+2</f>
        <v>68</v>
      </c>
      <c r="T3400" s="390"/>
      <c r="U3400" s="390"/>
      <c r="V3400" s="390"/>
      <c r="W3400" s="390"/>
      <c r="X3400" s="390"/>
      <c r="Y3400" s="390"/>
      <c r="Z3400" s="390"/>
      <c r="AA3400" s="390"/>
      <c r="AB3400" s="22">
        <f>SUM(D3400:AA3400)</f>
        <v>157</v>
      </c>
      <c r="AC3400" s="23">
        <f>69+311</f>
        <v>380</v>
      </c>
      <c r="AD3400" s="35"/>
      <c r="AE3400" s="35"/>
      <c r="AF3400" s="35"/>
      <c r="AG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  <c r="AX3400" s="35"/>
      <c r="AY3400" s="35"/>
      <c r="AZ3400" s="35"/>
      <c r="BA3400" s="35"/>
      <c r="BB3400" s="22">
        <f t="shared" si="1014"/>
        <v>0</v>
      </c>
      <c r="BC3400" s="23">
        <v>0</v>
      </c>
      <c r="BD3400" s="130">
        <f t="shared" si="1015"/>
        <v>157</v>
      </c>
      <c r="BE3400" s="130">
        <f t="shared" si="1016"/>
        <v>380</v>
      </c>
      <c r="BF3400" s="195">
        <f t="shared" si="1017"/>
        <v>41.315789473684212</v>
      </c>
      <c r="BG3400" s="373">
        <f t="shared" si="1019"/>
        <v>223</v>
      </c>
      <c r="BH3400" s="426" t="s">
        <v>3675</v>
      </c>
      <c r="BI3400" s="421"/>
    </row>
    <row r="3401" spans="1:61" s="46" customFormat="1" ht="21" customHeight="1">
      <c r="A3401" s="417">
        <v>11</v>
      </c>
      <c r="B3401" s="418" t="s">
        <v>2218</v>
      </c>
      <c r="C3401" s="419" t="s">
        <v>2222</v>
      </c>
      <c r="D3401" s="390"/>
      <c r="E3401" s="390"/>
      <c r="F3401" s="390"/>
      <c r="G3401" s="390">
        <v>32</v>
      </c>
      <c r="H3401" s="390"/>
      <c r="I3401" s="390"/>
      <c r="J3401" s="390"/>
      <c r="K3401" s="390">
        <v>64</v>
      </c>
      <c r="L3401" s="390"/>
      <c r="M3401" s="390"/>
      <c r="N3401" s="390"/>
      <c r="O3401" s="390">
        <f>357+169</f>
        <v>526</v>
      </c>
      <c r="P3401" s="390"/>
      <c r="Q3401" s="390"/>
      <c r="R3401" s="390"/>
      <c r="S3401" s="390">
        <f>429+234</f>
        <v>663</v>
      </c>
      <c r="T3401" s="390"/>
      <c r="U3401" s="390"/>
      <c r="V3401" s="390"/>
      <c r="W3401" s="390"/>
      <c r="X3401" s="390"/>
      <c r="Y3401" s="390"/>
      <c r="Z3401" s="390"/>
      <c r="AA3401" s="390"/>
      <c r="AB3401" s="22">
        <f>SUM(D3401:AA3401)</f>
        <v>1285</v>
      </c>
      <c r="AC3401" s="23">
        <f>1476+4198</f>
        <v>5674</v>
      </c>
      <c r="AD3401" s="35"/>
      <c r="AE3401" s="35"/>
      <c r="AF3401" s="35"/>
      <c r="AG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  <c r="AX3401" s="35"/>
      <c r="AY3401" s="35"/>
      <c r="AZ3401" s="35"/>
      <c r="BA3401" s="35"/>
      <c r="BB3401" s="22">
        <f t="shared" si="1014"/>
        <v>0</v>
      </c>
      <c r="BC3401" s="23">
        <v>0</v>
      </c>
      <c r="BD3401" s="130">
        <f t="shared" si="1015"/>
        <v>1285</v>
      </c>
      <c r="BE3401" s="130">
        <f t="shared" si="1016"/>
        <v>5674</v>
      </c>
      <c r="BF3401" s="195">
        <f t="shared" si="1017"/>
        <v>22.647162495593935</v>
      </c>
      <c r="BG3401" s="373">
        <f t="shared" si="1019"/>
        <v>4389</v>
      </c>
      <c r="BH3401" s="426" t="s">
        <v>3675</v>
      </c>
      <c r="BI3401" s="421"/>
    </row>
    <row r="3402" spans="1:61" s="46" customFormat="1" ht="21" customHeight="1">
      <c r="A3402" s="417">
        <v>12</v>
      </c>
      <c r="B3402" s="418" t="s">
        <v>2246</v>
      </c>
      <c r="C3402" s="419" t="s">
        <v>2247</v>
      </c>
      <c r="D3402" s="231"/>
      <c r="E3402" s="231"/>
      <c r="F3402" s="231"/>
      <c r="G3402" s="231">
        <f>46+73</f>
        <v>119</v>
      </c>
      <c r="H3402" s="231"/>
      <c r="I3402" s="231"/>
      <c r="J3402" s="231"/>
      <c r="K3402" s="231">
        <f>113+2</f>
        <v>115</v>
      </c>
      <c r="L3402" s="231"/>
      <c r="M3402" s="231"/>
      <c r="N3402" s="231"/>
      <c r="O3402" s="231">
        <v>156</v>
      </c>
      <c r="P3402" s="231"/>
      <c r="Q3402" s="231"/>
      <c r="R3402" s="231"/>
      <c r="S3402" s="231">
        <f>2+104</f>
        <v>106</v>
      </c>
      <c r="T3402" s="231"/>
      <c r="U3402" s="231"/>
      <c r="V3402" s="231"/>
      <c r="W3402" s="231"/>
      <c r="X3402" s="231"/>
      <c r="Y3402" s="231"/>
      <c r="Z3402" s="231"/>
      <c r="AA3402" s="231"/>
      <c r="AB3402" s="22">
        <f>SUM(D3402:AA3402)</f>
        <v>496</v>
      </c>
      <c r="AC3402" s="23">
        <v>1231</v>
      </c>
      <c r="AD3402" s="35"/>
      <c r="AE3402" s="35"/>
      <c r="AF3402" s="35"/>
      <c r="AG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  <c r="AX3402" s="35"/>
      <c r="AY3402" s="35"/>
      <c r="AZ3402" s="35"/>
      <c r="BA3402" s="35"/>
      <c r="BB3402" s="22">
        <f t="shared" si="1014"/>
        <v>0</v>
      </c>
      <c r="BC3402" s="23">
        <v>0</v>
      </c>
      <c r="BD3402" s="130">
        <f t="shared" si="1015"/>
        <v>496</v>
      </c>
      <c r="BE3402" s="130">
        <f t="shared" si="1016"/>
        <v>1231</v>
      </c>
      <c r="BF3402" s="195">
        <f t="shared" si="1017"/>
        <v>40.29244516653128</v>
      </c>
      <c r="BG3402" s="373">
        <f t="shared" si="1019"/>
        <v>735</v>
      </c>
      <c r="BH3402" s="426" t="s">
        <v>3675</v>
      </c>
      <c r="BI3402" s="421"/>
    </row>
    <row r="3403" spans="1:61" s="46" customFormat="1" ht="21" customHeight="1">
      <c r="A3403" s="417">
        <v>13</v>
      </c>
      <c r="B3403" s="418" t="s">
        <v>1621</v>
      </c>
      <c r="C3403" s="419" t="s">
        <v>1622</v>
      </c>
      <c r="D3403" s="231"/>
      <c r="E3403" s="231"/>
      <c r="F3403" s="231"/>
      <c r="G3403" s="231"/>
      <c r="H3403" s="231"/>
      <c r="I3403" s="231"/>
      <c r="J3403" s="231"/>
      <c r="K3403" s="231">
        <v>6</v>
      </c>
      <c r="L3403" s="231"/>
      <c r="M3403" s="231"/>
      <c r="N3403" s="231"/>
      <c r="O3403" s="231">
        <f>126+69</f>
        <v>195</v>
      </c>
      <c r="P3403" s="231"/>
      <c r="Q3403" s="231"/>
      <c r="R3403" s="231"/>
      <c r="S3403" s="231">
        <f>311+87</f>
        <v>398</v>
      </c>
      <c r="T3403" s="231"/>
      <c r="U3403" s="231"/>
      <c r="V3403" s="231"/>
      <c r="W3403" s="231"/>
      <c r="X3403" s="231"/>
      <c r="Y3403" s="231"/>
      <c r="Z3403" s="231"/>
      <c r="AA3403" s="231"/>
      <c r="AB3403" s="22">
        <f>SUBTOTAL(9,D3403:AA3403)</f>
        <v>599</v>
      </c>
      <c r="AC3403" s="23">
        <f>400+3895</f>
        <v>4295</v>
      </c>
      <c r="AD3403" s="35"/>
      <c r="AE3403" s="35"/>
      <c r="AF3403" s="35"/>
      <c r="AG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  <c r="AX3403" s="35"/>
      <c r="AY3403" s="35"/>
      <c r="AZ3403" s="35"/>
      <c r="BA3403" s="35"/>
      <c r="BB3403" s="22">
        <f t="shared" si="1014"/>
        <v>0</v>
      </c>
      <c r="BC3403" s="23">
        <v>0</v>
      </c>
      <c r="BD3403" s="130">
        <f t="shared" si="1015"/>
        <v>599</v>
      </c>
      <c r="BE3403" s="130">
        <f t="shared" si="1016"/>
        <v>4295</v>
      </c>
      <c r="BF3403" s="195">
        <f t="shared" si="1017"/>
        <v>13.946449359720607</v>
      </c>
      <c r="BG3403" s="373">
        <f t="shared" si="1019"/>
        <v>3696</v>
      </c>
      <c r="BH3403" s="426" t="s">
        <v>3675</v>
      </c>
      <c r="BI3403" s="421"/>
    </row>
    <row r="3404" spans="1:61" s="46" customFormat="1" ht="15.95" customHeight="1">
      <c r="A3404" s="176">
        <v>14</v>
      </c>
      <c r="B3404" s="31" t="s">
        <v>740</v>
      </c>
      <c r="C3404" s="32" t="s">
        <v>2745</v>
      </c>
      <c r="D3404" s="390"/>
      <c r="E3404" s="390"/>
      <c r="F3404" s="390"/>
      <c r="G3404" s="390"/>
      <c r="H3404" s="390"/>
      <c r="I3404" s="390"/>
      <c r="J3404" s="390"/>
      <c r="K3404" s="390"/>
      <c r="L3404" s="390"/>
      <c r="M3404" s="390"/>
      <c r="N3404" s="390"/>
      <c r="O3404" s="390"/>
      <c r="P3404" s="390"/>
      <c r="Q3404" s="390"/>
      <c r="R3404" s="390"/>
      <c r="S3404" s="390"/>
      <c r="T3404" s="390"/>
      <c r="U3404" s="390"/>
      <c r="V3404" s="390"/>
      <c r="W3404" s="390"/>
      <c r="X3404" s="390"/>
      <c r="Y3404" s="390"/>
      <c r="Z3404" s="390"/>
      <c r="AA3404" s="390"/>
      <c r="AB3404" s="22">
        <f t="shared" ref="AB3404:AB3435" si="1020">SUM(D3404:Z3404)</f>
        <v>0</v>
      </c>
      <c r="AC3404" s="23">
        <v>0</v>
      </c>
      <c r="AD3404" s="35"/>
      <c r="AE3404" s="35"/>
      <c r="AF3404" s="35"/>
      <c r="AG3404" s="35"/>
      <c r="AH3404" s="35"/>
      <c r="AI3404" s="35"/>
      <c r="AJ3404" s="35"/>
      <c r="AK3404" s="35"/>
      <c r="AL3404" s="35"/>
      <c r="AM3404" s="35"/>
      <c r="AN3404" s="35"/>
      <c r="AO3404" s="35"/>
      <c r="AP3404" s="35">
        <v>73</v>
      </c>
      <c r="AQ3404" s="35"/>
      <c r="AR3404" s="35"/>
      <c r="AS3404" s="35"/>
      <c r="AT3404" s="35"/>
      <c r="AU3404" s="35"/>
      <c r="AV3404" s="35"/>
      <c r="AW3404" s="35"/>
      <c r="AX3404" s="35"/>
      <c r="AY3404" s="35"/>
      <c r="AZ3404" s="35"/>
      <c r="BA3404" s="35"/>
      <c r="BB3404" s="22">
        <f t="shared" si="1014"/>
        <v>73</v>
      </c>
      <c r="BC3404" s="23">
        <v>219</v>
      </c>
      <c r="BD3404" s="130">
        <f t="shared" si="1015"/>
        <v>73</v>
      </c>
      <c r="BE3404" s="130">
        <f t="shared" si="1016"/>
        <v>219</v>
      </c>
      <c r="BF3404" s="195">
        <f t="shared" si="1017"/>
        <v>33.333333333333329</v>
      </c>
      <c r="BG3404" s="373">
        <f t="shared" si="1019"/>
        <v>146</v>
      </c>
    </row>
    <row r="3405" spans="1:61" s="46" customFormat="1" ht="15.95" customHeight="1">
      <c r="A3405" s="176">
        <v>15</v>
      </c>
      <c r="B3405" s="31" t="s">
        <v>746</v>
      </c>
      <c r="C3405" s="32" t="s">
        <v>1520</v>
      </c>
      <c r="D3405" s="231"/>
      <c r="E3405" s="231"/>
      <c r="F3405" s="231"/>
      <c r="G3405" s="231"/>
      <c r="H3405" s="231">
        <v>57</v>
      </c>
      <c r="I3405" s="231"/>
      <c r="J3405" s="231"/>
      <c r="K3405" s="231"/>
      <c r="L3405" s="231">
        <v>117</v>
      </c>
      <c r="M3405" s="231"/>
      <c r="N3405" s="231"/>
      <c r="O3405" s="231"/>
      <c r="P3405" s="231">
        <f>101+1</f>
        <v>102</v>
      </c>
      <c r="Q3405" s="231"/>
      <c r="R3405" s="231"/>
      <c r="S3405" s="231"/>
      <c r="T3405" s="231"/>
      <c r="U3405" s="231"/>
      <c r="V3405" s="231"/>
      <c r="W3405" s="231"/>
      <c r="X3405" s="231"/>
      <c r="Y3405" s="231"/>
      <c r="Z3405" s="231"/>
      <c r="AA3405" s="231"/>
      <c r="AB3405" s="22">
        <f t="shared" si="1020"/>
        <v>276</v>
      </c>
      <c r="AC3405" s="23">
        <v>0</v>
      </c>
      <c r="AD3405" s="35">
        <v>10</v>
      </c>
      <c r="AE3405" s="35"/>
      <c r="AF3405" s="35"/>
      <c r="AG3405" s="35"/>
      <c r="AH3405" s="35">
        <f>48+24</f>
        <v>72</v>
      </c>
      <c r="AI3405" s="35"/>
      <c r="AJ3405" s="35"/>
      <c r="AK3405" s="35"/>
      <c r="AL3405" s="35">
        <f>359+195</f>
        <v>554</v>
      </c>
      <c r="AM3405" s="35"/>
      <c r="AN3405" s="35"/>
      <c r="AO3405" s="35"/>
      <c r="AP3405" s="35">
        <f>1132+181</f>
        <v>1313</v>
      </c>
      <c r="AQ3405" s="35"/>
      <c r="AR3405" s="35"/>
      <c r="AS3405" s="35"/>
      <c r="AT3405" s="35"/>
      <c r="AU3405" s="35"/>
      <c r="AV3405" s="35"/>
      <c r="AW3405" s="35"/>
      <c r="AX3405" s="35"/>
      <c r="AY3405" s="35"/>
      <c r="AZ3405" s="35"/>
      <c r="BA3405" s="35"/>
      <c r="BB3405" s="22">
        <f t="shared" si="1014"/>
        <v>1949</v>
      </c>
      <c r="BC3405" s="23">
        <v>3540</v>
      </c>
      <c r="BD3405" s="130">
        <f t="shared" si="1015"/>
        <v>2225</v>
      </c>
      <c r="BE3405" s="130">
        <f t="shared" si="1016"/>
        <v>3540</v>
      </c>
      <c r="BF3405" s="195">
        <f t="shared" si="1017"/>
        <v>62.853107344632761</v>
      </c>
      <c r="BG3405" s="373">
        <f t="shared" si="1019"/>
        <v>1315</v>
      </c>
    </row>
    <row r="3406" spans="1:61" s="46" customFormat="1" ht="15.95" customHeight="1">
      <c r="A3406" s="176">
        <v>16</v>
      </c>
      <c r="B3406" s="31" t="s">
        <v>881</v>
      </c>
      <c r="C3406" s="32" t="s">
        <v>1405</v>
      </c>
      <c r="D3406" s="231"/>
      <c r="E3406" s="231"/>
      <c r="F3406" s="231"/>
      <c r="G3406" s="231"/>
      <c r="H3406" s="231"/>
      <c r="I3406" s="231"/>
      <c r="J3406" s="231"/>
      <c r="K3406" s="231"/>
      <c r="L3406" s="231"/>
      <c r="M3406" s="231"/>
      <c r="N3406" s="231"/>
      <c r="O3406" s="231"/>
      <c r="P3406" s="231"/>
      <c r="Q3406" s="231"/>
      <c r="R3406" s="231"/>
      <c r="S3406" s="231"/>
      <c r="T3406" s="231"/>
      <c r="U3406" s="231"/>
      <c r="V3406" s="231"/>
      <c r="W3406" s="231"/>
      <c r="X3406" s="231"/>
      <c r="Y3406" s="231"/>
      <c r="Z3406" s="231"/>
      <c r="AA3406" s="231"/>
      <c r="AB3406" s="22">
        <f t="shared" si="1020"/>
        <v>0</v>
      </c>
      <c r="AC3406" s="23">
        <v>0</v>
      </c>
      <c r="AD3406" s="35"/>
      <c r="AE3406" s="35"/>
      <c r="AF3406" s="35"/>
      <c r="AG3406" s="35"/>
      <c r="AH3406" s="35">
        <v>65</v>
      </c>
      <c r="AI3406" s="35"/>
      <c r="AJ3406" s="35"/>
      <c r="AK3406" s="35"/>
      <c r="AL3406" s="35">
        <v>271</v>
      </c>
      <c r="AM3406" s="35"/>
      <c r="AN3406" s="35"/>
      <c r="AO3406" s="35"/>
      <c r="AP3406" s="35">
        <v>475</v>
      </c>
      <c r="AQ3406" s="35"/>
      <c r="AR3406" s="35"/>
      <c r="AS3406" s="35"/>
      <c r="AT3406" s="35"/>
      <c r="AU3406" s="35"/>
      <c r="AV3406" s="35"/>
      <c r="AW3406" s="35"/>
      <c r="AX3406" s="35"/>
      <c r="AY3406" s="35"/>
      <c r="AZ3406" s="35"/>
      <c r="BA3406" s="35"/>
      <c r="BB3406" s="22">
        <f t="shared" si="1014"/>
        <v>811</v>
      </c>
      <c r="BC3406" s="23">
        <v>1598</v>
      </c>
      <c r="BD3406" s="130">
        <f t="shared" si="1015"/>
        <v>811</v>
      </c>
      <c r="BE3406" s="130">
        <f t="shared" si="1016"/>
        <v>1598</v>
      </c>
      <c r="BF3406" s="195">
        <f t="shared" si="1017"/>
        <v>50.750938673341672</v>
      </c>
      <c r="BG3406" s="373">
        <f t="shared" si="1019"/>
        <v>787</v>
      </c>
    </row>
    <row r="3407" spans="1:61" s="46" customFormat="1" ht="15.95" customHeight="1">
      <c r="A3407" s="176">
        <v>17</v>
      </c>
      <c r="B3407" s="31" t="s">
        <v>748</v>
      </c>
      <c r="C3407" s="32" t="s">
        <v>749</v>
      </c>
      <c r="D3407" s="231"/>
      <c r="E3407" s="231"/>
      <c r="F3407" s="231"/>
      <c r="G3407" s="231"/>
      <c r="H3407" s="231"/>
      <c r="I3407" s="231"/>
      <c r="J3407" s="231"/>
      <c r="K3407" s="231"/>
      <c r="L3407" s="231"/>
      <c r="M3407" s="231"/>
      <c r="N3407" s="231"/>
      <c r="O3407" s="231"/>
      <c r="P3407" s="231"/>
      <c r="Q3407" s="231"/>
      <c r="R3407" s="231"/>
      <c r="S3407" s="231"/>
      <c r="T3407" s="231"/>
      <c r="U3407" s="231"/>
      <c r="V3407" s="231"/>
      <c r="W3407" s="231"/>
      <c r="X3407" s="231"/>
      <c r="Y3407" s="231"/>
      <c r="Z3407" s="231"/>
      <c r="AA3407" s="231"/>
      <c r="AB3407" s="22">
        <f t="shared" si="1020"/>
        <v>0</v>
      </c>
      <c r="AC3407" s="23">
        <v>0</v>
      </c>
      <c r="AD3407" s="35"/>
      <c r="AE3407" s="35"/>
      <c r="AF3407" s="35"/>
      <c r="AG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  <c r="AX3407" s="35"/>
      <c r="AY3407" s="35"/>
      <c r="AZ3407" s="35"/>
      <c r="BA3407" s="35"/>
      <c r="BB3407" s="22">
        <f t="shared" si="1014"/>
        <v>0</v>
      </c>
      <c r="BC3407" s="23">
        <v>1</v>
      </c>
      <c r="BD3407" s="130">
        <f t="shared" si="1015"/>
        <v>0</v>
      </c>
      <c r="BE3407" s="130">
        <f t="shared" si="1016"/>
        <v>1</v>
      </c>
      <c r="BF3407" s="195">
        <f t="shared" si="1017"/>
        <v>0</v>
      </c>
      <c r="BG3407" s="373">
        <f t="shared" si="1019"/>
        <v>1</v>
      </c>
    </row>
    <row r="3408" spans="1:61" s="46" customFormat="1" ht="15.95" customHeight="1">
      <c r="A3408" s="176">
        <v>18</v>
      </c>
      <c r="B3408" s="31" t="s">
        <v>750</v>
      </c>
      <c r="C3408" s="32" t="s">
        <v>751</v>
      </c>
      <c r="D3408" s="255"/>
      <c r="E3408" s="255"/>
      <c r="F3408" s="255"/>
      <c r="G3408" s="255"/>
      <c r="H3408" s="255"/>
      <c r="I3408" s="255"/>
      <c r="J3408" s="255"/>
      <c r="K3408" s="255"/>
      <c r="L3408" s="255"/>
      <c r="M3408" s="255"/>
      <c r="N3408" s="255"/>
      <c r="O3408" s="255"/>
      <c r="P3408" s="255"/>
      <c r="Q3408" s="255"/>
      <c r="R3408" s="255"/>
      <c r="S3408" s="255"/>
      <c r="T3408" s="255"/>
      <c r="U3408" s="255"/>
      <c r="V3408" s="255"/>
      <c r="W3408" s="255"/>
      <c r="X3408" s="255"/>
      <c r="Y3408" s="255"/>
      <c r="Z3408" s="255"/>
      <c r="AA3408" s="255"/>
      <c r="AB3408" s="22">
        <f t="shared" si="1020"/>
        <v>0</v>
      </c>
      <c r="AC3408" s="23">
        <v>0</v>
      </c>
      <c r="AD3408" s="35"/>
      <c r="AE3408" s="35"/>
      <c r="AF3408" s="35"/>
      <c r="AG3408" s="35"/>
      <c r="AH3408" s="35">
        <v>20</v>
      </c>
      <c r="AI3408" s="35"/>
      <c r="AJ3408" s="35"/>
      <c r="AK3408" s="35"/>
      <c r="AL3408" s="35">
        <f>43+22</f>
        <v>65</v>
      </c>
      <c r="AM3408" s="35"/>
      <c r="AN3408" s="35"/>
      <c r="AO3408" s="35"/>
      <c r="AP3408" s="35">
        <f>47+47</f>
        <v>94</v>
      </c>
      <c r="AQ3408" s="35"/>
      <c r="AR3408" s="35"/>
      <c r="AS3408" s="35"/>
      <c r="AT3408" s="35"/>
      <c r="AU3408" s="35"/>
      <c r="AV3408" s="35"/>
      <c r="AW3408" s="35"/>
      <c r="AX3408" s="35"/>
      <c r="AY3408" s="35"/>
      <c r="AZ3408" s="35"/>
      <c r="BA3408" s="35"/>
      <c r="BB3408" s="22">
        <f t="shared" si="1014"/>
        <v>179</v>
      </c>
      <c r="BC3408" s="23">
        <v>878</v>
      </c>
      <c r="BD3408" s="130">
        <f t="shared" si="1015"/>
        <v>179</v>
      </c>
      <c r="BE3408" s="130">
        <f t="shared" si="1016"/>
        <v>878</v>
      </c>
      <c r="BF3408" s="195">
        <f t="shared" si="1017"/>
        <v>20.387243735763096</v>
      </c>
      <c r="BG3408" s="373">
        <f t="shared" si="1019"/>
        <v>699</v>
      </c>
    </row>
    <row r="3409" spans="1:59" s="46" customFormat="1" ht="15.95" customHeight="1">
      <c r="A3409" s="176">
        <v>19</v>
      </c>
      <c r="B3409" s="31" t="s">
        <v>930</v>
      </c>
      <c r="C3409" s="34" t="s">
        <v>931</v>
      </c>
      <c r="D3409" s="231"/>
      <c r="E3409" s="231"/>
      <c r="F3409" s="231"/>
      <c r="G3409" s="231"/>
      <c r="H3409" s="231"/>
      <c r="I3409" s="231"/>
      <c r="J3409" s="231"/>
      <c r="K3409" s="231"/>
      <c r="L3409" s="231"/>
      <c r="M3409" s="231"/>
      <c r="N3409" s="231"/>
      <c r="O3409" s="231"/>
      <c r="P3409" s="231"/>
      <c r="Q3409" s="231"/>
      <c r="R3409" s="231"/>
      <c r="S3409" s="231"/>
      <c r="T3409" s="231"/>
      <c r="U3409" s="231"/>
      <c r="V3409" s="231"/>
      <c r="W3409" s="231"/>
      <c r="X3409" s="231"/>
      <c r="Y3409" s="231"/>
      <c r="Z3409" s="231"/>
      <c r="AA3409" s="231"/>
      <c r="AB3409" s="22">
        <f t="shared" si="1020"/>
        <v>0</v>
      </c>
      <c r="AC3409" s="23">
        <v>0</v>
      </c>
      <c r="AD3409" s="35"/>
      <c r="AE3409" s="35"/>
      <c r="AF3409" s="35"/>
      <c r="AG3409" s="35"/>
      <c r="AH3409" s="35"/>
      <c r="AI3409" s="35"/>
      <c r="AJ3409" s="35"/>
      <c r="AK3409" s="35"/>
      <c r="AL3409" s="35">
        <v>5</v>
      </c>
      <c r="AM3409" s="35"/>
      <c r="AN3409" s="35"/>
      <c r="AO3409" s="35"/>
      <c r="AP3409" s="35">
        <v>1</v>
      </c>
      <c r="AQ3409" s="35"/>
      <c r="AR3409" s="35"/>
      <c r="AS3409" s="35"/>
      <c r="AT3409" s="35"/>
      <c r="AU3409" s="35"/>
      <c r="AV3409" s="35"/>
      <c r="AW3409" s="35"/>
      <c r="AX3409" s="35"/>
      <c r="AY3409" s="35"/>
      <c r="AZ3409" s="35"/>
      <c r="BA3409" s="35"/>
      <c r="BB3409" s="22">
        <f t="shared" si="1014"/>
        <v>6</v>
      </c>
      <c r="BC3409" s="23">
        <v>48</v>
      </c>
      <c r="BD3409" s="130">
        <f t="shared" si="1015"/>
        <v>6</v>
      </c>
      <c r="BE3409" s="130">
        <f t="shared" si="1016"/>
        <v>48</v>
      </c>
      <c r="BF3409" s="195">
        <f t="shared" si="1017"/>
        <v>12.5</v>
      </c>
      <c r="BG3409" s="373">
        <f t="shared" si="1019"/>
        <v>42</v>
      </c>
    </row>
    <row r="3410" spans="1:59" s="46" customFormat="1" ht="15.95" customHeight="1">
      <c r="A3410" s="176">
        <v>20</v>
      </c>
      <c r="B3410" s="31" t="s">
        <v>752</v>
      </c>
      <c r="C3410" s="32" t="s">
        <v>753</v>
      </c>
      <c r="D3410" s="231"/>
      <c r="E3410" s="231"/>
      <c r="F3410" s="231"/>
      <c r="G3410" s="231"/>
      <c r="H3410" s="231"/>
      <c r="I3410" s="231"/>
      <c r="J3410" s="231"/>
      <c r="K3410" s="231"/>
      <c r="L3410" s="231"/>
      <c r="M3410" s="231"/>
      <c r="N3410" s="231"/>
      <c r="O3410" s="231"/>
      <c r="P3410" s="231"/>
      <c r="Q3410" s="231"/>
      <c r="R3410" s="231"/>
      <c r="S3410" s="231"/>
      <c r="T3410" s="231"/>
      <c r="U3410" s="231"/>
      <c r="V3410" s="231"/>
      <c r="W3410" s="231"/>
      <c r="X3410" s="231"/>
      <c r="Y3410" s="231"/>
      <c r="Z3410" s="231"/>
      <c r="AA3410" s="231"/>
      <c r="AB3410" s="22">
        <f t="shared" si="1020"/>
        <v>0</v>
      </c>
      <c r="AC3410" s="23">
        <v>0</v>
      </c>
      <c r="AD3410" s="35"/>
      <c r="AE3410" s="35"/>
      <c r="AF3410" s="35"/>
      <c r="AG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  <c r="AX3410" s="35"/>
      <c r="AY3410" s="35"/>
      <c r="AZ3410" s="35"/>
      <c r="BA3410" s="35"/>
      <c r="BB3410" s="22">
        <f t="shared" si="1014"/>
        <v>0</v>
      </c>
      <c r="BC3410" s="23">
        <v>22</v>
      </c>
      <c r="BD3410" s="130">
        <f t="shared" si="1015"/>
        <v>0</v>
      </c>
      <c r="BE3410" s="130">
        <f t="shared" si="1016"/>
        <v>22</v>
      </c>
      <c r="BF3410" s="195">
        <f t="shared" si="1017"/>
        <v>0</v>
      </c>
      <c r="BG3410" s="373">
        <f t="shared" si="1019"/>
        <v>22</v>
      </c>
    </row>
    <row r="3411" spans="1:59" s="46" customFormat="1" ht="15.95" customHeight="1">
      <c r="A3411" s="176">
        <v>21</v>
      </c>
      <c r="B3411" s="37" t="s">
        <v>754</v>
      </c>
      <c r="C3411" s="38" t="s">
        <v>889</v>
      </c>
      <c r="D3411" s="231"/>
      <c r="E3411" s="231"/>
      <c r="F3411" s="231"/>
      <c r="G3411" s="231"/>
      <c r="H3411" s="231"/>
      <c r="I3411" s="231"/>
      <c r="J3411" s="231"/>
      <c r="K3411" s="231"/>
      <c r="L3411" s="231"/>
      <c r="M3411" s="231"/>
      <c r="N3411" s="231"/>
      <c r="O3411" s="231"/>
      <c r="P3411" s="231"/>
      <c r="Q3411" s="231"/>
      <c r="R3411" s="231"/>
      <c r="S3411" s="231"/>
      <c r="T3411" s="231"/>
      <c r="U3411" s="231"/>
      <c r="V3411" s="231"/>
      <c r="W3411" s="231"/>
      <c r="X3411" s="231"/>
      <c r="Y3411" s="231"/>
      <c r="Z3411" s="231"/>
      <c r="AA3411" s="231"/>
      <c r="AB3411" s="22">
        <f t="shared" si="1020"/>
        <v>0</v>
      </c>
      <c r="AC3411" s="23">
        <v>0</v>
      </c>
      <c r="AD3411" s="35"/>
      <c r="AE3411" s="35"/>
      <c r="AF3411" s="35"/>
      <c r="AG3411" s="35"/>
      <c r="AH3411" s="35"/>
      <c r="AI3411" s="35"/>
      <c r="AJ3411" s="35"/>
      <c r="AK3411" s="35"/>
      <c r="AL3411" s="35"/>
      <c r="AM3411" s="35"/>
      <c r="AN3411" s="35"/>
      <c r="AO3411" s="35"/>
      <c r="AP3411" s="35">
        <v>2</v>
      </c>
      <c r="AQ3411" s="35"/>
      <c r="AR3411" s="35"/>
      <c r="AS3411" s="35"/>
      <c r="AT3411" s="35"/>
      <c r="AU3411" s="35"/>
      <c r="AV3411" s="35"/>
      <c r="AW3411" s="35"/>
      <c r="AX3411" s="35"/>
      <c r="AY3411" s="35"/>
      <c r="AZ3411" s="35"/>
      <c r="BA3411" s="35"/>
      <c r="BB3411" s="22">
        <f t="shared" si="1014"/>
        <v>2</v>
      </c>
      <c r="BC3411" s="23">
        <v>27</v>
      </c>
      <c r="BD3411" s="130">
        <f t="shared" si="1015"/>
        <v>2</v>
      </c>
      <c r="BE3411" s="130">
        <f t="shared" si="1016"/>
        <v>27</v>
      </c>
      <c r="BF3411" s="195">
        <f t="shared" si="1017"/>
        <v>7.4074074074074066</v>
      </c>
      <c r="BG3411" s="373">
        <f t="shared" si="1019"/>
        <v>25</v>
      </c>
    </row>
    <row r="3412" spans="1:59" s="46" customFormat="1" ht="15.95" customHeight="1">
      <c r="A3412" s="176">
        <v>22</v>
      </c>
      <c r="B3412" s="31" t="s">
        <v>756</v>
      </c>
      <c r="C3412" s="32" t="s">
        <v>757</v>
      </c>
      <c r="D3412" s="231">
        <v>4</v>
      </c>
      <c r="E3412" s="231"/>
      <c r="F3412" s="231"/>
      <c r="G3412" s="231"/>
      <c r="H3412" s="231">
        <f>41+2</f>
        <v>43</v>
      </c>
      <c r="I3412" s="231"/>
      <c r="J3412" s="231"/>
      <c r="K3412" s="231"/>
      <c r="L3412" s="231">
        <v>177</v>
      </c>
      <c r="M3412" s="231"/>
      <c r="N3412" s="231"/>
      <c r="O3412" s="231"/>
      <c r="P3412" s="231">
        <v>188</v>
      </c>
      <c r="Q3412" s="231"/>
      <c r="R3412" s="231"/>
      <c r="S3412" s="231"/>
      <c r="T3412" s="231"/>
      <c r="U3412" s="231"/>
      <c r="V3412" s="231"/>
      <c r="W3412" s="231"/>
      <c r="X3412" s="231"/>
      <c r="Y3412" s="231"/>
      <c r="Z3412" s="231"/>
      <c r="AA3412" s="231"/>
      <c r="AB3412" s="22">
        <f t="shared" si="1020"/>
        <v>412</v>
      </c>
      <c r="AC3412" s="23">
        <v>0</v>
      </c>
      <c r="AD3412" s="35">
        <v>32</v>
      </c>
      <c r="AE3412" s="35"/>
      <c r="AF3412" s="35"/>
      <c r="AG3412" s="35"/>
      <c r="AH3412" s="35">
        <f>116+15</f>
        <v>131</v>
      </c>
      <c r="AI3412" s="35"/>
      <c r="AJ3412" s="35"/>
      <c r="AK3412" s="35"/>
      <c r="AL3412" s="35">
        <f>630+98</f>
        <v>728</v>
      </c>
      <c r="AM3412" s="35"/>
      <c r="AN3412" s="35"/>
      <c r="AO3412" s="35"/>
      <c r="AP3412" s="35">
        <f>840+168</f>
        <v>1008</v>
      </c>
      <c r="AQ3412" s="35"/>
      <c r="AR3412" s="35"/>
      <c r="AS3412" s="35"/>
      <c r="AT3412" s="35"/>
      <c r="AU3412" s="35"/>
      <c r="AV3412" s="35"/>
      <c r="AW3412" s="35"/>
      <c r="AX3412" s="35"/>
      <c r="AY3412" s="35"/>
      <c r="AZ3412" s="35"/>
      <c r="BA3412" s="35"/>
      <c r="BB3412" s="22">
        <f t="shared" si="1014"/>
        <v>1899</v>
      </c>
      <c r="BC3412" s="23">
        <v>4558</v>
      </c>
      <c r="BD3412" s="130">
        <f t="shared" si="1015"/>
        <v>2311</v>
      </c>
      <c r="BE3412" s="130">
        <f t="shared" si="1016"/>
        <v>4558</v>
      </c>
      <c r="BF3412" s="195">
        <f t="shared" si="1017"/>
        <v>50.702062308029838</v>
      </c>
      <c r="BG3412" s="373">
        <f t="shared" si="1019"/>
        <v>2247</v>
      </c>
    </row>
    <row r="3413" spans="1:59" s="46" customFormat="1" ht="15.95" customHeight="1">
      <c r="A3413" s="176">
        <v>23</v>
      </c>
      <c r="B3413" s="31" t="s">
        <v>758</v>
      </c>
      <c r="C3413" s="32" t="s">
        <v>759</v>
      </c>
      <c r="D3413" s="231"/>
      <c r="E3413" s="231"/>
      <c r="F3413" s="231"/>
      <c r="G3413" s="231"/>
      <c r="H3413" s="231"/>
      <c r="I3413" s="231"/>
      <c r="J3413" s="231"/>
      <c r="K3413" s="231"/>
      <c r="L3413" s="231"/>
      <c r="M3413" s="231"/>
      <c r="N3413" s="231"/>
      <c r="O3413" s="231"/>
      <c r="P3413" s="231"/>
      <c r="Q3413" s="231"/>
      <c r="R3413" s="231"/>
      <c r="S3413" s="231"/>
      <c r="T3413" s="231"/>
      <c r="U3413" s="231"/>
      <c r="V3413" s="231"/>
      <c r="W3413" s="231"/>
      <c r="X3413" s="231"/>
      <c r="Y3413" s="231"/>
      <c r="Z3413" s="231"/>
      <c r="AA3413" s="231"/>
      <c r="AB3413" s="22">
        <f t="shared" si="1020"/>
        <v>0</v>
      </c>
      <c r="AC3413" s="23">
        <v>0</v>
      </c>
      <c r="AD3413" s="35"/>
      <c r="AE3413" s="35"/>
      <c r="AF3413" s="35"/>
      <c r="AG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  <c r="AX3413" s="35"/>
      <c r="AY3413" s="35"/>
      <c r="AZ3413" s="35"/>
      <c r="BA3413" s="35"/>
      <c r="BB3413" s="22">
        <f t="shared" si="1014"/>
        <v>0</v>
      </c>
      <c r="BC3413" s="23">
        <v>2</v>
      </c>
      <c r="BD3413" s="130">
        <f t="shared" si="1015"/>
        <v>0</v>
      </c>
      <c r="BE3413" s="130">
        <f t="shared" si="1016"/>
        <v>2</v>
      </c>
      <c r="BF3413" s="195">
        <f t="shared" si="1017"/>
        <v>0</v>
      </c>
      <c r="BG3413" s="373">
        <f t="shared" si="1019"/>
        <v>2</v>
      </c>
    </row>
    <row r="3414" spans="1:59" s="46" customFormat="1" ht="15.95" customHeight="1">
      <c r="A3414" s="176">
        <v>24</v>
      </c>
      <c r="B3414" s="31" t="s">
        <v>760</v>
      </c>
      <c r="C3414" s="32" t="s">
        <v>891</v>
      </c>
      <c r="D3414" s="231"/>
      <c r="E3414" s="231"/>
      <c r="F3414" s="231"/>
      <c r="G3414" s="231"/>
      <c r="H3414" s="231"/>
      <c r="I3414" s="231"/>
      <c r="J3414" s="231"/>
      <c r="K3414" s="231"/>
      <c r="L3414" s="231"/>
      <c r="M3414" s="231"/>
      <c r="N3414" s="231"/>
      <c r="O3414" s="231"/>
      <c r="P3414" s="231"/>
      <c r="Q3414" s="231"/>
      <c r="R3414" s="231"/>
      <c r="S3414" s="231"/>
      <c r="T3414" s="231"/>
      <c r="U3414" s="231"/>
      <c r="V3414" s="231"/>
      <c r="W3414" s="231"/>
      <c r="X3414" s="231"/>
      <c r="Y3414" s="231"/>
      <c r="Z3414" s="231"/>
      <c r="AA3414" s="231"/>
      <c r="AB3414" s="22">
        <f t="shared" si="1020"/>
        <v>0</v>
      </c>
      <c r="AC3414" s="23">
        <v>0</v>
      </c>
      <c r="AD3414" s="35"/>
      <c r="AE3414" s="35"/>
      <c r="AF3414" s="35"/>
      <c r="AG3414" s="35"/>
      <c r="AH3414" s="35"/>
      <c r="AI3414" s="35"/>
      <c r="AJ3414" s="35"/>
      <c r="AK3414" s="35"/>
      <c r="AL3414" s="35">
        <v>1</v>
      </c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  <c r="AX3414" s="35"/>
      <c r="AY3414" s="35"/>
      <c r="AZ3414" s="35"/>
      <c r="BA3414" s="35"/>
      <c r="BB3414" s="22">
        <f t="shared" si="1014"/>
        <v>1</v>
      </c>
      <c r="BC3414" s="23">
        <v>1</v>
      </c>
      <c r="BD3414" s="130">
        <f t="shared" si="1015"/>
        <v>1</v>
      </c>
      <c r="BE3414" s="130">
        <f t="shared" si="1016"/>
        <v>1</v>
      </c>
      <c r="BF3414" s="195">
        <f t="shared" si="1017"/>
        <v>100</v>
      </c>
      <c r="BG3414" s="373">
        <f t="shared" si="1019"/>
        <v>0</v>
      </c>
    </row>
    <row r="3415" spans="1:59" s="46" customFormat="1" ht="15.95" customHeight="1">
      <c r="A3415" s="176">
        <v>25</v>
      </c>
      <c r="B3415" s="31" t="s">
        <v>762</v>
      </c>
      <c r="C3415" s="32" t="s">
        <v>3351</v>
      </c>
      <c r="D3415" s="231"/>
      <c r="E3415" s="231"/>
      <c r="F3415" s="231"/>
      <c r="G3415" s="231"/>
      <c r="H3415" s="231"/>
      <c r="I3415" s="231"/>
      <c r="J3415" s="231"/>
      <c r="K3415" s="231"/>
      <c r="L3415" s="231"/>
      <c r="M3415" s="231"/>
      <c r="N3415" s="231"/>
      <c r="O3415" s="231"/>
      <c r="P3415" s="231"/>
      <c r="Q3415" s="231"/>
      <c r="R3415" s="231"/>
      <c r="S3415" s="231"/>
      <c r="T3415" s="231"/>
      <c r="U3415" s="231"/>
      <c r="V3415" s="231"/>
      <c r="W3415" s="231"/>
      <c r="X3415" s="231"/>
      <c r="Y3415" s="231"/>
      <c r="Z3415" s="231"/>
      <c r="AA3415" s="231"/>
      <c r="AB3415" s="22">
        <f t="shared" si="1020"/>
        <v>0</v>
      </c>
      <c r="AC3415" s="23">
        <v>0</v>
      </c>
      <c r="AD3415" s="35"/>
      <c r="AE3415" s="35"/>
      <c r="AF3415" s="35"/>
      <c r="AG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  <c r="AX3415" s="35"/>
      <c r="AY3415" s="35"/>
      <c r="AZ3415" s="35"/>
      <c r="BA3415" s="35"/>
      <c r="BB3415" s="22">
        <f t="shared" si="1014"/>
        <v>0</v>
      </c>
      <c r="BC3415" s="23">
        <v>1</v>
      </c>
      <c r="BD3415" s="130">
        <f t="shared" si="1015"/>
        <v>0</v>
      </c>
      <c r="BE3415" s="130">
        <f t="shared" si="1016"/>
        <v>1</v>
      </c>
      <c r="BF3415" s="195">
        <f t="shared" si="1017"/>
        <v>0</v>
      </c>
      <c r="BG3415" s="373">
        <f t="shared" si="1019"/>
        <v>1</v>
      </c>
    </row>
    <row r="3416" spans="1:59" s="46" customFormat="1" ht="15.95" customHeight="1">
      <c r="A3416" s="176">
        <v>26</v>
      </c>
      <c r="B3416" s="31" t="s">
        <v>768</v>
      </c>
      <c r="C3416" s="32" t="s">
        <v>1624</v>
      </c>
      <c r="D3416" s="231"/>
      <c r="E3416" s="231"/>
      <c r="F3416" s="231"/>
      <c r="G3416" s="231"/>
      <c r="H3416" s="231"/>
      <c r="I3416" s="231"/>
      <c r="J3416" s="231"/>
      <c r="K3416" s="231"/>
      <c r="L3416" s="231"/>
      <c r="M3416" s="231"/>
      <c r="N3416" s="231"/>
      <c r="O3416" s="231"/>
      <c r="P3416" s="231"/>
      <c r="Q3416" s="231"/>
      <c r="R3416" s="231"/>
      <c r="S3416" s="231"/>
      <c r="T3416" s="231"/>
      <c r="U3416" s="231"/>
      <c r="V3416" s="231"/>
      <c r="W3416" s="231"/>
      <c r="X3416" s="231"/>
      <c r="Y3416" s="231"/>
      <c r="Z3416" s="231"/>
      <c r="AA3416" s="231"/>
      <c r="AB3416" s="22">
        <f t="shared" si="1020"/>
        <v>0</v>
      </c>
      <c r="AC3416" s="23">
        <v>0</v>
      </c>
      <c r="AD3416" s="35"/>
      <c r="AE3416" s="35"/>
      <c r="AF3416" s="35"/>
      <c r="AG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  <c r="AX3416" s="35"/>
      <c r="AY3416" s="35"/>
      <c r="AZ3416" s="35"/>
      <c r="BA3416" s="35"/>
      <c r="BB3416" s="22">
        <f t="shared" si="1014"/>
        <v>0</v>
      </c>
      <c r="BC3416" s="23">
        <v>3</v>
      </c>
      <c r="BD3416" s="130">
        <f t="shared" si="1015"/>
        <v>0</v>
      </c>
      <c r="BE3416" s="130">
        <f t="shared" si="1016"/>
        <v>3</v>
      </c>
      <c r="BF3416" s="195">
        <f t="shared" si="1017"/>
        <v>0</v>
      </c>
      <c r="BG3416" s="373">
        <f t="shared" si="1019"/>
        <v>3</v>
      </c>
    </row>
    <row r="3417" spans="1:59" s="46" customFormat="1" ht="15.95" customHeight="1">
      <c r="A3417" s="176">
        <v>27</v>
      </c>
      <c r="B3417" s="31" t="s">
        <v>770</v>
      </c>
      <c r="C3417" s="43" t="s">
        <v>771</v>
      </c>
      <c r="D3417" s="389"/>
      <c r="E3417" s="389"/>
      <c r="F3417" s="389"/>
      <c r="G3417" s="389"/>
      <c r="H3417" s="389"/>
      <c r="I3417" s="389"/>
      <c r="J3417" s="389"/>
      <c r="K3417" s="389"/>
      <c r="L3417" s="389"/>
      <c r="M3417" s="389"/>
      <c r="N3417" s="389"/>
      <c r="O3417" s="389"/>
      <c r="P3417" s="389"/>
      <c r="Q3417" s="389"/>
      <c r="R3417" s="389"/>
      <c r="S3417" s="389"/>
      <c r="T3417" s="389"/>
      <c r="U3417" s="389"/>
      <c r="V3417" s="389"/>
      <c r="W3417" s="389"/>
      <c r="X3417" s="389"/>
      <c r="Y3417" s="389"/>
      <c r="Z3417" s="389"/>
      <c r="AA3417" s="389"/>
      <c r="AB3417" s="22">
        <f t="shared" si="1020"/>
        <v>0</v>
      </c>
      <c r="AC3417" s="23">
        <v>0</v>
      </c>
      <c r="AD3417" s="35"/>
      <c r="AE3417" s="35"/>
      <c r="AF3417" s="35"/>
      <c r="AG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  <c r="AX3417" s="35"/>
      <c r="AY3417" s="35"/>
      <c r="AZ3417" s="35"/>
      <c r="BA3417" s="35"/>
      <c r="BB3417" s="22">
        <f t="shared" si="1014"/>
        <v>0</v>
      </c>
      <c r="BC3417" s="23">
        <v>8</v>
      </c>
      <c r="BD3417" s="130">
        <f t="shared" si="1015"/>
        <v>0</v>
      </c>
      <c r="BE3417" s="130">
        <f t="shared" si="1016"/>
        <v>8</v>
      </c>
      <c r="BF3417" s="195">
        <f t="shared" si="1017"/>
        <v>0</v>
      </c>
      <c r="BG3417" s="373">
        <f t="shared" si="1019"/>
        <v>8</v>
      </c>
    </row>
    <row r="3418" spans="1:59" s="46" customFormat="1" ht="15.95" customHeight="1">
      <c r="A3418" s="176">
        <v>28</v>
      </c>
      <c r="B3418" s="31" t="s">
        <v>772</v>
      </c>
      <c r="C3418" s="32" t="s">
        <v>773</v>
      </c>
      <c r="D3418" s="231"/>
      <c r="E3418" s="231"/>
      <c r="F3418" s="231"/>
      <c r="G3418" s="231"/>
      <c r="H3418" s="231"/>
      <c r="I3418" s="231"/>
      <c r="J3418" s="231"/>
      <c r="K3418" s="231"/>
      <c r="L3418" s="231">
        <v>1</v>
      </c>
      <c r="M3418" s="231"/>
      <c r="N3418" s="231"/>
      <c r="O3418" s="231"/>
      <c r="P3418" s="231"/>
      <c r="Q3418" s="231"/>
      <c r="R3418" s="231"/>
      <c r="S3418" s="231"/>
      <c r="T3418" s="231"/>
      <c r="U3418" s="231"/>
      <c r="V3418" s="231"/>
      <c r="W3418" s="231"/>
      <c r="X3418" s="231"/>
      <c r="Y3418" s="231"/>
      <c r="Z3418" s="231"/>
      <c r="AA3418" s="231"/>
      <c r="AB3418" s="22">
        <f t="shared" si="1020"/>
        <v>1</v>
      </c>
      <c r="AC3418" s="23">
        <v>0</v>
      </c>
      <c r="AD3418" s="35"/>
      <c r="AE3418" s="35"/>
      <c r="AF3418" s="35"/>
      <c r="AG3418" s="35"/>
      <c r="AH3418" s="35">
        <v>14</v>
      </c>
      <c r="AI3418" s="35"/>
      <c r="AJ3418" s="35"/>
      <c r="AK3418" s="35"/>
      <c r="AL3418" s="35">
        <f>75+1</f>
        <v>76</v>
      </c>
      <c r="AM3418" s="35"/>
      <c r="AN3418" s="35"/>
      <c r="AO3418" s="35"/>
      <c r="AP3418" s="35">
        <v>11</v>
      </c>
      <c r="AQ3418" s="35"/>
      <c r="AR3418" s="35"/>
      <c r="AS3418" s="35"/>
      <c r="AT3418" s="35"/>
      <c r="AU3418" s="35"/>
      <c r="AV3418" s="35"/>
      <c r="AW3418" s="35"/>
      <c r="AX3418" s="35"/>
      <c r="AY3418" s="35"/>
      <c r="AZ3418" s="35"/>
      <c r="BA3418" s="35"/>
      <c r="BB3418" s="22">
        <f t="shared" si="1014"/>
        <v>101</v>
      </c>
      <c r="BC3418" s="23">
        <v>304</v>
      </c>
      <c r="BD3418" s="130">
        <f t="shared" si="1015"/>
        <v>102</v>
      </c>
      <c r="BE3418" s="130">
        <f t="shared" si="1016"/>
        <v>304</v>
      </c>
      <c r="BF3418" s="195">
        <f t="shared" si="1017"/>
        <v>33.55263157894737</v>
      </c>
      <c r="BG3418" s="373">
        <f t="shared" si="1019"/>
        <v>202</v>
      </c>
    </row>
    <row r="3419" spans="1:59" s="46" customFormat="1" ht="15.95" customHeight="1">
      <c r="A3419" s="176">
        <v>29</v>
      </c>
      <c r="B3419" s="31" t="s">
        <v>892</v>
      </c>
      <c r="C3419" s="34" t="s">
        <v>1525</v>
      </c>
      <c r="D3419" s="339"/>
      <c r="E3419" s="339"/>
      <c r="F3419" s="339"/>
      <c r="G3419" s="339"/>
      <c r="H3419" s="339"/>
      <c r="I3419" s="339"/>
      <c r="J3419" s="339"/>
      <c r="K3419" s="339"/>
      <c r="L3419" s="339"/>
      <c r="M3419" s="339"/>
      <c r="N3419" s="339"/>
      <c r="O3419" s="339"/>
      <c r="P3419" s="339"/>
      <c r="Q3419" s="339"/>
      <c r="R3419" s="339"/>
      <c r="S3419" s="339"/>
      <c r="T3419" s="339"/>
      <c r="U3419" s="339"/>
      <c r="V3419" s="339"/>
      <c r="W3419" s="339"/>
      <c r="X3419" s="339"/>
      <c r="Y3419" s="339"/>
      <c r="Z3419" s="339"/>
      <c r="AA3419" s="339"/>
      <c r="AB3419" s="22">
        <f t="shared" si="1020"/>
        <v>0</v>
      </c>
      <c r="AC3419" s="23">
        <v>0</v>
      </c>
      <c r="AD3419" s="35"/>
      <c r="AE3419" s="35"/>
      <c r="AF3419" s="35"/>
      <c r="AG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  <c r="AX3419" s="35"/>
      <c r="AY3419" s="35"/>
      <c r="AZ3419" s="35"/>
      <c r="BA3419" s="35"/>
      <c r="BB3419" s="22">
        <f t="shared" si="1014"/>
        <v>0</v>
      </c>
      <c r="BC3419" s="23">
        <v>11</v>
      </c>
      <c r="BD3419" s="130">
        <f t="shared" si="1015"/>
        <v>0</v>
      </c>
      <c r="BE3419" s="130">
        <f t="shared" si="1016"/>
        <v>11</v>
      </c>
      <c r="BF3419" s="195">
        <f t="shared" si="1017"/>
        <v>0</v>
      </c>
      <c r="BG3419" s="373">
        <f t="shared" si="1019"/>
        <v>11</v>
      </c>
    </row>
    <row r="3420" spans="1:59" s="46" customFormat="1" ht="15.95" customHeight="1">
      <c r="A3420" s="176">
        <v>30</v>
      </c>
      <c r="B3420" s="31" t="s">
        <v>894</v>
      </c>
      <c r="C3420" s="32" t="s">
        <v>1625</v>
      </c>
      <c r="D3420" s="231"/>
      <c r="E3420" s="231"/>
      <c r="F3420" s="231"/>
      <c r="G3420" s="231"/>
      <c r="H3420" s="231"/>
      <c r="I3420" s="231"/>
      <c r="J3420" s="231"/>
      <c r="K3420" s="231"/>
      <c r="L3420" s="231"/>
      <c r="M3420" s="231"/>
      <c r="N3420" s="231"/>
      <c r="O3420" s="231"/>
      <c r="P3420" s="231"/>
      <c r="Q3420" s="231"/>
      <c r="R3420" s="231"/>
      <c r="S3420" s="231"/>
      <c r="T3420" s="231"/>
      <c r="U3420" s="231"/>
      <c r="V3420" s="231"/>
      <c r="W3420" s="231"/>
      <c r="X3420" s="231"/>
      <c r="Y3420" s="231"/>
      <c r="Z3420" s="231"/>
      <c r="AA3420" s="231"/>
      <c r="AB3420" s="22">
        <f t="shared" si="1020"/>
        <v>0</v>
      </c>
      <c r="AC3420" s="23">
        <v>0</v>
      </c>
      <c r="AD3420" s="35"/>
      <c r="AE3420" s="35"/>
      <c r="AF3420" s="35"/>
      <c r="AG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  <c r="AX3420" s="35"/>
      <c r="AY3420" s="35"/>
      <c r="AZ3420" s="35"/>
      <c r="BA3420" s="35"/>
      <c r="BB3420" s="22">
        <f t="shared" si="1014"/>
        <v>0</v>
      </c>
      <c r="BC3420" s="23">
        <v>1</v>
      </c>
      <c r="BD3420" s="130">
        <f t="shared" si="1015"/>
        <v>0</v>
      </c>
      <c r="BE3420" s="130">
        <f t="shared" si="1016"/>
        <v>1</v>
      </c>
      <c r="BF3420" s="195">
        <f t="shared" si="1017"/>
        <v>0</v>
      </c>
      <c r="BG3420" s="373">
        <f t="shared" si="1019"/>
        <v>1</v>
      </c>
    </row>
    <row r="3421" spans="1:59" s="46" customFormat="1" ht="15.95" customHeight="1">
      <c r="A3421" s="176">
        <v>31</v>
      </c>
      <c r="B3421" s="31" t="s">
        <v>780</v>
      </c>
      <c r="C3421" s="32" t="s">
        <v>991</v>
      </c>
      <c r="D3421" s="390"/>
      <c r="E3421" s="390"/>
      <c r="F3421" s="390"/>
      <c r="G3421" s="390"/>
      <c r="H3421" s="390"/>
      <c r="I3421" s="390"/>
      <c r="J3421" s="390"/>
      <c r="K3421" s="390"/>
      <c r="L3421" s="390"/>
      <c r="M3421" s="390"/>
      <c r="N3421" s="390"/>
      <c r="O3421" s="390"/>
      <c r="P3421" s="390"/>
      <c r="Q3421" s="390"/>
      <c r="R3421" s="390"/>
      <c r="S3421" s="390"/>
      <c r="T3421" s="390"/>
      <c r="U3421" s="390"/>
      <c r="V3421" s="390"/>
      <c r="W3421" s="390"/>
      <c r="X3421" s="390"/>
      <c r="Y3421" s="390"/>
      <c r="Z3421" s="390"/>
      <c r="AA3421" s="390"/>
      <c r="AB3421" s="22">
        <f t="shared" si="1020"/>
        <v>0</v>
      </c>
      <c r="AC3421" s="23">
        <v>1</v>
      </c>
      <c r="AD3421" s="35"/>
      <c r="AE3421" s="35"/>
      <c r="AF3421" s="35"/>
      <c r="AG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  <c r="AX3421" s="35"/>
      <c r="AY3421" s="35"/>
      <c r="AZ3421" s="35"/>
      <c r="BA3421" s="35"/>
      <c r="BB3421" s="22">
        <f t="shared" si="1014"/>
        <v>0</v>
      </c>
      <c r="BC3421" s="23">
        <v>1</v>
      </c>
      <c r="BD3421" s="130">
        <f t="shared" si="1015"/>
        <v>0</v>
      </c>
      <c r="BE3421" s="130">
        <f t="shared" si="1016"/>
        <v>2</v>
      </c>
      <c r="BF3421" s="195">
        <f t="shared" si="1017"/>
        <v>0</v>
      </c>
      <c r="BG3421" s="373">
        <f t="shared" si="1019"/>
        <v>2</v>
      </c>
    </row>
    <row r="3422" spans="1:59" s="46" customFormat="1" ht="15.95" customHeight="1">
      <c r="A3422" s="176">
        <v>32</v>
      </c>
      <c r="B3422" s="31" t="s">
        <v>2564</v>
      </c>
      <c r="C3422" s="32" t="s">
        <v>3251</v>
      </c>
      <c r="D3422" s="231"/>
      <c r="E3422" s="231"/>
      <c r="F3422" s="231"/>
      <c r="G3422" s="231"/>
      <c r="H3422" s="231"/>
      <c r="I3422" s="231"/>
      <c r="J3422" s="231"/>
      <c r="K3422" s="231"/>
      <c r="L3422" s="231"/>
      <c r="M3422" s="231"/>
      <c r="N3422" s="231"/>
      <c r="O3422" s="231"/>
      <c r="P3422" s="231"/>
      <c r="Q3422" s="231"/>
      <c r="R3422" s="231"/>
      <c r="S3422" s="231"/>
      <c r="T3422" s="231"/>
      <c r="U3422" s="231"/>
      <c r="V3422" s="231"/>
      <c r="W3422" s="231"/>
      <c r="X3422" s="231"/>
      <c r="Y3422" s="231"/>
      <c r="Z3422" s="231"/>
      <c r="AA3422" s="231"/>
      <c r="AB3422" s="22">
        <f t="shared" si="1020"/>
        <v>0</v>
      </c>
      <c r="AC3422" s="23">
        <v>0</v>
      </c>
      <c r="AD3422" s="35"/>
      <c r="AE3422" s="35"/>
      <c r="AF3422" s="35"/>
      <c r="AG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  <c r="AX3422" s="35"/>
      <c r="AY3422" s="35"/>
      <c r="AZ3422" s="35"/>
      <c r="BA3422" s="35"/>
      <c r="BB3422" s="22">
        <f t="shared" si="1014"/>
        <v>0</v>
      </c>
      <c r="BC3422" s="23">
        <v>2</v>
      </c>
      <c r="BD3422" s="130">
        <f t="shared" si="1015"/>
        <v>0</v>
      </c>
      <c r="BE3422" s="130">
        <f t="shared" si="1016"/>
        <v>2</v>
      </c>
      <c r="BF3422" s="195">
        <f t="shared" si="1017"/>
        <v>0</v>
      </c>
      <c r="BG3422" s="373">
        <f t="shared" si="1019"/>
        <v>2</v>
      </c>
    </row>
    <row r="3423" spans="1:59" s="46" customFormat="1" ht="15.95" customHeight="1">
      <c r="A3423" s="176">
        <v>33</v>
      </c>
      <c r="B3423" s="31" t="s">
        <v>783</v>
      </c>
      <c r="C3423" s="32" t="s">
        <v>1626</v>
      </c>
      <c r="D3423" s="231"/>
      <c r="E3423" s="231"/>
      <c r="F3423" s="231"/>
      <c r="G3423" s="231"/>
      <c r="H3423" s="231"/>
      <c r="I3423" s="231"/>
      <c r="J3423" s="231"/>
      <c r="K3423" s="231"/>
      <c r="L3423" s="231"/>
      <c r="M3423" s="231"/>
      <c r="N3423" s="231"/>
      <c r="O3423" s="231"/>
      <c r="P3423" s="231">
        <v>2</v>
      </c>
      <c r="Q3423" s="231"/>
      <c r="R3423" s="231"/>
      <c r="S3423" s="231"/>
      <c r="T3423" s="231"/>
      <c r="U3423" s="231"/>
      <c r="V3423" s="231"/>
      <c r="W3423" s="231"/>
      <c r="X3423" s="231"/>
      <c r="Y3423" s="231"/>
      <c r="Z3423" s="231"/>
      <c r="AA3423" s="231"/>
      <c r="AB3423" s="22">
        <f t="shared" si="1020"/>
        <v>2</v>
      </c>
      <c r="AC3423" s="23">
        <v>0</v>
      </c>
      <c r="AD3423" s="35">
        <v>1</v>
      </c>
      <c r="AE3423" s="35"/>
      <c r="AF3423" s="35"/>
      <c r="AG3423" s="35"/>
      <c r="AH3423" s="35">
        <v>9</v>
      </c>
      <c r="AI3423" s="35"/>
      <c r="AJ3423" s="35"/>
      <c r="AK3423" s="35"/>
      <c r="AL3423" s="35">
        <v>35</v>
      </c>
      <c r="AM3423" s="35"/>
      <c r="AN3423" s="35"/>
      <c r="AO3423" s="35"/>
      <c r="AP3423" s="35">
        <f>36+1</f>
        <v>37</v>
      </c>
      <c r="AQ3423" s="35"/>
      <c r="AR3423" s="35"/>
      <c r="AS3423" s="35"/>
      <c r="AT3423" s="35"/>
      <c r="AU3423" s="35"/>
      <c r="AV3423" s="35"/>
      <c r="AW3423" s="35"/>
      <c r="AX3423" s="35"/>
      <c r="AY3423" s="35"/>
      <c r="AZ3423" s="35"/>
      <c r="BA3423" s="35"/>
      <c r="BB3423" s="22">
        <f t="shared" ref="BB3423:BB3454" si="1021">SUM(AD3423:BA3423)</f>
        <v>82</v>
      </c>
      <c r="BC3423" s="23">
        <v>218</v>
      </c>
      <c r="BD3423" s="130">
        <f t="shared" ref="BD3423:BD3454" si="1022">AB3423+BB3423</f>
        <v>84</v>
      </c>
      <c r="BE3423" s="130">
        <f t="shared" ref="BE3423:BE3454" si="1023">AC3423+BC3423</f>
        <v>218</v>
      </c>
      <c r="BF3423" s="195">
        <f t="shared" ref="BF3423:BF3454" si="1024">BD3423/BE3423*100</f>
        <v>38.532110091743121</v>
      </c>
      <c r="BG3423" s="373">
        <f t="shared" si="1019"/>
        <v>134</v>
      </c>
    </row>
    <row r="3424" spans="1:59" s="46" customFormat="1" ht="15.95" customHeight="1">
      <c r="A3424" s="176">
        <v>34</v>
      </c>
      <c r="B3424" s="31" t="s">
        <v>993</v>
      </c>
      <c r="C3424" s="32" t="s">
        <v>3196</v>
      </c>
      <c r="D3424" s="231"/>
      <c r="E3424" s="231"/>
      <c r="F3424" s="231"/>
      <c r="G3424" s="231"/>
      <c r="H3424" s="231"/>
      <c r="I3424" s="231"/>
      <c r="J3424" s="231"/>
      <c r="K3424" s="231"/>
      <c r="L3424" s="231"/>
      <c r="M3424" s="231"/>
      <c r="N3424" s="231"/>
      <c r="O3424" s="231"/>
      <c r="P3424" s="231">
        <v>1</v>
      </c>
      <c r="Q3424" s="231"/>
      <c r="R3424" s="231"/>
      <c r="S3424" s="231"/>
      <c r="T3424" s="231"/>
      <c r="U3424" s="231"/>
      <c r="V3424" s="231"/>
      <c r="W3424" s="231"/>
      <c r="X3424" s="231"/>
      <c r="Y3424" s="231"/>
      <c r="Z3424" s="231"/>
      <c r="AA3424" s="231"/>
      <c r="AB3424" s="22">
        <f t="shared" si="1020"/>
        <v>1</v>
      </c>
      <c r="AC3424" s="23">
        <v>0</v>
      </c>
      <c r="AD3424" s="35"/>
      <c r="AE3424" s="35"/>
      <c r="AF3424" s="35"/>
      <c r="AG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  <c r="AX3424" s="35"/>
      <c r="AY3424" s="35"/>
      <c r="AZ3424" s="35"/>
      <c r="BA3424" s="35"/>
      <c r="BB3424" s="22">
        <f t="shared" si="1021"/>
        <v>0</v>
      </c>
      <c r="BC3424" s="23">
        <v>1</v>
      </c>
      <c r="BD3424" s="130">
        <f t="shared" si="1022"/>
        <v>1</v>
      </c>
      <c r="BE3424" s="130">
        <f t="shared" si="1023"/>
        <v>1</v>
      </c>
      <c r="BF3424" s="195">
        <f t="shared" si="1024"/>
        <v>100</v>
      </c>
      <c r="BG3424" s="373">
        <f t="shared" si="1019"/>
        <v>0</v>
      </c>
    </row>
    <row r="3425" spans="1:59" s="46" customFormat="1" ht="15.95" customHeight="1">
      <c r="A3425" s="176">
        <v>35</v>
      </c>
      <c r="B3425" s="37" t="s">
        <v>1158</v>
      </c>
      <c r="C3425" s="38" t="s">
        <v>1159</v>
      </c>
      <c r="D3425" s="332"/>
      <c r="E3425" s="332"/>
      <c r="F3425" s="332"/>
      <c r="G3425" s="332"/>
      <c r="H3425" s="332"/>
      <c r="I3425" s="332"/>
      <c r="J3425" s="332"/>
      <c r="K3425" s="332"/>
      <c r="L3425" s="332"/>
      <c r="M3425" s="332"/>
      <c r="N3425" s="332"/>
      <c r="O3425" s="332"/>
      <c r="P3425" s="332"/>
      <c r="Q3425" s="332"/>
      <c r="R3425" s="332"/>
      <c r="S3425" s="332"/>
      <c r="T3425" s="332"/>
      <c r="U3425" s="332"/>
      <c r="V3425" s="332"/>
      <c r="W3425" s="332"/>
      <c r="X3425" s="332"/>
      <c r="Y3425" s="332"/>
      <c r="Z3425" s="332"/>
      <c r="AA3425" s="332"/>
      <c r="AB3425" s="22">
        <f t="shared" si="1020"/>
        <v>0</v>
      </c>
      <c r="AC3425" s="23">
        <v>0</v>
      </c>
      <c r="AD3425" s="35"/>
      <c r="AE3425" s="35"/>
      <c r="AF3425" s="35"/>
      <c r="AG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  <c r="AX3425" s="35"/>
      <c r="AY3425" s="35"/>
      <c r="AZ3425" s="35"/>
      <c r="BA3425" s="35"/>
      <c r="BB3425" s="22">
        <f t="shared" si="1021"/>
        <v>0</v>
      </c>
      <c r="BC3425" s="23">
        <v>2</v>
      </c>
      <c r="BD3425" s="130">
        <f t="shared" si="1022"/>
        <v>0</v>
      </c>
      <c r="BE3425" s="130">
        <f t="shared" si="1023"/>
        <v>2</v>
      </c>
      <c r="BF3425" s="195">
        <f t="shared" si="1024"/>
        <v>0</v>
      </c>
      <c r="BG3425" s="373">
        <f t="shared" si="1019"/>
        <v>2</v>
      </c>
    </row>
    <row r="3426" spans="1:59" s="46" customFormat="1" ht="15.95" customHeight="1">
      <c r="A3426" s="176">
        <v>36</v>
      </c>
      <c r="B3426" s="31" t="s">
        <v>810</v>
      </c>
      <c r="C3426" s="32" t="s">
        <v>1627</v>
      </c>
      <c r="D3426" s="231"/>
      <c r="E3426" s="231"/>
      <c r="F3426" s="231"/>
      <c r="G3426" s="231"/>
      <c r="H3426" s="231"/>
      <c r="I3426" s="231"/>
      <c r="J3426" s="231"/>
      <c r="K3426" s="231"/>
      <c r="L3426" s="231"/>
      <c r="M3426" s="231"/>
      <c r="N3426" s="231"/>
      <c r="O3426" s="231"/>
      <c r="P3426" s="231"/>
      <c r="Q3426" s="231"/>
      <c r="R3426" s="231"/>
      <c r="S3426" s="231"/>
      <c r="T3426" s="231"/>
      <c r="U3426" s="231"/>
      <c r="V3426" s="231"/>
      <c r="W3426" s="231"/>
      <c r="X3426" s="231"/>
      <c r="Y3426" s="231"/>
      <c r="Z3426" s="231"/>
      <c r="AA3426" s="231"/>
      <c r="AB3426" s="22">
        <f t="shared" si="1020"/>
        <v>0</v>
      </c>
      <c r="AC3426" s="23">
        <v>0</v>
      </c>
      <c r="AD3426" s="35"/>
      <c r="AE3426" s="35"/>
      <c r="AF3426" s="35"/>
      <c r="AG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  <c r="AX3426" s="35"/>
      <c r="AY3426" s="35"/>
      <c r="AZ3426" s="35"/>
      <c r="BA3426" s="35"/>
      <c r="BB3426" s="22">
        <f t="shared" si="1021"/>
        <v>0</v>
      </c>
      <c r="BC3426" s="23">
        <v>4</v>
      </c>
      <c r="BD3426" s="130">
        <f t="shared" si="1022"/>
        <v>0</v>
      </c>
      <c r="BE3426" s="130">
        <f t="shared" si="1023"/>
        <v>4</v>
      </c>
      <c r="BF3426" s="195">
        <f t="shared" si="1024"/>
        <v>0</v>
      </c>
      <c r="BG3426" s="373">
        <f t="shared" si="1019"/>
        <v>4</v>
      </c>
    </row>
    <row r="3427" spans="1:59" s="46" customFormat="1" ht="15.95" customHeight="1">
      <c r="A3427" s="176">
        <v>37</v>
      </c>
      <c r="B3427" s="31" t="s">
        <v>812</v>
      </c>
      <c r="C3427" s="32" t="s">
        <v>813</v>
      </c>
      <c r="D3427" s="326"/>
      <c r="E3427" s="326"/>
      <c r="F3427" s="326"/>
      <c r="G3427" s="326"/>
      <c r="H3427" s="326"/>
      <c r="I3427" s="326"/>
      <c r="J3427" s="326"/>
      <c r="K3427" s="326"/>
      <c r="L3427" s="326"/>
      <c r="M3427" s="326"/>
      <c r="N3427" s="326"/>
      <c r="O3427" s="326"/>
      <c r="P3427" s="326"/>
      <c r="Q3427" s="326"/>
      <c r="R3427" s="326"/>
      <c r="S3427" s="326"/>
      <c r="T3427" s="326"/>
      <c r="U3427" s="326"/>
      <c r="V3427" s="326"/>
      <c r="W3427" s="326"/>
      <c r="X3427" s="326"/>
      <c r="Y3427" s="326"/>
      <c r="Z3427" s="326"/>
      <c r="AA3427" s="326"/>
      <c r="AB3427" s="22">
        <f t="shared" si="1020"/>
        <v>0</v>
      </c>
      <c r="AC3427" s="23">
        <v>0</v>
      </c>
      <c r="AD3427" s="35"/>
      <c r="AE3427" s="35"/>
      <c r="AF3427" s="35"/>
      <c r="AG3427" s="35"/>
      <c r="AH3427" s="35">
        <v>2</v>
      </c>
      <c r="AI3427" s="35"/>
      <c r="AJ3427" s="35"/>
      <c r="AK3427" s="35"/>
      <c r="AL3427" s="35">
        <v>1</v>
      </c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  <c r="AX3427" s="35"/>
      <c r="AY3427" s="35"/>
      <c r="AZ3427" s="35"/>
      <c r="BA3427" s="35"/>
      <c r="BB3427" s="22">
        <f t="shared" si="1021"/>
        <v>3</v>
      </c>
      <c r="BC3427" s="23">
        <v>20</v>
      </c>
      <c r="BD3427" s="130">
        <f t="shared" si="1022"/>
        <v>3</v>
      </c>
      <c r="BE3427" s="130">
        <f t="shared" si="1023"/>
        <v>20</v>
      </c>
      <c r="BF3427" s="195">
        <f t="shared" si="1024"/>
        <v>15</v>
      </c>
      <c r="BG3427" s="373">
        <f t="shared" ref="BG3427:BG3447" si="1025">BE3427-BD3427</f>
        <v>17</v>
      </c>
    </row>
    <row r="3428" spans="1:59" s="46" customFormat="1" ht="15.95" customHeight="1">
      <c r="A3428" s="176">
        <v>38</v>
      </c>
      <c r="B3428" s="31" t="s">
        <v>814</v>
      </c>
      <c r="C3428" s="34" t="s">
        <v>1558</v>
      </c>
      <c r="D3428" s="231"/>
      <c r="E3428" s="231"/>
      <c r="F3428" s="231"/>
      <c r="G3428" s="231"/>
      <c r="H3428" s="231"/>
      <c r="I3428" s="231"/>
      <c r="J3428" s="231"/>
      <c r="K3428" s="231"/>
      <c r="L3428" s="231"/>
      <c r="M3428" s="231"/>
      <c r="N3428" s="231"/>
      <c r="O3428" s="231"/>
      <c r="P3428" s="231"/>
      <c r="Q3428" s="231"/>
      <c r="R3428" s="231"/>
      <c r="S3428" s="231"/>
      <c r="T3428" s="231"/>
      <c r="U3428" s="231"/>
      <c r="V3428" s="231"/>
      <c r="W3428" s="231"/>
      <c r="X3428" s="231"/>
      <c r="Y3428" s="231"/>
      <c r="Z3428" s="231"/>
      <c r="AA3428" s="231"/>
      <c r="AB3428" s="22">
        <f t="shared" si="1020"/>
        <v>0</v>
      </c>
      <c r="AC3428" s="23">
        <v>0</v>
      </c>
      <c r="AD3428" s="35"/>
      <c r="AE3428" s="35"/>
      <c r="AF3428" s="35"/>
      <c r="AG3428" s="35"/>
      <c r="AH3428" s="35"/>
      <c r="AI3428" s="35"/>
      <c r="AJ3428" s="35"/>
      <c r="AK3428" s="35"/>
      <c r="AL3428" s="35">
        <v>1</v>
      </c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  <c r="AX3428" s="35"/>
      <c r="AY3428" s="35"/>
      <c r="AZ3428" s="35"/>
      <c r="BA3428" s="35"/>
      <c r="BB3428" s="22">
        <f t="shared" si="1021"/>
        <v>1</v>
      </c>
      <c r="BC3428" s="23">
        <v>35</v>
      </c>
      <c r="BD3428" s="130">
        <f t="shared" si="1022"/>
        <v>1</v>
      </c>
      <c r="BE3428" s="130">
        <f t="shared" si="1023"/>
        <v>35</v>
      </c>
      <c r="BF3428" s="195">
        <f t="shared" si="1024"/>
        <v>2.8571428571428572</v>
      </c>
      <c r="BG3428" s="373">
        <f t="shared" si="1025"/>
        <v>34</v>
      </c>
    </row>
    <row r="3429" spans="1:59" s="46" customFormat="1" ht="15.95" customHeight="1">
      <c r="A3429" s="176">
        <v>39</v>
      </c>
      <c r="B3429" s="31" t="s">
        <v>905</v>
      </c>
      <c r="C3429" s="34" t="s">
        <v>1628</v>
      </c>
      <c r="D3429" s="231"/>
      <c r="E3429" s="231"/>
      <c r="F3429" s="231"/>
      <c r="G3429" s="231"/>
      <c r="H3429" s="231"/>
      <c r="I3429" s="231"/>
      <c r="J3429" s="231"/>
      <c r="K3429" s="231"/>
      <c r="L3429" s="231"/>
      <c r="M3429" s="231"/>
      <c r="N3429" s="231"/>
      <c r="O3429" s="231"/>
      <c r="P3429" s="231"/>
      <c r="Q3429" s="231"/>
      <c r="R3429" s="231"/>
      <c r="S3429" s="231"/>
      <c r="T3429" s="231"/>
      <c r="U3429" s="231"/>
      <c r="V3429" s="231"/>
      <c r="W3429" s="231"/>
      <c r="X3429" s="231"/>
      <c r="Y3429" s="231"/>
      <c r="Z3429" s="231"/>
      <c r="AA3429" s="231"/>
      <c r="AB3429" s="22">
        <f t="shared" si="1020"/>
        <v>0</v>
      </c>
      <c r="AC3429" s="23">
        <v>0</v>
      </c>
      <c r="AD3429" s="35"/>
      <c r="AE3429" s="35"/>
      <c r="AF3429" s="35"/>
      <c r="AG3429" s="35"/>
      <c r="AH3429" s="35">
        <v>2</v>
      </c>
      <c r="AI3429" s="35"/>
      <c r="AJ3429" s="35"/>
      <c r="AK3429" s="35"/>
      <c r="AL3429" s="35">
        <v>1</v>
      </c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  <c r="AX3429" s="35"/>
      <c r="AY3429" s="35"/>
      <c r="AZ3429" s="35"/>
      <c r="BA3429" s="35"/>
      <c r="BB3429" s="22">
        <f t="shared" si="1021"/>
        <v>3</v>
      </c>
      <c r="BC3429" s="23">
        <v>31</v>
      </c>
      <c r="BD3429" s="130">
        <f t="shared" si="1022"/>
        <v>3</v>
      </c>
      <c r="BE3429" s="130">
        <f t="shared" si="1023"/>
        <v>31</v>
      </c>
      <c r="BF3429" s="195">
        <f t="shared" si="1024"/>
        <v>9.67741935483871</v>
      </c>
      <c r="BG3429" s="373">
        <f t="shared" si="1025"/>
        <v>28</v>
      </c>
    </row>
    <row r="3430" spans="1:59" s="46" customFormat="1" ht="15.95" customHeight="1">
      <c r="A3430" s="176">
        <v>40</v>
      </c>
      <c r="B3430" s="31" t="s">
        <v>819</v>
      </c>
      <c r="C3430" s="32" t="s">
        <v>1369</v>
      </c>
      <c r="D3430" s="231"/>
      <c r="E3430" s="231"/>
      <c r="F3430" s="231"/>
      <c r="G3430" s="231"/>
      <c r="H3430" s="231">
        <v>5</v>
      </c>
      <c r="I3430" s="231"/>
      <c r="J3430" s="231"/>
      <c r="K3430" s="231"/>
      <c r="L3430" s="231">
        <f>25+2</f>
        <v>27</v>
      </c>
      <c r="M3430" s="231"/>
      <c r="N3430" s="231"/>
      <c r="O3430" s="231"/>
      <c r="P3430" s="231">
        <v>25</v>
      </c>
      <c r="Q3430" s="231"/>
      <c r="R3430" s="231"/>
      <c r="S3430" s="231"/>
      <c r="T3430" s="231"/>
      <c r="U3430" s="231"/>
      <c r="V3430" s="231"/>
      <c r="W3430" s="231"/>
      <c r="X3430" s="231"/>
      <c r="Y3430" s="231"/>
      <c r="Z3430" s="231"/>
      <c r="AA3430" s="231"/>
      <c r="AB3430" s="22">
        <f t="shared" si="1020"/>
        <v>57</v>
      </c>
      <c r="AC3430" s="23">
        <v>1</v>
      </c>
      <c r="AD3430" s="35">
        <v>60</v>
      </c>
      <c r="AE3430" s="35"/>
      <c r="AF3430" s="35"/>
      <c r="AG3430" s="35"/>
      <c r="AH3430" s="35">
        <f>2+75+19</f>
        <v>96</v>
      </c>
      <c r="AI3430" s="35"/>
      <c r="AJ3430" s="35"/>
      <c r="AK3430" s="35"/>
      <c r="AL3430" s="35">
        <f>373+157</f>
        <v>530</v>
      </c>
      <c r="AM3430" s="35"/>
      <c r="AN3430" s="35"/>
      <c r="AO3430" s="35"/>
      <c r="AP3430" s="35">
        <f>740+242</f>
        <v>982</v>
      </c>
      <c r="AQ3430" s="35"/>
      <c r="AR3430" s="35"/>
      <c r="AS3430" s="35"/>
      <c r="AT3430" s="35"/>
      <c r="AU3430" s="35"/>
      <c r="AV3430" s="35"/>
      <c r="AW3430" s="35"/>
      <c r="AX3430" s="35"/>
      <c r="AY3430" s="35"/>
      <c r="AZ3430" s="35"/>
      <c r="BA3430" s="35"/>
      <c r="BB3430" s="22">
        <f t="shared" si="1021"/>
        <v>1668</v>
      </c>
      <c r="BC3430" s="23">
        <v>4025</v>
      </c>
      <c r="BD3430" s="130">
        <f t="shared" si="1022"/>
        <v>1725</v>
      </c>
      <c r="BE3430" s="130">
        <f t="shared" si="1023"/>
        <v>4026</v>
      </c>
      <c r="BF3430" s="195">
        <f t="shared" si="1024"/>
        <v>42.846497764530547</v>
      </c>
      <c r="BG3430" s="373">
        <f t="shared" si="1025"/>
        <v>2301</v>
      </c>
    </row>
    <row r="3431" spans="1:59" s="46" customFormat="1" ht="15.95" customHeight="1">
      <c r="A3431" s="176">
        <v>41</v>
      </c>
      <c r="B3431" s="31" t="s">
        <v>2482</v>
      </c>
      <c r="C3431" s="32" t="s">
        <v>908</v>
      </c>
      <c r="D3431" s="370"/>
      <c r="E3431" s="370"/>
      <c r="F3431" s="370"/>
      <c r="G3431" s="370"/>
      <c r="H3431" s="370"/>
      <c r="I3431" s="37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22">
        <f t="shared" si="1020"/>
        <v>0</v>
      </c>
      <c r="AC3431" s="23">
        <v>0</v>
      </c>
      <c r="AD3431" s="35"/>
      <c r="AE3431" s="35"/>
      <c r="AF3431" s="35"/>
      <c r="AG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  <c r="AX3431" s="35"/>
      <c r="AY3431" s="35"/>
      <c r="AZ3431" s="35"/>
      <c r="BA3431" s="35"/>
      <c r="BB3431" s="22">
        <f t="shared" si="1021"/>
        <v>0</v>
      </c>
      <c r="BC3431" s="23">
        <v>5</v>
      </c>
      <c r="BD3431" s="130">
        <f t="shared" si="1022"/>
        <v>0</v>
      </c>
      <c r="BE3431" s="130">
        <f t="shared" si="1023"/>
        <v>5</v>
      </c>
      <c r="BF3431" s="195">
        <f t="shared" si="1024"/>
        <v>0</v>
      </c>
      <c r="BG3431" s="373">
        <f t="shared" si="1025"/>
        <v>5</v>
      </c>
    </row>
    <row r="3432" spans="1:59" s="46" customFormat="1" ht="15.95" customHeight="1">
      <c r="A3432" s="176">
        <v>42</v>
      </c>
      <c r="B3432" s="31" t="s">
        <v>1004</v>
      </c>
      <c r="C3432" s="32" t="s">
        <v>1005</v>
      </c>
      <c r="D3432" s="370"/>
      <c r="E3432" s="370"/>
      <c r="F3432" s="370"/>
      <c r="G3432" s="370"/>
      <c r="H3432" s="370"/>
      <c r="I3432" s="37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22">
        <f t="shared" si="1020"/>
        <v>0</v>
      </c>
      <c r="AC3432" s="23">
        <v>0</v>
      </c>
      <c r="AD3432" s="35"/>
      <c r="AE3432" s="35"/>
      <c r="AF3432" s="35"/>
      <c r="AG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  <c r="AX3432" s="35"/>
      <c r="AY3432" s="35"/>
      <c r="AZ3432" s="35"/>
      <c r="BA3432" s="35"/>
      <c r="BB3432" s="22">
        <f t="shared" si="1021"/>
        <v>0</v>
      </c>
      <c r="BC3432" s="23">
        <v>1</v>
      </c>
      <c r="BD3432" s="130">
        <f t="shared" si="1022"/>
        <v>0</v>
      </c>
      <c r="BE3432" s="130">
        <f t="shared" si="1023"/>
        <v>1</v>
      </c>
      <c r="BF3432" s="195">
        <f t="shared" si="1024"/>
        <v>0</v>
      </c>
      <c r="BG3432" s="373">
        <f t="shared" si="1025"/>
        <v>1</v>
      </c>
    </row>
    <row r="3433" spans="1:59" s="46" customFormat="1" ht="15.95" customHeight="1">
      <c r="A3433" s="176">
        <v>43</v>
      </c>
      <c r="B3433" s="31" t="s">
        <v>1275</v>
      </c>
      <c r="C3433" s="32" t="s">
        <v>2182</v>
      </c>
      <c r="D3433" s="370"/>
      <c r="E3433" s="370"/>
      <c r="F3433" s="370"/>
      <c r="G3433" s="370"/>
      <c r="H3433" s="370"/>
      <c r="I3433" s="37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22">
        <f t="shared" si="1020"/>
        <v>0</v>
      </c>
      <c r="AC3433" s="23">
        <v>0</v>
      </c>
      <c r="AD3433" s="35"/>
      <c r="AE3433" s="35"/>
      <c r="AF3433" s="35"/>
      <c r="AG3433" s="35"/>
      <c r="AH3433" s="35"/>
      <c r="AI3433" s="35"/>
      <c r="AJ3433" s="35"/>
      <c r="AK3433" s="35"/>
      <c r="AL3433" s="35"/>
      <c r="AM3433" s="35"/>
      <c r="AN3433" s="35"/>
      <c r="AO3433" s="35"/>
      <c r="AP3433" s="35">
        <v>10</v>
      </c>
      <c r="AQ3433" s="35"/>
      <c r="AR3433" s="35"/>
      <c r="AS3433" s="35"/>
      <c r="AT3433" s="35"/>
      <c r="AU3433" s="35"/>
      <c r="AV3433" s="35"/>
      <c r="AW3433" s="35"/>
      <c r="AX3433" s="35"/>
      <c r="AY3433" s="35"/>
      <c r="AZ3433" s="35"/>
      <c r="BA3433" s="35"/>
      <c r="BB3433" s="22">
        <f t="shared" si="1021"/>
        <v>10</v>
      </c>
      <c r="BC3433" s="23">
        <v>33</v>
      </c>
      <c r="BD3433" s="130">
        <f t="shared" si="1022"/>
        <v>10</v>
      </c>
      <c r="BE3433" s="130">
        <f t="shared" si="1023"/>
        <v>33</v>
      </c>
      <c r="BF3433" s="195">
        <f t="shared" si="1024"/>
        <v>30.303030303030305</v>
      </c>
      <c r="BG3433" s="373">
        <f t="shared" si="1025"/>
        <v>23</v>
      </c>
    </row>
    <row r="3434" spans="1:59" s="46" customFormat="1" ht="15.95" customHeight="1">
      <c r="A3434" s="176">
        <v>44</v>
      </c>
      <c r="B3434" s="50" t="s">
        <v>821</v>
      </c>
      <c r="C3434" s="51" t="s">
        <v>1629</v>
      </c>
      <c r="D3434" s="370"/>
      <c r="E3434" s="370"/>
      <c r="F3434" s="370"/>
      <c r="G3434" s="370"/>
      <c r="H3434" s="370"/>
      <c r="I3434" s="37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22">
        <f t="shared" si="1020"/>
        <v>0</v>
      </c>
      <c r="AC3434" s="23">
        <v>0</v>
      </c>
      <c r="AD3434" s="35"/>
      <c r="AE3434" s="35"/>
      <c r="AF3434" s="35"/>
      <c r="AG3434" s="35"/>
      <c r="AH3434" s="35">
        <v>1</v>
      </c>
      <c r="AI3434" s="35"/>
      <c r="AJ3434" s="35"/>
      <c r="AK3434" s="35"/>
      <c r="AL3434" s="35">
        <v>3</v>
      </c>
      <c r="AM3434" s="35"/>
      <c r="AN3434" s="35"/>
      <c r="AO3434" s="35"/>
      <c r="AP3434" s="35"/>
      <c r="AQ3434" s="35"/>
      <c r="AR3434" s="35"/>
      <c r="AS3434" s="35"/>
      <c r="AT3434" s="35"/>
      <c r="AU3434" s="35"/>
      <c r="AV3434" s="35"/>
      <c r="AW3434" s="35"/>
      <c r="AX3434" s="35"/>
      <c r="AY3434" s="35"/>
      <c r="AZ3434" s="35"/>
      <c r="BA3434" s="35"/>
      <c r="BB3434" s="22">
        <f t="shared" si="1021"/>
        <v>4</v>
      </c>
      <c r="BC3434" s="23">
        <v>22</v>
      </c>
      <c r="BD3434" s="130">
        <f t="shared" si="1022"/>
        <v>4</v>
      </c>
      <c r="BE3434" s="130">
        <f t="shared" si="1023"/>
        <v>22</v>
      </c>
      <c r="BF3434" s="195">
        <f t="shared" si="1024"/>
        <v>18.181818181818183</v>
      </c>
      <c r="BG3434" s="373">
        <f t="shared" si="1025"/>
        <v>18</v>
      </c>
    </row>
    <row r="3435" spans="1:59" s="46" customFormat="1" ht="15.95" customHeight="1">
      <c r="A3435" s="176">
        <v>45</v>
      </c>
      <c r="B3435" s="31" t="s">
        <v>823</v>
      </c>
      <c r="C3435" s="34" t="s">
        <v>824</v>
      </c>
      <c r="D3435" s="370"/>
      <c r="E3435" s="370"/>
      <c r="F3435" s="370"/>
      <c r="G3435" s="370"/>
      <c r="H3435" s="370"/>
      <c r="I3435" s="37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22">
        <f t="shared" si="1020"/>
        <v>0</v>
      </c>
      <c r="AC3435" s="23">
        <v>0</v>
      </c>
      <c r="AD3435" s="35">
        <v>9</v>
      </c>
      <c r="AE3435" s="35"/>
      <c r="AF3435" s="35"/>
      <c r="AG3435" s="35"/>
      <c r="AH3435" s="35">
        <v>14</v>
      </c>
      <c r="AI3435" s="35"/>
      <c r="AJ3435" s="35"/>
      <c r="AK3435" s="35"/>
      <c r="AL3435" s="35">
        <v>4</v>
      </c>
      <c r="AM3435" s="35"/>
      <c r="AN3435" s="35"/>
      <c r="AO3435" s="35"/>
      <c r="AP3435" s="35">
        <v>1</v>
      </c>
      <c r="AQ3435" s="35"/>
      <c r="AR3435" s="35"/>
      <c r="AS3435" s="35"/>
      <c r="AT3435" s="35"/>
      <c r="AU3435" s="35"/>
      <c r="AV3435" s="35"/>
      <c r="AW3435" s="35"/>
      <c r="AX3435" s="35"/>
      <c r="AY3435" s="35"/>
      <c r="AZ3435" s="35"/>
      <c r="BA3435" s="35"/>
      <c r="BB3435" s="22">
        <f t="shared" si="1021"/>
        <v>28</v>
      </c>
      <c r="BC3435" s="23">
        <v>10</v>
      </c>
      <c r="BD3435" s="130">
        <f t="shared" si="1022"/>
        <v>28</v>
      </c>
      <c r="BE3435" s="130">
        <f t="shared" si="1023"/>
        <v>10</v>
      </c>
      <c r="BF3435" s="195">
        <f t="shared" si="1024"/>
        <v>280</v>
      </c>
      <c r="BG3435" s="373">
        <f t="shared" si="1025"/>
        <v>-18</v>
      </c>
    </row>
    <row r="3436" spans="1:59" s="46" customFormat="1" ht="15.95" customHeight="1">
      <c r="A3436" s="176">
        <v>46</v>
      </c>
      <c r="B3436" s="31" t="s">
        <v>825</v>
      </c>
      <c r="C3436" s="32" t="s">
        <v>1630</v>
      </c>
      <c r="D3436" s="289"/>
      <c r="E3436" s="289"/>
      <c r="F3436" s="289"/>
      <c r="G3436" s="289"/>
      <c r="H3436" s="289">
        <v>1</v>
      </c>
      <c r="I3436" s="289"/>
      <c r="J3436" s="289"/>
      <c r="K3436" s="289"/>
      <c r="L3436" s="289">
        <f>1+1</f>
        <v>2</v>
      </c>
      <c r="M3436" s="289"/>
      <c r="N3436" s="289"/>
      <c r="O3436" s="289"/>
      <c r="P3436" s="289">
        <v>5</v>
      </c>
      <c r="Q3436" s="289"/>
      <c r="R3436" s="289"/>
      <c r="S3436" s="289"/>
      <c r="T3436" s="289"/>
      <c r="U3436" s="289"/>
      <c r="V3436" s="289"/>
      <c r="W3436" s="289"/>
      <c r="X3436" s="289"/>
      <c r="Y3436" s="289"/>
      <c r="Z3436" s="289"/>
      <c r="AA3436" s="289"/>
      <c r="AB3436" s="22">
        <f t="shared" ref="AB3436:AB3467" si="1026">SUM(D3436:Z3436)</f>
        <v>8</v>
      </c>
      <c r="AC3436" s="23">
        <v>1</v>
      </c>
      <c r="AD3436" s="35">
        <v>23</v>
      </c>
      <c r="AE3436" s="35"/>
      <c r="AF3436" s="35"/>
      <c r="AG3436" s="35"/>
      <c r="AH3436" s="35">
        <f>4+2</f>
        <v>6</v>
      </c>
      <c r="AI3436" s="35"/>
      <c r="AJ3436" s="35"/>
      <c r="AK3436" s="35"/>
      <c r="AL3436" s="35">
        <f>12+7</f>
        <v>19</v>
      </c>
      <c r="AM3436" s="35"/>
      <c r="AN3436" s="35"/>
      <c r="AO3436" s="35"/>
      <c r="AP3436" s="35">
        <f>31+1</f>
        <v>32</v>
      </c>
      <c r="AQ3436" s="35"/>
      <c r="AR3436" s="35"/>
      <c r="AS3436" s="35"/>
      <c r="AT3436" s="35"/>
      <c r="AU3436" s="35"/>
      <c r="AV3436" s="35"/>
      <c r="AW3436" s="35"/>
      <c r="AX3436" s="35"/>
      <c r="AY3436" s="35"/>
      <c r="AZ3436" s="35"/>
      <c r="BA3436" s="35"/>
      <c r="BB3436" s="22">
        <f t="shared" si="1021"/>
        <v>80</v>
      </c>
      <c r="BC3436" s="23">
        <v>191</v>
      </c>
      <c r="BD3436" s="130">
        <f t="shared" si="1022"/>
        <v>88</v>
      </c>
      <c r="BE3436" s="130">
        <f t="shared" si="1023"/>
        <v>192</v>
      </c>
      <c r="BF3436" s="195">
        <f t="shared" si="1024"/>
        <v>45.833333333333329</v>
      </c>
      <c r="BG3436" s="373">
        <f t="shared" si="1025"/>
        <v>104</v>
      </c>
    </row>
    <row r="3437" spans="1:59" s="46" customFormat="1" ht="15.95" customHeight="1">
      <c r="A3437" s="176">
        <v>47</v>
      </c>
      <c r="B3437" s="31" t="s">
        <v>1451</v>
      </c>
      <c r="C3437" s="32" t="s">
        <v>1452</v>
      </c>
      <c r="D3437" s="231"/>
      <c r="E3437" s="231"/>
      <c r="F3437" s="231"/>
      <c r="G3437" s="231"/>
      <c r="H3437" s="231"/>
      <c r="I3437" s="231"/>
      <c r="J3437" s="231"/>
      <c r="K3437" s="231"/>
      <c r="L3437" s="231"/>
      <c r="M3437" s="231"/>
      <c r="N3437" s="231"/>
      <c r="O3437" s="231"/>
      <c r="P3437" s="231"/>
      <c r="Q3437" s="231"/>
      <c r="R3437" s="231"/>
      <c r="S3437" s="231"/>
      <c r="T3437" s="231"/>
      <c r="U3437" s="231"/>
      <c r="V3437" s="231"/>
      <c r="W3437" s="231"/>
      <c r="X3437" s="231"/>
      <c r="Y3437" s="231"/>
      <c r="Z3437" s="231"/>
      <c r="AA3437" s="231"/>
      <c r="AB3437" s="22">
        <f t="shared" si="1026"/>
        <v>0</v>
      </c>
      <c r="AC3437" s="23">
        <v>0</v>
      </c>
      <c r="AD3437" s="35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  <c r="AX3437" s="35"/>
      <c r="AY3437" s="35"/>
      <c r="AZ3437" s="35"/>
      <c r="BA3437" s="35"/>
      <c r="BB3437" s="22">
        <f t="shared" si="1021"/>
        <v>0</v>
      </c>
      <c r="BC3437" s="23">
        <v>6</v>
      </c>
      <c r="BD3437" s="130">
        <f t="shared" si="1022"/>
        <v>0</v>
      </c>
      <c r="BE3437" s="130">
        <f t="shared" si="1023"/>
        <v>6</v>
      </c>
      <c r="BF3437" s="195">
        <f t="shared" si="1024"/>
        <v>0</v>
      </c>
      <c r="BG3437" s="373">
        <f t="shared" si="1025"/>
        <v>6</v>
      </c>
    </row>
    <row r="3438" spans="1:59" s="46" customFormat="1" ht="15.95" customHeight="1">
      <c r="A3438" s="176">
        <v>48</v>
      </c>
      <c r="B3438" s="31" t="s">
        <v>1451</v>
      </c>
      <c r="C3438" s="32" t="s">
        <v>1452</v>
      </c>
      <c r="D3438" s="231"/>
      <c r="E3438" s="231"/>
      <c r="F3438" s="231"/>
      <c r="G3438" s="231"/>
      <c r="H3438" s="231"/>
      <c r="I3438" s="231"/>
      <c r="J3438" s="231"/>
      <c r="K3438" s="231"/>
      <c r="L3438" s="231"/>
      <c r="M3438" s="231"/>
      <c r="N3438" s="231"/>
      <c r="O3438" s="231"/>
      <c r="P3438" s="231"/>
      <c r="Q3438" s="231"/>
      <c r="R3438" s="231"/>
      <c r="S3438" s="231"/>
      <c r="T3438" s="231"/>
      <c r="U3438" s="231"/>
      <c r="V3438" s="231"/>
      <c r="W3438" s="231"/>
      <c r="X3438" s="231"/>
      <c r="Y3438" s="231"/>
      <c r="Z3438" s="231"/>
      <c r="AA3438" s="231"/>
      <c r="AB3438" s="22">
        <f t="shared" si="1026"/>
        <v>0</v>
      </c>
      <c r="AC3438" s="23">
        <v>0</v>
      </c>
      <c r="AD3438" s="35"/>
      <c r="AE3438" s="35"/>
      <c r="AF3438" s="35"/>
      <c r="AG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35"/>
      <c r="AR3438" s="35"/>
      <c r="AS3438" s="35"/>
      <c r="AT3438" s="35"/>
      <c r="AU3438" s="35"/>
      <c r="AV3438" s="35"/>
      <c r="AW3438" s="35"/>
      <c r="AX3438" s="35"/>
      <c r="AY3438" s="35"/>
      <c r="AZ3438" s="35"/>
      <c r="BA3438" s="35"/>
      <c r="BB3438" s="22">
        <f t="shared" si="1021"/>
        <v>0</v>
      </c>
      <c r="BC3438" s="23">
        <v>3</v>
      </c>
      <c r="BD3438" s="130">
        <f t="shared" si="1022"/>
        <v>0</v>
      </c>
      <c r="BE3438" s="130">
        <f t="shared" si="1023"/>
        <v>3</v>
      </c>
      <c r="BF3438" s="195">
        <f t="shared" si="1024"/>
        <v>0</v>
      </c>
      <c r="BG3438" s="373">
        <f t="shared" si="1025"/>
        <v>3</v>
      </c>
    </row>
    <row r="3439" spans="1:59" s="46" customFormat="1" ht="15.95" customHeight="1">
      <c r="A3439" s="176">
        <v>49</v>
      </c>
      <c r="B3439" s="31" t="s">
        <v>827</v>
      </c>
      <c r="C3439" s="32" t="s">
        <v>828</v>
      </c>
      <c r="D3439" s="231"/>
      <c r="E3439" s="231"/>
      <c r="F3439" s="231"/>
      <c r="G3439" s="231"/>
      <c r="H3439" s="231"/>
      <c r="I3439" s="231"/>
      <c r="J3439" s="231"/>
      <c r="K3439" s="231"/>
      <c r="L3439" s="231"/>
      <c r="M3439" s="231"/>
      <c r="N3439" s="231"/>
      <c r="O3439" s="231"/>
      <c r="P3439" s="231"/>
      <c r="Q3439" s="231"/>
      <c r="R3439" s="231"/>
      <c r="S3439" s="231"/>
      <c r="T3439" s="231"/>
      <c r="U3439" s="231"/>
      <c r="V3439" s="231"/>
      <c r="W3439" s="231"/>
      <c r="X3439" s="231"/>
      <c r="Y3439" s="231"/>
      <c r="Z3439" s="231"/>
      <c r="AA3439" s="231"/>
      <c r="AB3439" s="22">
        <f t="shared" si="1026"/>
        <v>0</v>
      </c>
      <c r="AC3439" s="23">
        <v>0</v>
      </c>
      <c r="AD3439" s="35"/>
      <c r="AE3439" s="35"/>
      <c r="AF3439" s="35"/>
      <c r="AG3439" s="35"/>
      <c r="AH3439" s="35"/>
      <c r="AI3439" s="35"/>
      <c r="AJ3439" s="35"/>
      <c r="AK3439" s="35"/>
      <c r="AL3439" s="35"/>
      <c r="AM3439" s="35"/>
      <c r="AN3439" s="35"/>
      <c r="AO3439" s="35"/>
      <c r="AP3439" s="35"/>
      <c r="AQ3439" s="35"/>
      <c r="AR3439" s="35"/>
      <c r="AS3439" s="35"/>
      <c r="AT3439" s="35"/>
      <c r="AU3439" s="35"/>
      <c r="AV3439" s="35"/>
      <c r="AW3439" s="35"/>
      <c r="AX3439" s="35"/>
      <c r="AY3439" s="35"/>
      <c r="AZ3439" s="35"/>
      <c r="BA3439" s="35"/>
      <c r="BB3439" s="22">
        <f t="shared" si="1021"/>
        <v>0</v>
      </c>
      <c r="BC3439" s="23">
        <v>1</v>
      </c>
      <c r="BD3439" s="130">
        <f t="shared" si="1022"/>
        <v>0</v>
      </c>
      <c r="BE3439" s="130">
        <f t="shared" si="1023"/>
        <v>1</v>
      </c>
      <c r="BF3439" s="195">
        <f t="shared" si="1024"/>
        <v>0</v>
      </c>
      <c r="BG3439" s="373">
        <f t="shared" si="1025"/>
        <v>1</v>
      </c>
    </row>
    <row r="3440" spans="1:59" s="46" customFormat="1" ht="15.95" customHeight="1">
      <c r="A3440" s="176">
        <v>50</v>
      </c>
      <c r="B3440" s="31" t="s">
        <v>835</v>
      </c>
      <c r="C3440" s="34" t="s">
        <v>1631</v>
      </c>
      <c r="D3440" s="231"/>
      <c r="E3440" s="231"/>
      <c r="F3440" s="231"/>
      <c r="G3440" s="231"/>
      <c r="H3440" s="231"/>
      <c r="I3440" s="231"/>
      <c r="J3440" s="231"/>
      <c r="K3440" s="231"/>
      <c r="L3440" s="231"/>
      <c r="M3440" s="231"/>
      <c r="N3440" s="231"/>
      <c r="O3440" s="231"/>
      <c r="P3440" s="231"/>
      <c r="Q3440" s="231"/>
      <c r="R3440" s="231"/>
      <c r="S3440" s="231"/>
      <c r="T3440" s="231"/>
      <c r="U3440" s="231"/>
      <c r="V3440" s="231"/>
      <c r="W3440" s="231"/>
      <c r="X3440" s="231"/>
      <c r="Y3440" s="231"/>
      <c r="Z3440" s="231"/>
      <c r="AA3440" s="231"/>
      <c r="AB3440" s="22">
        <f t="shared" si="1026"/>
        <v>0</v>
      </c>
      <c r="AC3440" s="23">
        <v>0</v>
      </c>
      <c r="AD3440" s="35"/>
      <c r="AE3440" s="35"/>
      <c r="AF3440" s="35"/>
      <c r="AG3440" s="35"/>
      <c r="AH3440" s="35"/>
      <c r="AI3440" s="35"/>
      <c r="AJ3440" s="35"/>
      <c r="AK3440" s="35"/>
      <c r="AL3440" s="35"/>
      <c r="AM3440" s="35"/>
      <c r="AN3440" s="35"/>
      <c r="AO3440" s="35"/>
      <c r="AP3440" s="35"/>
      <c r="AQ3440" s="35"/>
      <c r="AR3440" s="35"/>
      <c r="AS3440" s="35"/>
      <c r="AT3440" s="35"/>
      <c r="AU3440" s="35"/>
      <c r="AV3440" s="35"/>
      <c r="AW3440" s="35"/>
      <c r="AX3440" s="35"/>
      <c r="AY3440" s="35"/>
      <c r="AZ3440" s="35"/>
      <c r="BA3440" s="35"/>
      <c r="BB3440" s="22">
        <f t="shared" si="1021"/>
        <v>0</v>
      </c>
      <c r="BC3440" s="23">
        <v>25</v>
      </c>
      <c r="BD3440" s="130">
        <f t="shared" si="1022"/>
        <v>0</v>
      </c>
      <c r="BE3440" s="130">
        <f t="shared" si="1023"/>
        <v>25</v>
      </c>
      <c r="BF3440" s="195">
        <f t="shared" si="1024"/>
        <v>0</v>
      </c>
      <c r="BG3440" s="373">
        <f t="shared" si="1025"/>
        <v>25</v>
      </c>
    </row>
    <row r="3441" spans="1:59" s="46" customFormat="1" ht="15.95" customHeight="1">
      <c r="A3441" s="176">
        <v>51</v>
      </c>
      <c r="B3441" s="31" t="s">
        <v>1013</v>
      </c>
      <c r="C3441" s="32" t="s">
        <v>1632</v>
      </c>
      <c r="D3441" s="231"/>
      <c r="E3441" s="231"/>
      <c r="F3441" s="231"/>
      <c r="G3441" s="231"/>
      <c r="H3441" s="231"/>
      <c r="I3441" s="231"/>
      <c r="J3441" s="231"/>
      <c r="K3441" s="231"/>
      <c r="L3441" s="231"/>
      <c r="M3441" s="231"/>
      <c r="N3441" s="231"/>
      <c r="O3441" s="231"/>
      <c r="P3441" s="231"/>
      <c r="Q3441" s="231"/>
      <c r="R3441" s="231"/>
      <c r="S3441" s="231"/>
      <c r="T3441" s="231"/>
      <c r="U3441" s="231"/>
      <c r="V3441" s="231"/>
      <c r="W3441" s="231"/>
      <c r="X3441" s="231"/>
      <c r="Y3441" s="231"/>
      <c r="Z3441" s="231"/>
      <c r="AA3441" s="231"/>
      <c r="AB3441" s="22">
        <f t="shared" si="1026"/>
        <v>0</v>
      </c>
      <c r="AC3441" s="23">
        <v>0</v>
      </c>
      <c r="AD3441" s="35"/>
      <c r="AE3441" s="35"/>
      <c r="AF3441" s="35"/>
      <c r="AG3441" s="35"/>
      <c r="AH3441" s="35"/>
      <c r="AI3441" s="35"/>
      <c r="AJ3441" s="35"/>
      <c r="AK3441" s="35"/>
      <c r="AL3441" s="35">
        <v>2</v>
      </c>
      <c r="AM3441" s="35"/>
      <c r="AN3441" s="35"/>
      <c r="AO3441" s="35"/>
      <c r="AP3441" s="35">
        <v>8</v>
      </c>
      <c r="AQ3441" s="35"/>
      <c r="AR3441" s="35"/>
      <c r="AS3441" s="35"/>
      <c r="AT3441" s="35"/>
      <c r="AU3441" s="35"/>
      <c r="AV3441" s="35"/>
      <c r="AW3441" s="35"/>
      <c r="AX3441" s="35"/>
      <c r="AY3441" s="35"/>
      <c r="AZ3441" s="35"/>
      <c r="BA3441" s="35"/>
      <c r="BB3441" s="22">
        <f t="shared" si="1021"/>
        <v>10</v>
      </c>
      <c r="BC3441" s="23">
        <v>22</v>
      </c>
      <c r="BD3441" s="130">
        <f t="shared" si="1022"/>
        <v>10</v>
      </c>
      <c r="BE3441" s="130">
        <f t="shared" si="1023"/>
        <v>22</v>
      </c>
      <c r="BF3441" s="195">
        <f t="shared" si="1024"/>
        <v>45.454545454545453</v>
      </c>
      <c r="BG3441" s="373">
        <f t="shared" si="1025"/>
        <v>12</v>
      </c>
    </row>
    <row r="3442" spans="1:59" s="46" customFormat="1" ht="15.95" customHeight="1">
      <c r="A3442" s="176">
        <v>52</v>
      </c>
      <c r="B3442" s="31" t="s">
        <v>837</v>
      </c>
      <c r="C3442" s="32" t="s">
        <v>908</v>
      </c>
      <c r="D3442" s="231"/>
      <c r="E3442" s="231"/>
      <c r="F3442" s="231"/>
      <c r="G3442" s="231"/>
      <c r="H3442" s="231"/>
      <c r="I3442" s="231"/>
      <c r="J3442" s="231"/>
      <c r="K3442" s="231"/>
      <c r="L3442" s="231"/>
      <c r="M3442" s="231"/>
      <c r="N3442" s="231"/>
      <c r="O3442" s="231"/>
      <c r="P3442" s="231"/>
      <c r="Q3442" s="231"/>
      <c r="R3442" s="231"/>
      <c r="S3442" s="231"/>
      <c r="T3442" s="231"/>
      <c r="U3442" s="231"/>
      <c r="V3442" s="231"/>
      <c r="W3442" s="231"/>
      <c r="X3442" s="231"/>
      <c r="Y3442" s="231"/>
      <c r="Z3442" s="231"/>
      <c r="AA3442" s="231"/>
      <c r="AB3442" s="22">
        <f t="shared" si="1026"/>
        <v>0</v>
      </c>
      <c r="AC3442" s="23">
        <v>0</v>
      </c>
      <c r="AD3442" s="35"/>
      <c r="AE3442" s="35"/>
      <c r="AF3442" s="35"/>
      <c r="AG3442" s="35"/>
      <c r="AH3442" s="35"/>
      <c r="AI3442" s="35"/>
      <c r="AJ3442" s="35"/>
      <c r="AK3442" s="35"/>
      <c r="AL3442" s="35">
        <v>12</v>
      </c>
      <c r="AM3442" s="35"/>
      <c r="AN3442" s="35"/>
      <c r="AO3442" s="35"/>
      <c r="AP3442" s="35">
        <v>5</v>
      </c>
      <c r="AQ3442" s="35"/>
      <c r="AR3442" s="35"/>
      <c r="AS3442" s="35"/>
      <c r="AT3442" s="35"/>
      <c r="AU3442" s="35"/>
      <c r="AV3442" s="35"/>
      <c r="AW3442" s="35"/>
      <c r="AX3442" s="35"/>
      <c r="AY3442" s="35"/>
      <c r="AZ3442" s="35"/>
      <c r="BA3442" s="35"/>
      <c r="BB3442" s="22">
        <f t="shared" si="1021"/>
        <v>17</v>
      </c>
      <c r="BC3442" s="23">
        <v>140</v>
      </c>
      <c r="BD3442" s="130">
        <f t="shared" si="1022"/>
        <v>17</v>
      </c>
      <c r="BE3442" s="130">
        <f t="shared" si="1023"/>
        <v>140</v>
      </c>
      <c r="BF3442" s="195">
        <f t="shared" si="1024"/>
        <v>12.142857142857142</v>
      </c>
      <c r="BG3442" s="373">
        <f t="shared" si="1025"/>
        <v>123</v>
      </c>
    </row>
    <row r="3443" spans="1:59" s="46" customFormat="1" ht="15.95" customHeight="1">
      <c r="A3443" s="176">
        <v>53</v>
      </c>
      <c r="B3443" s="31" t="s">
        <v>1380</v>
      </c>
      <c r="C3443" s="32" t="s">
        <v>2508</v>
      </c>
      <c r="D3443" s="231"/>
      <c r="E3443" s="231"/>
      <c r="F3443" s="231"/>
      <c r="G3443" s="231"/>
      <c r="H3443" s="231"/>
      <c r="I3443" s="231"/>
      <c r="J3443" s="231"/>
      <c r="K3443" s="231"/>
      <c r="L3443" s="231"/>
      <c r="M3443" s="231"/>
      <c r="N3443" s="231"/>
      <c r="O3443" s="231"/>
      <c r="P3443" s="231"/>
      <c r="Q3443" s="231"/>
      <c r="R3443" s="231"/>
      <c r="S3443" s="231"/>
      <c r="T3443" s="231"/>
      <c r="U3443" s="231"/>
      <c r="V3443" s="231"/>
      <c r="W3443" s="231"/>
      <c r="X3443" s="231"/>
      <c r="Y3443" s="231"/>
      <c r="Z3443" s="231"/>
      <c r="AA3443" s="231"/>
      <c r="AB3443" s="22">
        <f t="shared" si="1026"/>
        <v>0</v>
      </c>
      <c r="AC3443" s="23">
        <v>0</v>
      </c>
      <c r="AD3443" s="35"/>
      <c r="AE3443" s="35"/>
      <c r="AF3443" s="35"/>
      <c r="AG3443" s="35"/>
      <c r="AH3443" s="35">
        <v>15</v>
      </c>
      <c r="AI3443" s="35"/>
      <c r="AJ3443" s="35"/>
      <c r="AK3443" s="35"/>
      <c r="AL3443" s="35">
        <v>22</v>
      </c>
      <c r="AM3443" s="35"/>
      <c r="AN3443" s="35"/>
      <c r="AO3443" s="35"/>
      <c r="AP3443" s="35">
        <f>15+2</f>
        <v>17</v>
      </c>
      <c r="AQ3443" s="35"/>
      <c r="AR3443" s="35"/>
      <c r="AS3443" s="35"/>
      <c r="AT3443" s="35"/>
      <c r="AU3443" s="35"/>
      <c r="AV3443" s="35"/>
      <c r="AW3443" s="35"/>
      <c r="AX3443" s="35"/>
      <c r="AY3443" s="35"/>
      <c r="AZ3443" s="35"/>
      <c r="BA3443" s="35"/>
      <c r="BB3443" s="22">
        <f t="shared" si="1021"/>
        <v>54</v>
      </c>
      <c r="BC3443" s="23">
        <v>74</v>
      </c>
      <c r="BD3443" s="130">
        <f t="shared" si="1022"/>
        <v>54</v>
      </c>
      <c r="BE3443" s="130">
        <f t="shared" si="1023"/>
        <v>74</v>
      </c>
      <c r="BF3443" s="195">
        <f t="shared" si="1024"/>
        <v>72.972972972972968</v>
      </c>
      <c r="BG3443" s="373">
        <f t="shared" si="1025"/>
        <v>20</v>
      </c>
    </row>
    <row r="3444" spans="1:59" s="46" customFormat="1" ht="15.95" customHeight="1">
      <c r="A3444" s="176">
        <v>54</v>
      </c>
      <c r="B3444" s="31" t="s">
        <v>1633</v>
      </c>
      <c r="C3444" s="32" t="s">
        <v>1634</v>
      </c>
      <c r="D3444" s="231"/>
      <c r="E3444" s="231"/>
      <c r="F3444" s="231"/>
      <c r="G3444" s="231"/>
      <c r="H3444" s="231"/>
      <c r="I3444" s="231"/>
      <c r="J3444" s="231"/>
      <c r="K3444" s="231"/>
      <c r="L3444" s="231"/>
      <c r="M3444" s="231"/>
      <c r="N3444" s="231"/>
      <c r="O3444" s="231"/>
      <c r="P3444" s="231"/>
      <c r="Q3444" s="231"/>
      <c r="R3444" s="231"/>
      <c r="S3444" s="231"/>
      <c r="T3444" s="231"/>
      <c r="U3444" s="231"/>
      <c r="V3444" s="231"/>
      <c r="W3444" s="231"/>
      <c r="X3444" s="231"/>
      <c r="Y3444" s="231"/>
      <c r="Z3444" s="231"/>
      <c r="AA3444" s="231"/>
      <c r="AB3444" s="22">
        <f t="shared" si="1026"/>
        <v>0</v>
      </c>
      <c r="AC3444" s="23">
        <v>0</v>
      </c>
      <c r="AD3444" s="35"/>
      <c r="AE3444" s="35"/>
      <c r="AF3444" s="35"/>
      <c r="AG3444" s="35"/>
      <c r="AH3444" s="35"/>
      <c r="AI3444" s="35"/>
      <c r="AJ3444" s="35"/>
      <c r="AK3444" s="35"/>
      <c r="AL3444" s="35"/>
      <c r="AM3444" s="35"/>
      <c r="AN3444" s="35"/>
      <c r="AO3444" s="35"/>
      <c r="AP3444" s="35"/>
      <c r="AQ3444" s="35"/>
      <c r="AR3444" s="35"/>
      <c r="AS3444" s="35"/>
      <c r="AT3444" s="35"/>
      <c r="AU3444" s="35"/>
      <c r="AV3444" s="35"/>
      <c r="AW3444" s="35"/>
      <c r="AX3444" s="35"/>
      <c r="AY3444" s="35"/>
      <c r="AZ3444" s="35"/>
      <c r="BA3444" s="35"/>
      <c r="BB3444" s="22">
        <f t="shared" si="1021"/>
        <v>0</v>
      </c>
      <c r="BC3444" s="23">
        <v>1</v>
      </c>
      <c r="BD3444" s="130">
        <f t="shared" si="1022"/>
        <v>0</v>
      </c>
      <c r="BE3444" s="130">
        <f t="shared" si="1023"/>
        <v>1</v>
      </c>
      <c r="BF3444" s="195">
        <f t="shared" si="1024"/>
        <v>0</v>
      </c>
      <c r="BG3444" s="373">
        <f t="shared" si="1025"/>
        <v>1</v>
      </c>
    </row>
    <row r="3445" spans="1:59" s="46" customFormat="1" ht="15.95" customHeight="1">
      <c r="A3445" s="176">
        <v>55</v>
      </c>
      <c r="B3445" s="31" t="s">
        <v>909</v>
      </c>
      <c r="C3445" s="34" t="s">
        <v>1635</v>
      </c>
      <c r="D3445" s="231"/>
      <c r="E3445" s="231"/>
      <c r="F3445" s="231"/>
      <c r="G3445" s="231"/>
      <c r="H3445" s="231"/>
      <c r="I3445" s="231"/>
      <c r="J3445" s="231"/>
      <c r="K3445" s="231"/>
      <c r="L3445" s="231"/>
      <c r="M3445" s="231"/>
      <c r="N3445" s="231"/>
      <c r="O3445" s="231"/>
      <c r="P3445" s="231"/>
      <c r="Q3445" s="231"/>
      <c r="R3445" s="231"/>
      <c r="S3445" s="231"/>
      <c r="T3445" s="231"/>
      <c r="U3445" s="231"/>
      <c r="V3445" s="231"/>
      <c r="W3445" s="231"/>
      <c r="X3445" s="231"/>
      <c r="Y3445" s="231"/>
      <c r="Z3445" s="231"/>
      <c r="AA3445" s="231"/>
      <c r="AB3445" s="22">
        <f t="shared" si="1026"/>
        <v>0</v>
      </c>
      <c r="AC3445" s="23">
        <v>0</v>
      </c>
      <c r="AD3445" s="35"/>
      <c r="AE3445" s="35"/>
      <c r="AF3445" s="35"/>
      <c r="AG3445" s="35"/>
      <c r="AH3445" s="35">
        <v>1</v>
      </c>
      <c r="AI3445" s="35"/>
      <c r="AJ3445" s="35"/>
      <c r="AK3445" s="35"/>
      <c r="AL3445" s="35">
        <v>8</v>
      </c>
      <c r="AM3445" s="35"/>
      <c r="AN3445" s="35"/>
      <c r="AO3445" s="35"/>
      <c r="AP3445" s="35">
        <v>4</v>
      </c>
      <c r="AQ3445" s="35"/>
      <c r="AR3445" s="35"/>
      <c r="AS3445" s="35"/>
      <c r="AT3445" s="35"/>
      <c r="AU3445" s="35"/>
      <c r="AV3445" s="35"/>
      <c r="AW3445" s="35"/>
      <c r="AX3445" s="35"/>
      <c r="AY3445" s="35"/>
      <c r="AZ3445" s="35"/>
      <c r="BA3445" s="35"/>
      <c r="BB3445" s="22">
        <f t="shared" si="1021"/>
        <v>13</v>
      </c>
      <c r="BC3445" s="23">
        <v>23</v>
      </c>
      <c r="BD3445" s="130">
        <f t="shared" si="1022"/>
        <v>13</v>
      </c>
      <c r="BE3445" s="130">
        <f t="shared" si="1023"/>
        <v>23</v>
      </c>
      <c r="BF3445" s="195">
        <f t="shared" si="1024"/>
        <v>56.521739130434781</v>
      </c>
      <c r="BG3445" s="373">
        <f t="shared" si="1025"/>
        <v>10</v>
      </c>
    </row>
    <row r="3446" spans="1:59" s="46" customFormat="1" ht="15.95" customHeight="1">
      <c r="A3446" s="176">
        <v>56</v>
      </c>
      <c r="B3446" s="31" t="s">
        <v>841</v>
      </c>
      <c r="C3446" s="34" t="s">
        <v>3352</v>
      </c>
      <c r="D3446" s="231"/>
      <c r="E3446" s="231"/>
      <c r="F3446" s="231"/>
      <c r="G3446" s="231"/>
      <c r="H3446" s="231"/>
      <c r="I3446" s="231"/>
      <c r="J3446" s="231"/>
      <c r="K3446" s="231"/>
      <c r="L3446" s="231"/>
      <c r="M3446" s="231"/>
      <c r="N3446" s="231"/>
      <c r="O3446" s="231"/>
      <c r="P3446" s="231"/>
      <c r="Q3446" s="231"/>
      <c r="R3446" s="231"/>
      <c r="S3446" s="231"/>
      <c r="T3446" s="231"/>
      <c r="U3446" s="231"/>
      <c r="V3446" s="231"/>
      <c r="W3446" s="231"/>
      <c r="X3446" s="231"/>
      <c r="Y3446" s="231"/>
      <c r="Z3446" s="231"/>
      <c r="AA3446" s="231"/>
      <c r="AB3446" s="22">
        <f t="shared" si="1026"/>
        <v>0</v>
      </c>
      <c r="AC3446" s="23">
        <v>0</v>
      </c>
      <c r="AD3446" s="35"/>
      <c r="AE3446" s="35"/>
      <c r="AF3446" s="35"/>
      <c r="AG3446" s="35"/>
      <c r="AH3446" s="35"/>
      <c r="AI3446" s="35"/>
      <c r="AJ3446" s="35"/>
      <c r="AK3446" s="35"/>
      <c r="AL3446" s="35"/>
      <c r="AM3446" s="35"/>
      <c r="AN3446" s="35"/>
      <c r="AO3446" s="35"/>
      <c r="AP3446" s="35"/>
      <c r="AQ3446" s="35"/>
      <c r="AR3446" s="35"/>
      <c r="AS3446" s="35"/>
      <c r="AT3446" s="35"/>
      <c r="AU3446" s="35"/>
      <c r="AV3446" s="35"/>
      <c r="AW3446" s="35"/>
      <c r="AX3446" s="35"/>
      <c r="AY3446" s="35"/>
      <c r="AZ3446" s="35"/>
      <c r="BA3446" s="35"/>
      <c r="BB3446" s="22">
        <f t="shared" si="1021"/>
        <v>0</v>
      </c>
      <c r="BC3446" s="23">
        <v>6</v>
      </c>
      <c r="BD3446" s="130">
        <f t="shared" si="1022"/>
        <v>0</v>
      </c>
      <c r="BE3446" s="130">
        <f t="shared" si="1023"/>
        <v>6</v>
      </c>
      <c r="BF3446" s="195">
        <f t="shared" si="1024"/>
        <v>0</v>
      </c>
      <c r="BG3446" s="373">
        <f t="shared" si="1025"/>
        <v>6</v>
      </c>
    </row>
    <row r="3447" spans="1:59" s="46" customFormat="1" ht="15.95" customHeight="1">
      <c r="A3447" s="176">
        <v>57</v>
      </c>
      <c r="B3447" s="31" t="s">
        <v>911</v>
      </c>
      <c r="C3447" s="32" t="s">
        <v>2521</v>
      </c>
      <c r="D3447" s="339"/>
      <c r="E3447" s="339"/>
      <c r="F3447" s="339"/>
      <c r="G3447" s="339"/>
      <c r="H3447" s="339"/>
      <c r="I3447" s="339"/>
      <c r="J3447" s="339"/>
      <c r="K3447" s="339"/>
      <c r="L3447" s="339"/>
      <c r="M3447" s="339"/>
      <c r="N3447" s="339"/>
      <c r="O3447" s="339"/>
      <c r="P3447" s="339"/>
      <c r="Q3447" s="339"/>
      <c r="R3447" s="339"/>
      <c r="S3447" s="339"/>
      <c r="T3447" s="339"/>
      <c r="U3447" s="339"/>
      <c r="V3447" s="339"/>
      <c r="W3447" s="339"/>
      <c r="X3447" s="339"/>
      <c r="Y3447" s="339"/>
      <c r="Z3447" s="339"/>
      <c r="AA3447" s="339"/>
      <c r="AB3447" s="22">
        <f t="shared" si="1026"/>
        <v>0</v>
      </c>
      <c r="AC3447" s="23">
        <v>0</v>
      </c>
      <c r="AD3447" s="35"/>
      <c r="AE3447" s="35"/>
      <c r="AF3447" s="35"/>
      <c r="AG3447" s="35"/>
      <c r="AH3447" s="35"/>
      <c r="AI3447" s="35"/>
      <c r="AJ3447" s="35"/>
      <c r="AK3447" s="35"/>
      <c r="AL3447" s="35"/>
      <c r="AM3447" s="35"/>
      <c r="AN3447" s="35"/>
      <c r="AO3447" s="35"/>
      <c r="AP3447" s="35">
        <v>1</v>
      </c>
      <c r="AQ3447" s="35"/>
      <c r="AR3447" s="35"/>
      <c r="AS3447" s="35"/>
      <c r="AT3447" s="35"/>
      <c r="AU3447" s="35"/>
      <c r="AV3447" s="35"/>
      <c r="AW3447" s="35"/>
      <c r="AX3447" s="35"/>
      <c r="AY3447" s="35"/>
      <c r="AZ3447" s="35"/>
      <c r="BA3447" s="35"/>
      <c r="BB3447" s="22">
        <f t="shared" si="1021"/>
        <v>1</v>
      </c>
      <c r="BC3447" s="23">
        <v>5</v>
      </c>
      <c r="BD3447" s="130">
        <f t="shared" si="1022"/>
        <v>1</v>
      </c>
      <c r="BE3447" s="130">
        <f t="shared" si="1023"/>
        <v>5</v>
      </c>
      <c r="BF3447" s="195">
        <f t="shared" si="1024"/>
        <v>20</v>
      </c>
      <c r="BG3447" s="373">
        <f t="shared" si="1025"/>
        <v>4</v>
      </c>
    </row>
    <row r="3448" spans="1:59" s="46" customFormat="1" ht="15.95" customHeight="1">
      <c r="A3448" s="176">
        <v>58</v>
      </c>
      <c r="B3448" s="31" t="s">
        <v>1431</v>
      </c>
      <c r="C3448" s="32" t="s">
        <v>1432</v>
      </c>
      <c r="D3448" s="580"/>
      <c r="E3448" s="580"/>
      <c r="F3448" s="580"/>
      <c r="G3448" s="580"/>
      <c r="H3448" s="580"/>
      <c r="I3448" s="580"/>
      <c r="J3448" s="580"/>
      <c r="K3448" s="580"/>
      <c r="L3448" s="580"/>
      <c r="M3448" s="580"/>
      <c r="N3448" s="580"/>
      <c r="O3448" s="580"/>
      <c r="P3448" s="580">
        <v>1</v>
      </c>
      <c r="Q3448" s="580"/>
      <c r="R3448" s="580"/>
      <c r="S3448" s="580"/>
      <c r="T3448" s="580"/>
      <c r="U3448" s="580"/>
      <c r="V3448" s="580"/>
      <c r="W3448" s="580"/>
      <c r="X3448" s="580"/>
      <c r="Y3448" s="580"/>
      <c r="Z3448" s="580"/>
      <c r="AA3448" s="580"/>
      <c r="AB3448" s="22">
        <f t="shared" si="1026"/>
        <v>1</v>
      </c>
      <c r="AC3448" s="23">
        <v>0</v>
      </c>
      <c r="AD3448" s="35"/>
      <c r="AE3448" s="35"/>
      <c r="AF3448" s="35"/>
      <c r="AG3448" s="35"/>
      <c r="AH3448" s="35"/>
      <c r="AI3448" s="35"/>
      <c r="AJ3448" s="35"/>
      <c r="AK3448" s="35"/>
      <c r="AL3448" s="35"/>
      <c r="AM3448" s="35"/>
      <c r="AN3448" s="35"/>
      <c r="AO3448" s="35"/>
      <c r="AP3448" s="35"/>
      <c r="AQ3448" s="35"/>
      <c r="AR3448" s="35"/>
      <c r="AS3448" s="35"/>
      <c r="AT3448" s="35"/>
      <c r="AU3448" s="35"/>
      <c r="AV3448" s="35"/>
      <c r="AW3448" s="35"/>
      <c r="AX3448" s="35"/>
      <c r="AY3448" s="35"/>
      <c r="AZ3448" s="35"/>
      <c r="BA3448" s="35"/>
      <c r="BB3448" s="22">
        <f t="shared" si="1021"/>
        <v>0</v>
      </c>
      <c r="BC3448" s="23">
        <v>0</v>
      </c>
      <c r="BD3448" s="130">
        <f t="shared" si="1022"/>
        <v>1</v>
      </c>
      <c r="BE3448" s="130">
        <f t="shared" si="1023"/>
        <v>0</v>
      </c>
      <c r="BF3448" s="195" t="e">
        <f t="shared" si="1024"/>
        <v>#DIV/0!</v>
      </c>
      <c r="BG3448" s="373"/>
    </row>
    <row r="3449" spans="1:59" s="46" customFormat="1" ht="15.95" customHeight="1">
      <c r="A3449" s="176">
        <v>59</v>
      </c>
      <c r="B3449" s="31" t="s">
        <v>845</v>
      </c>
      <c r="C3449" s="32" t="s">
        <v>1639</v>
      </c>
      <c r="D3449" s="231"/>
      <c r="E3449" s="231"/>
      <c r="F3449" s="231"/>
      <c r="G3449" s="231"/>
      <c r="H3449" s="231"/>
      <c r="I3449" s="231"/>
      <c r="J3449" s="231"/>
      <c r="K3449" s="231"/>
      <c r="L3449" s="231"/>
      <c r="M3449" s="231"/>
      <c r="N3449" s="231"/>
      <c r="O3449" s="231"/>
      <c r="P3449" s="231"/>
      <c r="Q3449" s="231"/>
      <c r="R3449" s="231"/>
      <c r="S3449" s="231"/>
      <c r="T3449" s="231"/>
      <c r="U3449" s="231"/>
      <c r="V3449" s="231"/>
      <c r="W3449" s="231"/>
      <c r="X3449" s="231"/>
      <c r="Y3449" s="231"/>
      <c r="Z3449" s="231"/>
      <c r="AA3449" s="231"/>
      <c r="AB3449" s="22">
        <f t="shared" si="1026"/>
        <v>0</v>
      </c>
      <c r="AC3449" s="23">
        <v>1</v>
      </c>
      <c r="AD3449" s="35"/>
      <c r="AE3449" s="35"/>
      <c r="AF3449" s="35"/>
      <c r="AG3449" s="35"/>
      <c r="AH3449" s="35">
        <f>1+2</f>
        <v>3</v>
      </c>
      <c r="AI3449" s="35"/>
      <c r="AJ3449" s="35"/>
      <c r="AK3449" s="35"/>
      <c r="AL3449" s="35">
        <v>7</v>
      </c>
      <c r="AM3449" s="35"/>
      <c r="AN3449" s="35"/>
      <c r="AO3449" s="35"/>
      <c r="AP3449" s="35">
        <v>1</v>
      </c>
      <c r="AQ3449" s="35"/>
      <c r="AR3449" s="35"/>
      <c r="AS3449" s="35"/>
      <c r="AT3449" s="35"/>
      <c r="AU3449" s="35"/>
      <c r="AV3449" s="35"/>
      <c r="AW3449" s="35"/>
      <c r="AX3449" s="35"/>
      <c r="AY3449" s="35"/>
      <c r="AZ3449" s="35"/>
      <c r="BA3449" s="35"/>
      <c r="BB3449" s="22">
        <f t="shared" si="1021"/>
        <v>11</v>
      </c>
      <c r="BC3449" s="23">
        <v>6</v>
      </c>
      <c r="BD3449" s="130">
        <f t="shared" si="1022"/>
        <v>11</v>
      </c>
      <c r="BE3449" s="130">
        <f t="shared" si="1023"/>
        <v>7</v>
      </c>
      <c r="BF3449" s="195">
        <f t="shared" si="1024"/>
        <v>157.14285714285714</v>
      </c>
      <c r="BG3449" s="373">
        <f t="shared" ref="BG3449:BG3487" si="1027">BE3449-BD3449</f>
        <v>-4</v>
      </c>
    </row>
    <row r="3450" spans="1:59" s="46" customFormat="1" ht="15.95" customHeight="1">
      <c r="A3450" s="176">
        <v>60</v>
      </c>
      <c r="B3450" s="31" t="s">
        <v>1075</v>
      </c>
      <c r="C3450" s="32" t="s">
        <v>1076</v>
      </c>
      <c r="D3450" s="339"/>
      <c r="E3450" s="339"/>
      <c r="F3450" s="339"/>
      <c r="G3450" s="339"/>
      <c r="H3450" s="339"/>
      <c r="I3450" s="339"/>
      <c r="J3450" s="339"/>
      <c r="K3450" s="339"/>
      <c r="L3450" s="339"/>
      <c r="M3450" s="339"/>
      <c r="N3450" s="339"/>
      <c r="O3450" s="339"/>
      <c r="P3450" s="339"/>
      <c r="Q3450" s="339"/>
      <c r="R3450" s="339"/>
      <c r="S3450" s="339"/>
      <c r="T3450" s="339"/>
      <c r="U3450" s="339"/>
      <c r="V3450" s="339"/>
      <c r="W3450" s="339"/>
      <c r="X3450" s="339"/>
      <c r="Y3450" s="339"/>
      <c r="Z3450" s="339"/>
      <c r="AA3450" s="339"/>
      <c r="AB3450" s="22">
        <f t="shared" si="1026"/>
        <v>0</v>
      </c>
      <c r="AC3450" s="23">
        <v>0</v>
      </c>
      <c r="AD3450" s="35"/>
      <c r="AE3450" s="35"/>
      <c r="AF3450" s="35"/>
      <c r="AG3450" s="35"/>
      <c r="AH3450" s="35"/>
      <c r="AI3450" s="35"/>
      <c r="AJ3450" s="35"/>
      <c r="AK3450" s="35"/>
      <c r="AL3450" s="35"/>
      <c r="AM3450" s="35"/>
      <c r="AN3450" s="35"/>
      <c r="AO3450" s="35"/>
      <c r="AP3450" s="35">
        <v>2</v>
      </c>
      <c r="AQ3450" s="35"/>
      <c r="AR3450" s="35"/>
      <c r="AS3450" s="35"/>
      <c r="AT3450" s="35"/>
      <c r="AU3450" s="35"/>
      <c r="AV3450" s="35"/>
      <c r="AW3450" s="35"/>
      <c r="AX3450" s="35"/>
      <c r="AY3450" s="35"/>
      <c r="AZ3450" s="35"/>
      <c r="BA3450" s="35"/>
      <c r="BB3450" s="22">
        <f t="shared" si="1021"/>
        <v>2</v>
      </c>
      <c r="BC3450" s="23">
        <v>27</v>
      </c>
      <c r="BD3450" s="130">
        <f t="shared" si="1022"/>
        <v>2</v>
      </c>
      <c r="BE3450" s="130">
        <f t="shared" si="1023"/>
        <v>27</v>
      </c>
      <c r="BF3450" s="195">
        <f t="shared" si="1024"/>
        <v>7.4074074074074066</v>
      </c>
      <c r="BG3450" s="373">
        <f t="shared" si="1027"/>
        <v>25</v>
      </c>
    </row>
    <row r="3451" spans="1:59" s="46" customFormat="1" ht="15.95" customHeight="1">
      <c r="A3451" s="176">
        <v>61</v>
      </c>
      <c r="B3451" s="31" t="s">
        <v>1337</v>
      </c>
      <c r="C3451" s="32" t="s">
        <v>2059</v>
      </c>
      <c r="D3451" s="231"/>
      <c r="E3451" s="231"/>
      <c r="F3451" s="231"/>
      <c r="G3451" s="231"/>
      <c r="H3451" s="231"/>
      <c r="I3451" s="231"/>
      <c r="J3451" s="231"/>
      <c r="K3451" s="231"/>
      <c r="L3451" s="231"/>
      <c r="M3451" s="231"/>
      <c r="N3451" s="231"/>
      <c r="O3451" s="231"/>
      <c r="P3451" s="231"/>
      <c r="Q3451" s="231"/>
      <c r="R3451" s="231"/>
      <c r="S3451" s="231"/>
      <c r="T3451" s="231"/>
      <c r="U3451" s="231"/>
      <c r="V3451" s="231"/>
      <c r="W3451" s="231"/>
      <c r="X3451" s="231"/>
      <c r="Y3451" s="231"/>
      <c r="Z3451" s="231"/>
      <c r="AA3451" s="231"/>
      <c r="AB3451" s="22">
        <f t="shared" si="1026"/>
        <v>0</v>
      </c>
      <c r="AC3451" s="23">
        <v>0</v>
      </c>
      <c r="AD3451" s="35"/>
      <c r="AE3451" s="35"/>
      <c r="AF3451" s="35"/>
      <c r="AG3451" s="35"/>
      <c r="AH3451" s="35">
        <v>1</v>
      </c>
      <c r="AI3451" s="35"/>
      <c r="AJ3451" s="35"/>
      <c r="AK3451" s="35"/>
      <c r="AL3451" s="35"/>
      <c r="AM3451" s="35"/>
      <c r="AN3451" s="35"/>
      <c r="AO3451" s="35"/>
      <c r="AP3451" s="35"/>
      <c r="AQ3451" s="35"/>
      <c r="AR3451" s="35"/>
      <c r="AS3451" s="35"/>
      <c r="AT3451" s="35"/>
      <c r="AU3451" s="35"/>
      <c r="AV3451" s="35"/>
      <c r="AW3451" s="35"/>
      <c r="AX3451" s="35"/>
      <c r="AY3451" s="35"/>
      <c r="AZ3451" s="35"/>
      <c r="BA3451" s="35"/>
      <c r="BB3451" s="22">
        <f t="shared" si="1021"/>
        <v>1</v>
      </c>
      <c r="BC3451" s="23">
        <v>3</v>
      </c>
      <c r="BD3451" s="130">
        <f t="shared" si="1022"/>
        <v>1</v>
      </c>
      <c r="BE3451" s="130">
        <f t="shared" si="1023"/>
        <v>3</v>
      </c>
      <c r="BF3451" s="195">
        <f t="shared" si="1024"/>
        <v>33.333333333333329</v>
      </c>
      <c r="BG3451" s="373">
        <f t="shared" si="1027"/>
        <v>2</v>
      </c>
    </row>
    <row r="3452" spans="1:59" s="46" customFormat="1" ht="15.95" customHeight="1">
      <c r="A3452" s="176">
        <v>62</v>
      </c>
      <c r="B3452" s="31" t="s">
        <v>915</v>
      </c>
      <c r="C3452" s="32" t="s">
        <v>1015</v>
      </c>
      <c r="D3452" s="231"/>
      <c r="E3452" s="231"/>
      <c r="F3452" s="231"/>
      <c r="G3452" s="231"/>
      <c r="H3452" s="231"/>
      <c r="I3452" s="231"/>
      <c r="J3452" s="231"/>
      <c r="K3452" s="231"/>
      <c r="L3452" s="231"/>
      <c r="M3452" s="231"/>
      <c r="N3452" s="231"/>
      <c r="O3452" s="231"/>
      <c r="P3452" s="231"/>
      <c r="Q3452" s="231"/>
      <c r="R3452" s="231"/>
      <c r="S3452" s="231"/>
      <c r="T3452" s="231"/>
      <c r="U3452" s="231"/>
      <c r="V3452" s="231"/>
      <c r="W3452" s="231"/>
      <c r="X3452" s="231"/>
      <c r="Y3452" s="231"/>
      <c r="Z3452" s="231"/>
      <c r="AA3452" s="231"/>
      <c r="AB3452" s="22">
        <f t="shared" si="1026"/>
        <v>0</v>
      </c>
      <c r="AC3452" s="23">
        <v>0</v>
      </c>
      <c r="AD3452" s="35"/>
      <c r="AE3452" s="35"/>
      <c r="AF3452" s="35"/>
      <c r="AG3452" s="35"/>
      <c r="AH3452" s="35"/>
      <c r="AI3452" s="35"/>
      <c r="AJ3452" s="35"/>
      <c r="AK3452" s="35"/>
      <c r="AL3452" s="35">
        <v>1</v>
      </c>
      <c r="AM3452" s="35"/>
      <c r="AN3452" s="35"/>
      <c r="AO3452" s="35"/>
      <c r="AP3452" s="35"/>
      <c r="AQ3452" s="35"/>
      <c r="AR3452" s="35"/>
      <c r="AS3452" s="35"/>
      <c r="AT3452" s="35"/>
      <c r="AU3452" s="35"/>
      <c r="AV3452" s="35"/>
      <c r="AW3452" s="35"/>
      <c r="AX3452" s="35"/>
      <c r="AY3452" s="35"/>
      <c r="AZ3452" s="35"/>
      <c r="BA3452" s="35"/>
      <c r="BB3452" s="22">
        <f t="shared" si="1021"/>
        <v>1</v>
      </c>
      <c r="BC3452" s="23">
        <v>3</v>
      </c>
      <c r="BD3452" s="130">
        <f t="shared" si="1022"/>
        <v>1</v>
      </c>
      <c r="BE3452" s="130">
        <f t="shared" si="1023"/>
        <v>3</v>
      </c>
      <c r="BF3452" s="195">
        <f t="shared" si="1024"/>
        <v>33.333333333333329</v>
      </c>
      <c r="BG3452" s="373">
        <f t="shared" si="1027"/>
        <v>2</v>
      </c>
    </row>
    <row r="3453" spans="1:59" s="46" customFormat="1" ht="15.95" customHeight="1">
      <c r="A3453" s="176">
        <v>63</v>
      </c>
      <c r="B3453" s="31" t="s">
        <v>1082</v>
      </c>
      <c r="C3453" s="32" t="s">
        <v>1346</v>
      </c>
      <c r="D3453" s="231"/>
      <c r="E3453" s="231"/>
      <c r="F3453" s="231"/>
      <c r="G3453" s="231"/>
      <c r="H3453" s="231"/>
      <c r="I3453" s="231"/>
      <c r="J3453" s="231"/>
      <c r="K3453" s="231"/>
      <c r="L3453" s="231"/>
      <c r="M3453" s="231"/>
      <c r="N3453" s="231"/>
      <c r="O3453" s="231"/>
      <c r="P3453" s="231"/>
      <c r="Q3453" s="231"/>
      <c r="R3453" s="231"/>
      <c r="S3453" s="231"/>
      <c r="T3453" s="231"/>
      <c r="U3453" s="231"/>
      <c r="V3453" s="231"/>
      <c r="W3453" s="231"/>
      <c r="X3453" s="231"/>
      <c r="Y3453" s="231"/>
      <c r="Z3453" s="231"/>
      <c r="AA3453" s="231"/>
      <c r="AB3453" s="22">
        <f t="shared" si="1026"/>
        <v>0</v>
      </c>
      <c r="AC3453" s="23">
        <v>0</v>
      </c>
      <c r="AD3453" s="35"/>
      <c r="AE3453" s="35"/>
      <c r="AF3453" s="35"/>
      <c r="AG3453" s="35"/>
      <c r="AH3453" s="35"/>
      <c r="AI3453" s="35"/>
      <c r="AJ3453" s="35"/>
      <c r="AK3453" s="35"/>
      <c r="AL3453" s="35"/>
      <c r="AM3453" s="35"/>
      <c r="AN3453" s="35"/>
      <c r="AO3453" s="35"/>
      <c r="AP3453" s="35">
        <v>1</v>
      </c>
      <c r="AQ3453" s="35"/>
      <c r="AR3453" s="35"/>
      <c r="AS3453" s="35"/>
      <c r="AT3453" s="35"/>
      <c r="AU3453" s="35"/>
      <c r="AV3453" s="35"/>
      <c r="AW3453" s="35"/>
      <c r="AX3453" s="35"/>
      <c r="AY3453" s="35"/>
      <c r="AZ3453" s="35"/>
      <c r="BA3453" s="35"/>
      <c r="BB3453" s="22">
        <f t="shared" si="1021"/>
        <v>1</v>
      </c>
      <c r="BC3453" s="23">
        <v>21</v>
      </c>
      <c r="BD3453" s="130">
        <f t="shared" si="1022"/>
        <v>1</v>
      </c>
      <c r="BE3453" s="130">
        <f t="shared" si="1023"/>
        <v>21</v>
      </c>
      <c r="BF3453" s="195">
        <f t="shared" si="1024"/>
        <v>4.7619047619047619</v>
      </c>
      <c r="BG3453" s="373">
        <f t="shared" si="1027"/>
        <v>20</v>
      </c>
    </row>
    <row r="3454" spans="1:59" s="46" customFormat="1" ht="15.95" customHeight="1">
      <c r="A3454" s="176">
        <v>64</v>
      </c>
      <c r="B3454" s="31" t="s">
        <v>952</v>
      </c>
      <c r="C3454" s="32" t="s">
        <v>3353</v>
      </c>
      <c r="D3454" s="231"/>
      <c r="E3454" s="231"/>
      <c r="F3454" s="231"/>
      <c r="G3454" s="231"/>
      <c r="H3454" s="231"/>
      <c r="I3454" s="231"/>
      <c r="J3454" s="231"/>
      <c r="K3454" s="231"/>
      <c r="L3454" s="231"/>
      <c r="M3454" s="231"/>
      <c r="N3454" s="231"/>
      <c r="O3454" s="231"/>
      <c r="P3454" s="231"/>
      <c r="Q3454" s="231"/>
      <c r="R3454" s="231"/>
      <c r="S3454" s="231"/>
      <c r="T3454" s="231"/>
      <c r="U3454" s="231"/>
      <c r="V3454" s="231"/>
      <c r="W3454" s="231"/>
      <c r="X3454" s="231"/>
      <c r="Y3454" s="231"/>
      <c r="Z3454" s="231"/>
      <c r="AA3454" s="231"/>
      <c r="AB3454" s="22">
        <f t="shared" si="1026"/>
        <v>0</v>
      </c>
      <c r="AC3454" s="23">
        <v>0</v>
      </c>
      <c r="AD3454" s="35"/>
      <c r="AE3454" s="35"/>
      <c r="AF3454" s="35"/>
      <c r="AG3454" s="35"/>
      <c r="AH3454" s="35"/>
      <c r="AI3454" s="35"/>
      <c r="AJ3454" s="35"/>
      <c r="AK3454" s="35"/>
      <c r="AL3454" s="35"/>
      <c r="AM3454" s="35"/>
      <c r="AN3454" s="35"/>
      <c r="AO3454" s="35"/>
      <c r="AP3454" s="35"/>
      <c r="AQ3454" s="35"/>
      <c r="AR3454" s="35"/>
      <c r="AS3454" s="35"/>
      <c r="AT3454" s="35"/>
      <c r="AU3454" s="35"/>
      <c r="AV3454" s="35"/>
      <c r="AW3454" s="35"/>
      <c r="AX3454" s="35"/>
      <c r="AY3454" s="35"/>
      <c r="AZ3454" s="35"/>
      <c r="BA3454" s="35"/>
      <c r="BB3454" s="22">
        <f t="shared" si="1021"/>
        <v>0</v>
      </c>
      <c r="BC3454" s="23">
        <v>1</v>
      </c>
      <c r="BD3454" s="130">
        <f t="shared" si="1022"/>
        <v>0</v>
      </c>
      <c r="BE3454" s="130">
        <f t="shared" si="1023"/>
        <v>1</v>
      </c>
      <c r="BF3454" s="195">
        <f t="shared" si="1024"/>
        <v>0</v>
      </c>
      <c r="BG3454" s="373">
        <f t="shared" si="1027"/>
        <v>1</v>
      </c>
    </row>
    <row r="3455" spans="1:59" s="46" customFormat="1" ht="15.95" customHeight="1">
      <c r="A3455" s="176">
        <v>65</v>
      </c>
      <c r="B3455" s="31" t="s">
        <v>959</v>
      </c>
      <c r="C3455" s="32" t="s">
        <v>960</v>
      </c>
      <c r="D3455" s="231"/>
      <c r="E3455" s="231"/>
      <c r="F3455" s="231"/>
      <c r="G3455" s="231"/>
      <c r="H3455" s="231"/>
      <c r="I3455" s="231"/>
      <c r="J3455" s="231"/>
      <c r="K3455" s="231"/>
      <c r="L3455" s="231"/>
      <c r="M3455" s="231"/>
      <c r="N3455" s="231"/>
      <c r="O3455" s="231"/>
      <c r="P3455" s="231"/>
      <c r="Q3455" s="231"/>
      <c r="R3455" s="231"/>
      <c r="S3455" s="231"/>
      <c r="T3455" s="231"/>
      <c r="U3455" s="231"/>
      <c r="V3455" s="231"/>
      <c r="W3455" s="231"/>
      <c r="X3455" s="231"/>
      <c r="Y3455" s="231"/>
      <c r="Z3455" s="231"/>
      <c r="AA3455" s="231"/>
      <c r="AB3455" s="22">
        <f t="shared" si="1026"/>
        <v>0</v>
      </c>
      <c r="AC3455" s="23">
        <v>0</v>
      </c>
      <c r="AD3455" s="35"/>
      <c r="AE3455" s="35"/>
      <c r="AF3455" s="35"/>
      <c r="AG3455" s="35"/>
      <c r="AH3455" s="35"/>
      <c r="AI3455" s="35"/>
      <c r="AJ3455" s="35"/>
      <c r="AK3455" s="35"/>
      <c r="AL3455" s="35"/>
      <c r="AM3455" s="35"/>
      <c r="AN3455" s="35"/>
      <c r="AO3455" s="35"/>
      <c r="AP3455" s="35"/>
      <c r="AQ3455" s="35"/>
      <c r="AR3455" s="35"/>
      <c r="AS3455" s="35"/>
      <c r="AT3455" s="35"/>
      <c r="AU3455" s="35"/>
      <c r="AV3455" s="35"/>
      <c r="AW3455" s="35"/>
      <c r="AX3455" s="35"/>
      <c r="AY3455" s="35"/>
      <c r="AZ3455" s="35"/>
      <c r="BA3455" s="35"/>
      <c r="BB3455" s="22">
        <f t="shared" ref="BB3455:BB3486" si="1028">SUM(AD3455:BA3455)</f>
        <v>0</v>
      </c>
      <c r="BC3455" s="23">
        <v>2</v>
      </c>
      <c r="BD3455" s="130">
        <f t="shared" ref="BD3455:BD3487" si="1029">AB3455+BB3455</f>
        <v>0</v>
      </c>
      <c r="BE3455" s="130">
        <f t="shared" ref="BE3455:BE3487" si="1030">AC3455+BC3455</f>
        <v>2</v>
      </c>
      <c r="BF3455" s="195">
        <f t="shared" ref="BF3455:BF3486" si="1031">BD3455/BE3455*100</f>
        <v>0</v>
      </c>
      <c r="BG3455" s="373">
        <f t="shared" si="1027"/>
        <v>2</v>
      </c>
    </row>
    <row r="3456" spans="1:59" s="46" customFormat="1" ht="15.95" customHeight="1">
      <c r="A3456" s="176">
        <v>66</v>
      </c>
      <c r="B3456" s="31" t="s">
        <v>961</v>
      </c>
      <c r="C3456" s="32" t="s">
        <v>1201</v>
      </c>
      <c r="D3456" s="339"/>
      <c r="E3456" s="339"/>
      <c r="F3456" s="339"/>
      <c r="G3456" s="339"/>
      <c r="H3456" s="339"/>
      <c r="I3456" s="339"/>
      <c r="J3456" s="339"/>
      <c r="K3456" s="339"/>
      <c r="L3456" s="339"/>
      <c r="M3456" s="339"/>
      <c r="N3456" s="339"/>
      <c r="O3456" s="339"/>
      <c r="P3456" s="339"/>
      <c r="Q3456" s="339"/>
      <c r="R3456" s="339"/>
      <c r="S3456" s="339"/>
      <c r="T3456" s="339"/>
      <c r="U3456" s="339"/>
      <c r="V3456" s="339"/>
      <c r="W3456" s="339"/>
      <c r="X3456" s="339"/>
      <c r="Y3456" s="339"/>
      <c r="Z3456" s="339"/>
      <c r="AA3456" s="339"/>
      <c r="AB3456" s="22">
        <f t="shared" si="1026"/>
        <v>0</v>
      </c>
      <c r="AC3456" s="23">
        <v>1</v>
      </c>
      <c r="AD3456" s="35"/>
      <c r="AE3456" s="35"/>
      <c r="AF3456" s="35"/>
      <c r="AG3456" s="35"/>
      <c r="AH3456" s="35">
        <v>2</v>
      </c>
      <c r="AI3456" s="35"/>
      <c r="AJ3456" s="35"/>
      <c r="AK3456" s="35"/>
      <c r="AL3456" s="35">
        <v>6</v>
      </c>
      <c r="AM3456" s="35"/>
      <c r="AN3456" s="35"/>
      <c r="AO3456" s="35"/>
      <c r="AP3456" s="35">
        <v>1</v>
      </c>
      <c r="AQ3456" s="35"/>
      <c r="AR3456" s="35"/>
      <c r="AS3456" s="35"/>
      <c r="AT3456" s="35"/>
      <c r="AU3456" s="35"/>
      <c r="AV3456" s="35"/>
      <c r="AW3456" s="35"/>
      <c r="AX3456" s="35"/>
      <c r="AY3456" s="35"/>
      <c r="AZ3456" s="35"/>
      <c r="BA3456" s="35"/>
      <c r="BB3456" s="22">
        <f t="shared" si="1028"/>
        <v>9</v>
      </c>
      <c r="BC3456" s="23">
        <v>5</v>
      </c>
      <c r="BD3456" s="130">
        <f t="shared" si="1029"/>
        <v>9</v>
      </c>
      <c r="BE3456" s="130">
        <f t="shared" si="1030"/>
        <v>6</v>
      </c>
      <c r="BF3456" s="195">
        <f t="shared" si="1031"/>
        <v>150</v>
      </c>
      <c r="BG3456" s="373">
        <f t="shared" si="1027"/>
        <v>-3</v>
      </c>
    </row>
    <row r="3457" spans="1:59" s="46" customFormat="1" ht="15.95" customHeight="1">
      <c r="A3457" s="176">
        <v>67</v>
      </c>
      <c r="B3457" s="31" t="s">
        <v>963</v>
      </c>
      <c r="C3457" s="32" t="s">
        <v>1202</v>
      </c>
      <c r="D3457" s="231"/>
      <c r="E3457" s="231"/>
      <c r="F3457" s="231"/>
      <c r="G3457" s="231"/>
      <c r="H3457" s="231"/>
      <c r="I3457" s="231"/>
      <c r="J3457" s="231"/>
      <c r="K3457" s="231"/>
      <c r="L3457" s="231"/>
      <c r="M3457" s="231"/>
      <c r="N3457" s="231"/>
      <c r="O3457" s="231"/>
      <c r="P3457" s="231"/>
      <c r="Q3457" s="231"/>
      <c r="R3457" s="231"/>
      <c r="S3457" s="231"/>
      <c r="T3457" s="231"/>
      <c r="U3457" s="231"/>
      <c r="V3457" s="231"/>
      <c r="W3457" s="231"/>
      <c r="X3457" s="231"/>
      <c r="Y3457" s="231"/>
      <c r="Z3457" s="231"/>
      <c r="AA3457" s="231"/>
      <c r="AB3457" s="22">
        <f t="shared" si="1026"/>
        <v>0</v>
      </c>
      <c r="AC3457" s="23">
        <v>0</v>
      </c>
      <c r="AD3457" s="35"/>
      <c r="AE3457" s="35"/>
      <c r="AF3457" s="35"/>
      <c r="AG3457" s="35"/>
      <c r="AH3457" s="35"/>
      <c r="AI3457" s="35"/>
      <c r="AJ3457" s="35"/>
      <c r="AK3457" s="35"/>
      <c r="AL3457" s="35">
        <v>1</v>
      </c>
      <c r="AM3457" s="35"/>
      <c r="AN3457" s="35"/>
      <c r="AO3457" s="35"/>
      <c r="AP3457" s="35"/>
      <c r="AQ3457" s="35"/>
      <c r="AR3457" s="35"/>
      <c r="AS3457" s="35"/>
      <c r="AT3457" s="35"/>
      <c r="AU3457" s="35"/>
      <c r="AV3457" s="35"/>
      <c r="AW3457" s="35"/>
      <c r="AX3457" s="35"/>
      <c r="AY3457" s="35"/>
      <c r="AZ3457" s="35"/>
      <c r="BA3457" s="35"/>
      <c r="BB3457" s="22">
        <f t="shared" si="1028"/>
        <v>1</v>
      </c>
      <c r="BC3457" s="23">
        <v>1</v>
      </c>
      <c r="BD3457" s="130">
        <f t="shared" si="1029"/>
        <v>1</v>
      </c>
      <c r="BE3457" s="130">
        <f t="shared" si="1030"/>
        <v>1</v>
      </c>
      <c r="BF3457" s="195">
        <f t="shared" si="1031"/>
        <v>100</v>
      </c>
      <c r="BG3457" s="373">
        <f t="shared" si="1027"/>
        <v>0</v>
      </c>
    </row>
    <row r="3458" spans="1:59" s="46" customFormat="1" ht="15.95" customHeight="1">
      <c r="A3458" s="176">
        <v>68</v>
      </c>
      <c r="B3458" s="31" t="s">
        <v>965</v>
      </c>
      <c r="C3458" s="32" t="s">
        <v>2480</v>
      </c>
      <c r="D3458" s="231"/>
      <c r="E3458" s="231"/>
      <c r="F3458" s="231"/>
      <c r="G3458" s="231"/>
      <c r="H3458" s="231"/>
      <c r="I3458" s="231"/>
      <c r="J3458" s="231"/>
      <c r="K3458" s="231"/>
      <c r="L3458" s="231"/>
      <c r="M3458" s="231"/>
      <c r="N3458" s="231"/>
      <c r="O3458" s="231"/>
      <c r="P3458" s="231"/>
      <c r="Q3458" s="231"/>
      <c r="R3458" s="231"/>
      <c r="S3458" s="231"/>
      <c r="T3458" s="231"/>
      <c r="U3458" s="231"/>
      <c r="V3458" s="231"/>
      <c r="W3458" s="231"/>
      <c r="X3458" s="231"/>
      <c r="Y3458" s="231"/>
      <c r="Z3458" s="231"/>
      <c r="AA3458" s="231"/>
      <c r="AB3458" s="22">
        <f t="shared" si="1026"/>
        <v>0</v>
      </c>
      <c r="AC3458" s="23">
        <v>0</v>
      </c>
      <c r="AD3458" s="35"/>
      <c r="AE3458" s="35"/>
      <c r="AF3458" s="35"/>
      <c r="AG3458" s="35"/>
      <c r="AH3458" s="35"/>
      <c r="AI3458" s="35"/>
      <c r="AJ3458" s="35"/>
      <c r="AK3458" s="35"/>
      <c r="AL3458" s="35"/>
      <c r="AM3458" s="35"/>
      <c r="AN3458" s="35"/>
      <c r="AO3458" s="35"/>
      <c r="AP3458" s="35"/>
      <c r="AQ3458" s="35"/>
      <c r="AR3458" s="35"/>
      <c r="AS3458" s="35"/>
      <c r="AT3458" s="35"/>
      <c r="AU3458" s="35"/>
      <c r="AV3458" s="35"/>
      <c r="AW3458" s="35"/>
      <c r="AX3458" s="35"/>
      <c r="AY3458" s="35"/>
      <c r="AZ3458" s="35"/>
      <c r="BA3458" s="35"/>
      <c r="BB3458" s="22">
        <f t="shared" si="1028"/>
        <v>0</v>
      </c>
      <c r="BC3458" s="23">
        <v>1</v>
      </c>
      <c r="BD3458" s="130">
        <f t="shared" si="1029"/>
        <v>0</v>
      </c>
      <c r="BE3458" s="130">
        <f t="shared" si="1030"/>
        <v>1</v>
      </c>
      <c r="BF3458" s="195">
        <f t="shared" si="1031"/>
        <v>0</v>
      </c>
      <c r="BG3458" s="373">
        <f t="shared" si="1027"/>
        <v>1</v>
      </c>
    </row>
    <row r="3459" spans="1:59" s="46" customFormat="1" ht="15.95" customHeight="1">
      <c r="A3459" s="176">
        <v>69</v>
      </c>
      <c r="B3459" s="31" t="s">
        <v>969</v>
      </c>
      <c r="C3459" s="32" t="s">
        <v>1086</v>
      </c>
      <c r="D3459" s="231"/>
      <c r="E3459" s="231"/>
      <c r="F3459" s="231"/>
      <c r="G3459" s="231"/>
      <c r="H3459" s="231"/>
      <c r="I3459" s="231"/>
      <c r="J3459" s="231"/>
      <c r="K3459" s="231"/>
      <c r="L3459" s="231"/>
      <c r="M3459" s="231"/>
      <c r="N3459" s="231"/>
      <c r="O3459" s="231"/>
      <c r="P3459" s="231"/>
      <c r="Q3459" s="231"/>
      <c r="R3459" s="231"/>
      <c r="S3459" s="231"/>
      <c r="T3459" s="231"/>
      <c r="U3459" s="231"/>
      <c r="V3459" s="231"/>
      <c r="W3459" s="231"/>
      <c r="X3459" s="231"/>
      <c r="Y3459" s="231"/>
      <c r="Z3459" s="231"/>
      <c r="AA3459" s="231"/>
      <c r="AB3459" s="22">
        <f t="shared" si="1026"/>
        <v>0</v>
      </c>
      <c r="AC3459" s="23">
        <v>0</v>
      </c>
      <c r="AD3459" s="35"/>
      <c r="AE3459" s="35"/>
      <c r="AF3459" s="35"/>
      <c r="AG3459" s="35"/>
      <c r="AH3459" s="35"/>
      <c r="AI3459" s="35"/>
      <c r="AJ3459" s="35"/>
      <c r="AK3459" s="35"/>
      <c r="AL3459" s="35"/>
      <c r="AM3459" s="35"/>
      <c r="AN3459" s="35"/>
      <c r="AO3459" s="35"/>
      <c r="AP3459" s="35"/>
      <c r="AQ3459" s="35"/>
      <c r="AR3459" s="35"/>
      <c r="AS3459" s="35"/>
      <c r="AT3459" s="35"/>
      <c r="AU3459" s="35"/>
      <c r="AV3459" s="35"/>
      <c r="AW3459" s="35"/>
      <c r="AX3459" s="35"/>
      <c r="AY3459" s="35"/>
      <c r="AZ3459" s="35"/>
      <c r="BA3459" s="35"/>
      <c r="BB3459" s="22">
        <f t="shared" si="1028"/>
        <v>0</v>
      </c>
      <c r="BC3459" s="23">
        <v>2</v>
      </c>
      <c r="BD3459" s="130">
        <f t="shared" si="1029"/>
        <v>0</v>
      </c>
      <c r="BE3459" s="130">
        <f t="shared" si="1030"/>
        <v>2</v>
      </c>
      <c r="BF3459" s="195">
        <f t="shared" si="1031"/>
        <v>0</v>
      </c>
      <c r="BG3459" s="373">
        <f t="shared" si="1027"/>
        <v>2</v>
      </c>
    </row>
    <row r="3460" spans="1:59" s="46" customFormat="1" ht="15.95" customHeight="1">
      <c r="A3460" s="176">
        <v>70</v>
      </c>
      <c r="B3460" s="31" t="s">
        <v>1049</v>
      </c>
      <c r="C3460" s="34" t="s">
        <v>1050</v>
      </c>
      <c r="D3460" s="231"/>
      <c r="E3460" s="231"/>
      <c r="F3460" s="231"/>
      <c r="G3460" s="231"/>
      <c r="H3460" s="231"/>
      <c r="I3460" s="231"/>
      <c r="J3460" s="231"/>
      <c r="K3460" s="231"/>
      <c r="L3460" s="231"/>
      <c r="M3460" s="231"/>
      <c r="N3460" s="231"/>
      <c r="O3460" s="231"/>
      <c r="P3460" s="231"/>
      <c r="Q3460" s="231"/>
      <c r="R3460" s="231"/>
      <c r="S3460" s="231"/>
      <c r="T3460" s="231"/>
      <c r="U3460" s="231"/>
      <c r="V3460" s="231"/>
      <c r="W3460" s="231"/>
      <c r="X3460" s="231"/>
      <c r="Y3460" s="231"/>
      <c r="Z3460" s="231"/>
      <c r="AA3460" s="231"/>
      <c r="AB3460" s="22">
        <f t="shared" si="1026"/>
        <v>0</v>
      </c>
      <c r="AC3460" s="23">
        <v>0</v>
      </c>
      <c r="AD3460" s="35"/>
      <c r="AE3460" s="35"/>
      <c r="AF3460" s="35"/>
      <c r="AG3460" s="35"/>
      <c r="AH3460" s="35">
        <v>2</v>
      </c>
      <c r="AI3460" s="35"/>
      <c r="AJ3460" s="35"/>
      <c r="AK3460" s="35"/>
      <c r="AL3460" s="35">
        <v>46</v>
      </c>
      <c r="AM3460" s="35"/>
      <c r="AN3460" s="35"/>
      <c r="AO3460" s="35"/>
      <c r="AP3460" s="35">
        <v>33</v>
      </c>
      <c r="AQ3460" s="35"/>
      <c r="AR3460" s="35"/>
      <c r="AS3460" s="35"/>
      <c r="AT3460" s="35"/>
      <c r="AU3460" s="35"/>
      <c r="AV3460" s="35"/>
      <c r="AW3460" s="35"/>
      <c r="AX3460" s="35"/>
      <c r="AY3460" s="35"/>
      <c r="AZ3460" s="35"/>
      <c r="BA3460" s="35"/>
      <c r="BB3460" s="22">
        <f t="shared" si="1028"/>
        <v>81</v>
      </c>
      <c r="BC3460" s="23">
        <v>61</v>
      </c>
      <c r="BD3460" s="130">
        <f t="shared" si="1029"/>
        <v>81</v>
      </c>
      <c r="BE3460" s="130">
        <f t="shared" si="1030"/>
        <v>61</v>
      </c>
      <c r="BF3460" s="195">
        <f t="shared" si="1031"/>
        <v>132.78688524590163</v>
      </c>
      <c r="BG3460" s="373">
        <f t="shared" si="1027"/>
        <v>-20</v>
      </c>
    </row>
    <row r="3461" spans="1:59" s="46" customFormat="1" ht="15.95" customHeight="1">
      <c r="A3461" s="176">
        <v>71</v>
      </c>
      <c r="B3461" s="31" t="s">
        <v>851</v>
      </c>
      <c r="C3461" s="34" t="s">
        <v>1359</v>
      </c>
      <c r="D3461" s="339"/>
      <c r="E3461" s="339"/>
      <c r="F3461" s="339"/>
      <c r="G3461" s="339"/>
      <c r="H3461" s="339"/>
      <c r="I3461" s="339"/>
      <c r="J3461" s="339"/>
      <c r="K3461" s="339"/>
      <c r="L3461" s="339"/>
      <c r="M3461" s="339"/>
      <c r="N3461" s="339"/>
      <c r="O3461" s="339"/>
      <c r="P3461" s="339"/>
      <c r="Q3461" s="339"/>
      <c r="R3461" s="339"/>
      <c r="S3461" s="339"/>
      <c r="T3461" s="339"/>
      <c r="U3461" s="339"/>
      <c r="V3461" s="339"/>
      <c r="W3461" s="339"/>
      <c r="X3461" s="339"/>
      <c r="Y3461" s="339"/>
      <c r="Z3461" s="339"/>
      <c r="AA3461" s="339"/>
      <c r="AB3461" s="22">
        <f t="shared" si="1026"/>
        <v>0</v>
      </c>
      <c r="AC3461" s="23">
        <v>0</v>
      </c>
      <c r="AD3461" s="35"/>
      <c r="AE3461" s="35"/>
      <c r="AF3461" s="35"/>
      <c r="AG3461" s="35"/>
      <c r="AH3461" s="35"/>
      <c r="AI3461" s="35"/>
      <c r="AJ3461" s="35"/>
      <c r="AK3461" s="35"/>
      <c r="AL3461" s="35">
        <v>1</v>
      </c>
      <c r="AM3461" s="35"/>
      <c r="AN3461" s="35"/>
      <c r="AO3461" s="35"/>
      <c r="AP3461" s="35"/>
      <c r="AQ3461" s="35"/>
      <c r="AR3461" s="35"/>
      <c r="AS3461" s="35"/>
      <c r="AT3461" s="35"/>
      <c r="AU3461" s="35"/>
      <c r="AV3461" s="35"/>
      <c r="AW3461" s="35"/>
      <c r="AX3461" s="35"/>
      <c r="AY3461" s="35"/>
      <c r="AZ3461" s="35"/>
      <c r="BA3461" s="35"/>
      <c r="BB3461" s="22">
        <f t="shared" si="1028"/>
        <v>1</v>
      </c>
      <c r="BC3461" s="23">
        <v>5</v>
      </c>
      <c r="BD3461" s="130">
        <f t="shared" si="1029"/>
        <v>1</v>
      </c>
      <c r="BE3461" s="130">
        <f t="shared" si="1030"/>
        <v>5</v>
      </c>
      <c r="BF3461" s="195">
        <f t="shared" si="1031"/>
        <v>20</v>
      </c>
      <c r="BG3461" s="373">
        <f t="shared" si="1027"/>
        <v>4</v>
      </c>
    </row>
    <row r="3462" spans="1:59" s="46" customFormat="1" ht="15.95" customHeight="1">
      <c r="A3462" s="176">
        <v>72</v>
      </c>
      <c r="B3462" s="31" t="s">
        <v>1088</v>
      </c>
      <c r="C3462" s="32" t="s">
        <v>1089</v>
      </c>
      <c r="D3462" s="231"/>
      <c r="E3462" s="231"/>
      <c r="F3462" s="231"/>
      <c r="G3462" s="231"/>
      <c r="H3462" s="231"/>
      <c r="I3462" s="231"/>
      <c r="J3462" s="231"/>
      <c r="K3462" s="231"/>
      <c r="L3462" s="231"/>
      <c r="M3462" s="231"/>
      <c r="N3462" s="231"/>
      <c r="O3462" s="231"/>
      <c r="P3462" s="231"/>
      <c r="Q3462" s="231"/>
      <c r="R3462" s="231"/>
      <c r="S3462" s="231"/>
      <c r="T3462" s="231"/>
      <c r="U3462" s="231"/>
      <c r="V3462" s="231"/>
      <c r="W3462" s="231"/>
      <c r="X3462" s="231"/>
      <c r="Y3462" s="231"/>
      <c r="Z3462" s="231"/>
      <c r="AA3462" s="231"/>
      <c r="AB3462" s="22">
        <f t="shared" si="1026"/>
        <v>0</v>
      </c>
      <c r="AC3462" s="23">
        <v>0</v>
      </c>
      <c r="AD3462" s="35"/>
      <c r="AE3462" s="35"/>
      <c r="AF3462" s="35"/>
      <c r="AG3462" s="35"/>
      <c r="AH3462" s="35"/>
      <c r="AI3462" s="35"/>
      <c r="AJ3462" s="35"/>
      <c r="AK3462" s="35"/>
      <c r="AL3462" s="35"/>
      <c r="AM3462" s="35"/>
      <c r="AN3462" s="35"/>
      <c r="AO3462" s="35"/>
      <c r="AP3462" s="35"/>
      <c r="AQ3462" s="35"/>
      <c r="AR3462" s="35"/>
      <c r="AS3462" s="35"/>
      <c r="AT3462" s="35"/>
      <c r="AU3462" s="35"/>
      <c r="AV3462" s="35"/>
      <c r="AW3462" s="35"/>
      <c r="AX3462" s="35"/>
      <c r="AY3462" s="35"/>
      <c r="AZ3462" s="35"/>
      <c r="BA3462" s="35"/>
      <c r="BB3462" s="22">
        <f t="shared" si="1028"/>
        <v>0</v>
      </c>
      <c r="BC3462" s="23">
        <v>5</v>
      </c>
      <c r="BD3462" s="130">
        <f t="shared" si="1029"/>
        <v>0</v>
      </c>
      <c r="BE3462" s="130">
        <f t="shared" si="1030"/>
        <v>5</v>
      </c>
      <c r="BF3462" s="195">
        <f t="shared" si="1031"/>
        <v>0</v>
      </c>
      <c r="BG3462" s="373">
        <f t="shared" si="1027"/>
        <v>5</v>
      </c>
    </row>
    <row r="3463" spans="1:59" s="46" customFormat="1" ht="15.95" customHeight="1">
      <c r="A3463" s="176">
        <v>73</v>
      </c>
      <c r="B3463" s="31" t="s">
        <v>1018</v>
      </c>
      <c r="C3463" s="32" t="s">
        <v>1019</v>
      </c>
      <c r="D3463" s="231"/>
      <c r="E3463" s="231"/>
      <c r="F3463" s="231"/>
      <c r="G3463" s="231"/>
      <c r="H3463" s="231"/>
      <c r="I3463" s="231"/>
      <c r="J3463" s="231"/>
      <c r="K3463" s="231"/>
      <c r="L3463" s="231"/>
      <c r="M3463" s="231"/>
      <c r="N3463" s="231"/>
      <c r="O3463" s="231"/>
      <c r="P3463" s="231"/>
      <c r="Q3463" s="231"/>
      <c r="R3463" s="231"/>
      <c r="S3463" s="231"/>
      <c r="T3463" s="231"/>
      <c r="U3463" s="231"/>
      <c r="V3463" s="231"/>
      <c r="W3463" s="231"/>
      <c r="X3463" s="231"/>
      <c r="Y3463" s="231"/>
      <c r="Z3463" s="231"/>
      <c r="AA3463" s="231"/>
      <c r="AB3463" s="22">
        <f t="shared" si="1026"/>
        <v>0</v>
      </c>
      <c r="AC3463" s="23">
        <v>0</v>
      </c>
      <c r="AD3463" s="35"/>
      <c r="AE3463" s="35"/>
      <c r="AF3463" s="35"/>
      <c r="AG3463" s="35"/>
      <c r="AH3463" s="35"/>
      <c r="AI3463" s="35"/>
      <c r="AJ3463" s="35"/>
      <c r="AK3463" s="35"/>
      <c r="AL3463" s="35"/>
      <c r="AM3463" s="35"/>
      <c r="AN3463" s="35"/>
      <c r="AO3463" s="35"/>
      <c r="AP3463" s="35"/>
      <c r="AQ3463" s="35"/>
      <c r="AR3463" s="35"/>
      <c r="AS3463" s="35"/>
      <c r="AT3463" s="35"/>
      <c r="AU3463" s="35"/>
      <c r="AV3463" s="35"/>
      <c r="AW3463" s="35"/>
      <c r="AX3463" s="35"/>
      <c r="AY3463" s="35"/>
      <c r="AZ3463" s="35"/>
      <c r="BA3463" s="35"/>
      <c r="BB3463" s="22">
        <f t="shared" si="1028"/>
        <v>0</v>
      </c>
      <c r="BC3463" s="23">
        <v>1</v>
      </c>
      <c r="BD3463" s="130">
        <f t="shared" si="1029"/>
        <v>0</v>
      </c>
      <c r="BE3463" s="130">
        <f t="shared" si="1030"/>
        <v>1</v>
      </c>
      <c r="BF3463" s="195">
        <f t="shared" si="1031"/>
        <v>0</v>
      </c>
      <c r="BG3463" s="373">
        <f t="shared" si="1027"/>
        <v>1</v>
      </c>
    </row>
    <row r="3464" spans="1:59" s="46" customFormat="1" ht="14.25" customHeight="1">
      <c r="A3464" s="176">
        <v>74</v>
      </c>
      <c r="B3464" s="31" t="s">
        <v>1051</v>
      </c>
      <c r="C3464" s="34" t="s">
        <v>2606</v>
      </c>
      <c r="D3464" s="231"/>
      <c r="E3464" s="231"/>
      <c r="F3464" s="231"/>
      <c r="G3464" s="231"/>
      <c r="H3464" s="231"/>
      <c r="I3464" s="231"/>
      <c r="J3464" s="231"/>
      <c r="K3464" s="231"/>
      <c r="L3464" s="231"/>
      <c r="M3464" s="231"/>
      <c r="N3464" s="231"/>
      <c r="O3464" s="231"/>
      <c r="P3464" s="231"/>
      <c r="Q3464" s="231"/>
      <c r="R3464" s="231"/>
      <c r="S3464" s="231"/>
      <c r="T3464" s="231"/>
      <c r="U3464" s="231"/>
      <c r="V3464" s="231"/>
      <c r="W3464" s="231"/>
      <c r="X3464" s="231"/>
      <c r="Y3464" s="231"/>
      <c r="Z3464" s="231"/>
      <c r="AA3464" s="231"/>
      <c r="AB3464" s="22">
        <f t="shared" si="1026"/>
        <v>0</v>
      </c>
      <c r="AC3464" s="23">
        <v>0</v>
      </c>
      <c r="AD3464" s="35"/>
      <c r="AE3464" s="35"/>
      <c r="AF3464" s="35"/>
      <c r="AG3464" s="35"/>
      <c r="AH3464" s="35"/>
      <c r="AI3464" s="35"/>
      <c r="AJ3464" s="35"/>
      <c r="AK3464" s="35"/>
      <c r="AL3464" s="35"/>
      <c r="AM3464" s="35"/>
      <c r="AN3464" s="35"/>
      <c r="AO3464" s="35"/>
      <c r="AP3464" s="35"/>
      <c r="AQ3464" s="35"/>
      <c r="AR3464" s="35"/>
      <c r="AS3464" s="35"/>
      <c r="AT3464" s="35"/>
      <c r="AU3464" s="35"/>
      <c r="AV3464" s="35"/>
      <c r="AW3464" s="35"/>
      <c r="AX3464" s="35"/>
      <c r="AY3464" s="35"/>
      <c r="AZ3464" s="35"/>
      <c r="BA3464" s="35"/>
      <c r="BB3464" s="22">
        <f t="shared" si="1028"/>
        <v>0</v>
      </c>
      <c r="BC3464" s="23">
        <v>6</v>
      </c>
      <c r="BD3464" s="130">
        <f t="shared" si="1029"/>
        <v>0</v>
      </c>
      <c r="BE3464" s="130">
        <f t="shared" si="1030"/>
        <v>6</v>
      </c>
      <c r="BF3464" s="195">
        <f t="shared" si="1031"/>
        <v>0</v>
      </c>
      <c r="BG3464" s="373">
        <f t="shared" si="1027"/>
        <v>6</v>
      </c>
    </row>
    <row r="3465" spans="1:59" s="46" customFormat="1" ht="14.25" customHeight="1">
      <c r="A3465" s="176">
        <v>75</v>
      </c>
      <c r="B3465" s="31" t="s">
        <v>854</v>
      </c>
      <c r="C3465" s="34" t="s">
        <v>1514</v>
      </c>
      <c r="D3465" s="339"/>
      <c r="E3465" s="339"/>
      <c r="F3465" s="339"/>
      <c r="G3465" s="339"/>
      <c r="H3465" s="339"/>
      <c r="I3465" s="339"/>
      <c r="J3465" s="339"/>
      <c r="K3465" s="339"/>
      <c r="L3465" s="339">
        <f>2+2212</f>
        <v>2214</v>
      </c>
      <c r="M3465" s="339"/>
      <c r="N3465" s="339"/>
      <c r="O3465" s="339"/>
      <c r="P3465" s="339">
        <v>6</v>
      </c>
      <c r="Q3465" s="339"/>
      <c r="R3465" s="339"/>
      <c r="S3465" s="339"/>
      <c r="T3465" s="339"/>
      <c r="U3465" s="339"/>
      <c r="V3465" s="339"/>
      <c r="W3465" s="339"/>
      <c r="X3465" s="339"/>
      <c r="Y3465" s="339"/>
      <c r="Z3465" s="339"/>
      <c r="AA3465" s="339"/>
      <c r="AB3465" s="22">
        <f t="shared" si="1026"/>
        <v>2220</v>
      </c>
      <c r="AC3465" s="23">
        <v>0</v>
      </c>
      <c r="AD3465" s="35">
        <v>1</v>
      </c>
      <c r="AE3465" s="35"/>
      <c r="AF3465" s="35"/>
      <c r="AG3465" s="35"/>
      <c r="AH3465" s="35">
        <f>28+4</f>
        <v>32</v>
      </c>
      <c r="AI3465" s="35"/>
      <c r="AJ3465" s="35"/>
      <c r="AK3465" s="35"/>
      <c r="AL3465" s="35">
        <f>44+4</f>
        <v>48</v>
      </c>
      <c r="AM3465" s="35"/>
      <c r="AN3465" s="35"/>
      <c r="AO3465" s="35"/>
      <c r="AP3465" s="35">
        <f>103+16</f>
        <v>119</v>
      </c>
      <c r="AQ3465" s="35"/>
      <c r="AR3465" s="35"/>
      <c r="AS3465" s="35"/>
      <c r="AT3465" s="35"/>
      <c r="AU3465" s="35"/>
      <c r="AV3465" s="35"/>
      <c r="AW3465" s="35"/>
      <c r="AX3465" s="35"/>
      <c r="AY3465" s="35"/>
      <c r="AZ3465" s="35"/>
      <c r="BA3465" s="35"/>
      <c r="BB3465" s="22">
        <f t="shared" si="1028"/>
        <v>200</v>
      </c>
      <c r="BC3465" s="23">
        <v>918</v>
      </c>
      <c r="BD3465" s="130">
        <f t="shared" si="1029"/>
        <v>2420</v>
      </c>
      <c r="BE3465" s="130">
        <f t="shared" si="1030"/>
        <v>918</v>
      </c>
      <c r="BF3465" s="195">
        <f t="shared" si="1031"/>
        <v>263.61655773420478</v>
      </c>
      <c r="BG3465" s="373">
        <f t="shared" si="1027"/>
        <v>-1502</v>
      </c>
    </row>
    <row r="3466" spans="1:59" s="46" customFormat="1" ht="15.95" customHeight="1">
      <c r="A3466" s="176">
        <v>76</v>
      </c>
      <c r="B3466" s="31" t="s">
        <v>974</v>
      </c>
      <c r="C3466" s="34" t="s">
        <v>1020</v>
      </c>
      <c r="D3466" s="231"/>
      <c r="E3466" s="231"/>
      <c r="F3466" s="231"/>
      <c r="G3466" s="231"/>
      <c r="H3466" s="231"/>
      <c r="I3466" s="231"/>
      <c r="J3466" s="231"/>
      <c r="K3466" s="231"/>
      <c r="L3466" s="231"/>
      <c r="M3466" s="231"/>
      <c r="N3466" s="231"/>
      <c r="O3466" s="231"/>
      <c r="P3466" s="231"/>
      <c r="Q3466" s="231"/>
      <c r="R3466" s="231"/>
      <c r="S3466" s="231"/>
      <c r="T3466" s="231"/>
      <c r="U3466" s="231"/>
      <c r="V3466" s="231"/>
      <c r="W3466" s="231"/>
      <c r="X3466" s="231"/>
      <c r="Y3466" s="231"/>
      <c r="Z3466" s="231"/>
      <c r="AA3466" s="231"/>
      <c r="AB3466" s="22">
        <f t="shared" si="1026"/>
        <v>0</v>
      </c>
      <c r="AC3466" s="23">
        <v>0</v>
      </c>
      <c r="AD3466" s="35"/>
      <c r="AE3466" s="35"/>
      <c r="AF3466" s="35"/>
      <c r="AG3466" s="35"/>
      <c r="AH3466" s="35">
        <v>8</v>
      </c>
      <c r="AI3466" s="35"/>
      <c r="AJ3466" s="35"/>
      <c r="AK3466" s="35"/>
      <c r="AL3466" s="35">
        <f>283+73</f>
        <v>356</v>
      </c>
      <c r="AM3466" s="35"/>
      <c r="AN3466" s="35"/>
      <c r="AO3466" s="35"/>
      <c r="AP3466" s="35">
        <f>637+134</f>
        <v>771</v>
      </c>
      <c r="AQ3466" s="35"/>
      <c r="AR3466" s="35"/>
      <c r="AS3466" s="35"/>
      <c r="AT3466" s="35"/>
      <c r="AU3466" s="35"/>
      <c r="AV3466" s="35"/>
      <c r="AW3466" s="35"/>
      <c r="AX3466" s="35"/>
      <c r="AY3466" s="35"/>
      <c r="AZ3466" s="35"/>
      <c r="BA3466" s="35"/>
      <c r="BB3466" s="22">
        <f t="shared" si="1028"/>
        <v>1135</v>
      </c>
      <c r="BC3466" s="23">
        <v>5102</v>
      </c>
      <c r="BD3466" s="130">
        <f t="shared" si="1029"/>
        <v>1135</v>
      </c>
      <c r="BE3466" s="130">
        <f t="shared" si="1030"/>
        <v>5102</v>
      </c>
      <c r="BF3466" s="195">
        <f t="shared" si="1031"/>
        <v>22.246177969423755</v>
      </c>
      <c r="BG3466" s="373">
        <f t="shared" si="1027"/>
        <v>3967</v>
      </c>
    </row>
    <row r="3467" spans="1:59" s="46" customFormat="1" ht="15.95" customHeight="1">
      <c r="A3467" s="176">
        <v>77</v>
      </c>
      <c r="B3467" s="31" t="s">
        <v>1056</v>
      </c>
      <c r="C3467" s="32" t="s">
        <v>1057</v>
      </c>
      <c r="D3467" s="231"/>
      <c r="E3467" s="231"/>
      <c r="F3467" s="231"/>
      <c r="G3467" s="231"/>
      <c r="H3467" s="231"/>
      <c r="I3467" s="231"/>
      <c r="J3467" s="231"/>
      <c r="K3467" s="231"/>
      <c r="L3467" s="231"/>
      <c r="M3467" s="231"/>
      <c r="N3467" s="231"/>
      <c r="O3467" s="231"/>
      <c r="P3467" s="231"/>
      <c r="Q3467" s="231"/>
      <c r="R3467" s="231"/>
      <c r="S3467" s="231"/>
      <c r="T3467" s="231"/>
      <c r="U3467" s="231"/>
      <c r="V3467" s="231"/>
      <c r="W3467" s="231"/>
      <c r="X3467" s="231"/>
      <c r="Y3467" s="231"/>
      <c r="Z3467" s="231"/>
      <c r="AA3467" s="231"/>
      <c r="AB3467" s="22">
        <f t="shared" si="1026"/>
        <v>0</v>
      </c>
      <c r="AC3467" s="23">
        <v>0</v>
      </c>
      <c r="AD3467" s="35"/>
      <c r="AE3467" s="35"/>
      <c r="AF3467" s="35"/>
      <c r="AG3467" s="35"/>
      <c r="AH3467" s="35"/>
      <c r="AI3467" s="35"/>
      <c r="AJ3467" s="35"/>
      <c r="AK3467" s="35"/>
      <c r="AL3467" s="35"/>
      <c r="AM3467" s="35"/>
      <c r="AN3467" s="35"/>
      <c r="AO3467" s="35"/>
      <c r="AP3467" s="35"/>
      <c r="AQ3467" s="35"/>
      <c r="AR3467" s="35"/>
      <c r="AS3467" s="35"/>
      <c r="AT3467" s="35"/>
      <c r="AU3467" s="35"/>
      <c r="AV3467" s="35"/>
      <c r="AW3467" s="35"/>
      <c r="AX3467" s="35"/>
      <c r="AY3467" s="35"/>
      <c r="AZ3467" s="35"/>
      <c r="BA3467" s="35"/>
      <c r="BB3467" s="22">
        <f t="shared" si="1028"/>
        <v>0</v>
      </c>
      <c r="BC3467" s="23">
        <v>2</v>
      </c>
      <c r="BD3467" s="130">
        <f t="shared" si="1029"/>
        <v>0</v>
      </c>
      <c r="BE3467" s="130">
        <f t="shared" si="1030"/>
        <v>2</v>
      </c>
      <c r="BF3467" s="195">
        <f t="shared" si="1031"/>
        <v>0</v>
      </c>
      <c r="BG3467" s="373">
        <f t="shared" si="1027"/>
        <v>2</v>
      </c>
    </row>
    <row r="3468" spans="1:59" s="46" customFormat="1" ht="15.95" customHeight="1">
      <c r="A3468" s="176">
        <v>78</v>
      </c>
      <c r="B3468" s="31" t="s">
        <v>856</v>
      </c>
      <c r="C3468" s="34" t="s">
        <v>1123</v>
      </c>
      <c r="D3468" s="231"/>
      <c r="E3468" s="231"/>
      <c r="F3468" s="231"/>
      <c r="G3468" s="231"/>
      <c r="H3468" s="231">
        <v>1</v>
      </c>
      <c r="I3468" s="231"/>
      <c r="J3468" s="231"/>
      <c r="K3468" s="231"/>
      <c r="L3468" s="231"/>
      <c r="M3468" s="231"/>
      <c r="N3468" s="231"/>
      <c r="O3468" s="231"/>
      <c r="P3468" s="231"/>
      <c r="Q3468" s="231"/>
      <c r="R3468" s="231"/>
      <c r="S3468" s="231"/>
      <c r="T3468" s="231"/>
      <c r="U3468" s="231"/>
      <c r="V3468" s="231"/>
      <c r="W3468" s="231"/>
      <c r="X3468" s="231"/>
      <c r="Y3468" s="231"/>
      <c r="Z3468" s="231"/>
      <c r="AA3468" s="231"/>
      <c r="AB3468" s="22">
        <f t="shared" ref="AB3468:AB3486" si="1032">SUM(D3468:Z3468)</f>
        <v>1</v>
      </c>
      <c r="AC3468" s="23">
        <v>0</v>
      </c>
      <c r="AD3468" s="35">
        <v>44</v>
      </c>
      <c r="AE3468" s="35"/>
      <c r="AF3468" s="35"/>
      <c r="AG3468" s="35"/>
      <c r="AH3468" s="35">
        <f>2+81</f>
        <v>83</v>
      </c>
      <c r="AI3468" s="35"/>
      <c r="AJ3468" s="35"/>
      <c r="AK3468" s="35"/>
      <c r="AL3468" s="35">
        <f>194+7</f>
        <v>201</v>
      </c>
      <c r="AM3468" s="35"/>
      <c r="AN3468" s="35"/>
      <c r="AO3468" s="35"/>
      <c r="AP3468" s="35">
        <f>250+5</f>
        <v>255</v>
      </c>
      <c r="AQ3468" s="35"/>
      <c r="AR3468" s="35"/>
      <c r="AS3468" s="35"/>
      <c r="AT3468" s="35"/>
      <c r="AU3468" s="35"/>
      <c r="AV3468" s="35"/>
      <c r="AW3468" s="35"/>
      <c r="AX3468" s="35"/>
      <c r="AY3468" s="35"/>
      <c r="AZ3468" s="35"/>
      <c r="BA3468" s="35"/>
      <c r="BB3468" s="22">
        <f t="shared" si="1028"/>
        <v>583</v>
      </c>
      <c r="BC3468" s="23">
        <v>875</v>
      </c>
      <c r="BD3468" s="130">
        <f t="shared" si="1029"/>
        <v>584</v>
      </c>
      <c r="BE3468" s="130">
        <f t="shared" si="1030"/>
        <v>875</v>
      </c>
      <c r="BF3468" s="195">
        <f t="shared" si="1031"/>
        <v>66.742857142857147</v>
      </c>
      <c r="BG3468" s="373">
        <f t="shared" si="1027"/>
        <v>291</v>
      </c>
    </row>
    <row r="3469" spans="1:59" s="46" customFormat="1" ht="15.95" customHeight="1">
      <c r="A3469" s="176">
        <v>79</v>
      </c>
      <c r="B3469" s="31" t="s">
        <v>1022</v>
      </c>
      <c r="C3469" s="34" t="s">
        <v>1643</v>
      </c>
      <c r="D3469" s="231"/>
      <c r="E3469" s="231"/>
      <c r="F3469" s="231"/>
      <c r="G3469" s="231"/>
      <c r="H3469" s="231"/>
      <c r="I3469" s="231"/>
      <c r="J3469" s="231"/>
      <c r="K3469" s="231"/>
      <c r="L3469" s="231">
        <v>8</v>
      </c>
      <c r="M3469" s="231"/>
      <c r="N3469" s="231"/>
      <c r="O3469" s="231"/>
      <c r="P3469" s="231">
        <v>27</v>
      </c>
      <c r="Q3469" s="231"/>
      <c r="R3469" s="231"/>
      <c r="S3469" s="231"/>
      <c r="T3469" s="231"/>
      <c r="U3469" s="231"/>
      <c r="V3469" s="231"/>
      <c r="W3469" s="231"/>
      <c r="X3469" s="231"/>
      <c r="Y3469" s="231"/>
      <c r="Z3469" s="231"/>
      <c r="AA3469" s="231"/>
      <c r="AB3469" s="22">
        <f t="shared" si="1032"/>
        <v>35</v>
      </c>
      <c r="AC3469" s="23">
        <v>0</v>
      </c>
      <c r="AD3469" s="35">
        <v>51</v>
      </c>
      <c r="AE3469" s="35"/>
      <c r="AF3469" s="35"/>
      <c r="AG3469" s="35"/>
      <c r="AH3469" s="35">
        <f>1+74+10</f>
        <v>85</v>
      </c>
      <c r="AI3469" s="35"/>
      <c r="AJ3469" s="35"/>
      <c r="AK3469" s="35"/>
      <c r="AL3469" s="35">
        <f>498+87</f>
        <v>585</v>
      </c>
      <c r="AM3469" s="35"/>
      <c r="AN3469" s="35"/>
      <c r="AO3469" s="35"/>
      <c r="AP3469" s="35">
        <f>884+148</f>
        <v>1032</v>
      </c>
      <c r="AQ3469" s="35"/>
      <c r="AR3469" s="35"/>
      <c r="AS3469" s="35"/>
      <c r="AT3469" s="35"/>
      <c r="AU3469" s="35"/>
      <c r="AV3469" s="35"/>
      <c r="AW3469" s="35"/>
      <c r="AX3469" s="35"/>
      <c r="AY3469" s="35"/>
      <c r="AZ3469" s="35"/>
      <c r="BA3469" s="35"/>
      <c r="BB3469" s="22">
        <f t="shared" si="1028"/>
        <v>1753</v>
      </c>
      <c r="BC3469" s="23">
        <v>5605</v>
      </c>
      <c r="BD3469" s="130">
        <f t="shared" si="1029"/>
        <v>1788</v>
      </c>
      <c r="BE3469" s="130">
        <f t="shared" si="1030"/>
        <v>5605</v>
      </c>
      <c r="BF3469" s="195">
        <f t="shared" si="1031"/>
        <v>31.900089206066014</v>
      </c>
      <c r="BG3469" s="373">
        <f t="shared" si="1027"/>
        <v>3817</v>
      </c>
    </row>
    <row r="3470" spans="1:59" s="46" customFormat="1" ht="15.95" customHeight="1">
      <c r="A3470" s="176">
        <v>80</v>
      </c>
      <c r="B3470" s="31" t="s">
        <v>1059</v>
      </c>
      <c r="C3470" s="34" t="s">
        <v>1060</v>
      </c>
      <c r="D3470" s="231"/>
      <c r="E3470" s="231"/>
      <c r="F3470" s="231"/>
      <c r="G3470" s="231"/>
      <c r="H3470" s="231"/>
      <c r="I3470" s="231"/>
      <c r="J3470" s="231"/>
      <c r="K3470" s="231"/>
      <c r="L3470" s="231"/>
      <c r="M3470" s="231"/>
      <c r="N3470" s="231"/>
      <c r="O3470" s="231"/>
      <c r="P3470" s="231"/>
      <c r="Q3470" s="231"/>
      <c r="R3470" s="231"/>
      <c r="S3470" s="231"/>
      <c r="T3470" s="231"/>
      <c r="U3470" s="231"/>
      <c r="V3470" s="231"/>
      <c r="W3470" s="231"/>
      <c r="X3470" s="231"/>
      <c r="Y3470" s="231"/>
      <c r="Z3470" s="231"/>
      <c r="AA3470" s="231"/>
      <c r="AB3470" s="22">
        <f t="shared" si="1032"/>
        <v>0</v>
      </c>
      <c r="AC3470" s="23">
        <v>0</v>
      </c>
      <c r="AD3470" s="35"/>
      <c r="AE3470" s="35"/>
      <c r="AF3470" s="35"/>
      <c r="AG3470" s="35"/>
      <c r="AH3470" s="35"/>
      <c r="AI3470" s="35"/>
      <c r="AJ3470" s="35"/>
      <c r="AK3470" s="35"/>
      <c r="AL3470" s="35">
        <v>7</v>
      </c>
      <c r="AM3470" s="35"/>
      <c r="AN3470" s="35"/>
      <c r="AO3470" s="35"/>
      <c r="AP3470" s="35">
        <f>7+1</f>
        <v>8</v>
      </c>
      <c r="AQ3470" s="35"/>
      <c r="AR3470" s="35"/>
      <c r="AS3470" s="35"/>
      <c r="AT3470" s="35"/>
      <c r="AU3470" s="35"/>
      <c r="AV3470" s="35"/>
      <c r="AW3470" s="35"/>
      <c r="AX3470" s="35"/>
      <c r="AY3470" s="35"/>
      <c r="AZ3470" s="35"/>
      <c r="BA3470" s="35"/>
      <c r="BB3470" s="22">
        <f t="shared" si="1028"/>
        <v>15</v>
      </c>
      <c r="BC3470" s="23">
        <v>6</v>
      </c>
      <c r="BD3470" s="130">
        <f t="shared" si="1029"/>
        <v>15</v>
      </c>
      <c r="BE3470" s="130">
        <f t="shared" si="1030"/>
        <v>6</v>
      </c>
      <c r="BF3470" s="195">
        <f t="shared" si="1031"/>
        <v>250</v>
      </c>
      <c r="BG3470" s="373">
        <f t="shared" si="1027"/>
        <v>-9</v>
      </c>
    </row>
    <row r="3471" spans="1:59" s="46" customFormat="1" ht="15.95" customHeight="1">
      <c r="A3471" s="176">
        <v>81</v>
      </c>
      <c r="B3471" s="31" t="s">
        <v>1209</v>
      </c>
      <c r="C3471" s="34" t="s">
        <v>1645</v>
      </c>
      <c r="D3471" s="231"/>
      <c r="E3471" s="231"/>
      <c r="F3471" s="231"/>
      <c r="G3471" s="231"/>
      <c r="H3471" s="231"/>
      <c r="I3471" s="231"/>
      <c r="J3471" s="231"/>
      <c r="K3471" s="231"/>
      <c r="L3471" s="231">
        <v>1</v>
      </c>
      <c r="M3471" s="231"/>
      <c r="N3471" s="231"/>
      <c r="O3471" s="231"/>
      <c r="P3471" s="231"/>
      <c r="Q3471" s="231"/>
      <c r="R3471" s="231"/>
      <c r="S3471" s="231"/>
      <c r="T3471" s="231"/>
      <c r="U3471" s="231"/>
      <c r="V3471" s="231"/>
      <c r="W3471" s="231"/>
      <c r="X3471" s="231"/>
      <c r="Y3471" s="231"/>
      <c r="Z3471" s="231"/>
      <c r="AA3471" s="231"/>
      <c r="AB3471" s="22">
        <f t="shared" si="1032"/>
        <v>1</v>
      </c>
      <c r="AC3471" s="23">
        <v>0</v>
      </c>
      <c r="AD3471" s="35"/>
      <c r="AE3471" s="35"/>
      <c r="AF3471" s="35"/>
      <c r="AG3471" s="35"/>
      <c r="AH3471" s="35"/>
      <c r="AI3471" s="35"/>
      <c r="AJ3471" s="35"/>
      <c r="AK3471" s="35"/>
      <c r="AL3471" s="35"/>
      <c r="AM3471" s="35"/>
      <c r="AN3471" s="35"/>
      <c r="AO3471" s="35"/>
      <c r="AP3471" s="35">
        <v>2</v>
      </c>
      <c r="AQ3471" s="35"/>
      <c r="AR3471" s="35"/>
      <c r="AS3471" s="35"/>
      <c r="AT3471" s="35"/>
      <c r="AU3471" s="35"/>
      <c r="AV3471" s="35"/>
      <c r="AW3471" s="35"/>
      <c r="AX3471" s="35"/>
      <c r="AY3471" s="35"/>
      <c r="AZ3471" s="35"/>
      <c r="BA3471" s="35"/>
      <c r="BB3471" s="22">
        <f t="shared" si="1028"/>
        <v>2</v>
      </c>
      <c r="BC3471" s="23">
        <v>8</v>
      </c>
      <c r="BD3471" s="130">
        <f t="shared" si="1029"/>
        <v>3</v>
      </c>
      <c r="BE3471" s="130">
        <f t="shared" si="1030"/>
        <v>8</v>
      </c>
      <c r="BF3471" s="195">
        <f t="shared" si="1031"/>
        <v>37.5</v>
      </c>
      <c r="BG3471" s="373">
        <f t="shared" si="1027"/>
        <v>5</v>
      </c>
    </row>
    <row r="3472" spans="1:59" s="46" customFormat="1" ht="15.95" customHeight="1">
      <c r="A3472" s="176">
        <v>82</v>
      </c>
      <c r="B3472" s="31" t="s">
        <v>858</v>
      </c>
      <c r="C3472" s="32" t="s">
        <v>859</v>
      </c>
      <c r="D3472" s="231"/>
      <c r="E3472" s="231"/>
      <c r="F3472" s="231"/>
      <c r="G3472" s="231"/>
      <c r="H3472" s="231">
        <v>6</v>
      </c>
      <c r="I3472" s="231"/>
      <c r="J3472" s="231"/>
      <c r="K3472" s="231"/>
      <c r="L3472" s="231">
        <f>41+2</f>
        <v>43</v>
      </c>
      <c r="M3472" s="231"/>
      <c r="N3472" s="231"/>
      <c r="O3472" s="231"/>
      <c r="P3472" s="231">
        <v>69</v>
      </c>
      <c r="Q3472" s="231"/>
      <c r="R3472" s="231"/>
      <c r="S3472" s="231"/>
      <c r="T3472" s="231"/>
      <c r="U3472" s="231"/>
      <c r="V3472" s="231"/>
      <c r="W3472" s="231"/>
      <c r="X3472" s="231"/>
      <c r="Y3472" s="231"/>
      <c r="Z3472" s="231"/>
      <c r="AA3472" s="231"/>
      <c r="AB3472" s="22">
        <f t="shared" si="1032"/>
        <v>118</v>
      </c>
      <c r="AC3472" s="23">
        <v>0</v>
      </c>
      <c r="AD3472" s="35">
        <v>115</v>
      </c>
      <c r="AE3472" s="35"/>
      <c r="AF3472" s="35"/>
      <c r="AG3472" s="35"/>
      <c r="AH3472" s="35">
        <f>2+155+2</f>
        <v>159</v>
      </c>
      <c r="AI3472" s="35"/>
      <c r="AJ3472" s="35"/>
      <c r="AK3472" s="35"/>
      <c r="AL3472" s="35">
        <f>721+29</f>
        <v>750</v>
      </c>
      <c r="AM3472" s="35"/>
      <c r="AN3472" s="35"/>
      <c r="AO3472" s="35"/>
      <c r="AP3472" s="35">
        <f>969+46</f>
        <v>1015</v>
      </c>
      <c r="AQ3472" s="35"/>
      <c r="AR3472" s="35"/>
      <c r="AS3472" s="35"/>
      <c r="AT3472" s="35"/>
      <c r="AU3472" s="35"/>
      <c r="AV3472" s="35"/>
      <c r="AW3472" s="35"/>
      <c r="AX3472" s="35"/>
      <c r="AY3472" s="35"/>
      <c r="AZ3472" s="35"/>
      <c r="BA3472" s="35"/>
      <c r="BB3472" s="22">
        <f t="shared" si="1028"/>
        <v>2039</v>
      </c>
      <c r="BC3472" s="23">
        <v>4394</v>
      </c>
      <c r="BD3472" s="130">
        <f t="shared" si="1029"/>
        <v>2157</v>
      </c>
      <c r="BE3472" s="130">
        <f t="shared" si="1030"/>
        <v>4394</v>
      </c>
      <c r="BF3472" s="195">
        <f t="shared" si="1031"/>
        <v>49.089667728720983</v>
      </c>
      <c r="BG3472" s="373">
        <f t="shared" si="1027"/>
        <v>2237</v>
      </c>
    </row>
    <row r="3473" spans="1:59" s="46" customFormat="1" ht="15.95" customHeight="1">
      <c r="A3473" s="176">
        <v>83</v>
      </c>
      <c r="B3473" s="31" t="s">
        <v>860</v>
      </c>
      <c r="C3473" s="34" t="s">
        <v>1646</v>
      </c>
      <c r="D3473" s="231"/>
      <c r="E3473" s="231"/>
      <c r="F3473" s="231"/>
      <c r="G3473" s="231"/>
      <c r="H3473" s="231">
        <v>4</v>
      </c>
      <c r="I3473" s="231"/>
      <c r="J3473" s="231"/>
      <c r="K3473" s="231"/>
      <c r="L3473" s="231">
        <f>31+1</f>
        <v>32</v>
      </c>
      <c r="M3473" s="231"/>
      <c r="N3473" s="231"/>
      <c r="O3473" s="231"/>
      <c r="P3473" s="231">
        <v>60</v>
      </c>
      <c r="Q3473" s="231"/>
      <c r="R3473" s="231"/>
      <c r="S3473" s="231"/>
      <c r="T3473" s="231"/>
      <c r="U3473" s="231"/>
      <c r="V3473" s="231"/>
      <c r="W3473" s="231"/>
      <c r="X3473" s="231"/>
      <c r="Y3473" s="231"/>
      <c r="Z3473" s="231"/>
      <c r="AA3473" s="231"/>
      <c r="AB3473" s="22">
        <f t="shared" si="1032"/>
        <v>96</v>
      </c>
      <c r="AC3473" s="23">
        <v>0</v>
      </c>
      <c r="AD3473" s="35">
        <v>116</v>
      </c>
      <c r="AE3473" s="35"/>
      <c r="AF3473" s="35"/>
      <c r="AG3473" s="35"/>
      <c r="AH3473" s="35">
        <f>2+67+1</f>
        <v>70</v>
      </c>
      <c r="AI3473" s="35"/>
      <c r="AJ3473" s="35"/>
      <c r="AK3473" s="35"/>
      <c r="AL3473" s="35">
        <f>482+72</f>
        <v>554</v>
      </c>
      <c r="AM3473" s="35"/>
      <c r="AN3473" s="35"/>
      <c r="AO3473" s="35"/>
      <c r="AP3473" s="35">
        <f>822+131</f>
        <v>953</v>
      </c>
      <c r="AQ3473" s="35"/>
      <c r="AR3473" s="35"/>
      <c r="AS3473" s="35"/>
      <c r="AT3473" s="35"/>
      <c r="AU3473" s="35"/>
      <c r="AV3473" s="35"/>
      <c r="AW3473" s="35"/>
      <c r="AX3473" s="35"/>
      <c r="AY3473" s="35"/>
      <c r="AZ3473" s="35"/>
      <c r="BA3473" s="35"/>
      <c r="BB3473" s="22">
        <f t="shared" si="1028"/>
        <v>1693</v>
      </c>
      <c r="BC3473" s="23">
        <v>7410</v>
      </c>
      <c r="BD3473" s="130">
        <f t="shared" si="1029"/>
        <v>1789</v>
      </c>
      <c r="BE3473" s="130">
        <f t="shared" si="1030"/>
        <v>7410</v>
      </c>
      <c r="BF3473" s="195">
        <f t="shared" si="1031"/>
        <v>24.143049932523617</v>
      </c>
      <c r="BG3473" s="373">
        <f t="shared" si="1027"/>
        <v>5621</v>
      </c>
    </row>
    <row r="3474" spans="1:59" s="46" customFormat="1" ht="15.95" customHeight="1">
      <c r="A3474" s="176">
        <v>84</v>
      </c>
      <c r="B3474" s="31" t="s">
        <v>862</v>
      </c>
      <c r="C3474" s="34" t="s">
        <v>1515</v>
      </c>
      <c r="D3474" s="231"/>
      <c r="E3474" s="231"/>
      <c r="F3474" s="231"/>
      <c r="G3474" s="231"/>
      <c r="H3474" s="231"/>
      <c r="I3474" s="231"/>
      <c r="J3474" s="231"/>
      <c r="K3474" s="231"/>
      <c r="L3474" s="231"/>
      <c r="M3474" s="231"/>
      <c r="N3474" s="231"/>
      <c r="O3474" s="231"/>
      <c r="P3474" s="231">
        <v>3</v>
      </c>
      <c r="Q3474" s="231"/>
      <c r="R3474" s="231"/>
      <c r="S3474" s="231"/>
      <c r="T3474" s="231"/>
      <c r="U3474" s="231"/>
      <c r="V3474" s="231"/>
      <c r="W3474" s="231"/>
      <c r="X3474" s="231"/>
      <c r="Y3474" s="231"/>
      <c r="Z3474" s="231"/>
      <c r="AA3474" s="231"/>
      <c r="AB3474" s="22">
        <f t="shared" si="1032"/>
        <v>3</v>
      </c>
      <c r="AC3474" s="23">
        <v>0</v>
      </c>
      <c r="AD3474" s="35">
        <v>114</v>
      </c>
      <c r="AE3474" s="35"/>
      <c r="AF3474" s="35"/>
      <c r="AG3474" s="35"/>
      <c r="AH3474" s="35">
        <f>2+48</f>
        <v>50</v>
      </c>
      <c r="AI3474" s="35"/>
      <c r="AJ3474" s="35"/>
      <c r="AK3474" s="35"/>
      <c r="AL3474" s="35">
        <v>68</v>
      </c>
      <c r="AM3474" s="35"/>
      <c r="AN3474" s="35"/>
      <c r="AO3474" s="35"/>
      <c r="AP3474" s="35">
        <f>131+1</f>
        <v>132</v>
      </c>
      <c r="AQ3474" s="35"/>
      <c r="AR3474" s="35"/>
      <c r="AS3474" s="35"/>
      <c r="AT3474" s="35"/>
      <c r="AU3474" s="35"/>
      <c r="AV3474" s="35"/>
      <c r="AW3474" s="35"/>
      <c r="AX3474" s="35"/>
      <c r="AY3474" s="35"/>
      <c r="AZ3474" s="35"/>
      <c r="BA3474" s="35"/>
      <c r="BB3474" s="22">
        <f t="shared" si="1028"/>
        <v>364</v>
      </c>
      <c r="BC3474" s="23">
        <v>568</v>
      </c>
      <c r="BD3474" s="130">
        <f t="shared" si="1029"/>
        <v>367</v>
      </c>
      <c r="BE3474" s="130">
        <f t="shared" si="1030"/>
        <v>568</v>
      </c>
      <c r="BF3474" s="195">
        <f t="shared" si="1031"/>
        <v>64.612676056338032</v>
      </c>
      <c r="BG3474" s="373">
        <f t="shared" si="1027"/>
        <v>201</v>
      </c>
    </row>
    <row r="3475" spans="1:59" s="46" customFormat="1" ht="15.95" customHeight="1">
      <c r="A3475" s="176">
        <v>85</v>
      </c>
      <c r="B3475" s="31" t="s">
        <v>864</v>
      </c>
      <c r="C3475" s="34" t="s">
        <v>1516</v>
      </c>
      <c r="D3475" s="231"/>
      <c r="E3475" s="231"/>
      <c r="F3475" s="231"/>
      <c r="G3475" s="231"/>
      <c r="H3475" s="231"/>
      <c r="I3475" s="231"/>
      <c r="J3475" s="231"/>
      <c r="K3475" s="231"/>
      <c r="L3475" s="231"/>
      <c r="M3475" s="231"/>
      <c r="N3475" s="231"/>
      <c r="O3475" s="231"/>
      <c r="P3475" s="231"/>
      <c r="Q3475" s="231"/>
      <c r="R3475" s="231"/>
      <c r="S3475" s="231"/>
      <c r="T3475" s="231"/>
      <c r="U3475" s="231"/>
      <c r="V3475" s="231"/>
      <c r="W3475" s="231"/>
      <c r="X3475" s="231"/>
      <c r="Y3475" s="231"/>
      <c r="Z3475" s="231"/>
      <c r="AA3475" s="231"/>
      <c r="AB3475" s="22">
        <f t="shared" si="1032"/>
        <v>0</v>
      </c>
      <c r="AC3475" s="23">
        <v>0</v>
      </c>
      <c r="AD3475" s="35">
        <v>4</v>
      </c>
      <c r="AE3475" s="35"/>
      <c r="AF3475" s="35"/>
      <c r="AG3475" s="35"/>
      <c r="AH3475" s="35">
        <v>8</v>
      </c>
      <c r="AI3475" s="35"/>
      <c r="AJ3475" s="35"/>
      <c r="AK3475" s="35"/>
      <c r="AL3475" s="35">
        <v>17</v>
      </c>
      <c r="AM3475" s="35"/>
      <c r="AN3475" s="35"/>
      <c r="AO3475" s="35"/>
      <c r="AP3475" s="35">
        <v>49</v>
      </c>
      <c r="AQ3475" s="35"/>
      <c r="AR3475" s="35"/>
      <c r="AS3475" s="35"/>
      <c r="AT3475" s="35"/>
      <c r="AU3475" s="35"/>
      <c r="AV3475" s="35"/>
      <c r="AW3475" s="35"/>
      <c r="AX3475" s="35"/>
      <c r="AY3475" s="35"/>
      <c r="AZ3475" s="35"/>
      <c r="BA3475" s="35"/>
      <c r="BB3475" s="22">
        <f t="shared" si="1028"/>
        <v>78</v>
      </c>
      <c r="BC3475" s="23">
        <v>116</v>
      </c>
      <c r="BD3475" s="130">
        <f t="shared" si="1029"/>
        <v>78</v>
      </c>
      <c r="BE3475" s="130">
        <f t="shared" si="1030"/>
        <v>116</v>
      </c>
      <c r="BF3475" s="195">
        <f t="shared" si="1031"/>
        <v>67.241379310344826</v>
      </c>
      <c r="BG3475" s="373">
        <f t="shared" si="1027"/>
        <v>38</v>
      </c>
    </row>
    <row r="3476" spans="1:59" s="46" customFormat="1" ht="15.95" customHeight="1">
      <c r="A3476" s="176">
        <v>86</v>
      </c>
      <c r="B3476" s="31" t="s">
        <v>865</v>
      </c>
      <c r="C3476" s="34" t="s">
        <v>1647</v>
      </c>
      <c r="D3476" s="231"/>
      <c r="E3476" s="231"/>
      <c r="F3476" s="231"/>
      <c r="G3476" s="231"/>
      <c r="H3476" s="231"/>
      <c r="I3476" s="231"/>
      <c r="J3476" s="231"/>
      <c r="K3476" s="231"/>
      <c r="L3476" s="231">
        <v>1</v>
      </c>
      <c r="M3476" s="231"/>
      <c r="N3476" s="231"/>
      <c r="O3476" s="231"/>
      <c r="P3476" s="231">
        <v>1</v>
      </c>
      <c r="Q3476" s="231"/>
      <c r="R3476" s="231"/>
      <c r="S3476" s="231"/>
      <c r="T3476" s="231"/>
      <c r="U3476" s="231"/>
      <c r="V3476" s="231"/>
      <c r="W3476" s="231"/>
      <c r="X3476" s="231"/>
      <c r="Y3476" s="231"/>
      <c r="Z3476" s="231"/>
      <c r="AA3476" s="231"/>
      <c r="AB3476" s="22">
        <f t="shared" si="1032"/>
        <v>2</v>
      </c>
      <c r="AC3476" s="23">
        <v>0</v>
      </c>
      <c r="AD3476" s="35"/>
      <c r="AE3476" s="35"/>
      <c r="AF3476" s="35"/>
      <c r="AG3476" s="35"/>
      <c r="AH3476" s="35">
        <v>26</v>
      </c>
      <c r="AI3476" s="35"/>
      <c r="AJ3476" s="35"/>
      <c r="AK3476" s="35"/>
      <c r="AL3476" s="35">
        <f>46+9</f>
        <v>55</v>
      </c>
      <c r="AM3476" s="35"/>
      <c r="AN3476" s="35"/>
      <c r="AO3476" s="35"/>
      <c r="AP3476" s="35">
        <f>67+39</f>
        <v>106</v>
      </c>
      <c r="AQ3476" s="35"/>
      <c r="AR3476" s="35"/>
      <c r="AS3476" s="35"/>
      <c r="AT3476" s="35"/>
      <c r="AU3476" s="35"/>
      <c r="AV3476" s="35"/>
      <c r="AW3476" s="35"/>
      <c r="AX3476" s="35"/>
      <c r="AY3476" s="35"/>
      <c r="AZ3476" s="35"/>
      <c r="BA3476" s="35"/>
      <c r="BB3476" s="22">
        <f t="shared" si="1028"/>
        <v>187</v>
      </c>
      <c r="BC3476" s="23">
        <v>726</v>
      </c>
      <c r="BD3476" s="130">
        <f t="shared" si="1029"/>
        <v>189</v>
      </c>
      <c r="BE3476" s="130">
        <f t="shared" si="1030"/>
        <v>726</v>
      </c>
      <c r="BF3476" s="195">
        <f t="shared" si="1031"/>
        <v>26.033057851239672</v>
      </c>
      <c r="BG3476" s="373">
        <f t="shared" si="1027"/>
        <v>537</v>
      </c>
    </row>
    <row r="3477" spans="1:59" s="46" customFormat="1" ht="15.95" customHeight="1">
      <c r="A3477" s="176">
        <v>87</v>
      </c>
      <c r="B3477" s="31" t="s">
        <v>2743</v>
      </c>
      <c r="C3477" s="34" t="s">
        <v>2744</v>
      </c>
      <c r="D3477" s="231"/>
      <c r="E3477" s="231"/>
      <c r="F3477" s="231"/>
      <c r="G3477" s="231"/>
      <c r="H3477" s="231"/>
      <c r="I3477" s="231"/>
      <c r="J3477" s="231"/>
      <c r="K3477" s="231"/>
      <c r="L3477" s="231"/>
      <c r="M3477" s="231"/>
      <c r="N3477" s="231"/>
      <c r="O3477" s="231"/>
      <c r="P3477" s="231"/>
      <c r="Q3477" s="231"/>
      <c r="R3477" s="231"/>
      <c r="S3477" s="231"/>
      <c r="T3477" s="231"/>
      <c r="U3477" s="231"/>
      <c r="V3477" s="231"/>
      <c r="W3477" s="231"/>
      <c r="X3477" s="231"/>
      <c r="Y3477" s="231"/>
      <c r="Z3477" s="231"/>
      <c r="AA3477" s="231"/>
      <c r="AB3477" s="22">
        <f t="shared" si="1032"/>
        <v>0</v>
      </c>
      <c r="AC3477" s="23">
        <v>0</v>
      </c>
      <c r="AD3477" s="35"/>
      <c r="AE3477" s="35"/>
      <c r="AF3477" s="35"/>
      <c r="AG3477" s="35"/>
      <c r="AH3477" s="35"/>
      <c r="AI3477" s="35"/>
      <c r="AJ3477" s="35"/>
      <c r="AK3477" s="35"/>
      <c r="AL3477" s="35"/>
      <c r="AM3477" s="35"/>
      <c r="AN3477" s="35"/>
      <c r="AO3477" s="35"/>
      <c r="AP3477" s="35"/>
      <c r="AQ3477" s="35"/>
      <c r="AR3477" s="35"/>
      <c r="AS3477" s="35"/>
      <c r="AT3477" s="35"/>
      <c r="AU3477" s="35"/>
      <c r="AV3477" s="35"/>
      <c r="AW3477" s="35"/>
      <c r="AX3477" s="35"/>
      <c r="AY3477" s="35"/>
      <c r="AZ3477" s="35"/>
      <c r="BA3477" s="35"/>
      <c r="BB3477" s="22">
        <f t="shared" si="1028"/>
        <v>0</v>
      </c>
      <c r="BC3477" s="23">
        <v>1</v>
      </c>
      <c r="BD3477" s="130">
        <f t="shared" si="1029"/>
        <v>0</v>
      </c>
      <c r="BE3477" s="130">
        <f t="shared" si="1030"/>
        <v>1</v>
      </c>
      <c r="BF3477" s="195">
        <f t="shared" si="1031"/>
        <v>0</v>
      </c>
      <c r="BG3477" s="373">
        <f t="shared" si="1027"/>
        <v>1</v>
      </c>
    </row>
    <row r="3478" spans="1:59" s="46" customFormat="1" ht="15.95" customHeight="1">
      <c r="A3478" s="176">
        <v>88</v>
      </c>
      <c r="B3478" s="31" t="s">
        <v>922</v>
      </c>
      <c r="C3478" s="34" t="s">
        <v>1651</v>
      </c>
      <c r="D3478" s="255"/>
      <c r="E3478" s="255"/>
      <c r="F3478" s="255"/>
      <c r="G3478" s="255"/>
      <c r="H3478" s="255"/>
      <c r="I3478" s="255"/>
      <c r="J3478" s="255"/>
      <c r="K3478" s="255"/>
      <c r="L3478" s="255"/>
      <c r="M3478" s="255"/>
      <c r="N3478" s="255"/>
      <c r="O3478" s="255"/>
      <c r="P3478" s="255"/>
      <c r="Q3478" s="255"/>
      <c r="R3478" s="255"/>
      <c r="S3478" s="255"/>
      <c r="T3478" s="255"/>
      <c r="U3478" s="255"/>
      <c r="V3478" s="255"/>
      <c r="W3478" s="255"/>
      <c r="X3478" s="255"/>
      <c r="Y3478" s="255"/>
      <c r="Z3478" s="255"/>
      <c r="AA3478" s="255"/>
      <c r="AB3478" s="22">
        <f t="shared" si="1032"/>
        <v>0</v>
      </c>
      <c r="AC3478" s="23">
        <v>0</v>
      </c>
      <c r="AD3478" s="35"/>
      <c r="AE3478" s="35"/>
      <c r="AF3478" s="35"/>
      <c r="AG3478" s="35"/>
      <c r="AH3478" s="35">
        <v>5</v>
      </c>
      <c r="AI3478" s="35"/>
      <c r="AJ3478" s="35"/>
      <c r="AK3478" s="35"/>
      <c r="AL3478" s="35">
        <f>49+78</f>
        <v>127</v>
      </c>
      <c r="AM3478" s="35"/>
      <c r="AN3478" s="35"/>
      <c r="AO3478" s="35"/>
      <c r="AP3478" s="35">
        <f>99+105</f>
        <v>204</v>
      </c>
      <c r="AQ3478" s="35"/>
      <c r="AR3478" s="35"/>
      <c r="AS3478" s="35"/>
      <c r="AT3478" s="35"/>
      <c r="AU3478" s="35"/>
      <c r="AV3478" s="35"/>
      <c r="AW3478" s="35"/>
      <c r="AX3478" s="35"/>
      <c r="AY3478" s="35"/>
      <c r="AZ3478" s="35"/>
      <c r="BA3478" s="35"/>
      <c r="BB3478" s="22">
        <f t="shared" si="1028"/>
        <v>336</v>
      </c>
      <c r="BC3478" s="23">
        <v>236</v>
      </c>
      <c r="BD3478" s="130">
        <f t="shared" si="1029"/>
        <v>336</v>
      </c>
      <c r="BE3478" s="130">
        <f t="shared" si="1030"/>
        <v>236</v>
      </c>
      <c r="BF3478" s="195">
        <f t="shared" si="1031"/>
        <v>142.37288135593221</v>
      </c>
      <c r="BG3478" s="373">
        <f t="shared" si="1027"/>
        <v>-100</v>
      </c>
    </row>
    <row r="3479" spans="1:59" s="46" customFormat="1" ht="15.95" customHeight="1">
      <c r="A3479" s="176">
        <v>89</v>
      </c>
      <c r="B3479" s="31" t="s">
        <v>1029</v>
      </c>
      <c r="C3479" s="34" t="s">
        <v>1652</v>
      </c>
      <c r="D3479" s="231"/>
      <c r="E3479" s="231"/>
      <c r="F3479" s="231"/>
      <c r="G3479" s="231"/>
      <c r="H3479" s="231"/>
      <c r="I3479" s="231"/>
      <c r="J3479" s="231"/>
      <c r="K3479" s="231"/>
      <c r="L3479" s="231"/>
      <c r="M3479" s="231"/>
      <c r="N3479" s="231"/>
      <c r="O3479" s="231"/>
      <c r="P3479" s="231"/>
      <c r="Q3479" s="231"/>
      <c r="R3479" s="231"/>
      <c r="S3479" s="231"/>
      <c r="T3479" s="231"/>
      <c r="U3479" s="231"/>
      <c r="V3479" s="231"/>
      <c r="W3479" s="231"/>
      <c r="X3479" s="231"/>
      <c r="Y3479" s="231"/>
      <c r="Z3479" s="231"/>
      <c r="AA3479" s="231"/>
      <c r="AB3479" s="22">
        <f t="shared" si="1032"/>
        <v>0</v>
      </c>
      <c r="AC3479" s="23">
        <v>0</v>
      </c>
      <c r="AD3479" s="35"/>
      <c r="AE3479" s="35"/>
      <c r="AF3479" s="35"/>
      <c r="AG3479" s="35"/>
      <c r="AH3479" s="35"/>
      <c r="AI3479" s="35"/>
      <c r="AJ3479" s="35"/>
      <c r="AK3479" s="35"/>
      <c r="AL3479" s="35">
        <v>1</v>
      </c>
      <c r="AM3479" s="35"/>
      <c r="AN3479" s="35"/>
      <c r="AO3479" s="35"/>
      <c r="AP3479" s="35">
        <v>1</v>
      </c>
      <c r="AQ3479" s="35"/>
      <c r="AR3479" s="35"/>
      <c r="AS3479" s="35"/>
      <c r="AT3479" s="35"/>
      <c r="AU3479" s="35"/>
      <c r="AV3479" s="35"/>
      <c r="AW3479" s="35"/>
      <c r="AX3479" s="35"/>
      <c r="AY3479" s="35"/>
      <c r="AZ3479" s="35"/>
      <c r="BA3479" s="35"/>
      <c r="BB3479" s="22">
        <f t="shared" si="1028"/>
        <v>2</v>
      </c>
      <c r="BC3479" s="23">
        <v>272</v>
      </c>
      <c r="BD3479" s="130">
        <f t="shared" si="1029"/>
        <v>2</v>
      </c>
      <c r="BE3479" s="130">
        <f t="shared" si="1030"/>
        <v>272</v>
      </c>
      <c r="BF3479" s="195">
        <f t="shared" si="1031"/>
        <v>0.73529411764705876</v>
      </c>
      <c r="BG3479" s="373">
        <f t="shared" si="1027"/>
        <v>270</v>
      </c>
    </row>
    <row r="3480" spans="1:59" s="46" customFormat="1" ht="15.95" customHeight="1">
      <c r="A3480" s="176">
        <v>90</v>
      </c>
      <c r="B3480" s="31" t="s">
        <v>1030</v>
      </c>
      <c r="C3480" s="34" t="s">
        <v>1653</v>
      </c>
      <c r="D3480" s="231"/>
      <c r="E3480" s="231"/>
      <c r="F3480" s="231"/>
      <c r="G3480" s="231"/>
      <c r="H3480" s="231"/>
      <c r="I3480" s="231"/>
      <c r="J3480" s="231"/>
      <c r="K3480" s="231"/>
      <c r="L3480" s="231"/>
      <c r="M3480" s="231"/>
      <c r="N3480" s="231"/>
      <c r="O3480" s="231"/>
      <c r="P3480" s="231"/>
      <c r="Q3480" s="231"/>
      <c r="R3480" s="231"/>
      <c r="S3480" s="231"/>
      <c r="T3480" s="231"/>
      <c r="U3480" s="231"/>
      <c r="V3480" s="231"/>
      <c r="W3480" s="231"/>
      <c r="X3480" s="231"/>
      <c r="Y3480" s="231"/>
      <c r="Z3480" s="231"/>
      <c r="AA3480" s="231"/>
      <c r="AB3480" s="22">
        <f t="shared" si="1032"/>
        <v>0</v>
      </c>
      <c r="AC3480" s="23">
        <v>0</v>
      </c>
      <c r="AD3480" s="35">
        <v>6</v>
      </c>
      <c r="AE3480" s="35"/>
      <c r="AF3480" s="35"/>
      <c r="AG3480" s="35"/>
      <c r="AH3480" s="35">
        <v>8</v>
      </c>
      <c r="AI3480" s="35"/>
      <c r="AJ3480" s="35"/>
      <c r="AK3480" s="35"/>
      <c r="AL3480" s="35">
        <v>37</v>
      </c>
      <c r="AM3480" s="35"/>
      <c r="AN3480" s="35"/>
      <c r="AO3480" s="35"/>
      <c r="AP3480" s="35">
        <v>48</v>
      </c>
      <c r="AQ3480" s="35"/>
      <c r="AR3480" s="35"/>
      <c r="AS3480" s="35"/>
      <c r="AT3480" s="35"/>
      <c r="AU3480" s="35"/>
      <c r="AV3480" s="35"/>
      <c r="AW3480" s="35"/>
      <c r="AX3480" s="35"/>
      <c r="AY3480" s="35"/>
      <c r="AZ3480" s="35"/>
      <c r="BA3480" s="35"/>
      <c r="BB3480" s="22">
        <f t="shared" si="1028"/>
        <v>99</v>
      </c>
      <c r="BC3480" s="23">
        <v>257</v>
      </c>
      <c r="BD3480" s="130">
        <f t="shared" si="1029"/>
        <v>99</v>
      </c>
      <c r="BE3480" s="130">
        <f t="shared" si="1030"/>
        <v>257</v>
      </c>
      <c r="BF3480" s="195">
        <f t="shared" si="1031"/>
        <v>38.521400778210122</v>
      </c>
      <c r="BG3480" s="373">
        <f t="shared" si="1027"/>
        <v>158</v>
      </c>
    </row>
    <row r="3481" spans="1:59" s="46" customFormat="1" ht="15.95" customHeight="1">
      <c r="A3481" s="176">
        <v>91</v>
      </c>
      <c r="B3481" s="31" t="s">
        <v>1032</v>
      </c>
      <c r="C3481" s="32" t="s">
        <v>1033</v>
      </c>
      <c r="D3481" s="231"/>
      <c r="E3481" s="231"/>
      <c r="F3481" s="231"/>
      <c r="G3481" s="231"/>
      <c r="H3481" s="231"/>
      <c r="I3481" s="231"/>
      <c r="J3481" s="231"/>
      <c r="K3481" s="231"/>
      <c r="L3481" s="231"/>
      <c r="M3481" s="231"/>
      <c r="N3481" s="231"/>
      <c r="O3481" s="231"/>
      <c r="P3481" s="231"/>
      <c r="Q3481" s="231"/>
      <c r="R3481" s="231"/>
      <c r="S3481" s="231"/>
      <c r="T3481" s="231"/>
      <c r="U3481" s="231"/>
      <c r="V3481" s="231"/>
      <c r="W3481" s="231"/>
      <c r="X3481" s="231"/>
      <c r="Y3481" s="231"/>
      <c r="Z3481" s="231"/>
      <c r="AA3481" s="231"/>
      <c r="AB3481" s="22">
        <f t="shared" si="1032"/>
        <v>0</v>
      </c>
      <c r="AC3481" s="23">
        <v>0</v>
      </c>
      <c r="AD3481" s="35"/>
      <c r="AE3481" s="35"/>
      <c r="AF3481" s="35"/>
      <c r="AG3481" s="35"/>
      <c r="AH3481" s="35"/>
      <c r="AI3481" s="35"/>
      <c r="AJ3481" s="35"/>
      <c r="AK3481" s="35"/>
      <c r="AL3481" s="35"/>
      <c r="AM3481" s="35"/>
      <c r="AN3481" s="35"/>
      <c r="AO3481" s="35"/>
      <c r="AP3481" s="35">
        <f>2+1</f>
        <v>3</v>
      </c>
      <c r="AQ3481" s="35"/>
      <c r="AR3481" s="35"/>
      <c r="AS3481" s="35"/>
      <c r="AT3481" s="35"/>
      <c r="AU3481" s="35"/>
      <c r="AV3481" s="35"/>
      <c r="AW3481" s="35"/>
      <c r="AX3481" s="35"/>
      <c r="AY3481" s="35"/>
      <c r="AZ3481" s="35"/>
      <c r="BA3481" s="35"/>
      <c r="BB3481" s="22">
        <f t="shared" si="1028"/>
        <v>3</v>
      </c>
      <c r="BC3481" s="23">
        <v>61</v>
      </c>
      <c r="BD3481" s="130">
        <f t="shared" si="1029"/>
        <v>3</v>
      </c>
      <c r="BE3481" s="130">
        <f t="shared" si="1030"/>
        <v>61</v>
      </c>
      <c r="BF3481" s="195">
        <f t="shared" si="1031"/>
        <v>4.918032786885246</v>
      </c>
      <c r="BG3481" s="373">
        <f t="shared" si="1027"/>
        <v>58</v>
      </c>
    </row>
    <row r="3482" spans="1:59" s="46" customFormat="1" ht="15.95" customHeight="1">
      <c r="A3482" s="176">
        <v>92</v>
      </c>
      <c r="B3482" s="31" t="s">
        <v>1656</v>
      </c>
      <c r="C3482" s="34" t="s">
        <v>1657</v>
      </c>
      <c r="D3482" s="231"/>
      <c r="E3482" s="231"/>
      <c r="F3482" s="231"/>
      <c r="G3482" s="231"/>
      <c r="H3482" s="231"/>
      <c r="I3482" s="231"/>
      <c r="J3482" s="231"/>
      <c r="K3482" s="231"/>
      <c r="L3482" s="231"/>
      <c r="M3482" s="231"/>
      <c r="N3482" s="231"/>
      <c r="O3482" s="231"/>
      <c r="P3482" s="231"/>
      <c r="Q3482" s="231"/>
      <c r="R3482" s="231"/>
      <c r="S3482" s="231"/>
      <c r="T3482" s="231"/>
      <c r="U3482" s="231"/>
      <c r="V3482" s="231"/>
      <c r="W3482" s="231"/>
      <c r="X3482" s="231"/>
      <c r="Y3482" s="231"/>
      <c r="Z3482" s="231"/>
      <c r="AA3482" s="231"/>
      <c r="AB3482" s="22">
        <f t="shared" si="1032"/>
        <v>0</v>
      </c>
      <c r="AC3482" s="23">
        <v>0</v>
      </c>
      <c r="AD3482" s="35"/>
      <c r="AE3482" s="35"/>
      <c r="AF3482" s="35"/>
      <c r="AG3482" s="35"/>
      <c r="AH3482" s="35">
        <v>22</v>
      </c>
      <c r="AI3482" s="35"/>
      <c r="AJ3482" s="35"/>
      <c r="AK3482" s="35"/>
      <c r="AL3482" s="35">
        <v>120</v>
      </c>
      <c r="AM3482" s="35"/>
      <c r="AN3482" s="35"/>
      <c r="AO3482" s="35"/>
      <c r="AP3482" s="35">
        <v>66</v>
      </c>
      <c r="AQ3482" s="35"/>
      <c r="AR3482" s="35"/>
      <c r="AS3482" s="35"/>
      <c r="AT3482" s="35"/>
      <c r="AU3482" s="35"/>
      <c r="AV3482" s="35"/>
      <c r="AW3482" s="35"/>
      <c r="AX3482" s="35"/>
      <c r="AY3482" s="35"/>
      <c r="AZ3482" s="35"/>
      <c r="BA3482" s="35"/>
      <c r="BB3482" s="22">
        <f t="shared" si="1028"/>
        <v>208</v>
      </c>
      <c r="BC3482" s="23">
        <v>326</v>
      </c>
      <c r="BD3482" s="130">
        <f t="shared" si="1029"/>
        <v>208</v>
      </c>
      <c r="BE3482" s="130">
        <f t="shared" si="1030"/>
        <v>326</v>
      </c>
      <c r="BF3482" s="195">
        <f t="shared" si="1031"/>
        <v>63.803680981595093</v>
      </c>
      <c r="BG3482" s="373">
        <f t="shared" si="1027"/>
        <v>118</v>
      </c>
    </row>
    <row r="3483" spans="1:59" s="46" customFormat="1" ht="23.25" customHeight="1">
      <c r="A3483" s="176">
        <v>93</v>
      </c>
      <c r="B3483" s="31" t="s">
        <v>1034</v>
      </c>
      <c r="C3483" s="34" t="s">
        <v>1660</v>
      </c>
      <c r="D3483" s="231"/>
      <c r="E3483" s="231"/>
      <c r="F3483" s="231"/>
      <c r="G3483" s="231"/>
      <c r="H3483" s="231">
        <v>2</v>
      </c>
      <c r="I3483" s="231"/>
      <c r="J3483" s="231"/>
      <c r="K3483" s="231"/>
      <c r="L3483" s="231">
        <v>7</v>
      </c>
      <c r="M3483" s="231"/>
      <c r="N3483" s="231"/>
      <c r="O3483" s="231"/>
      <c r="P3483" s="231">
        <v>34</v>
      </c>
      <c r="Q3483" s="231"/>
      <c r="R3483" s="231"/>
      <c r="S3483" s="231"/>
      <c r="T3483" s="231"/>
      <c r="U3483" s="231"/>
      <c r="V3483" s="231"/>
      <c r="W3483" s="231"/>
      <c r="X3483" s="231"/>
      <c r="Y3483" s="231"/>
      <c r="Z3483" s="231"/>
      <c r="AA3483" s="231"/>
      <c r="AB3483" s="22">
        <f t="shared" si="1032"/>
        <v>43</v>
      </c>
      <c r="AC3483" s="23">
        <v>0</v>
      </c>
      <c r="AD3483" s="35">
        <v>122</v>
      </c>
      <c r="AE3483" s="35"/>
      <c r="AF3483" s="35"/>
      <c r="AG3483" s="35"/>
      <c r="AH3483" s="35">
        <f>2+125+7</f>
        <v>134</v>
      </c>
      <c r="AI3483" s="35"/>
      <c r="AJ3483" s="35"/>
      <c r="AK3483" s="35"/>
      <c r="AL3483" s="35">
        <f>796+109</f>
        <v>905</v>
      </c>
      <c r="AM3483" s="35"/>
      <c r="AN3483" s="35"/>
      <c r="AO3483" s="35"/>
      <c r="AP3483" s="35">
        <f>1161+210</f>
        <v>1371</v>
      </c>
      <c r="AQ3483" s="35"/>
      <c r="AR3483" s="35"/>
      <c r="AS3483" s="35"/>
      <c r="AT3483" s="35"/>
      <c r="AU3483" s="35"/>
      <c r="AV3483" s="35"/>
      <c r="AW3483" s="35"/>
      <c r="AX3483" s="35"/>
      <c r="AY3483" s="35"/>
      <c r="AZ3483" s="35"/>
      <c r="BA3483" s="35"/>
      <c r="BB3483" s="22">
        <f t="shared" si="1028"/>
        <v>2532</v>
      </c>
      <c r="BC3483" s="23">
        <v>5644</v>
      </c>
      <c r="BD3483" s="130">
        <f t="shared" si="1029"/>
        <v>2575</v>
      </c>
      <c r="BE3483" s="130">
        <f t="shared" si="1030"/>
        <v>5644</v>
      </c>
      <c r="BF3483" s="195">
        <f t="shared" si="1031"/>
        <v>45.623671155209074</v>
      </c>
      <c r="BG3483" s="373">
        <f t="shared" si="1027"/>
        <v>3069</v>
      </c>
    </row>
    <row r="3484" spans="1:59" s="46" customFormat="1" ht="23.25" customHeight="1">
      <c r="A3484" s="176">
        <v>94</v>
      </c>
      <c r="B3484" s="31" t="s">
        <v>977</v>
      </c>
      <c r="C3484" s="34" t="s">
        <v>978</v>
      </c>
      <c r="D3484" s="231"/>
      <c r="E3484" s="231"/>
      <c r="F3484" s="231"/>
      <c r="G3484" s="231"/>
      <c r="H3484" s="231"/>
      <c r="I3484" s="231"/>
      <c r="J3484" s="231"/>
      <c r="K3484" s="231"/>
      <c r="L3484" s="231"/>
      <c r="M3484" s="231"/>
      <c r="N3484" s="231"/>
      <c r="O3484" s="231"/>
      <c r="P3484" s="231"/>
      <c r="Q3484" s="231"/>
      <c r="R3484" s="231"/>
      <c r="S3484" s="231"/>
      <c r="T3484" s="231"/>
      <c r="U3484" s="231"/>
      <c r="V3484" s="231"/>
      <c r="W3484" s="231"/>
      <c r="X3484" s="231"/>
      <c r="Y3484" s="231"/>
      <c r="Z3484" s="231"/>
      <c r="AA3484" s="231"/>
      <c r="AB3484" s="22">
        <f t="shared" si="1032"/>
        <v>0</v>
      </c>
      <c r="AC3484" s="23">
        <v>0</v>
      </c>
      <c r="AD3484" s="35"/>
      <c r="AE3484" s="35"/>
      <c r="AF3484" s="35"/>
      <c r="AG3484" s="35"/>
      <c r="AH3484" s="35"/>
      <c r="AI3484" s="35"/>
      <c r="AJ3484" s="35"/>
      <c r="AK3484" s="35"/>
      <c r="AL3484" s="35"/>
      <c r="AM3484" s="35"/>
      <c r="AN3484" s="35"/>
      <c r="AO3484" s="35"/>
      <c r="AP3484" s="35"/>
      <c r="AQ3484" s="35"/>
      <c r="AR3484" s="35"/>
      <c r="AS3484" s="35"/>
      <c r="AT3484" s="35"/>
      <c r="AU3484" s="35"/>
      <c r="AV3484" s="35"/>
      <c r="AW3484" s="35"/>
      <c r="AX3484" s="35"/>
      <c r="AY3484" s="35"/>
      <c r="AZ3484" s="35"/>
      <c r="BA3484" s="35"/>
      <c r="BB3484" s="22">
        <f t="shared" si="1028"/>
        <v>0</v>
      </c>
      <c r="BC3484" s="23">
        <v>70</v>
      </c>
      <c r="BD3484" s="130">
        <f t="shared" si="1029"/>
        <v>0</v>
      </c>
      <c r="BE3484" s="130">
        <f t="shared" si="1030"/>
        <v>70</v>
      </c>
      <c r="BF3484" s="195">
        <f t="shared" si="1031"/>
        <v>0</v>
      </c>
      <c r="BG3484" s="373">
        <f t="shared" si="1027"/>
        <v>70</v>
      </c>
    </row>
    <row r="3485" spans="1:59" s="46" customFormat="1" ht="17.25" customHeight="1">
      <c r="A3485" s="176">
        <v>95</v>
      </c>
      <c r="B3485" s="31" t="s">
        <v>1091</v>
      </c>
      <c r="C3485" s="32" t="s">
        <v>1662</v>
      </c>
      <c r="D3485" s="231"/>
      <c r="E3485" s="231"/>
      <c r="F3485" s="231"/>
      <c r="G3485" s="231"/>
      <c r="H3485" s="231">
        <v>1</v>
      </c>
      <c r="I3485" s="231"/>
      <c r="J3485" s="231"/>
      <c r="K3485" s="231"/>
      <c r="L3485" s="231"/>
      <c r="M3485" s="231"/>
      <c r="N3485" s="231"/>
      <c r="O3485" s="231"/>
      <c r="P3485" s="231">
        <v>2</v>
      </c>
      <c r="Q3485" s="231"/>
      <c r="R3485" s="231"/>
      <c r="S3485" s="231"/>
      <c r="T3485" s="231"/>
      <c r="U3485" s="231"/>
      <c r="V3485" s="231"/>
      <c r="W3485" s="231"/>
      <c r="X3485" s="231"/>
      <c r="Y3485" s="231"/>
      <c r="Z3485" s="231"/>
      <c r="AA3485" s="231"/>
      <c r="AB3485" s="22">
        <f t="shared" si="1032"/>
        <v>3</v>
      </c>
      <c r="AC3485" s="23">
        <v>0</v>
      </c>
      <c r="AD3485" s="35">
        <v>4</v>
      </c>
      <c r="AE3485" s="35"/>
      <c r="AF3485" s="35"/>
      <c r="AG3485" s="35"/>
      <c r="AH3485" s="35">
        <v>4</v>
      </c>
      <c r="AI3485" s="35"/>
      <c r="AJ3485" s="35"/>
      <c r="AK3485" s="35"/>
      <c r="AL3485" s="35">
        <v>9</v>
      </c>
      <c r="AM3485" s="35"/>
      <c r="AN3485" s="35"/>
      <c r="AO3485" s="35"/>
      <c r="AP3485" s="35">
        <v>15</v>
      </c>
      <c r="AQ3485" s="35"/>
      <c r="AR3485" s="35"/>
      <c r="AS3485" s="35"/>
      <c r="AT3485" s="35"/>
      <c r="AU3485" s="35"/>
      <c r="AV3485" s="35"/>
      <c r="AW3485" s="35"/>
      <c r="AX3485" s="35"/>
      <c r="AY3485" s="35"/>
      <c r="AZ3485" s="35"/>
      <c r="BA3485" s="35"/>
      <c r="BB3485" s="22">
        <f t="shared" si="1028"/>
        <v>32</v>
      </c>
      <c r="BC3485" s="23">
        <v>210</v>
      </c>
      <c r="BD3485" s="130">
        <f t="shared" si="1029"/>
        <v>35</v>
      </c>
      <c r="BE3485" s="130">
        <f t="shared" si="1030"/>
        <v>210</v>
      </c>
      <c r="BF3485" s="195">
        <f t="shared" si="1031"/>
        <v>16.666666666666664</v>
      </c>
      <c r="BG3485" s="373">
        <f t="shared" si="1027"/>
        <v>175</v>
      </c>
    </row>
    <row r="3486" spans="1:59" s="46" customFormat="1" ht="17.25" customHeight="1">
      <c r="A3486" s="176">
        <v>96</v>
      </c>
      <c r="B3486" s="31" t="s">
        <v>866</v>
      </c>
      <c r="C3486" s="32" t="s">
        <v>867</v>
      </c>
      <c r="D3486" s="231"/>
      <c r="E3486" s="231"/>
      <c r="F3486" s="231"/>
      <c r="G3486" s="231"/>
      <c r="H3486" s="231"/>
      <c r="I3486" s="231"/>
      <c r="J3486" s="231"/>
      <c r="K3486" s="231"/>
      <c r="L3486" s="231"/>
      <c r="M3486" s="231"/>
      <c r="N3486" s="231"/>
      <c r="O3486" s="231"/>
      <c r="P3486" s="231"/>
      <c r="Q3486" s="231"/>
      <c r="R3486" s="231"/>
      <c r="S3486" s="231"/>
      <c r="T3486" s="231"/>
      <c r="U3486" s="231"/>
      <c r="V3486" s="231"/>
      <c r="W3486" s="231"/>
      <c r="X3486" s="231"/>
      <c r="Y3486" s="231"/>
      <c r="Z3486" s="231"/>
      <c r="AA3486" s="231"/>
      <c r="AB3486" s="22">
        <f t="shared" si="1032"/>
        <v>0</v>
      </c>
      <c r="AC3486" s="23">
        <v>0</v>
      </c>
      <c r="AD3486" s="35"/>
      <c r="AE3486" s="35"/>
      <c r="AF3486" s="35"/>
      <c r="AG3486" s="35"/>
      <c r="AH3486" s="35">
        <v>8</v>
      </c>
      <c r="AI3486" s="35"/>
      <c r="AJ3486" s="35"/>
      <c r="AK3486" s="35"/>
      <c r="AL3486" s="35">
        <f>283+73</f>
        <v>356</v>
      </c>
      <c r="AM3486" s="35"/>
      <c r="AN3486" s="35"/>
      <c r="AO3486" s="35"/>
      <c r="AP3486" s="35">
        <f>637+135</f>
        <v>772</v>
      </c>
      <c r="AQ3486" s="35"/>
      <c r="AR3486" s="35"/>
      <c r="AS3486" s="35"/>
      <c r="AT3486" s="35"/>
      <c r="AU3486" s="35"/>
      <c r="AV3486" s="35"/>
      <c r="AW3486" s="35"/>
      <c r="AX3486" s="35"/>
      <c r="AY3486" s="35"/>
      <c r="AZ3486" s="35"/>
      <c r="BA3486" s="35"/>
      <c r="BB3486" s="22">
        <f t="shared" si="1028"/>
        <v>1136</v>
      </c>
      <c r="BC3486" s="23">
        <v>6110</v>
      </c>
      <c r="BD3486" s="130">
        <f t="shared" si="1029"/>
        <v>1136</v>
      </c>
      <c r="BE3486" s="130">
        <f t="shared" si="1030"/>
        <v>6110</v>
      </c>
      <c r="BF3486" s="195">
        <f t="shared" si="1031"/>
        <v>18.592471358428806</v>
      </c>
      <c r="BG3486" s="373">
        <f t="shared" si="1027"/>
        <v>4974</v>
      </c>
    </row>
    <row r="3487" spans="1:59" s="46" customFormat="1" ht="17.25" customHeight="1">
      <c r="A3487" s="176">
        <v>97</v>
      </c>
      <c r="B3487" s="437" t="s">
        <v>3047</v>
      </c>
      <c r="C3487" s="447" t="s">
        <v>3048</v>
      </c>
      <c r="D3487" s="231"/>
      <c r="E3487" s="231"/>
      <c r="F3487" s="231"/>
      <c r="G3487" s="231"/>
      <c r="H3487" s="231"/>
      <c r="I3487" s="231"/>
      <c r="J3487" s="231"/>
      <c r="K3487" s="231"/>
      <c r="L3487" s="231"/>
      <c r="M3487" s="231"/>
      <c r="N3487" s="231"/>
      <c r="O3487" s="231"/>
      <c r="P3487" s="231"/>
      <c r="Q3487" s="231"/>
      <c r="R3487" s="231"/>
      <c r="S3487" s="231"/>
      <c r="T3487" s="231"/>
      <c r="U3487" s="231"/>
      <c r="V3487" s="231"/>
      <c r="W3487" s="231"/>
      <c r="X3487" s="231"/>
      <c r="Y3487" s="231"/>
      <c r="Z3487" s="231"/>
      <c r="AA3487" s="231"/>
      <c r="AB3487" s="22">
        <f>SUM(D3487:AA3487)</f>
        <v>0</v>
      </c>
      <c r="AC3487" s="23">
        <v>8</v>
      </c>
      <c r="AD3487" s="35"/>
      <c r="AE3487" s="35"/>
      <c r="AF3487" s="35"/>
      <c r="AG3487" s="35"/>
      <c r="AH3487" s="35"/>
      <c r="AI3487" s="35"/>
      <c r="AJ3487" s="35"/>
      <c r="AK3487" s="35"/>
      <c r="AL3487" s="35"/>
      <c r="AM3487" s="35"/>
      <c r="AN3487" s="35"/>
      <c r="AO3487" s="35"/>
      <c r="AP3487" s="35">
        <v>3</v>
      </c>
      <c r="AQ3487" s="35"/>
      <c r="AR3487" s="35"/>
      <c r="AS3487" s="35"/>
      <c r="AT3487" s="35"/>
      <c r="AU3487" s="35"/>
      <c r="AV3487" s="35"/>
      <c r="AW3487" s="35"/>
      <c r="AX3487" s="35"/>
      <c r="AY3487" s="35"/>
      <c r="AZ3487" s="35"/>
      <c r="BA3487" s="35"/>
      <c r="BB3487" s="22">
        <f t="shared" ref="BB3487" si="1033">SUM(AD3487:BA3487)</f>
        <v>3</v>
      </c>
      <c r="BC3487" s="23">
        <v>0</v>
      </c>
      <c r="BD3487" s="130">
        <f t="shared" si="1029"/>
        <v>3</v>
      </c>
      <c r="BE3487" s="130">
        <f t="shared" si="1030"/>
        <v>8</v>
      </c>
      <c r="BF3487" s="195">
        <f t="shared" ref="BF3487" si="1034">BD3487/BE3487*100</f>
        <v>37.5</v>
      </c>
      <c r="BG3487" s="373">
        <f t="shared" si="1027"/>
        <v>5</v>
      </c>
    </row>
    <row r="3488" spans="1:59" s="46" customFormat="1" ht="13.5" customHeight="1">
      <c r="A3488" s="636" t="s">
        <v>1663</v>
      </c>
      <c r="B3488" s="637"/>
      <c r="C3488" s="637"/>
      <c r="D3488" s="98">
        <f t="shared" ref="D3488:AI3488" si="1035">SUM(D3489:D3506)</f>
        <v>825</v>
      </c>
      <c r="E3488" s="98">
        <f t="shared" si="1035"/>
        <v>0</v>
      </c>
      <c r="F3488" s="98">
        <f t="shared" si="1035"/>
        <v>0</v>
      </c>
      <c r="G3488" s="98">
        <f t="shared" si="1035"/>
        <v>119</v>
      </c>
      <c r="H3488" s="98">
        <f t="shared" si="1035"/>
        <v>917</v>
      </c>
      <c r="I3488" s="98">
        <f t="shared" si="1035"/>
        <v>0</v>
      </c>
      <c r="J3488" s="98">
        <f t="shared" si="1035"/>
        <v>0</v>
      </c>
      <c r="K3488" s="98">
        <f t="shared" si="1035"/>
        <v>310</v>
      </c>
      <c r="L3488" s="98">
        <f t="shared" si="1035"/>
        <v>940</v>
      </c>
      <c r="M3488" s="98">
        <f t="shared" si="1035"/>
        <v>0</v>
      </c>
      <c r="N3488" s="98">
        <f t="shared" si="1035"/>
        <v>0</v>
      </c>
      <c r="O3488" s="98">
        <f t="shared" si="1035"/>
        <v>972</v>
      </c>
      <c r="P3488" s="98">
        <f t="shared" si="1035"/>
        <v>420</v>
      </c>
      <c r="Q3488" s="98">
        <f t="shared" si="1035"/>
        <v>0</v>
      </c>
      <c r="R3488" s="98">
        <f t="shared" si="1035"/>
        <v>0</v>
      </c>
      <c r="S3488" s="98">
        <f t="shared" si="1035"/>
        <v>191</v>
      </c>
      <c r="T3488" s="98">
        <f t="shared" si="1035"/>
        <v>0</v>
      </c>
      <c r="U3488" s="98">
        <f t="shared" si="1035"/>
        <v>0</v>
      </c>
      <c r="V3488" s="98">
        <f t="shared" si="1035"/>
        <v>0</v>
      </c>
      <c r="W3488" s="98">
        <f t="shared" si="1035"/>
        <v>0</v>
      </c>
      <c r="X3488" s="98">
        <f t="shared" si="1035"/>
        <v>0</v>
      </c>
      <c r="Y3488" s="98">
        <f t="shared" si="1035"/>
        <v>0</v>
      </c>
      <c r="Z3488" s="98">
        <f t="shared" si="1035"/>
        <v>0</v>
      </c>
      <c r="AA3488" s="98">
        <f t="shared" si="1035"/>
        <v>0</v>
      </c>
      <c r="AB3488" s="98">
        <f t="shared" si="1035"/>
        <v>4694</v>
      </c>
      <c r="AC3488" s="161">
        <f t="shared" si="1035"/>
        <v>3716</v>
      </c>
      <c r="AD3488" s="130">
        <f t="shared" si="1035"/>
        <v>0</v>
      </c>
      <c r="AE3488" s="130">
        <f t="shared" si="1035"/>
        <v>0</v>
      </c>
      <c r="AF3488" s="130">
        <f t="shared" si="1035"/>
        <v>0</v>
      </c>
      <c r="AG3488" s="130">
        <f t="shared" si="1035"/>
        <v>0</v>
      </c>
      <c r="AH3488" s="130">
        <f t="shared" si="1035"/>
        <v>2</v>
      </c>
      <c r="AI3488" s="130">
        <f t="shared" si="1035"/>
        <v>0</v>
      </c>
      <c r="AJ3488" s="130">
        <f t="shared" ref="AJ3488:BC3488" si="1036">SUM(AJ3489:AJ3506)</f>
        <v>0</v>
      </c>
      <c r="AK3488" s="130">
        <f t="shared" si="1036"/>
        <v>0</v>
      </c>
      <c r="AL3488" s="130">
        <f t="shared" si="1036"/>
        <v>1</v>
      </c>
      <c r="AM3488" s="130">
        <f t="shared" si="1036"/>
        <v>0</v>
      </c>
      <c r="AN3488" s="130">
        <f t="shared" si="1036"/>
        <v>0</v>
      </c>
      <c r="AO3488" s="130">
        <f t="shared" si="1036"/>
        <v>0</v>
      </c>
      <c r="AP3488" s="130">
        <f t="shared" si="1036"/>
        <v>0</v>
      </c>
      <c r="AQ3488" s="130">
        <f t="shared" si="1036"/>
        <v>0</v>
      </c>
      <c r="AR3488" s="130">
        <f t="shared" si="1036"/>
        <v>0</v>
      </c>
      <c r="AS3488" s="130">
        <f t="shared" si="1036"/>
        <v>0</v>
      </c>
      <c r="AT3488" s="130">
        <f t="shared" si="1036"/>
        <v>0</v>
      </c>
      <c r="AU3488" s="130">
        <f t="shared" si="1036"/>
        <v>0</v>
      </c>
      <c r="AV3488" s="130">
        <f t="shared" si="1036"/>
        <v>0</v>
      </c>
      <c r="AW3488" s="130">
        <f t="shared" si="1036"/>
        <v>0</v>
      </c>
      <c r="AX3488" s="130">
        <f t="shared" si="1036"/>
        <v>0</v>
      </c>
      <c r="AY3488" s="130">
        <f t="shared" si="1036"/>
        <v>0</v>
      </c>
      <c r="AZ3488" s="130">
        <f t="shared" si="1036"/>
        <v>0</v>
      </c>
      <c r="BA3488" s="130">
        <f t="shared" si="1036"/>
        <v>0</v>
      </c>
      <c r="BB3488" s="130">
        <f t="shared" si="1036"/>
        <v>3</v>
      </c>
      <c r="BC3488" s="103">
        <f t="shared" si="1036"/>
        <v>2231</v>
      </c>
      <c r="BD3488" s="130">
        <f t="shared" ref="BD3488" si="1037">AB3488+BB3488</f>
        <v>4697</v>
      </c>
      <c r="BE3488" s="130">
        <f t="shared" ref="BE3488" si="1038">AC3488+BC3488</f>
        <v>5947</v>
      </c>
      <c r="BF3488" s="195">
        <f t="shared" ref="BF3488:BF3507" si="1039">BD3488/BE3488*100</f>
        <v>78.980998822935931</v>
      </c>
      <c r="BG3488" s="374">
        <f t="shared" ref="BG3488" si="1040">BE3488-BD3488</f>
        <v>1250</v>
      </c>
    </row>
    <row r="3489" spans="1:61" s="46" customFormat="1" ht="21" customHeight="1">
      <c r="A3489" s="433">
        <v>1</v>
      </c>
      <c r="B3489" s="418" t="s">
        <v>2246</v>
      </c>
      <c r="C3489" s="419" t="s">
        <v>2247</v>
      </c>
      <c r="D3489" s="231"/>
      <c r="E3489" s="231"/>
      <c r="F3489" s="231"/>
      <c r="G3489" s="231">
        <f>98+7+14</f>
        <v>119</v>
      </c>
      <c r="H3489" s="231"/>
      <c r="I3489" s="231"/>
      <c r="J3489" s="231"/>
      <c r="K3489" s="231">
        <f>246+64</f>
        <v>310</v>
      </c>
      <c r="L3489" s="231"/>
      <c r="M3489" s="231"/>
      <c r="N3489" s="231"/>
      <c r="O3489" s="231">
        <f>732+2+238</f>
        <v>972</v>
      </c>
      <c r="P3489" s="231"/>
      <c r="Q3489" s="231"/>
      <c r="R3489" s="231"/>
      <c r="S3489" s="231">
        <v>191</v>
      </c>
      <c r="T3489" s="231"/>
      <c r="U3489" s="231"/>
      <c r="V3489" s="231"/>
      <c r="W3489" s="231"/>
      <c r="X3489" s="231"/>
      <c r="Y3489" s="231"/>
      <c r="Z3489" s="231"/>
      <c r="AA3489" s="231"/>
      <c r="AB3489" s="22">
        <f t="shared" ref="AB3489:AB3506" si="1041">SUM(D3489:AA3489)</f>
        <v>1592</v>
      </c>
      <c r="AC3489" s="23">
        <v>298</v>
      </c>
      <c r="AD3489" s="35"/>
      <c r="AE3489" s="35"/>
      <c r="AF3489" s="35"/>
      <c r="AG3489" s="35"/>
      <c r="AH3489" s="35"/>
      <c r="AI3489" s="35"/>
      <c r="AJ3489" s="35"/>
      <c r="AK3489" s="35"/>
      <c r="AL3489" s="35"/>
      <c r="AM3489" s="35"/>
      <c r="AN3489" s="35"/>
      <c r="AO3489" s="35"/>
      <c r="AP3489" s="35"/>
      <c r="AQ3489" s="35"/>
      <c r="AR3489" s="35"/>
      <c r="AS3489" s="35"/>
      <c r="AT3489" s="35"/>
      <c r="AU3489" s="35"/>
      <c r="AV3489" s="35"/>
      <c r="AW3489" s="35"/>
      <c r="AX3489" s="35"/>
      <c r="AY3489" s="35"/>
      <c r="AZ3489" s="35"/>
      <c r="BA3489" s="35"/>
      <c r="BB3489" s="22">
        <f t="shared" ref="BB3489:BB3506" si="1042">SUM(AD3489:BA3489)</f>
        <v>0</v>
      </c>
      <c r="BC3489" s="23">
        <v>0</v>
      </c>
      <c r="BD3489" s="130">
        <f t="shared" ref="BD3489:BD3506" si="1043">AB3489+BB3489</f>
        <v>1592</v>
      </c>
      <c r="BE3489" s="130">
        <f t="shared" ref="BE3489:BE3506" si="1044">AC3489+BC3489</f>
        <v>298</v>
      </c>
      <c r="BF3489" s="195">
        <f t="shared" ref="BF3489:BF3506" si="1045">BD3489/BE3489*100</f>
        <v>534.22818791946304</v>
      </c>
      <c r="BG3489" s="373">
        <f t="shared" ref="BG3489:BG3505" si="1046">BE3489-BD3489</f>
        <v>-1294</v>
      </c>
      <c r="BH3489" s="426" t="s">
        <v>3675</v>
      </c>
      <c r="BI3489" s="421"/>
    </row>
    <row r="3490" spans="1:61" s="46" customFormat="1" ht="15.95" customHeight="1">
      <c r="A3490" s="179">
        <v>2</v>
      </c>
      <c r="B3490" s="31" t="s">
        <v>1142</v>
      </c>
      <c r="C3490" s="34" t="s">
        <v>3475</v>
      </c>
      <c r="D3490" s="231"/>
      <c r="E3490" s="231"/>
      <c r="F3490" s="231"/>
      <c r="G3490" s="231"/>
      <c r="H3490" s="231"/>
      <c r="I3490" s="231"/>
      <c r="J3490" s="231"/>
      <c r="K3490" s="231"/>
      <c r="L3490" s="231"/>
      <c r="M3490" s="231"/>
      <c r="N3490" s="231"/>
      <c r="O3490" s="231"/>
      <c r="P3490" s="231">
        <v>1</v>
      </c>
      <c r="Q3490" s="231"/>
      <c r="R3490" s="231"/>
      <c r="S3490" s="231"/>
      <c r="T3490" s="231"/>
      <c r="U3490" s="231"/>
      <c r="V3490" s="231"/>
      <c r="W3490" s="231"/>
      <c r="X3490" s="231"/>
      <c r="Y3490" s="231"/>
      <c r="Z3490" s="231"/>
      <c r="AA3490" s="231"/>
      <c r="AB3490" s="22">
        <f t="shared" si="1041"/>
        <v>1</v>
      </c>
      <c r="AC3490" s="23">
        <v>1</v>
      </c>
      <c r="AD3490" s="35"/>
      <c r="AE3490" s="35"/>
      <c r="AF3490" s="35"/>
      <c r="AG3490" s="35"/>
      <c r="AH3490" s="35"/>
      <c r="AI3490" s="35"/>
      <c r="AJ3490" s="35"/>
      <c r="AK3490" s="35"/>
      <c r="AL3490" s="35"/>
      <c r="AM3490" s="35"/>
      <c r="AN3490" s="35"/>
      <c r="AO3490" s="35"/>
      <c r="AP3490" s="35"/>
      <c r="AQ3490" s="35"/>
      <c r="AR3490" s="35"/>
      <c r="AS3490" s="35"/>
      <c r="AT3490" s="35"/>
      <c r="AU3490" s="35"/>
      <c r="AV3490" s="35"/>
      <c r="AW3490" s="35"/>
      <c r="AX3490" s="35"/>
      <c r="AY3490" s="35"/>
      <c r="AZ3490" s="35"/>
      <c r="BA3490" s="35"/>
      <c r="BB3490" s="22">
        <f t="shared" si="1042"/>
        <v>0</v>
      </c>
      <c r="BC3490" s="23">
        <v>0</v>
      </c>
      <c r="BD3490" s="130">
        <f t="shared" si="1043"/>
        <v>1</v>
      </c>
      <c r="BE3490" s="130">
        <f t="shared" si="1044"/>
        <v>1</v>
      </c>
      <c r="BF3490" s="195">
        <f t="shared" si="1045"/>
        <v>100</v>
      </c>
      <c r="BG3490" s="373">
        <f t="shared" si="1046"/>
        <v>0</v>
      </c>
    </row>
    <row r="3491" spans="1:61" s="46" customFormat="1" ht="15.95" customHeight="1">
      <c r="A3491" s="179">
        <v>3</v>
      </c>
      <c r="B3491" s="31" t="s">
        <v>814</v>
      </c>
      <c r="C3491" s="34" t="s">
        <v>1558</v>
      </c>
      <c r="D3491" s="327">
        <f>303+5</f>
        <v>308</v>
      </c>
      <c r="E3491" s="327"/>
      <c r="F3491" s="327"/>
      <c r="G3491" s="327"/>
      <c r="H3491" s="327">
        <v>304</v>
      </c>
      <c r="I3491" s="327"/>
      <c r="J3491" s="327"/>
      <c r="K3491" s="327"/>
      <c r="L3491" s="327">
        <f>301+5</f>
        <v>306</v>
      </c>
      <c r="M3491" s="327"/>
      <c r="N3491" s="327"/>
      <c r="O3491" s="327"/>
      <c r="P3491" s="327">
        <v>119</v>
      </c>
      <c r="Q3491" s="327"/>
      <c r="R3491" s="327"/>
      <c r="S3491" s="327"/>
      <c r="T3491" s="327"/>
      <c r="U3491" s="327"/>
      <c r="V3491" s="327"/>
      <c r="W3491" s="327"/>
      <c r="X3491" s="327"/>
      <c r="Y3491" s="327"/>
      <c r="Z3491" s="327"/>
      <c r="AA3491" s="327"/>
      <c r="AB3491" s="22">
        <f t="shared" si="1041"/>
        <v>1037</v>
      </c>
      <c r="AC3491" s="23">
        <v>1472</v>
      </c>
      <c r="AD3491" s="35"/>
      <c r="AE3491" s="35"/>
      <c r="AF3491" s="35"/>
      <c r="AG3491" s="35"/>
      <c r="AH3491" s="35"/>
      <c r="AI3491" s="35"/>
      <c r="AJ3491" s="35"/>
      <c r="AK3491" s="35"/>
      <c r="AL3491" s="35"/>
      <c r="AM3491" s="35"/>
      <c r="AN3491" s="35"/>
      <c r="AO3491" s="35"/>
      <c r="AP3491" s="35"/>
      <c r="AQ3491" s="35"/>
      <c r="AR3491" s="35"/>
      <c r="AS3491" s="35"/>
      <c r="AT3491" s="35"/>
      <c r="AU3491" s="35"/>
      <c r="AV3491" s="35"/>
      <c r="AW3491" s="35"/>
      <c r="AX3491" s="35"/>
      <c r="AY3491" s="35"/>
      <c r="AZ3491" s="35"/>
      <c r="BA3491" s="35"/>
      <c r="BB3491" s="22">
        <f t="shared" si="1042"/>
        <v>0</v>
      </c>
      <c r="BC3491" s="23">
        <v>0</v>
      </c>
      <c r="BD3491" s="130">
        <f t="shared" si="1043"/>
        <v>1037</v>
      </c>
      <c r="BE3491" s="130">
        <f t="shared" si="1044"/>
        <v>1472</v>
      </c>
      <c r="BF3491" s="195">
        <f t="shared" si="1045"/>
        <v>70.448369565217391</v>
      </c>
      <c r="BG3491" s="373">
        <f t="shared" si="1046"/>
        <v>435</v>
      </c>
    </row>
    <row r="3492" spans="1:61" s="46" customFormat="1" ht="15.95" customHeight="1">
      <c r="A3492" s="179">
        <v>4</v>
      </c>
      <c r="B3492" s="31" t="s">
        <v>1318</v>
      </c>
      <c r="C3492" s="34" t="s">
        <v>1664</v>
      </c>
      <c r="D3492" s="390"/>
      <c r="E3492" s="390"/>
      <c r="F3492" s="390"/>
      <c r="G3492" s="390"/>
      <c r="H3492" s="390"/>
      <c r="I3492" s="390"/>
      <c r="J3492" s="390"/>
      <c r="K3492" s="390"/>
      <c r="L3492" s="390"/>
      <c r="M3492" s="390"/>
      <c r="N3492" s="390"/>
      <c r="O3492" s="390"/>
      <c r="P3492" s="390"/>
      <c r="Q3492" s="390"/>
      <c r="R3492" s="390"/>
      <c r="S3492" s="390"/>
      <c r="T3492" s="390"/>
      <c r="U3492" s="390"/>
      <c r="V3492" s="390"/>
      <c r="W3492" s="390"/>
      <c r="X3492" s="390"/>
      <c r="Y3492" s="390"/>
      <c r="Z3492" s="390"/>
      <c r="AA3492" s="390"/>
      <c r="AB3492" s="22">
        <f t="shared" si="1041"/>
        <v>0</v>
      </c>
      <c r="AC3492" s="23">
        <v>2</v>
      </c>
      <c r="AD3492" s="35"/>
      <c r="AE3492" s="35"/>
      <c r="AF3492" s="35"/>
      <c r="AG3492" s="35"/>
      <c r="AH3492" s="35"/>
      <c r="AI3492" s="35"/>
      <c r="AJ3492" s="35"/>
      <c r="AK3492" s="35"/>
      <c r="AL3492" s="35"/>
      <c r="AM3492" s="35"/>
      <c r="AN3492" s="35"/>
      <c r="AO3492" s="35"/>
      <c r="AP3492" s="35"/>
      <c r="AQ3492" s="35"/>
      <c r="AR3492" s="35"/>
      <c r="AS3492" s="35"/>
      <c r="AT3492" s="35"/>
      <c r="AU3492" s="35"/>
      <c r="AV3492" s="35"/>
      <c r="AW3492" s="35"/>
      <c r="AX3492" s="35"/>
      <c r="AY3492" s="35"/>
      <c r="AZ3492" s="35"/>
      <c r="BA3492" s="35"/>
      <c r="BB3492" s="22">
        <f t="shared" si="1042"/>
        <v>0</v>
      </c>
      <c r="BC3492" s="23">
        <v>0</v>
      </c>
      <c r="BD3492" s="130">
        <f t="shared" si="1043"/>
        <v>0</v>
      </c>
      <c r="BE3492" s="130">
        <f t="shared" si="1044"/>
        <v>2</v>
      </c>
      <c r="BF3492" s="195">
        <f t="shared" si="1045"/>
        <v>0</v>
      </c>
      <c r="BG3492" s="373">
        <f t="shared" si="1046"/>
        <v>2</v>
      </c>
    </row>
    <row r="3493" spans="1:61" s="46" customFormat="1" ht="15.95" customHeight="1">
      <c r="A3493" s="179">
        <v>5</v>
      </c>
      <c r="B3493" s="31" t="s">
        <v>2512</v>
      </c>
      <c r="C3493" s="34" t="s">
        <v>2513</v>
      </c>
      <c r="D3493" s="390"/>
      <c r="E3493" s="390"/>
      <c r="F3493" s="390"/>
      <c r="G3493" s="390"/>
      <c r="H3493" s="390"/>
      <c r="I3493" s="390"/>
      <c r="J3493" s="390"/>
      <c r="K3493" s="390"/>
      <c r="L3493" s="390"/>
      <c r="M3493" s="390"/>
      <c r="N3493" s="390"/>
      <c r="O3493" s="390"/>
      <c r="P3493" s="390"/>
      <c r="Q3493" s="390"/>
      <c r="R3493" s="390"/>
      <c r="S3493" s="390"/>
      <c r="T3493" s="390"/>
      <c r="U3493" s="390"/>
      <c r="V3493" s="390"/>
      <c r="W3493" s="390"/>
      <c r="X3493" s="390"/>
      <c r="Y3493" s="390"/>
      <c r="Z3493" s="390"/>
      <c r="AA3493" s="390"/>
      <c r="AB3493" s="22">
        <f t="shared" si="1041"/>
        <v>0</v>
      </c>
      <c r="AC3493" s="23">
        <v>1</v>
      </c>
      <c r="AD3493" s="35"/>
      <c r="AE3493" s="35"/>
      <c r="AF3493" s="35"/>
      <c r="AG3493" s="35"/>
      <c r="AH3493" s="35"/>
      <c r="AI3493" s="35"/>
      <c r="AJ3493" s="35"/>
      <c r="AK3493" s="35"/>
      <c r="AL3493" s="35">
        <v>1</v>
      </c>
      <c r="AM3493" s="35"/>
      <c r="AN3493" s="35"/>
      <c r="AO3493" s="35"/>
      <c r="AP3493" s="35"/>
      <c r="AQ3493" s="35"/>
      <c r="AR3493" s="35"/>
      <c r="AS3493" s="35"/>
      <c r="AT3493" s="35"/>
      <c r="AU3493" s="35"/>
      <c r="AV3493" s="35"/>
      <c r="AW3493" s="35"/>
      <c r="AX3493" s="35"/>
      <c r="AY3493" s="35"/>
      <c r="AZ3493" s="35"/>
      <c r="BA3493" s="35"/>
      <c r="BB3493" s="22">
        <f t="shared" si="1042"/>
        <v>1</v>
      </c>
      <c r="BC3493" s="23">
        <v>4</v>
      </c>
      <c r="BD3493" s="130">
        <f t="shared" si="1043"/>
        <v>1</v>
      </c>
      <c r="BE3493" s="130">
        <f t="shared" si="1044"/>
        <v>5</v>
      </c>
      <c r="BF3493" s="195">
        <f t="shared" si="1045"/>
        <v>20</v>
      </c>
      <c r="BG3493" s="373">
        <f t="shared" si="1046"/>
        <v>4</v>
      </c>
    </row>
    <row r="3494" spans="1:61" s="46" customFormat="1" ht="15.95" customHeight="1">
      <c r="A3494" s="179">
        <v>6</v>
      </c>
      <c r="B3494" s="31" t="s">
        <v>3208</v>
      </c>
      <c r="C3494" s="34" t="s">
        <v>3209</v>
      </c>
      <c r="D3494" s="390"/>
      <c r="E3494" s="390"/>
      <c r="F3494" s="390"/>
      <c r="G3494" s="390"/>
      <c r="H3494" s="390"/>
      <c r="I3494" s="390"/>
      <c r="J3494" s="390"/>
      <c r="K3494" s="390"/>
      <c r="L3494" s="390"/>
      <c r="M3494" s="390"/>
      <c r="N3494" s="390"/>
      <c r="O3494" s="390"/>
      <c r="P3494" s="390"/>
      <c r="Q3494" s="390"/>
      <c r="R3494" s="390"/>
      <c r="S3494" s="390"/>
      <c r="T3494" s="390"/>
      <c r="U3494" s="390"/>
      <c r="V3494" s="390"/>
      <c r="W3494" s="390"/>
      <c r="X3494" s="390"/>
      <c r="Y3494" s="390"/>
      <c r="Z3494" s="390"/>
      <c r="AA3494" s="390"/>
      <c r="AB3494" s="22">
        <f t="shared" si="1041"/>
        <v>0</v>
      </c>
      <c r="AC3494" s="23">
        <v>0</v>
      </c>
      <c r="AD3494" s="35"/>
      <c r="AE3494" s="35"/>
      <c r="AF3494" s="35"/>
      <c r="AG3494" s="35"/>
      <c r="AH3494" s="35">
        <v>1</v>
      </c>
      <c r="AI3494" s="35"/>
      <c r="AJ3494" s="35"/>
      <c r="AK3494" s="35"/>
      <c r="AL3494" s="35"/>
      <c r="AM3494" s="35"/>
      <c r="AN3494" s="35"/>
      <c r="AO3494" s="35"/>
      <c r="AP3494" s="35"/>
      <c r="AQ3494" s="35"/>
      <c r="AR3494" s="35"/>
      <c r="AS3494" s="35"/>
      <c r="AT3494" s="35"/>
      <c r="AU3494" s="35"/>
      <c r="AV3494" s="35"/>
      <c r="AW3494" s="35"/>
      <c r="AX3494" s="35"/>
      <c r="AY3494" s="35"/>
      <c r="AZ3494" s="35"/>
      <c r="BA3494" s="35"/>
      <c r="BB3494" s="22">
        <f t="shared" si="1042"/>
        <v>1</v>
      </c>
      <c r="BC3494" s="23">
        <v>13</v>
      </c>
      <c r="BD3494" s="130">
        <f t="shared" si="1043"/>
        <v>1</v>
      </c>
      <c r="BE3494" s="130">
        <f t="shared" si="1044"/>
        <v>13</v>
      </c>
      <c r="BF3494" s="195">
        <f t="shared" si="1045"/>
        <v>7.6923076923076925</v>
      </c>
      <c r="BG3494" s="373">
        <f t="shared" si="1046"/>
        <v>12</v>
      </c>
    </row>
    <row r="3495" spans="1:61" s="46" customFormat="1" ht="15.95" customHeight="1">
      <c r="A3495" s="179">
        <v>7</v>
      </c>
      <c r="B3495" s="31" t="s">
        <v>1047</v>
      </c>
      <c r="C3495" s="32" t="s">
        <v>1326</v>
      </c>
      <c r="D3495" s="390"/>
      <c r="E3495" s="390"/>
      <c r="F3495" s="390"/>
      <c r="G3495" s="390"/>
      <c r="H3495" s="390">
        <v>2</v>
      </c>
      <c r="I3495" s="390"/>
      <c r="J3495" s="390"/>
      <c r="K3495" s="390"/>
      <c r="L3495" s="390">
        <v>2</v>
      </c>
      <c r="M3495" s="390"/>
      <c r="N3495" s="390"/>
      <c r="O3495" s="390"/>
      <c r="P3495" s="390">
        <v>7</v>
      </c>
      <c r="Q3495" s="390"/>
      <c r="R3495" s="390"/>
      <c r="S3495" s="390"/>
      <c r="T3495" s="390"/>
      <c r="U3495" s="390"/>
      <c r="V3495" s="390"/>
      <c r="W3495" s="390"/>
      <c r="X3495" s="390"/>
      <c r="Y3495" s="390"/>
      <c r="Z3495" s="390"/>
      <c r="AA3495" s="390"/>
      <c r="AB3495" s="22">
        <f t="shared" si="1041"/>
        <v>11</v>
      </c>
      <c r="AC3495" s="23">
        <v>1</v>
      </c>
      <c r="AD3495" s="35"/>
      <c r="AE3495" s="35"/>
      <c r="AF3495" s="35"/>
      <c r="AG3495" s="35"/>
      <c r="AH3495" s="35"/>
      <c r="AI3495" s="35"/>
      <c r="AJ3495" s="35"/>
      <c r="AK3495" s="35"/>
      <c r="AL3495" s="35"/>
      <c r="AM3495" s="35"/>
      <c r="AN3495" s="35"/>
      <c r="AO3495" s="35"/>
      <c r="AP3495" s="35"/>
      <c r="AQ3495" s="35"/>
      <c r="AR3495" s="35"/>
      <c r="AS3495" s="35"/>
      <c r="AT3495" s="35"/>
      <c r="AU3495" s="35"/>
      <c r="AV3495" s="35"/>
      <c r="AW3495" s="35"/>
      <c r="AX3495" s="35"/>
      <c r="AY3495" s="35"/>
      <c r="AZ3495" s="35"/>
      <c r="BA3495" s="35"/>
      <c r="BB3495" s="22">
        <f t="shared" si="1042"/>
        <v>0</v>
      </c>
      <c r="BC3495" s="23">
        <v>0</v>
      </c>
      <c r="BD3495" s="130">
        <f t="shared" si="1043"/>
        <v>11</v>
      </c>
      <c r="BE3495" s="130">
        <f t="shared" si="1044"/>
        <v>1</v>
      </c>
      <c r="BF3495" s="195">
        <f t="shared" si="1045"/>
        <v>1100</v>
      </c>
      <c r="BG3495" s="373">
        <f t="shared" si="1046"/>
        <v>-10</v>
      </c>
    </row>
    <row r="3496" spans="1:61" s="46" customFormat="1" ht="15.95" customHeight="1">
      <c r="A3496" s="179">
        <v>8</v>
      </c>
      <c r="B3496" s="31" t="s">
        <v>1261</v>
      </c>
      <c r="C3496" s="32" t="s">
        <v>1262</v>
      </c>
      <c r="D3496" s="327"/>
      <c r="E3496" s="327"/>
      <c r="F3496" s="327"/>
      <c r="G3496" s="327"/>
      <c r="H3496" s="327">
        <v>9</v>
      </c>
      <c r="I3496" s="327"/>
      <c r="J3496" s="327"/>
      <c r="K3496" s="327"/>
      <c r="L3496" s="327">
        <v>13</v>
      </c>
      <c r="M3496" s="327"/>
      <c r="N3496" s="327"/>
      <c r="O3496" s="327"/>
      <c r="P3496" s="327">
        <v>30</v>
      </c>
      <c r="Q3496" s="327"/>
      <c r="R3496" s="327"/>
      <c r="S3496" s="327"/>
      <c r="T3496" s="327"/>
      <c r="U3496" s="327"/>
      <c r="V3496" s="327"/>
      <c r="W3496" s="327"/>
      <c r="X3496" s="327"/>
      <c r="Y3496" s="327"/>
      <c r="Z3496" s="327"/>
      <c r="AA3496" s="327"/>
      <c r="AB3496" s="22">
        <f t="shared" si="1041"/>
        <v>52</v>
      </c>
      <c r="AC3496" s="23">
        <v>421</v>
      </c>
      <c r="AD3496" s="35"/>
      <c r="AE3496" s="35"/>
      <c r="AF3496" s="35"/>
      <c r="AG3496" s="35"/>
      <c r="AH3496" s="35"/>
      <c r="AI3496" s="35"/>
      <c r="AJ3496" s="35"/>
      <c r="AK3496" s="35"/>
      <c r="AL3496" s="35"/>
      <c r="AM3496" s="35"/>
      <c r="AN3496" s="35"/>
      <c r="AO3496" s="35"/>
      <c r="AP3496" s="35"/>
      <c r="AQ3496" s="35"/>
      <c r="AR3496" s="35"/>
      <c r="AS3496" s="35"/>
      <c r="AT3496" s="35"/>
      <c r="AU3496" s="35"/>
      <c r="AV3496" s="35"/>
      <c r="AW3496" s="35"/>
      <c r="AX3496" s="35"/>
      <c r="AY3496" s="35"/>
      <c r="AZ3496" s="35"/>
      <c r="BA3496" s="35"/>
      <c r="BB3496" s="22">
        <f t="shared" si="1042"/>
        <v>0</v>
      </c>
      <c r="BC3496" s="23">
        <v>0</v>
      </c>
      <c r="BD3496" s="130">
        <f t="shared" si="1043"/>
        <v>52</v>
      </c>
      <c r="BE3496" s="130">
        <f t="shared" si="1044"/>
        <v>421</v>
      </c>
      <c r="BF3496" s="195">
        <f t="shared" si="1045"/>
        <v>12.351543942992874</v>
      </c>
      <c r="BG3496" s="373">
        <f t="shared" si="1046"/>
        <v>369</v>
      </c>
    </row>
    <row r="3497" spans="1:61" s="46" customFormat="1" ht="15.95" customHeight="1">
      <c r="A3497" s="179">
        <v>9</v>
      </c>
      <c r="B3497" s="31" t="s">
        <v>849</v>
      </c>
      <c r="C3497" s="32" t="s">
        <v>850</v>
      </c>
      <c r="D3497" s="327"/>
      <c r="E3497" s="327"/>
      <c r="F3497" s="327"/>
      <c r="G3497" s="327"/>
      <c r="H3497" s="327"/>
      <c r="I3497" s="327"/>
      <c r="J3497" s="327"/>
      <c r="K3497" s="327"/>
      <c r="L3497" s="327"/>
      <c r="M3497" s="327"/>
      <c r="N3497" s="327"/>
      <c r="O3497" s="327"/>
      <c r="P3497" s="327"/>
      <c r="Q3497" s="327"/>
      <c r="R3497" s="327"/>
      <c r="S3497" s="327"/>
      <c r="T3497" s="327"/>
      <c r="U3497" s="327"/>
      <c r="V3497" s="327"/>
      <c r="W3497" s="327"/>
      <c r="X3497" s="327"/>
      <c r="Y3497" s="327"/>
      <c r="Z3497" s="327"/>
      <c r="AA3497" s="327"/>
      <c r="AB3497" s="22">
        <f t="shared" si="1041"/>
        <v>0</v>
      </c>
      <c r="AC3497" s="23">
        <v>7</v>
      </c>
      <c r="AD3497" s="35"/>
      <c r="AE3497" s="35"/>
      <c r="AF3497" s="35"/>
      <c r="AG3497" s="35"/>
      <c r="AH3497" s="35"/>
      <c r="AI3497" s="35"/>
      <c r="AJ3497" s="35"/>
      <c r="AK3497" s="35"/>
      <c r="AL3497" s="35"/>
      <c r="AM3497" s="35"/>
      <c r="AN3497" s="35"/>
      <c r="AO3497" s="35"/>
      <c r="AP3497" s="35"/>
      <c r="AQ3497" s="35"/>
      <c r="AR3497" s="35"/>
      <c r="AS3497" s="35"/>
      <c r="AT3497" s="35"/>
      <c r="AU3497" s="35"/>
      <c r="AV3497" s="35"/>
      <c r="AW3497" s="35"/>
      <c r="AX3497" s="35"/>
      <c r="AY3497" s="35"/>
      <c r="AZ3497" s="35"/>
      <c r="BA3497" s="35"/>
      <c r="BB3497" s="22">
        <f t="shared" si="1042"/>
        <v>0</v>
      </c>
      <c r="BC3497" s="23">
        <v>2208</v>
      </c>
      <c r="BD3497" s="130">
        <f t="shared" si="1043"/>
        <v>0</v>
      </c>
      <c r="BE3497" s="130">
        <f t="shared" si="1044"/>
        <v>2215</v>
      </c>
      <c r="BF3497" s="195">
        <f t="shared" si="1045"/>
        <v>0</v>
      </c>
      <c r="BG3497" s="373">
        <f t="shared" si="1046"/>
        <v>2215</v>
      </c>
    </row>
    <row r="3498" spans="1:61" s="46" customFormat="1" ht="15.95" customHeight="1">
      <c r="A3498" s="179">
        <v>10</v>
      </c>
      <c r="B3498" s="31" t="s">
        <v>2750</v>
      </c>
      <c r="C3498" s="32" t="s">
        <v>2751</v>
      </c>
      <c r="D3498" s="231"/>
      <c r="E3498" s="231"/>
      <c r="F3498" s="231"/>
      <c r="G3498" s="231"/>
      <c r="H3498" s="231"/>
      <c r="I3498" s="231"/>
      <c r="J3498" s="231"/>
      <c r="K3498" s="231"/>
      <c r="L3498" s="231"/>
      <c r="M3498" s="231"/>
      <c r="N3498" s="231"/>
      <c r="O3498" s="231"/>
      <c r="P3498" s="231"/>
      <c r="Q3498" s="231"/>
      <c r="R3498" s="231"/>
      <c r="S3498" s="231"/>
      <c r="T3498" s="231"/>
      <c r="U3498" s="231"/>
      <c r="V3498" s="231"/>
      <c r="W3498" s="231"/>
      <c r="X3498" s="231"/>
      <c r="Y3498" s="231"/>
      <c r="Z3498" s="231"/>
      <c r="AA3498" s="231"/>
      <c r="AB3498" s="22">
        <f t="shared" si="1041"/>
        <v>0</v>
      </c>
      <c r="AC3498" s="23">
        <v>0</v>
      </c>
      <c r="AD3498" s="35"/>
      <c r="AE3498" s="35"/>
      <c r="AF3498" s="35"/>
      <c r="AG3498" s="35"/>
      <c r="AH3498" s="35"/>
      <c r="AI3498" s="35"/>
      <c r="AJ3498" s="35"/>
      <c r="AK3498" s="35"/>
      <c r="AL3498" s="35"/>
      <c r="AM3498" s="35"/>
      <c r="AN3498" s="35"/>
      <c r="AO3498" s="35"/>
      <c r="AP3498" s="35"/>
      <c r="AQ3498" s="35"/>
      <c r="AR3498" s="35"/>
      <c r="AS3498" s="35"/>
      <c r="AT3498" s="35"/>
      <c r="AU3498" s="35"/>
      <c r="AV3498" s="35"/>
      <c r="AW3498" s="35"/>
      <c r="AX3498" s="35"/>
      <c r="AY3498" s="35"/>
      <c r="AZ3498" s="35"/>
      <c r="BA3498" s="35"/>
      <c r="BB3498" s="22">
        <f t="shared" si="1042"/>
        <v>0</v>
      </c>
      <c r="BC3498" s="23">
        <v>1</v>
      </c>
      <c r="BD3498" s="130">
        <f t="shared" si="1043"/>
        <v>0</v>
      </c>
      <c r="BE3498" s="130">
        <f t="shared" si="1044"/>
        <v>1</v>
      </c>
      <c r="BF3498" s="195">
        <f t="shared" si="1045"/>
        <v>0</v>
      </c>
      <c r="BG3498" s="373">
        <f t="shared" si="1046"/>
        <v>1</v>
      </c>
    </row>
    <row r="3499" spans="1:61" s="46" customFormat="1" ht="15.95" customHeight="1">
      <c r="A3499" s="179">
        <v>11</v>
      </c>
      <c r="B3499" s="31" t="s">
        <v>851</v>
      </c>
      <c r="C3499" s="32" t="s">
        <v>1359</v>
      </c>
      <c r="D3499" s="231">
        <v>112</v>
      </c>
      <c r="E3499" s="231"/>
      <c r="F3499" s="231"/>
      <c r="G3499" s="231"/>
      <c r="H3499" s="231">
        <v>273</v>
      </c>
      <c r="I3499" s="231"/>
      <c r="J3499" s="231"/>
      <c r="K3499" s="231"/>
      <c r="L3499" s="231">
        <v>127</v>
      </c>
      <c r="M3499" s="231"/>
      <c r="N3499" s="231"/>
      <c r="O3499" s="231"/>
      <c r="P3499" s="231">
        <v>25</v>
      </c>
      <c r="Q3499" s="231"/>
      <c r="R3499" s="231"/>
      <c r="S3499" s="231"/>
      <c r="T3499" s="231"/>
      <c r="U3499" s="231"/>
      <c r="V3499" s="231"/>
      <c r="W3499" s="231"/>
      <c r="X3499" s="231"/>
      <c r="Y3499" s="231"/>
      <c r="Z3499" s="231"/>
      <c r="AA3499" s="231"/>
      <c r="AB3499" s="22">
        <f t="shared" si="1041"/>
        <v>537</v>
      </c>
      <c r="AC3499" s="23">
        <v>91</v>
      </c>
      <c r="AD3499" s="35"/>
      <c r="AE3499" s="35"/>
      <c r="AF3499" s="35"/>
      <c r="AG3499" s="35"/>
      <c r="AH3499" s="35">
        <v>1</v>
      </c>
      <c r="AI3499" s="35"/>
      <c r="AJ3499" s="35"/>
      <c r="AK3499" s="35"/>
      <c r="AL3499" s="35"/>
      <c r="AM3499" s="35"/>
      <c r="AN3499" s="35"/>
      <c r="AO3499" s="35"/>
      <c r="AP3499" s="35"/>
      <c r="AQ3499" s="35"/>
      <c r="AR3499" s="35"/>
      <c r="AS3499" s="35"/>
      <c r="AT3499" s="35"/>
      <c r="AU3499" s="35"/>
      <c r="AV3499" s="35"/>
      <c r="AW3499" s="35"/>
      <c r="AX3499" s="35"/>
      <c r="AY3499" s="35"/>
      <c r="AZ3499" s="35"/>
      <c r="BA3499" s="35"/>
      <c r="BB3499" s="22">
        <f t="shared" si="1042"/>
        <v>1</v>
      </c>
      <c r="BC3499" s="23">
        <v>5</v>
      </c>
      <c r="BD3499" s="130">
        <f t="shared" si="1043"/>
        <v>538</v>
      </c>
      <c r="BE3499" s="130">
        <f t="shared" si="1044"/>
        <v>96</v>
      </c>
      <c r="BF3499" s="195">
        <f t="shared" si="1045"/>
        <v>560.41666666666674</v>
      </c>
      <c r="BG3499" s="373">
        <f t="shared" si="1046"/>
        <v>-442</v>
      </c>
    </row>
    <row r="3500" spans="1:61" s="46" customFormat="1" ht="15.95" customHeight="1">
      <c r="A3500" s="179">
        <v>12</v>
      </c>
      <c r="B3500" s="31" t="s">
        <v>1103</v>
      </c>
      <c r="C3500" s="34" t="s">
        <v>2507</v>
      </c>
      <c r="D3500" s="256"/>
      <c r="E3500" s="256"/>
      <c r="F3500" s="256"/>
      <c r="G3500" s="256"/>
      <c r="H3500" s="256"/>
      <c r="I3500" s="256"/>
      <c r="J3500" s="256"/>
      <c r="K3500" s="256"/>
      <c r="L3500" s="256"/>
      <c r="M3500" s="256"/>
      <c r="N3500" s="256"/>
      <c r="O3500" s="256"/>
      <c r="P3500" s="256"/>
      <c r="Q3500" s="256"/>
      <c r="R3500" s="256"/>
      <c r="S3500" s="256"/>
      <c r="T3500" s="256"/>
      <c r="U3500" s="256"/>
      <c r="V3500" s="256"/>
      <c r="W3500" s="256"/>
      <c r="X3500" s="256"/>
      <c r="Y3500" s="256"/>
      <c r="Z3500" s="256"/>
      <c r="AA3500" s="256"/>
      <c r="AB3500" s="22">
        <f t="shared" si="1041"/>
        <v>0</v>
      </c>
      <c r="AC3500" s="23">
        <v>1</v>
      </c>
      <c r="AD3500" s="35"/>
      <c r="AE3500" s="35"/>
      <c r="AF3500" s="35"/>
      <c r="AG3500" s="35"/>
      <c r="AH3500" s="35"/>
      <c r="AI3500" s="35"/>
      <c r="AJ3500" s="35"/>
      <c r="AK3500" s="35"/>
      <c r="AL3500" s="35"/>
      <c r="AM3500" s="35"/>
      <c r="AN3500" s="35"/>
      <c r="AO3500" s="35"/>
      <c r="AP3500" s="35"/>
      <c r="AQ3500" s="35"/>
      <c r="AR3500" s="35"/>
      <c r="AS3500" s="35"/>
      <c r="AT3500" s="35"/>
      <c r="AU3500" s="35"/>
      <c r="AV3500" s="35"/>
      <c r="AW3500" s="35"/>
      <c r="AX3500" s="35"/>
      <c r="AY3500" s="35"/>
      <c r="AZ3500" s="35"/>
      <c r="BA3500" s="35"/>
      <c r="BB3500" s="22">
        <f t="shared" si="1042"/>
        <v>0</v>
      </c>
      <c r="BC3500" s="23">
        <v>0</v>
      </c>
      <c r="BD3500" s="130">
        <f t="shared" si="1043"/>
        <v>0</v>
      </c>
      <c r="BE3500" s="130">
        <f t="shared" si="1044"/>
        <v>1</v>
      </c>
      <c r="BF3500" s="195">
        <f t="shared" si="1045"/>
        <v>0</v>
      </c>
      <c r="BG3500" s="373">
        <f t="shared" si="1046"/>
        <v>1</v>
      </c>
    </row>
    <row r="3501" spans="1:61" s="46" customFormat="1" ht="15.95" customHeight="1">
      <c r="A3501" s="179">
        <v>13</v>
      </c>
      <c r="B3501" s="31" t="s">
        <v>1513</v>
      </c>
      <c r="C3501" s="32" t="s">
        <v>2832</v>
      </c>
      <c r="D3501" s="231">
        <f>88+2</f>
        <v>90</v>
      </c>
      <c r="E3501" s="231"/>
      <c r="F3501" s="231"/>
      <c r="G3501" s="231"/>
      <c r="H3501" s="231">
        <v>154</v>
      </c>
      <c r="I3501" s="231"/>
      <c r="J3501" s="231"/>
      <c r="K3501" s="231"/>
      <c r="L3501" s="231">
        <f>155+2</f>
        <v>157</v>
      </c>
      <c r="M3501" s="231"/>
      <c r="N3501" s="231"/>
      <c r="O3501" s="231"/>
      <c r="P3501" s="231">
        <v>43</v>
      </c>
      <c r="Q3501" s="231"/>
      <c r="R3501" s="231"/>
      <c r="S3501" s="231"/>
      <c r="T3501" s="231"/>
      <c r="U3501" s="231"/>
      <c r="V3501" s="231"/>
      <c r="W3501" s="231"/>
      <c r="X3501" s="231"/>
      <c r="Y3501" s="231"/>
      <c r="Z3501" s="231"/>
      <c r="AA3501" s="231"/>
      <c r="AB3501" s="22">
        <f t="shared" si="1041"/>
        <v>444</v>
      </c>
      <c r="AC3501" s="23">
        <v>283</v>
      </c>
      <c r="AD3501" s="35"/>
      <c r="AE3501" s="35"/>
      <c r="AF3501" s="35"/>
      <c r="AG3501" s="35"/>
      <c r="AH3501" s="35"/>
      <c r="AI3501" s="35"/>
      <c r="AJ3501" s="35"/>
      <c r="AK3501" s="35"/>
      <c r="AL3501" s="35"/>
      <c r="AM3501" s="35"/>
      <c r="AN3501" s="35"/>
      <c r="AO3501" s="35"/>
      <c r="AP3501" s="35"/>
      <c r="AQ3501" s="35"/>
      <c r="AR3501" s="35"/>
      <c r="AS3501" s="35"/>
      <c r="AT3501" s="35"/>
      <c r="AU3501" s="35"/>
      <c r="AV3501" s="35"/>
      <c r="AW3501" s="35"/>
      <c r="AX3501" s="35"/>
      <c r="AY3501" s="35"/>
      <c r="AZ3501" s="35"/>
      <c r="BA3501" s="35"/>
      <c r="BB3501" s="22">
        <f t="shared" si="1042"/>
        <v>0</v>
      </c>
      <c r="BC3501" s="23">
        <v>0</v>
      </c>
      <c r="BD3501" s="130">
        <f t="shared" si="1043"/>
        <v>444</v>
      </c>
      <c r="BE3501" s="130">
        <f t="shared" si="1044"/>
        <v>283</v>
      </c>
      <c r="BF3501" s="195">
        <f t="shared" si="1045"/>
        <v>156.8904593639576</v>
      </c>
      <c r="BG3501" s="373">
        <f t="shared" si="1046"/>
        <v>-161</v>
      </c>
    </row>
    <row r="3502" spans="1:61" s="46" customFormat="1" ht="15.95" customHeight="1">
      <c r="A3502" s="179">
        <v>14</v>
      </c>
      <c r="B3502" s="31" t="s">
        <v>1118</v>
      </c>
      <c r="C3502" s="32" t="s">
        <v>1119</v>
      </c>
      <c r="D3502" s="275">
        <f>165+2</f>
        <v>167</v>
      </c>
      <c r="E3502" s="275"/>
      <c r="F3502" s="275"/>
      <c r="G3502" s="275"/>
      <c r="H3502" s="275">
        <v>75</v>
      </c>
      <c r="I3502" s="275"/>
      <c r="J3502" s="275"/>
      <c r="K3502" s="275"/>
      <c r="L3502" s="275">
        <f>161+2</f>
        <v>163</v>
      </c>
      <c r="M3502" s="275"/>
      <c r="N3502" s="275"/>
      <c r="O3502" s="275"/>
      <c r="P3502" s="275">
        <v>21</v>
      </c>
      <c r="Q3502" s="275"/>
      <c r="R3502" s="275"/>
      <c r="S3502" s="275"/>
      <c r="T3502" s="275"/>
      <c r="U3502" s="275"/>
      <c r="V3502" s="275"/>
      <c r="W3502" s="275"/>
      <c r="X3502" s="275"/>
      <c r="Y3502" s="275"/>
      <c r="Z3502" s="275"/>
      <c r="AA3502" s="275"/>
      <c r="AB3502" s="22">
        <f t="shared" si="1041"/>
        <v>426</v>
      </c>
      <c r="AC3502" s="23">
        <v>327</v>
      </c>
      <c r="AD3502" s="35"/>
      <c r="AE3502" s="35"/>
      <c r="AF3502" s="35"/>
      <c r="AG3502" s="35"/>
      <c r="AH3502" s="35"/>
      <c r="AI3502" s="35"/>
      <c r="AJ3502" s="35"/>
      <c r="AK3502" s="35"/>
      <c r="AL3502" s="35"/>
      <c r="AM3502" s="35"/>
      <c r="AN3502" s="35"/>
      <c r="AO3502" s="35"/>
      <c r="AP3502" s="35"/>
      <c r="AQ3502" s="35"/>
      <c r="AR3502" s="35"/>
      <c r="AS3502" s="35"/>
      <c r="AT3502" s="35"/>
      <c r="AU3502" s="35"/>
      <c r="AV3502" s="35"/>
      <c r="AW3502" s="35"/>
      <c r="AX3502" s="35"/>
      <c r="AY3502" s="35"/>
      <c r="AZ3502" s="35"/>
      <c r="BA3502" s="35"/>
      <c r="BB3502" s="22">
        <f t="shared" si="1042"/>
        <v>0</v>
      </c>
      <c r="BC3502" s="23">
        <v>0</v>
      </c>
      <c r="BD3502" s="130">
        <f t="shared" si="1043"/>
        <v>426</v>
      </c>
      <c r="BE3502" s="130">
        <f t="shared" si="1044"/>
        <v>327</v>
      </c>
      <c r="BF3502" s="195">
        <f t="shared" si="1045"/>
        <v>130.27522935779817</v>
      </c>
      <c r="BG3502" s="373">
        <f t="shared" si="1046"/>
        <v>-99</v>
      </c>
    </row>
    <row r="3503" spans="1:61" s="46" customFormat="1" ht="15.95" customHeight="1">
      <c r="A3503" s="179">
        <v>15</v>
      </c>
      <c r="B3503" s="31" t="s">
        <v>1867</v>
      </c>
      <c r="C3503" s="32" t="s">
        <v>1868</v>
      </c>
      <c r="D3503" s="275">
        <f>145+2</f>
        <v>147</v>
      </c>
      <c r="E3503" s="275"/>
      <c r="F3503" s="275"/>
      <c r="G3503" s="275"/>
      <c r="H3503" s="275">
        <v>100</v>
      </c>
      <c r="I3503" s="275"/>
      <c r="J3503" s="275"/>
      <c r="K3503" s="275"/>
      <c r="L3503" s="275">
        <f>151+2</f>
        <v>153</v>
      </c>
      <c r="M3503" s="275"/>
      <c r="N3503" s="275"/>
      <c r="O3503" s="275"/>
      <c r="P3503" s="275">
        <v>160</v>
      </c>
      <c r="Q3503" s="275"/>
      <c r="R3503" s="275"/>
      <c r="S3503" s="275"/>
      <c r="T3503" s="275"/>
      <c r="U3503" s="275"/>
      <c r="V3503" s="275"/>
      <c r="W3503" s="275"/>
      <c r="X3503" s="275"/>
      <c r="Y3503" s="275"/>
      <c r="Z3503" s="275"/>
      <c r="AA3503" s="275"/>
      <c r="AB3503" s="22">
        <f t="shared" si="1041"/>
        <v>560</v>
      </c>
      <c r="AC3503" s="23">
        <v>796</v>
      </c>
      <c r="AD3503" s="35"/>
      <c r="AE3503" s="35"/>
      <c r="AF3503" s="35"/>
      <c r="AG3503" s="35"/>
      <c r="AH3503" s="35"/>
      <c r="AI3503" s="35"/>
      <c r="AJ3503" s="35"/>
      <c r="AK3503" s="35"/>
      <c r="AL3503" s="35"/>
      <c r="AM3503" s="35"/>
      <c r="AN3503" s="35"/>
      <c r="AO3503" s="35"/>
      <c r="AP3503" s="35"/>
      <c r="AQ3503" s="35"/>
      <c r="AR3503" s="35"/>
      <c r="AS3503" s="35"/>
      <c r="AT3503" s="35"/>
      <c r="AU3503" s="35"/>
      <c r="AV3503" s="35"/>
      <c r="AW3503" s="35"/>
      <c r="AX3503" s="35"/>
      <c r="AY3503" s="35"/>
      <c r="AZ3503" s="35"/>
      <c r="BA3503" s="35"/>
      <c r="BB3503" s="22">
        <f t="shared" si="1042"/>
        <v>0</v>
      </c>
      <c r="BC3503" s="23">
        <v>0</v>
      </c>
      <c r="BD3503" s="130">
        <f t="shared" si="1043"/>
        <v>560</v>
      </c>
      <c r="BE3503" s="130">
        <f t="shared" si="1044"/>
        <v>796</v>
      </c>
      <c r="BF3503" s="195">
        <f t="shared" si="1045"/>
        <v>70.35175879396985</v>
      </c>
      <c r="BG3503" s="373">
        <f t="shared" si="1046"/>
        <v>236</v>
      </c>
    </row>
    <row r="3504" spans="1:61" s="46" customFormat="1" ht="15.95" customHeight="1">
      <c r="A3504" s="179">
        <v>16</v>
      </c>
      <c r="B3504" s="31" t="s">
        <v>1773</v>
      </c>
      <c r="C3504" s="32" t="s">
        <v>2475</v>
      </c>
      <c r="D3504" s="275"/>
      <c r="E3504" s="275"/>
      <c r="F3504" s="275"/>
      <c r="G3504" s="275"/>
      <c r="H3504" s="275"/>
      <c r="I3504" s="275"/>
      <c r="J3504" s="275"/>
      <c r="K3504" s="275"/>
      <c r="L3504" s="275">
        <v>16</v>
      </c>
      <c r="M3504" s="275"/>
      <c r="N3504" s="275"/>
      <c r="O3504" s="275"/>
      <c r="P3504" s="275">
        <v>1</v>
      </c>
      <c r="Q3504" s="275"/>
      <c r="R3504" s="275"/>
      <c r="S3504" s="275"/>
      <c r="T3504" s="275"/>
      <c r="U3504" s="275"/>
      <c r="V3504" s="275"/>
      <c r="W3504" s="275"/>
      <c r="X3504" s="275"/>
      <c r="Y3504" s="275"/>
      <c r="Z3504" s="275"/>
      <c r="AA3504" s="275"/>
      <c r="AB3504" s="22">
        <f t="shared" si="1041"/>
        <v>17</v>
      </c>
      <c r="AC3504" s="23">
        <v>9</v>
      </c>
      <c r="AD3504" s="35"/>
      <c r="AE3504" s="35"/>
      <c r="AF3504" s="35"/>
      <c r="AG3504" s="35"/>
      <c r="AH3504" s="35"/>
      <c r="AI3504" s="35"/>
      <c r="AJ3504" s="35"/>
      <c r="AK3504" s="35"/>
      <c r="AL3504" s="35"/>
      <c r="AM3504" s="35"/>
      <c r="AN3504" s="35"/>
      <c r="AO3504" s="35"/>
      <c r="AP3504" s="35"/>
      <c r="AQ3504" s="35"/>
      <c r="AR3504" s="35"/>
      <c r="AS3504" s="35"/>
      <c r="AT3504" s="35"/>
      <c r="AU3504" s="35"/>
      <c r="AV3504" s="35"/>
      <c r="AW3504" s="35"/>
      <c r="AX3504" s="35"/>
      <c r="AY3504" s="35"/>
      <c r="AZ3504" s="35"/>
      <c r="BA3504" s="35"/>
      <c r="BB3504" s="22">
        <f t="shared" si="1042"/>
        <v>0</v>
      </c>
      <c r="BC3504" s="23">
        <v>0</v>
      </c>
      <c r="BD3504" s="130">
        <f t="shared" si="1043"/>
        <v>17</v>
      </c>
      <c r="BE3504" s="130">
        <f t="shared" si="1044"/>
        <v>9</v>
      </c>
      <c r="BF3504" s="195">
        <f t="shared" si="1045"/>
        <v>188.88888888888889</v>
      </c>
      <c r="BG3504" s="373">
        <f t="shared" si="1046"/>
        <v>-8</v>
      </c>
    </row>
    <row r="3505" spans="1:61" s="46" customFormat="1" ht="15.95" customHeight="1">
      <c r="A3505" s="179">
        <v>17</v>
      </c>
      <c r="B3505" s="31" t="s">
        <v>854</v>
      </c>
      <c r="C3505" s="34" t="s">
        <v>3596</v>
      </c>
      <c r="D3505" s="552">
        <v>1</v>
      </c>
      <c r="E3505" s="552"/>
      <c r="F3505" s="552"/>
      <c r="G3505" s="552"/>
      <c r="H3505" s="552"/>
      <c r="I3505" s="552"/>
      <c r="J3505" s="552"/>
      <c r="K3505" s="552"/>
      <c r="L3505" s="552">
        <v>1</v>
      </c>
      <c r="M3505" s="552"/>
      <c r="N3505" s="552"/>
      <c r="O3505" s="552"/>
      <c r="P3505" s="552">
        <v>13</v>
      </c>
      <c r="Q3505" s="552"/>
      <c r="R3505" s="552"/>
      <c r="S3505" s="552"/>
      <c r="T3505" s="552"/>
      <c r="U3505" s="552"/>
      <c r="V3505" s="552"/>
      <c r="W3505" s="552"/>
      <c r="X3505" s="552"/>
      <c r="Y3505" s="552"/>
      <c r="Z3505" s="552"/>
      <c r="AA3505" s="552"/>
      <c r="AB3505" s="22">
        <f t="shared" si="1041"/>
        <v>15</v>
      </c>
      <c r="AC3505" s="23">
        <v>6</v>
      </c>
      <c r="AD3505" s="35"/>
      <c r="AE3505" s="35"/>
      <c r="AF3505" s="35"/>
      <c r="AG3505" s="35"/>
      <c r="AH3505" s="35"/>
      <c r="AI3505" s="35"/>
      <c r="AJ3505" s="35"/>
      <c r="AK3505" s="35"/>
      <c r="AL3505" s="35"/>
      <c r="AM3505" s="35"/>
      <c r="AN3505" s="35"/>
      <c r="AO3505" s="35"/>
      <c r="AP3505" s="35"/>
      <c r="AQ3505" s="35"/>
      <c r="AR3505" s="35"/>
      <c r="AS3505" s="35"/>
      <c r="AT3505" s="35"/>
      <c r="AU3505" s="35"/>
      <c r="AV3505" s="35"/>
      <c r="AW3505" s="35"/>
      <c r="AX3505" s="35"/>
      <c r="AY3505" s="35"/>
      <c r="AZ3505" s="35"/>
      <c r="BA3505" s="35"/>
      <c r="BB3505" s="22">
        <f t="shared" si="1042"/>
        <v>0</v>
      </c>
      <c r="BC3505" s="23">
        <v>0</v>
      </c>
      <c r="BD3505" s="130">
        <f t="shared" si="1043"/>
        <v>15</v>
      </c>
      <c r="BE3505" s="130">
        <f t="shared" si="1044"/>
        <v>6</v>
      </c>
      <c r="BF3505" s="195">
        <f t="shared" si="1045"/>
        <v>250</v>
      </c>
      <c r="BG3505" s="373">
        <f t="shared" si="1046"/>
        <v>-9</v>
      </c>
    </row>
    <row r="3506" spans="1:61" s="46" customFormat="1" ht="15.95" customHeight="1">
      <c r="A3506" s="179">
        <v>18</v>
      </c>
      <c r="B3506" s="31" t="s">
        <v>1361</v>
      </c>
      <c r="C3506" s="32" t="s">
        <v>1362</v>
      </c>
      <c r="D3506" s="290"/>
      <c r="E3506" s="290"/>
      <c r="F3506" s="290"/>
      <c r="G3506" s="290"/>
      <c r="H3506" s="290"/>
      <c r="I3506" s="290"/>
      <c r="J3506" s="290"/>
      <c r="K3506" s="290"/>
      <c r="L3506" s="290">
        <v>2</v>
      </c>
      <c r="M3506" s="290"/>
      <c r="N3506" s="290"/>
      <c r="O3506" s="290"/>
      <c r="P3506" s="290"/>
      <c r="Q3506" s="290"/>
      <c r="R3506" s="290"/>
      <c r="S3506" s="290"/>
      <c r="T3506" s="290"/>
      <c r="U3506" s="290"/>
      <c r="V3506" s="290"/>
      <c r="W3506" s="290"/>
      <c r="X3506" s="290"/>
      <c r="Y3506" s="290"/>
      <c r="Z3506" s="290"/>
      <c r="AA3506" s="290"/>
      <c r="AB3506" s="22">
        <f t="shared" si="1041"/>
        <v>2</v>
      </c>
      <c r="AC3506" s="23">
        <v>0</v>
      </c>
      <c r="AD3506" s="35"/>
      <c r="AE3506" s="35"/>
      <c r="AF3506" s="35"/>
      <c r="AG3506" s="35"/>
      <c r="AH3506" s="35"/>
      <c r="AI3506" s="35"/>
      <c r="AJ3506" s="35"/>
      <c r="AK3506" s="35"/>
      <c r="AL3506" s="35"/>
      <c r="AM3506" s="35"/>
      <c r="AN3506" s="35"/>
      <c r="AO3506" s="35"/>
      <c r="AP3506" s="35"/>
      <c r="AQ3506" s="35"/>
      <c r="AR3506" s="35"/>
      <c r="AS3506" s="35"/>
      <c r="AT3506" s="35"/>
      <c r="AU3506" s="35"/>
      <c r="AV3506" s="35"/>
      <c r="AW3506" s="35"/>
      <c r="AX3506" s="35"/>
      <c r="AY3506" s="35"/>
      <c r="AZ3506" s="35"/>
      <c r="BA3506" s="35"/>
      <c r="BB3506" s="22">
        <f t="shared" si="1042"/>
        <v>0</v>
      </c>
      <c r="BC3506" s="23">
        <v>0</v>
      </c>
      <c r="BD3506" s="130">
        <f t="shared" si="1043"/>
        <v>2</v>
      </c>
      <c r="BE3506" s="130">
        <f t="shared" si="1044"/>
        <v>0</v>
      </c>
      <c r="BF3506" s="195" t="e">
        <f t="shared" si="1045"/>
        <v>#DIV/0!</v>
      </c>
      <c r="BG3506" s="373"/>
    </row>
    <row r="3507" spans="1:61" s="46" customFormat="1" ht="15.95" customHeight="1">
      <c r="A3507" s="646" t="s">
        <v>1667</v>
      </c>
      <c r="B3507" s="647"/>
      <c r="C3507" s="647"/>
      <c r="D3507" s="98">
        <f t="shared" ref="D3507:AI3507" si="1047">SUM(D3508:D3573)</f>
        <v>2</v>
      </c>
      <c r="E3507" s="98">
        <f t="shared" si="1047"/>
        <v>0</v>
      </c>
      <c r="F3507" s="98">
        <f t="shared" si="1047"/>
        <v>0</v>
      </c>
      <c r="G3507" s="98">
        <f t="shared" si="1047"/>
        <v>0</v>
      </c>
      <c r="H3507" s="98">
        <f t="shared" si="1047"/>
        <v>22286</v>
      </c>
      <c r="I3507" s="98">
        <f t="shared" si="1047"/>
        <v>0</v>
      </c>
      <c r="J3507" s="98">
        <f t="shared" si="1047"/>
        <v>0</v>
      </c>
      <c r="K3507" s="98">
        <f t="shared" si="1047"/>
        <v>882</v>
      </c>
      <c r="L3507" s="98">
        <f t="shared" si="1047"/>
        <v>27251</v>
      </c>
      <c r="M3507" s="98">
        <f t="shared" si="1047"/>
        <v>0</v>
      </c>
      <c r="N3507" s="98">
        <f t="shared" si="1047"/>
        <v>0</v>
      </c>
      <c r="O3507" s="98">
        <f t="shared" si="1047"/>
        <v>1118</v>
      </c>
      <c r="P3507" s="98">
        <f t="shared" si="1047"/>
        <v>58027</v>
      </c>
      <c r="Q3507" s="98">
        <f t="shared" si="1047"/>
        <v>0</v>
      </c>
      <c r="R3507" s="98">
        <f t="shared" si="1047"/>
        <v>0</v>
      </c>
      <c r="S3507" s="98">
        <f t="shared" si="1047"/>
        <v>2864</v>
      </c>
      <c r="T3507" s="98">
        <f t="shared" si="1047"/>
        <v>0</v>
      </c>
      <c r="U3507" s="98">
        <f t="shared" si="1047"/>
        <v>0</v>
      </c>
      <c r="V3507" s="98">
        <f t="shared" si="1047"/>
        <v>0</v>
      </c>
      <c r="W3507" s="98">
        <f t="shared" si="1047"/>
        <v>0</v>
      </c>
      <c r="X3507" s="98">
        <f t="shared" si="1047"/>
        <v>0</v>
      </c>
      <c r="Y3507" s="98">
        <f t="shared" si="1047"/>
        <v>0</v>
      </c>
      <c r="Z3507" s="98">
        <f t="shared" si="1047"/>
        <v>0</v>
      </c>
      <c r="AA3507" s="98">
        <f t="shared" si="1047"/>
        <v>0</v>
      </c>
      <c r="AB3507" s="98">
        <f t="shared" si="1047"/>
        <v>112430</v>
      </c>
      <c r="AC3507" s="161">
        <f t="shared" si="1047"/>
        <v>34756</v>
      </c>
      <c r="AD3507" s="130">
        <f t="shared" si="1047"/>
        <v>0</v>
      </c>
      <c r="AE3507" s="130">
        <f t="shared" si="1047"/>
        <v>0</v>
      </c>
      <c r="AF3507" s="130">
        <f t="shared" si="1047"/>
        <v>0</v>
      </c>
      <c r="AG3507" s="130">
        <f t="shared" si="1047"/>
        <v>0</v>
      </c>
      <c r="AH3507" s="130">
        <f t="shared" si="1047"/>
        <v>0</v>
      </c>
      <c r="AI3507" s="130">
        <f t="shared" si="1047"/>
        <v>0</v>
      </c>
      <c r="AJ3507" s="130">
        <f t="shared" ref="AJ3507:BC3507" si="1048">SUM(AJ3508:AJ3573)</f>
        <v>0</v>
      </c>
      <c r="AK3507" s="130">
        <f t="shared" si="1048"/>
        <v>0</v>
      </c>
      <c r="AL3507" s="130">
        <f t="shared" si="1048"/>
        <v>4</v>
      </c>
      <c r="AM3507" s="130">
        <f t="shared" si="1048"/>
        <v>0</v>
      </c>
      <c r="AN3507" s="130">
        <f t="shared" si="1048"/>
        <v>0</v>
      </c>
      <c r="AO3507" s="130">
        <f t="shared" si="1048"/>
        <v>0</v>
      </c>
      <c r="AP3507" s="130">
        <f t="shared" si="1048"/>
        <v>0</v>
      </c>
      <c r="AQ3507" s="130">
        <f t="shared" si="1048"/>
        <v>0</v>
      </c>
      <c r="AR3507" s="130">
        <f t="shared" si="1048"/>
        <v>0</v>
      </c>
      <c r="AS3507" s="130">
        <f t="shared" si="1048"/>
        <v>0</v>
      </c>
      <c r="AT3507" s="130">
        <f t="shared" si="1048"/>
        <v>0</v>
      </c>
      <c r="AU3507" s="130">
        <f t="shared" si="1048"/>
        <v>0</v>
      </c>
      <c r="AV3507" s="130">
        <f t="shared" si="1048"/>
        <v>0</v>
      </c>
      <c r="AW3507" s="130">
        <f t="shared" si="1048"/>
        <v>0</v>
      </c>
      <c r="AX3507" s="130">
        <f t="shared" si="1048"/>
        <v>0</v>
      </c>
      <c r="AY3507" s="130">
        <f t="shared" si="1048"/>
        <v>0</v>
      </c>
      <c r="AZ3507" s="130">
        <f t="shared" si="1048"/>
        <v>0</v>
      </c>
      <c r="BA3507" s="130">
        <f t="shared" si="1048"/>
        <v>0</v>
      </c>
      <c r="BB3507" s="130">
        <f t="shared" si="1048"/>
        <v>4</v>
      </c>
      <c r="BC3507" s="103">
        <f t="shared" si="1048"/>
        <v>31</v>
      </c>
      <c r="BD3507" s="130">
        <f t="shared" ref="BD3507" si="1049">AB3507+BB3507</f>
        <v>112434</v>
      </c>
      <c r="BE3507" s="130">
        <f t="shared" ref="BE3507" si="1050">AC3507+BC3507</f>
        <v>34787</v>
      </c>
      <c r="BF3507" s="195">
        <f t="shared" si="1039"/>
        <v>323.20694512317817</v>
      </c>
      <c r="BG3507" s="374">
        <f t="shared" ref="BG3507:BG3574" si="1051">BE3507-BD3507</f>
        <v>-77647</v>
      </c>
    </row>
    <row r="3508" spans="1:61" s="46" customFormat="1" ht="21" customHeight="1">
      <c r="A3508" s="417">
        <v>1</v>
      </c>
      <c r="B3508" s="418" t="s">
        <v>731</v>
      </c>
      <c r="C3508" s="419" t="s">
        <v>2050</v>
      </c>
      <c r="D3508" s="231"/>
      <c r="E3508" s="231"/>
      <c r="F3508" s="231"/>
      <c r="G3508" s="231"/>
      <c r="H3508" s="231"/>
      <c r="I3508" s="231"/>
      <c r="J3508" s="231"/>
      <c r="K3508" s="231"/>
      <c r="L3508" s="231">
        <v>1</v>
      </c>
      <c r="M3508" s="231"/>
      <c r="N3508" s="231"/>
      <c r="O3508" s="231"/>
      <c r="P3508" s="231">
        <v>5</v>
      </c>
      <c r="Q3508" s="231"/>
      <c r="R3508" s="231"/>
      <c r="S3508" s="231"/>
      <c r="T3508" s="231"/>
      <c r="U3508" s="231"/>
      <c r="V3508" s="231"/>
      <c r="W3508" s="231"/>
      <c r="X3508" s="231"/>
      <c r="Y3508" s="231"/>
      <c r="Z3508" s="231"/>
      <c r="AA3508" s="231"/>
      <c r="AB3508" s="22">
        <f t="shared" ref="AB3508:AB3539" si="1052">SUM(D3508:AA3508)</f>
        <v>6</v>
      </c>
      <c r="AC3508" s="23">
        <v>12</v>
      </c>
      <c r="AD3508" s="35"/>
      <c r="AE3508" s="35"/>
      <c r="AF3508" s="35"/>
      <c r="AG3508" s="35"/>
      <c r="AH3508" s="35"/>
      <c r="AI3508" s="35"/>
      <c r="AJ3508" s="35"/>
      <c r="AK3508" s="35"/>
      <c r="AL3508" s="35"/>
      <c r="AM3508" s="35"/>
      <c r="AN3508" s="35"/>
      <c r="AO3508" s="35"/>
      <c r="AP3508" s="35"/>
      <c r="AQ3508" s="35"/>
      <c r="AR3508" s="35"/>
      <c r="AS3508" s="35"/>
      <c r="AT3508" s="35"/>
      <c r="AU3508" s="35"/>
      <c r="AV3508" s="35"/>
      <c r="AW3508" s="35"/>
      <c r="AX3508" s="35"/>
      <c r="AY3508" s="35"/>
      <c r="AZ3508" s="35"/>
      <c r="BA3508" s="35"/>
      <c r="BB3508" s="22">
        <f t="shared" ref="BB3508:BB3539" si="1053">SUM(AD3508:BA3508)</f>
        <v>0</v>
      </c>
      <c r="BC3508" s="23">
        <v>0</v>
      </c>
      <c r="BD3508" s="130">
        <f t="shared" ref="BD3508:BD3539" si="1054">AB3508+BB3508</f>
        <v>6</v>
      </c>
      <c r="BE3508" s="130">
        <f t="shared" ref="BE3508:BE3539" si="1055">AC3508+BC3508</f>
        <v>12</v>
      </c>
      <c r="BF3508" s="195">
        <f t="shared" ref="BF3508:BF3539" si="1056">BD3508/BE3508*100</f>
        <v>50</v>
      </c>
      <c r="BG3508" s="373">
        <f>BE3508-BD3508</f>
        <v>6</v>
      </c>
      <c r="BH3508" s="426" t="s">
        <v>3675</v>
      </c>
      <c r="BI3508" s="420"/>
    </row>
    <row r="3509" spans="1:61" s="46" customFormat="1" ht="21" customHeight="1">
      <c r="A3509" s="417">
        <v>2</v>
      </c>
      <c r="B3509" s="418" t="s">
        <v>926</v>
      </c>
      <c r="C3509" s="423" t="s">
        <v>927</v>
      </c>
      <c r="D3509" s="231"/>
      <c r="E3509" s="231"/>
      <c r="F3509" s="231"/>
      <c r="G3509" s="231"/>
      <c r="H3509" s="231"/>
      <c r="I3509" s="231"/>
      <c r="J3509" s="231"/>
      <c r="K3509" s="231">
        <f>438+405</f>
        <v>843</v>
      </c>
      <c r="L3509" s="231"/>
      <c r="M3509" s="231"/>
      <c r="N3509" s="231"/>
      <c r="O3509" s="231">
        <v>1005</v>
      </c>
      <c r="P3509" s="231"/>
      <c r="Q3509" s="231"/>
      <c r="R3509" s="231"/>
      <c r="S3509" s="231">
        <f>2+1389+1356+1</f>
        <v>2748</v>
      </c>
      <c r="T3509" s="231"/>
      <c r="U3509" s="231"/>
      <c r="V3509" s="231"/>
      <c r="W3509" s="231"/>
      <c r="X3509" s="231"/>
      <c r="Y3509" s="231"/>
      <c r="Z3509" s="231"/>
      <c r="AA3509" s="231"/>
      <c r="AB3509" s="22">
        <f t="shared" si="1052"/>
        <v>4596</v>
      </c>
      <c r="AC3509" s="23">
        <v>430</v>
      </c>
      <c r="AD3509" s="35"/>
      <c r="AE3509" s="35"/>
      <c r="AF3509" s="35"/>
      <c r="AG3509" s="35"/>
      <c r="AH3509" s="35"/>
      <c r="AI3509" s="35"/>
      <c r="AJ3509" s="35"/>
      <c r="AK3509" s="35"/>
      <c r="AL3509" s="35"/>
      <c r="AM3509" s="35"/>
      <c r="AN3509" s="35"/>
      <c r="AO3509" s="35"/>
      <c r="AP3509" s="35"/>
      <c r="AQ3509" s="35"/>
      <c r="AR3509" s="35"/>
      <c r="AS3509" s="35"/>
      <c r="AT3509" s="35"/>
      <c r="AU3509" s="35"/>
      <c r="AV3509" s="35"/>
      <c r="AW3509" s="35"/>
      <c r="AX3509" s="35"/>
      <c r="AY3509" s="35"/>
      <c r="AZ3509" s="35"/>
      <c r="BA3509" s="35"/>
      <c r="BB3509" s="22">
        <f t="shared" si="1053"/>
        <v>0</v>
      </c>
      <c r="BC3509" s="23">
        <v>0</v>
      </c>
      <c r="BD3509" s="130">
        <f t="shared" si="1054"/>
        <v>4596</v>
      </c>
      <c r="BE3509" s="130">
        <f t="shared" si="1055"/>
        <v>430</v>
      </c>
      <c r="BF3509" s="195">
        <f t="shared" si="1056"/>
        <v>1068.8372093023256</v>
      </c>
      <c r="BG3509" s="373">
        <f>BE3509-BD3509</f>
        <v>-4166</v>
      </c>
      <c r="BH3509" s="426" t="s">
        <v>3675</v>
      </c>
      <c r="BI3509" s="426"/>
    </row>
    <row r="3510" spans="1:61" s="46" customFormat="1" ht="21" customHeight="1">
      <c r="A3510" s="417">
        <v>3</v>
      </c>
      <c r="B3510" s="418" t="s">
        <v>1266</v>
      </c>
      <c r="C3510" s="419" t="s">
        <v>1267</v>
      </c>
      <c r="D3510" s="390"/>
      <c r="E3510" s="390"/>
      <c r="F3510" s="390"/>
      <c r="G3510" s="390"/>
      <c r="H3510" s="390"/>
      <c r="I3510" s="390"/>
      <c r="J3510" s="390"/>
      <c r="K3510" s="390">
        <v>39</v>
      </c>
      <c r="L3510" s="390"/>
      <c r="M3510" s="390"/>
      <c r="N3510" s="390"/>
      <c r="O3510" s="390">
        <v>113</v>
      </c>
      <c r="P3510" s="390"/>
      <c r="Q3510" s="390"/>
      <c r="R3510" s="390"/>
      <c r="S3510" s="390">
        <f>1+111</f>
        <v>112</v>
      </c>
      <c r="T3510" s="390"/>
      <c r="U3510" s="390"/>
      <c r="V3510" s="390"/>
      <c r="W3510" s="390"/>
      <c r="X3510" s="390"/>
      <c r="Y3510" s="390"/>
      <c r="Z3510" s="390"/>
      <c r="AA3510" s="390"/>
      <c r="AB3510" s="22">
        <f t="shared" si="1052"/>
        <v>264</v>
      </c>
      <c r="AC3510" s="23">
        <v>108</v>
      </c>
      <c r="AD3510" s="35"/>
      <c r="AE3510" s="35"/>
      <c r="AF3510" s="35"/>
      <c r="AG3510" s="35"/>
      <c r="AH3510" s="35"/>
      <c r="AI3510" s="35"/>
      <c r="AJ3510" s="35"/>
      <c r="AK3510" s="35"/>
      <c r="AL3510" s="35"/>
      <c r="AM3510" s="35"/>
      <c r="AN3510" s="35"/>
      <c r="AO3510" s="35"/>
      <c r="AP3510" s="35"/>
      <c r="AQ3510" s="35"/>
      <c r="AR3510" s="35"/>
      <c r="AS3510" s="35"/>
      <c r="AT3510" s="35"/>
      <c r="AU3510" s="35"/>
      <c r="AV3510" s="35"/>
      <c r="AW3510" s="35"/>
      <c r="AX3510" s="35"/>
      <c r="AY3510" s="35"/>
      <c r="AZ3510" s="35"/>
      <c r="BA3510" s="35"/>
      <c r="BB3510" s="22">
        <f t="shared" si="1053"/>
        <v>0</v>
      </c>
      <c r="BC3510" s="23">
        <v>0</v>
      </c>
      <c r="BD3510" s="130">
        <f t="shared" si="1054"/>
        <v>264</v>
      </c>
      <c r="BE3510" s="130">
        <f t="shared" si="1055"/>
        <v>108</v>
      </c>
      <c r="BF3510" s="195">
        <f t="shared" si="1056"/>
        <v>244.44444444444446</v>
      </c>
      <c r="BG3510" s="373">
        <f>BE3510-BD3510</f>
        <v>-156</v>
      </c>
      <c r="BH3510" s="421" t="s">
        <v>3675</v>
      </c>
      <c r="BI3510" s="421"/>
    </row>
    <row r="3511" spans="1:61" s="46" customFormat="1" ht="21" customHeight="1">
      <c r="A3511" s="417">
        <v>4</v>
      </c>
      <c r="B3511" s="418" t="s">
        <v>2218</v>
      </c>
      <c r="C3511" s="419" t="s">
        <v>2222</v>
      </c>
      <c r="D3511" s="231"/>
      <c r="E3511" s="231"/>
      <c r="F3511" s="231"/>
      <c r="G3511" s="231"/>
      <c r="H3511" s="231"/>
      <c r="I3511" s="231"/>
      <c r="J3511" s="231"/>
      <c r="K3511" s="231"/>
      <c r="L3511" s="231"/>
      <c r="M3511" s="231"/>
      <c r="N3511" s="231"/>
      <c r="O3511" s="231"/>
      <c r="P3511" s="231"/>
      <c r="Q3511" s="231"/>
      <c r="R3511" s="231"/>
      <c r="S3511" s="231">
        <v>2</v>
      </c>
      <c r="T3511" s="231"/>
      <c r="U3511" s="231"/>
      <c r="V3511" s="231"/>
      <c r="W3511" s="231"/>
      <c r="X3511" s="231"/>
      <c r="Y3511" s="231"/>
      <c r="Z3511" s="231"/>
      <c r="AA3511" s="231"/>
      <c r="AB3511" s="22">
        <f t="shared" si="1052"/>
        <v>2</v>
      </c>
      <c r="AC3511" s="23">
        <v>1</v>
      </c>
      <c r="AD3511" s="35"/>
      <c r="AE3511" s="35"/>
      <c r="AF3511" s="35"/>
      <c r="AG3511" s="35"/>
      <c r="AH3511" s="35"/>
      <c r="AI3511" s="35"/>
      <c r="AJ3511" s="35"/>
      <c r="AK3511" s="35"/>
      <c r="AL3511" s="35"/>
      <c r="AM3511" s="35"/>
      <c r="AN3511" s="35"/>
      <c r="AO3511" s="35"/>
      <c r="AP3511" s="35"/>
      <c r="AQ3511" s="35"/>
      <c r="AR3511" s="35"/>
      <c r="AS3511" s="35"/>
      <c r="AT3511" s="35"/>
      <c r="AU3511" s="35"/>
      <c r="AV3511" s="35"/>
      <c r="AW3511" s="35"/>
      <c r="AX3511" s="35"/>
      <c r="AY3511" s="35"/>
      <c r="AZ3511" s="35"/>
      <c r="BA3511" s="35"/>
      <c r="BB3511" s="22">
        <f t="shared" si="1053"/>
        <v>0</v>
      </c>
      <c r="BC3511" s="23">
        <v>0</v>
      </c>
      <c r="BD3511" s="130">
        <f t="shared" si="1054"/>
        <v>2</v>
      </c>
      <c r="BE3511" s="130">
        <f t="shared" si="1055"/>
        <v>1</v>
      </c>
      <c r="BF3511" s="195">
        <f t="shared" si="1056"/>
        <v>200</v>
      </c>
      <c r="BG3511" s="373">
        <f>BE3511-BD3511</f>
        <v>-1</v>
      </c>
      <c r="BH3511" s="421" t="s">
        <v>3675</v>
      </c>
      <c r="BI3511" s="421"/>
    </row>
    <row r="3512" spans="1:61" s="46" customFormat="1" ht="21" customHeight="1">
      <c r="A3512" s="417">
        <v>5</v>
      </c>
      <c r="B3512" s="418" t="s">
        <v>2246</v>
      </c>
      <c r="C3512" s="419" t="s">
        <v>2247</v>
      </c>
      <c r="D3512" s="231"/>
      <c r="E3512" s="231"/>
      <c r="F3512" s="231"/>
      <c r="G3512" s="231"/>
      <c r="H3512" s="231"/>
      <c r="I3512" s="231"/>
      <c r="J3512" s="231"/>
      <c r="K3512" s="231"/>
      <c r="L3512" s="231"/>
      <c r="M3512" s="231"/>
      <c r="N3512" s="231"/>
      <c r="O3512" s="231"/>
      <c r="P3512" s="231"/>
      <c r="Q3512" s="231"/>
      <c r="R3512" s="231"/>
      <c r="S3512" s="231">
        <v>2</v>
      </c>
      <c r="T3512" s="231"/>
      <c r="U3512" s="231"/>
      <c r="V3512" s="231"/>
      <c r="W3512" s="231"/>
      <c r="X3512" s="231"/>
      <c r="Y3512" s="231"/>
      <c r="Z3512" s="231"/>
      <c r="AA3512" s="231"/>
      <c r="AB3512" s="22">
        <f t="shared" si="1052"/>
        <v>2</v>
      </c>
      <c r="AC3512" s="23">
        <v>8</v>
      </c>
      <c r="AD3512" s="35"/>
      <c r="AE3512" s="35"/>
      <c r="AF3512" s="35"/>
      <c r="AG3512" s="35"/>
      <c r="AH3512" s="35"/>
      <c r="AI3512" s="35"/>
      <c r="AJ3512" s="35"/>
      <c r="AK3512" s="35"/>
      <c r="AL3512" s="35"/>
      <c r="AM3512" s="35"/>
      <c r="AN3512" s="35"/>
      <c r="AO3512" s="35"/>
      <c r="AP3512" s="35"/>
      <c r="AQ3512" s="35"/>
      <c r="AR3512" s="35"/>
      <c r="AS3512" s="35"/>
      <c r="AT3512" s="35"/>
      <c r="AU3512" s="35"/>
      <c r="AV3512" s="35"/>
      <c r="AW3512" s="35"/>
      <c r="AX3512" s="35"/>
      <c r="AY3512" s="35"/>
      <c r="AZ3512" s="35"/>
      <c r="BA3512" s="35"/>
      <c r="BB3512" s="22">
        <f t="shared" si="1053"/>
        <v>0</v>
      </c>
      <c r="BC3512" s="23">
        <v>0</v>
      </c>
      <c r="BD3512" s="130">
        <f t="shared" si="1054"/>
        <v>2</v>
      </c>
      <c r="BE3512" s="130">
        <f t="shared" si="1055"/>
        <v>8</v>
      </c>
      <c r="BF3512" s="195">
        <f t="shared" si="1056"/>
        <v>25</v>
      </c>
      <c r="BG3512" s="373">
        <f>BE3512-BD3512</f>
        <v>6</v>
      </c>
      <c r="BH3512" s="421" t="s">
        <v>3675</v>
      </c>
      <c r="BI3512" s="421"/>
    </row>
    <row r="3513" spans="1:61" s="46" customFormat="1" ht="15.95" customHeight="1">
      <c r="A3513" s="176">
        <v>6</v>
      </c>
      <c r="B3513" s="31" t="s">
        <v>1270</v>
      </c>
      <c r="C3513" s="32" t="s">
        <v>1271</v>
      </c>
      <c r="D3513" s="231"/>
      <c r="E3513" s="231"/>
      <c r="F3513" s="231"/>
      <c r="G3513" s="231"/>
      <c r="H3513" s="231"/>
      <c r="I3513" s="231"/>
      <c r="J3513" s="231"/>
      <c r="K3513" s="231"/>
      <c r="L3513" s="231">
        <v>1</v>
      </c>
      <c r="M3513" s="231"/>
      <c r="N3513" s="231"/>
      <c r="O3513" s="231"/>
      <c r="P3513" s="231"/>
      <c r="Q3513" s="231"/>
      <c r="R3513" s="231"/>
      <c r="S3513" s="231"/>
      <c r="T3513" s="231"/>
      <c r="U3513" s="231"/>
      <c r="V3513" s="231"/>
      <c r="W3513" s="231"/>
      <c r="X3513" s="231"/>
      <c r="Y3513" s="231"/>
      <c r="Z3513" s="231"/>
      <c r="AA3513" s="231"/>
      <c r="AB3513" s="22">
        <f t="shared" si="1052"/>
        <v>1</v>
      </c>
      <c r="AC3513" s="23">
        <v>0</v>
      </c>
      <c r="AD3513" s="35"/>
      <c r="AE3513" s="35"/>
      <c r="AF3513" s="35"/>
      <c r="AG3513" s="35"/>
      <c r="AH3513" s="35"/>
      <c r="AI3513" s="35"/>
      <c r="AJ3513" s="35"/>
      <c r="AK3513" s="35"/>
      <c r="AL3513" s="35"/>
      <c r="AM3513" s="35"/>
      <c r="AN3513" s="35"/>
      <c r="AO3513" s="35"/>
      <c r="AP3513" s="35"/>
      <c r="AQ3513" s="35"/>
      <c r="AR3513" s="35"/>
      <c r="AS3513" s="35"/>
      <c r="AT3513" s="35"/>
      <c r="AU3513" s="35"/>
      <c r="AV3513" s="35"/>
      <c r="AW3513" s="35"/>
      <c r="AX3513" s="35"/>
      <c r="AY3513" s="35"/>
      <c r="AZ3513" s="35"/>
      <c r="BA3513" s="35"/>
      <c r="BB3513" s="22">
        <f t="shared" si="1053"/>
        <v>0</v>
      </c>
      <c r="BC3513" s="23">
        <v>0</v>
      </c>
      <c r="BD3513" s="130">
        <f t="shared" si="1054"/>
        <v>1</v>
      </c>
      <c r="BE3513" s="130">
        <f t="shared" si="1055"/>
        <v>0</v>
      </c>
      <c r="BF3513" s="195" t="e">
        <f t="shared" si="1056"/>
        <v>#DIV/0!</v>
      </c>
      <c r="BG3513" s="373"/>
    </row>
    <row r="3514" spans="1:61" s="46" customFormat="1" ht="15.95" customHeight="1">
      <c r="A3514" s="176">
        <v>7</v>
      </c>
      <c r="B3514" s="31" t="s">
        <v>1272</v>
      </c>
      <c r="C3514" s="32" t="s">
        <v>1273</v>
      </c>
      <c r="D3514" s="552"/>
      <c r="E3514" s="552"/>
      <c r="F3514" s="552"/>
      <c r="G3514" s="552"/>
      <c r="H3514" s="552"/>
      <c r="I3514" s="552"/>
      <c r="J3514" s="552"/>
      <c r="K3514" s="552"/>
      <c r="L3514" s="552">
        <v>1</v>
      </c>
      <c r="M3514" s="552"/>
      <c r="N3514" s="552"/>
      <c r="O3514" s="552"/>
      <c r="P3514" s="552"/>
      <c r="Q3514" s="552"/>
      <c r="R3514" s="552"/>
      <c r="S3514" s="552"/>
      <c r="T3514" s="552"/>
      <c r="U3514" s="552"/>
      <c r="V3514" s="552"/>
      <c r="W3514" s="552"/>
      <c r="X3514" s="552"/>
      <c r="Y3514" s="552"/>
      <c r="Z3514" s="552"/>
      <c r="AA3514" s="552"/>
      <c r="AB3514" s="22">
        <f t="shared" si="1052"/>
        <v>1</v>
      </c>
      <c r="AC3514" s="23">
        <v>0</v>
      </c>
      <c r="AD3514" s="35"/>
      <c r="AE3514" s="35"/>
      <c r="AF3514" s="35"/>
      <c r="AG3514" s="35"/>
      <c r="AH3514" s="35"/>
      <c r="AI3514" s="35"/>
      <c r="AJ3514" s="35"/>
      <c r="AK3514" s="35"/>
      <c r="AL3514" s="35"/>
      <c r="AM3514" s="35"/>
      <c r="AN3514" s="35"/>
      <c r="AO3514" s="35"/>
      <c r="AP3514" s="35"/>
      <c r="AQ3514" s="35"/>
      <c r="AR3514" s="35"/>
      <c r="AS3514" s="35"/>
      <c r="AT3514" s="35"/>
      <c r="AU3514" s="35"/>
      <c r="AV3514" s="35"/>
      <c r="AW3514" s="35"/>
      <c r="AX3514" s="35"/>
      <c r="AY3514" s="35"/>
      <c r="AZ3514" s="35"/>
      <c r="BA3514" s="35"/>
      <c r="BB3514" s="22">
        <f t="shared" si="1053"/>
        <v>0</v>
      </c>
      <c r="BC3514" s="23">
        <v>0</v>
      </c>
      <c r="BD3514" s="130">
        <f t="shared" si="1054"/>
        <v>1</v>
      </c>
      <c r="BE3514" s="130">
        <f t="shared" si="1055"/>
        <v>0</v>
      </c>
      <c r="BF3514" s="195" t="e">
        <f t="shared" si="1056"/>
        <v>#DIV/0!</v>
      </c>
      <c r="BG3514" s="373"/>
    </row>
    <row r="3515" spans="1:61" s="46" customFormat="1" ht="15.95" customHeight="1">
      <c r="A3515" s="176">
        <v>8</v>
      </c>
      <c r="B3515" s="31" t="s">
        <v>735</v>
      </c>
      <c r="C3515" s="32" t="s">
        <v>3324</v>
      </c>
      <c r="D3515" s="552"/>
      <c r="E3515" s="552"/>
      <c r="F3515" s="552"/>
      <c r="G3515" s="552"/>
      <c r="H3515" s="552"/>
      <c r="I3515" s="552"/>
      <c r="J3515" s="552"/>
      <c r="K3515" s="552"/>
      <c r="L3515" s="552"/>
      <c r="M3515" s="552"/>
      <c r="N3515" s="552"/>
      <c r="O3515" s="552"/>
      <c r="P3515" s="552"/>
      <c r="Q3515" s="552"/>
      <c r="R3515" s="552"/>
      <c r="S3515" s="552"/>
      <c r="T3515" s="552"/>
      <c r="U3515" s="552"/>
      <c r="V3515" s="552"/>
      <c r="W3515" s="552"/>
      <c r="X3515" s="552"/>
      <c r="Y3515" s="552"/>
      <c r="Z3515" s="552"/>
      <c r="AA3515" s="552"/>
      <c r="AB3515" s="22">
        <f t="shared" si="1052"/>
        <v>0</v>
      </c>
      <c r="AC3515" s="23">
        <v>1</v>
      </c>
      <c r="AD3515" s="35"/>
      <c r="AE3515" s="35"/>
      <c r="AF3515" s="35"/>
      <c r="AG3515" s="35"/>
      <c r="AH3515" s="35"/>
      <c r="AI3515" s="35"/>
      <c r="AJ3515" s="35"/>
      <c r="AK3515" s="35"/>
      <c r="AL3515" s="35"/>
      <c r="AM3515" s="35"/>
      <c r="AN3515" s="35"/>
      <c r="AO3515" s="35"/>
      <c r="AP3515" s="35"/>
      <c r="AQ3515" s="35"/>
      <c r="AR3515" s="35"/>
      <c r="AS3515" s="35"/>
      <c r="AT3515" s="35"/>
      <c r="AU3515" s="35"/>
      <c r="AV3515" s="35"/>
      <c r="AW3515" s="35"/>
      <c r="AX3515" s="35"/>
      <c r="AY3515" s="35"/>
      <c r="AZ3515" s="35"/>
      <c r="BA3515" s="35"/>
      <c r="BB3515" s="22">
        <f t="shared" si="1053"/>
        <v>0</v>
      </c>
      <c r="BC3515" s="23">
        <v>0</v>
      </c>
      <c r="BD3515" s="130">
        <f t="shared" si="1054"/>
        <v>0</v>
      </c>
      <c r="BE3515" s="130">
        <f t="shared" si="1055"/>
        <v>1</v>
      </c>
      <c r="BF3515" s="195">
        <f t="shared" si="1056"/>
        <v>0</v>
      </c>
      <c r="BG3515" s="373">
        <f>BE3515-BD3515</f>
        <v>1</v>
      </c>
    </row>
    <row r="3516" spans="1:61" s="46" customFormat="1" ht="15.95" customHeight="1">
      <c r="A3516" s="176">
        <v>9</v>
      </c>
      <c r="B3516" s="31" t="s">
        <v>1675</v>
      </c>
      <c r="C3516" s="32" t="s">
        <v>1676</v>
      </c>
      <c r="D3516" s="336"/>
      <c r="E3516" s="336"/>
      <c r="F3516" s="336"/>
      <c r="G3516" s="336"/>
      <c r="H3516" s="336"/>
      <c r="I3516" s="336"/>
      <c r="J3516" s="336"/>
      <c r="K3516" s="336"/>
      <c r="L3516" s="336"/>
      <c r="M3516" s="336"/>
      <c r="N3516" s="336"/>
      <c r="O3516" s="336"/>
      <c r="P3516" s="336"/>
      <c r="Q3516" s="336"/>
      <c r="R3516" s="336"/>
      <c r="S3516" s="336"/>
      <c r="T3516" s="336"/>
      <c r="U3516" s="336"/>
      <c r="V3516" s="336"/>
      <c r="W3516" s="336"/>
      <c r="X3516" s="336"/>
      <c r="Y3516" s="336"/>
      <c r="Z3516" s="336"/>
      <c r="AA3516" s="336"/>
      <c r="AB3516" s="22">
        <f t="shared" si="1052"/>
        <v>0</v>
      </c>
      <c r="AC3516" s="23">
        <v>0</v>
      </c>
      <c r="AD3516" s="35"/>
      <c r="AE3516" s="35"/>
      <c r="AF3516" s="35"/>
      <c r="AG3516" s="35"/>
      <c r="AH3516" s="35"/>
      <c r="AI3516" s="35"/>
      <c r="AJ3516" s="35"/>
      <c r="AK3516" s="35"/>
      <c r="AL3516" s="35"/>
      <c r="AM3516" s="35"/>
      <c r="AN3516" s="35"/>
      <c r="AO3516" s="35"/>
      <c r="AP3516" s="35"/>
      <c r="AQ3516" s="35"/>
      <c r="AR3516" s="35"/>
      <c r="AS3516" s="35"/>
      <c r="AT3516" s="35"/>
      <c r="AU3516" s="35"/>
      <c r="AV3516" s="35"/>
      <c r="AW3516" s="35"/>
      <c r="AX3516" s="35"/>
      <c r="AY3516" s="35"/>
      <c r="AZ3516" s="35"/>
      <c r="BA3516" s="35"/>
      <c r="BB3516" s="22">
        <f t="shared" si="1053"/>
        <v>0</v>
      </c>
      <c r="BC3516" s="23">
        <v>1</v>
      </c>
      <c r="BD3516" s="130">
        <f t="shared" si="1054"/>
        <v>0</v>
      </c>
      <c r="BE3516" s="130">
        <f t="shared" si="1055"/>
        <v>1</v>
      </c>
      <c r="BF3516" s="195">
        <f t="shared" si="1056"/>
        <v>0</v>
      </c>
      <c r="BG3516" s="373">
        <f>BE3516-BD3516</f>
        <v>1</v>
      </c>
    </row>
    <row r="3517" spans="1:61" s="46" customFormat="1" ht="15.95" customHeight="1">
      <c r="A3517" s="176">
        <v>10</v>
      </c>
      <c r="B3517" s="31" t="s">
        <v>740</v>
      </c>
      <c r="C3517" s="32" t="s">
        <v>741</v>
      </c>
      <c r="D3517" s="231"/>
      <c r="E3517" s="231"/>
      <c r="F3517" s="231"/>
      <c r="G3517" s="231"/>
      <c r="H3517" s="231"/>
      <c r="I3517" s="231"/>
      <c r="J3517" s="231"/>
      <c r="K3517" s="231"/>
      <c r="L3517" s="231"/>
      <c r="M3517" s="231"/>
      <c r="N3517" s="231"/>
      <c r="O3517" s="231"/>
      <c r="P3517" s="231"/>
      <c r="Q3517" s="231"/>
      <c r="R3517" s="231"/>
      <c r="S3517" s="231"/>
      <c r="T3517" s="231"/>
      <c r="U3517" s="231"/>
      <c r="V3517" s="231"/>
      <c r="W3517" s="231"/>
      <c r="X3517" s="231"/>
      <c r="Y3517" s="231"/>
      <c r="Z3517" s="231"/>
      <c r="AA3517" s="231"/>
      <c r="AB3517" s="22">
        <f t="shared" si="1052"/>
        <v>0</v>
      </c>
      <c r="AC3517" s="23">
        <v>2</v>
      </c>
      <c r="AD3517" s="35"/>
      <c r="AE3517" s="35"/>
      <c r="AF3517" s="35"/>
      <c r="AG3517" s="35"/>
      <c r="AH3517" s="35"/>
      <c r="AI3517" s="35"/>
      <c r="AJ3517" s="35"/>
      <c r="AK3517" s="35"/>
      <c r="AL3517" s="35"/>
      <c r="AM3517" s="35"/>
      <c r="AN3517" s="35"/>
      <c r="AO3517" s="35"/>
      <c r="AP3517" s="35"/>
      <c r="AQ3517" s="35"/>
      <c r="AR3517" s="35"/>
      <c r="AS3517" s="35"/>
      <c r="AT3517" s="35"/>
      <c r="AU3517" s="35"/>
      <c r="AV3517" s="35"/>
      <c r="AW3517" s="35"/>
      <c r="AX3517" s="35"/>
      <c r="AY3517" s="35"/>
      <c r="AZ3517" s="35"/>
      <c r="BA3517" s="35"/>
      <c r="BB3517" s="22">
        <f t="shared" si="1053"/>
        <v>0</v>
      </c>
      <c r="BC3517" s="23">
        <v>0</v>
      </c>
      <c r="BD3517" s="130">
        <f t="shared" si="1054"/>
        <v>0</v>
      </c>
      <c r="BE3517" s="130">
        <f t="shared" si="1055"/>
        <v>2</v>
      </c>
      <c r="BF3517" s="195">
        <f t="shared" si="1056"/>
        <v>0</v>
      </c>
      <c r="BG3517" s="373">
        <f>BE3517-BD3517</f>
        <v>2</v>
      </c>
    </row>
    <row r="3518" spans="1:61" s="46" customFormat="1" ht="15.95" customHeight="1">
      <c r="A3518" s="176">
        <v>11</v>
      </c>
      <c r="B3518" s="31" t="s">
        <v>746</v>
      </c>
      <c r="C3518" s="32" t="s">
        <v>1520</v>
      </c>
      <c r="D3518" s="231">
        <v>1</v>
      </c>
      <c r="E3518" s="231"/>
      <c r="F3518" s="231"/>
      <c r="G3518" s="231"/>
      <c r="H3518" s="231">
        <f>4812+1+1314</f>
        <v>6127</v>
      </c>
      <c r="I3518" s="231"/>
      <c r="J3518" s="231"/>
      <c r="K3518" s="231"/>
      <c r="L3518" s="231">
        <f>4802+3520</f>
        <v>8322</v>
      </c>
      <c r="M3518" s="231"/>
      <c r="N3518" s="231"/>
      <c r="O3518" s="231"/>
      <c r="P3518" s="231">
        <f>18+6799+5112</f>
        <v>11929</v>
      </c>
      <c r="Q3518" s="231"/>
      <c r="R3518" s="231"/>
      <c r="S3518" s="231"/>
      <c r="T3518" s="231"/>
      <c r="U3518" s="231"/>
      <c r="V3518" s="231"/>
      <c r="W3518" s="231"/>
      <c r="X3518" s="231"/>
      <c r="Y3518" s="231"/>
      <c r="Z3518" s="231"/>
      <c r="AA3518" s="231"/>
      <c r="AB3518" s="22">
        <f t="shared" si="1052"/>
        <v>26379</v>
      </c>
      <c r="AC3518" s="23">
        <v>14776</v>
      </c>
      <c r="AD3518" s="35"/>
      <c r="AE3518" s="35"/>
      <c r="AF3518" s="35"/>
      <c r="AG3518" s="35"/>
      <c r="AH3518" s="35"/>
      <c r="AI3518" s="35"/>
      <c r="AJ3518" s="35"/>
      <c r="AK3518" s="35"/>
      <c r="AL3518" s="35"/>
      <c r="AM3518" s="35"/>
      <c r="AN3518" s="35"/>
      <c r="AO3518" s="35"/>
      <c r="AP3518" s="35"/>
      <c r="AQ3518" s="35"/>
      <c r="AR3518" s="35"/>
      <c r="AS3518" s="35"/>
      <c r="AT3518" s="35"/>
      <c r="AU3518" s="35"/>
      <c r="AV3518" s="35"/>
      <c r="AW3518" s="35"/>
      <c r="AX3518" s="35"/>
      <c r="AY3518" s="35"/>
      <c r="AZ3518" s="35"/>
      <c r="BA3518" s="35"/>
      <c r="BB3518" s="22">
        <f t="shared" si="1053"/>
        <v>0</v>
      </c>
      <c r="BC3518" s="23">
        <v>0</v>
      </c>
      <c r="BD3518" s="130">
        <f t="shared" si="1054"/>
        <v>26379</v>
      </c>
      <c r="BE3518" s="130">
        <f t="shared" si="1055"/>
        <v>14776</v>
      </c>
      <c r="BF3518" s="195">
        <f t="shared" si="1056"/>
        <v>178.52598808879264</v>
      </c>
      <c r="BG3518" s="373">
        <f>BE3518-BD3518</f>
        <v>-11603</v>
      </c>
    </row>
    <row r="3519" spans="1:61" s="46" customFormat="1" ht="15.95" customHeight="1">
      <c r="A3519" s="176">
        <v>12</v>
      </c>
      <c r="B3519" s="31" t="s">
        <v>748</v>
      </c>
      <c r="C3519" s="32" t="s">
        <v>749</v>
      </c>
      <c r="D3519" s="231"/>
      <c r="E3519" s="231"/>
      <c r="F3519" s="231"/>
      <c r="G3519" s="231"/>
      <c r="H3519" s="231">
        <f>1+1</f>
        <v>2</v>
      </c>
      <c r="I3519" s="231"/>
      <c r="J3519" s="231"/>
      <c r="K3519" s="231"/>
      <c r="L3519" s="231">
        <v>10</v>
      </c>
      <c r="M3519" s="231"/>
      <c r="N3519" s="231"/>
      <c r="O3519" s="231"/>
      <c r="P3519" s="231">
        <v>11</v>
      </c>
      <c r="Q3519" s="231"/>
      <c r="R3519" s="231"/>
      <c r="S3519" s="231"/>
      <c r="T3519" s="231"/>
      <c r="U3519" s="231"/>
      <c r="V3519" s="231"/>
      <c r="W3519" s="231"/>
      <c r="X3519" s="231"/>
      <c r="Y3519" s="231"/>
      <c r="Z3519" s="231"/>
      <c r="AA3519" s="231"/>
      <c r="AB3519" s="22">
        <f t="shared" si="1052"/>
        <v>23</v>
      </c>
      <c r="AC3519" s="23">
        <v>6</v>
      </c>
      <c r="AD3519" s="35"/>
      <c r="AE3519" s="35"/>
      <c r="AF3519" s="35"/>
      <c r="AG3519" s="35"/>
      <c r="AH3519" s="35"/>
      <c r="AI3519" s="35"/>
      <c r="AJ3519" s="35"/>
      <c r="AK3519" s="35"/>
      <c r="AL3519" s="35"/>
      <c r="AM3519" s="35"/>
      <c r="AN3519" s="35"/>
      <c r="AO3519" s="35"/>
      <c r="AP3519" s="35"/>
      <c r="AQ3519" s="35"/>
      <c r="AR3519" s="35"/>
      <c r="AS3519" s="35"/>
      <c r="AT3519" s="35"/>
      <c r="AU3519" s="35"/>
      <c r="AV3519" s="35"/>
      <c r="AW3519" s="35"/>
      <c r="AX3519" s="35"/>
      <c r="AY3519" s="35"/>
      <c r="AZ3519" s="35"/>
      <c r="BA3519" s="35"/>
      <c r="BB3519" s="22">
        <f t="shared" si="1053"/>
        <v>0</v>
      </c>
      <c r="BC3519" s="23">
        <v>0</v>
      </c>
      <c r="BD3519" s="130">
        <f t="shared" si="1054"/>
        <v>23</v>
      </c>
      <c r="BE3519" s="130">
        <f t="shared" si="1055"/>
        <v>6</v>
      </c>
      <c r="BF3519" s="195">
        <f t="shared" si="1056"/>
        <v>383.33333333333337</v>
      </c>
      <c r="BG3519" s="373">
        <f>BE3519-BD3519</f>
        <v>-17</v>
      </c>
    </row>
    <row r="3520" spans="1:61" s="46" customFormat="1" ht="15.95" customHeight="1">
      <c r="A3520" s="176">
        <v>13</v>
      </c>
      <c r="B3520" s="31" t="s">
        <v>754</v>
      </c>
      <c r="C3520" s="32" t="s">
        <v>889</v>
      </c>
      <c r="D3520" s="231"/>
      <c r="E3520" s="231"/>
      <c r="F3520" s="231"/>
      <c r="G3520" s="231"/>
      <c r="H3520" s="231"/>
      <c r="I3520" s="231"/>
      <c r="J3520" s="231"/>
      <c r="K3520" s="231"/>
      <c r="L3520" s="231">
        <v>1</v>
      </c>
      <c r="M3520" s="231"/>
      <c r="N3520" s="231"/>
      <c r="O3520" s="231"/>
      <c r="P3520" s="231"/>
      <c r="Q3520" s="231"/>
      <c r="R3520" s="231"/>
      <c r="S3520" s="231"/>
      <c r="T3520" s="231"/>
      <c r="U3520" s="231"/>
      <c r="V3520" s="231"/>
      <c r="W3520" s="231"/>
      <c r="X3520" s="231"/>
      <c r="Y3520" s="231"/>
      <c r="Z3520" s="231"/>
      <c r="AA3520" s="231"/>
      <c r="AB3520" s="22">
        <f t="shared" si="1052"/>
        <v>1</v>
      </c>
      <c r="AC3520" s="23">
        <v>0</v>
      </c>
      <c r="AD3520" s="35"/>
      <c r="AE3520" s="35"/>
      <c r="AF3520" s="35"/>
      <c r="AG3520" s="35"/>
      <c r="AH3520" s="35"/>
      <c r="AI3520" s="35"/>
      <c r="AJ3520" s="35"/>
      <c r="AK3520" s="35"/>
      <c r="AL3520" s="35"/>
      <c r="AM3520" s="35"/>
      <c r="AN3520" s="35"/>
      <c r="AO3520" s="35"/>
      <c r="AP3520" s="35"/>
      <c r="AQ3520" s="35"/>
      <c r="AR3520" s="35"/>
      <c r="AS3520" s="35"/>
      <c r="AT3520" s="35"/>
      <c r="AU3520" s="35"/>
      <c r="AV3520" s="35"/>
      <c r="AW3520" s="35"/>
      <c r="AX3520" s="35"/>
      <c r="AY3520" s="35"/>
      <c r="AZ3520" s="35"/>
      <c r="BA3520" s="35"/>
      <c r="BB3520" s="22">
        <f t="shared" si="1053"/>
        <v>0</v>
      </c>
      <c r="BC3520" s="23">
        <v>0</v>
      </c>
      <c r="BD3520" s="130">
        <f t="shared" si="1054"/>
        <v>1</v>
      </c>
      <c r="BE3520" s="130">
        <f t="shared" si="1055"/>
        <v>0</v>
      </c>
      <c r="BF3520" s="195" t="e">
        <f t="shared" si="1056"/>
        <v>#DIV/0!</v>
      </c>
      <c r="BG3520" s="373"/>
    </row>
    <row r="3521" spans="1:59" s="46" customFormat="1" ht="15.95" customHeight="1">
      <c r="A3521" s="176">
        <v>14</v>
      </c>
      <c r="B3521" s="31" t="s">
        <v>756</v>
      </c>
      <c r="C3521" s="32" t="s">
        <v>757</v>
      </c>
      <c r="D3521" s="552">
        <v>1</v>
      </c>
      <c r="E3521" s="552"/>
      <c r="F3521" s="552"/>
      <c r="G3521" s="552"/>
      <c r="H3521" s="552">
        <f>4328+929</f>
        <v>5257</v>
      </c>
      <c r="I3521" s="552"/>
      <c r="J3521" s="552"/>
      <c r="K3521" s="552"/>
      <c r="L3521" s="552">
        <f>4238+2604</f>
        <v>6842</v>
      </c>
      <c r="M3521" s="552"/>
      <c r="N3521" s="552"/>
      <c r="O3521" s="552"/>
      <c r="P3521" s="552">
        <f>13+4875+3749</f>
        <v>8637</v>
      </c>
      <c r="Q3521" s="552"/>
      <c r="R3521" s="552"/>
      <c r="S3521" s="552"/>
      <c r="T3521" s="552"/>
      <c r="U3521" s="552"/>
      <c r="V3521" s="552"/>
      <c r="W3521" s="552"/>
      <c r="X3521" s="552"/>
      <c r="Y3521" s="552"/>
      <c r="Z3521" s="552"/>
      <c r="AA3521" s="552"/>
      <c r="AB3521" s="22">
        <f t="shared" si="1052"/>
        <v>20737</v>
      </c>
      <c r="AC3521" s="23">
        <v>8715</v>
      </c>
      <c r="AD3521" s="35"/>
      <c r="AE3521" s="35"/>
      <c r="AF3521" s="35"/>
      <c r="AG3521" s="35"/>
      <c r="AH3521" s="35"/>
      <c r="AI3521" s="35"/>
      <c r="AJ3521" s="35"/>
      <c r="AK3521" s="35"/>
      <c r="AL3521" s="35">
        <v>1</v>
      </c>
      <c r="AM3521" s="35"/>
      <c r="AN3521" s="35"/>
      <c r="AO3521" s="35"/>
      <c r="AP3521" s="35"/>
      <c r="AQ3521" s="35"/>
      <c r="AR3521" s="35"/>
      <c r="AS3521" s="35"/>
      <c r="AT3521" s="35"/>
      <c r="AU3521" s="35"/>
      <c r="AV3521" s="35"/>
      <c r="AW3521" s="35"/>
      <c r="AX3521" s="35"/>
      <c r="AY3521" s="35"/>
      <c r="AZ3521" s="35"/>
      <c r="BA3521" s="35"/>
      <c r="BB3521" s="22">
        <f t="shared" si="1053"/>
        <v>1</v>
      </c>
      <c r="BC3521" s="23">
        <v>0</v>
      </c>
      <c r="BD3521" s="130">
        <f t="shared" si="1054"/>
        <v>20738</v>
      </c>
      <c r="BE3521" s="130">
        <f t="shared" si="1055"/>
        <v>8715</v>
      </c>
      <c r="BF3521" s="195">
        <f t="shared" si="1056"/>
        <v>237.95754446356855</v>
      </c>
      <c r="BG3521" s="373">
        <f>BE3521-BD3521</f>
        <v>-12023</v>
      </c>
    </row>
    <row r="3522" spans="1:59" s="46" customFormat="1" ht="15.95" customHeight="1">
      <c r="A3522" s="176">
        <v>15</v>
      </c>
      <c r="B3522" s="31" t="s">
        <v>758</v>
      </c>
      <c r="C3522" s="32" t="s">
        <v>759</v>
      </c>
      <c r="D3522" s="327"/>
      <c r="E3522" s="327"/>
      <c r="F3522" s="327"/>
      <c r="G3522" s="327"/>
      <c r="H3522" s="327"/>
      <c r="I3522" s="327"/>
      <c r="J3522" s="327"/>
      <c r="K3522" s="327"/>
      <c r="L3522" s="327"/>
      <c r="M3522" s="327"/>
      <c r="N3522" s="327"/>
      <c r="O3522" s="327"/>
      <c r="P3522" s="327"/>
      <c r="Q3522" s="327"/>
      <c r="R3522" s="327"/>
      <c r="S3522" s="327"/>
      <c r="T3522" s="327"/>
      <c r="U3522" s="327"/>
      <c r="V3522" s="327"/>
      <c r="W3522" s="327"/>
      <c r="X3522" s="327"/>
      <c r="Y3522" s="327"/>
      <c r="Z3522" s="327"/>
      <c r="AA3522" s="327"/>
      <c r="AB3522" s="22">
        <f t="shared" si="1052"/>
        <v>0</v>
      </c>
      <c r="AC3522" s="23">
        <v>1</v>
      </c>
      <c r="AD3522" s="35"/>
      <c r="AE3522" s="35"/>
      <c r="AF3522" s="35"/>
      <c r="AG3522" s="35"/>
      <c r="AH3522" s="35"/>
      <c r="AI3522" s="35"/>
      <c r="AJ3522" s="35"/>
      <c r="AK3522" s="35"/>
      <c r="AL3522" s="35"/>
      <c r="AM3522" s="35"/>
      <c r="AN3522" s="35"/>
      <c r="AO3522" s="35"/>
      <c r="AP3522" s="35"/>
      <c r="AQ3522" s="35"/>
      <c r="AR3522" s="35"/>
      <c r="AS3522" s="35"/>
      <c r="AT3522" s="35"/>
      <c r="AU3522" s="35"/>
      <c r="AV3522" s="35"/>
      <c r="AW3522" s="35"/>
      <c r="AX3522" s="35"/>
      <c r="AY3522" s="35"/>
      <c r="AZ3522" s="35"/>
      <c r="BA3522" s="35"/>
      <c r="BB3522" s="22">
        <f t="shared" si="1053"/>
        <v>0</v>
      </c>
      <c r="BC3522" s="23">
        <v>0</v>
      </c>
      <c r="BD3522" s="130">
        <f t="shared" si="1054"/>
        <v>0</v>
      </c>
      <c r="BE3522" s="130">
        <f t="shared" si="1055"/>
        <v>1</v>
      </c>
      <c r="BF3522" s="195">
        <f t="shared" si="1056"/>
        <v>0</v>
      </c>
      <c r="BG3522" s="373">
        <f>BE3522-BD3522</f>
        <v>1</v>
      </c>
    </row>
    <row r="3523" spans="1:59" s="46" customFormat="1" ht="15.95" customHeight="1">
      <c r="A3523" s="176">
        <v>16</v>
      </c>
      <c r="B3523" s="31" t="s">
        <v>768</v>
      </c>
      <c r="C3523" s="34" t="s">
        <v>1624</v>
      </c>
      <c r="D3523" s="231"/>
      <c r="E3523" s="231"/>
      <c r="F3523" s="231"/>
      <c r="G3523" s="231"/>
      <c r="H3523" s="231">
        <v>2</v>
      </c>
      <c r="I3523" s="231"/>
      <c r="J3523" s="231"/>
      <c r="K3523" s="231"/>
      <c r="L3523" s="231">
        <v>6</v>
      </c>
      <c r="M3523" s="231"/>
      <c r="N3523" s="231"/>
      <c r="O3523" s="231"/>
      <c r="P3523" s="231">
        <v>7</v>
      </c>
      <c r="Q3523" s="231"/>
      <c r="R3523" s="231"/>
      <c r="S3523" s="231"/>
      <c r="T3523" s="231"/>
      <c r="U3523" s="231"/>
      <c r="V3523" s="231"/>
      <c r="W3523" s="231"/>
      <c r="X3523" s="231"/>
      <c r="Y3523" s="231"/>
      <c r="Z3523" s="231"/>
      <c r="AA3523" s="231"/>
      <c r="AB3523" s="22">
        <f t="shared" si="1052"/>
        <v>15</v>
      </c>
      <c r="AC3523" s="23">
        <v>6</v>
      </c>
      <c r="AD3523" s="35"/>
      <c r="AE3523" s="35"/>
      <c r="AF3523" s="35"/>
      <c r="AG3523" s="35"/>
      <c r="AH3523" s="35"/>
      <c r="AI3523" s="35"/>
      <c r="AJ3523" s="35"/>
      <c r="AK3523" s="35"/>
      <c r="AL3523" s="35"/>
      <c r="AM3523" s="35"/>
      <c r="AN3523" s="35"/>
      <c r="AO3523" s="35"/>
      <c r="AP3523" s="35"/>
      <c r="AQ3523" s="35"/>
      <c r="AR3523" s="35"/>
      <c r="AS3523" s="35"/>
      <c r="AT3523" s="35"/>
      <c r="AU3523" s="35"/>
      <c r="AV3523" s="35"/>
      <c r="AW3523" s="35"/>
      <c r="AX3523" s="35"/>
      <c r="AY3523" s="35"/>
      <c r="AZ3523" s="35"/>
      <c r="BA3523" s="35"/>
      <c r="BB3523" s="22">
        <f t="shared" si="1053"/>
        <v>0</v>
      </c>
      <c r="BC3523" s="23">
        <v>0</v>
      </c>
      <c r="BD3523" s="130">
        <f t="shared" si="1054"/>
        <v>15</v>
      </c>
      <c r="BE3523" s="130">
        <f t="shared" si="1055"/>
        <v>6</v>
      </c>
      <c r="BF3523" s="195">
        <f t="shared" si="1056"/>
        <v>250</v>
      </c>
      <c r="BG3523" s="373">
        <f>BE3523-BD3523</f>
        <v>-9</v>
      </c>
    </row>
    <row r="3524" spans="1:59" s="46" customFormat="1" ht="15.95" customHeight="1">
      <c r="A3524" s="176">
        <v>17</v>
      </c>
      <c r="B3524" s="31" t="s">
        <v>770</v>
      </c>
      <c r="C3524" s="34" t="s">
        <v>914</v>
      </c>
      <c r="D3524" s="231"/>
      <c r="E3524" s="231"/>
      <c r="F3524" s="231"/>
      <c r="G3524" s="231"/>
      <c r="H3524" s="231"/>
      <c r="I3524" s="231"/>
      <c r="J3524" s="231"/>
      <c r="K3524" s="231"/>
      <c r="L3524" s="231">
        <v>5</v>
      </c>
      <c r="M3524" s="231"/>
      <c r="N3524" s="231"/>
      <c r="O3524" s="231"/>
      <c r="P3524" s="231">
        <v>3</v>
      </c>
      <c r="Q3524" s="231"/>
      <c r="R3524" s="231"/>
      <c r="S3524" s="231"/>
      <c r="T3524" s="231"/>
      <c r="U3524" s="231"/>
      <c r="V3524" s="231"/>
      <c r="W3524" s="231"/>
      <c r="X3524" s="231"/>
      <c r="Y3524" s="231"/>
      <c r="Z3524" s="231"/>
      <c r="AA3524" s="231"/>
      <c r="AB3524" s="22">
        <f t="shared" si="1052"/>
        <v>8</v>
      </c>
      <c r="AC3524" s="23">
        <v>2</v>
      </c>
      <c r="AD3524" s="35"/>
      <c r="AE3524" s="35"/>
      <c r="AF3524" s="35"/>
      <c r="AG3524" s="35"/>
      <c r="AH3524" s="35"/>
      <c r="AI3524" s="35"/>
      <c r="AJ3524" s="35"/>
      <c r="AK3524" s="35"/>
      <c r="AL3524" s="35"/>
      <c r="AM3524" s="35"/>
      <c r="AN3524" s="35"/>
      <c r="AO3524" s="35"/>
      <c r="AP3524" s="35"/>
      <c r="AQ3524" s="35"/>
      <c r="AR3524" s="35"/>
      <c r="AS3524" s="35"/>
      <c r="AT3524" s="35"/>
      <c r="AU3524" s="35"/>
      <c r="AV3524" s="35"/>
      <c r="AW3524" s="35"/>
      <c r="AX3524" s="35"/>
      <c r="AY3524" s="35"/>
      <c r="AZ3524" s="35"/>
      <c r="BA3524" s="35"/>
      <c r="BB3524" s="22">
        <f t="shared" si="1053"/>
        <v>0</v>
      </c>
      <c r="BC3524" s="23">
        <v>0</v>
      </c>
      <c r="BD3524" s="130">
        <f t="shared" si="1054"/>
        <v>8</v>
      </c>
      <c r="BE3524" s="130">
        <f t="shared" si="1055"/>
        <v>2</v>
      </c>
      <c r="BF3524" s="195">
        <f t="shared" si="1056"/>
        <v>400</v>
      </c>
      <c r="BG3524" s="373">
        <f>BE3524-BD3524</f>
        <v>-6</v>
      </c>
    </row>
    <row r="3525" spans="1:59" s="46" customFormat="1" ht="15.95" customHeight="1">
      <c r="A3525" s="176">
        <v>18</v>
      </c>
      <c r="B3525" s="31" t="s">
        <v>1140</v>
      </c>
      <c r="C3525" s="34" t="s">
        <v>1281</v>
      </c>
      <c r="D3525" s="520"/>
      <c r="E3525" s="520"/>
      <c r="F3525" s="520"/>
      <c r="G3525" s="520"/>
      <c r="H3525" s="520">
        <v>1</v>
      </c>
      <c r="I3525" s="520"/>
      <c r="J3525" s="520"/>
      <c r="K3525" s="520"/>
      <c r="L3525" s="520">
        <v>1</v>
      </c>
      <c r="M3525" s="520"/>
      <c r="N3525" s="520"/>
      <c r="O3525" s="520"/>
      <c r="P3525" s="520"/>
      <c r="Q3525" s="520"/>
      <c r="R3525" s="520"/>
      <c r="S3525" s="520"/>
      <c r="T3525" s="520"/>
      <c r="U3525" s="520"/>
      <c r="V3525" s="520"/>
      <c r="W3525" s="520"/>
      <c r="X3525" s="520"/>
      <c r="Y3525" s="520"/>
      <c r="Z3525" s="520"/>
      <c r="AA3525" s="520"/>
      <c r="AB3525" s="22">
        <f t="shared" si="1052"/>
        <v>2</v>
      </c>
      <c r="AC3525" s="23">
        <v>0</v>
      </c>
      <c r="AD3525" s="35"/>
      <c r="AE3525" s="35"/>
      <c r="AF3525" s="35"/>
      <c r="AG3525" s="35"/>
      <c r="AH3525" s="35"/>
      <c r="AI3525" s="35"/>
      <c r="AJ3525" s="35"/>
      <c r="AK3525" s="35"/>
      <c r="AL3525" s="35"/>
      <c r="AM3525" s="35"/>
      <c r="AN3525" s="35"/>
      <c r="AO3525" s="35"/>
      <c r="AP3525" s="35"/>
      <c r="AQ3525" s="35"/>
      <c r="AR3525" s="35"/>
      <c r="AS3525" s="35"/>
      <c r="AT3525" s="35"/>
      <c r="AU3525" s="35"/>
      <c r="AV3525" s="35"/>
      <c r="AW3525" s="35"/>
      <c r="AX3525" s="35"/>
      <c r="AY3525" s="35"/>
      <c r="AZ3525" s="35"/>
      <c r="BA3525" s="35"/>
      <c r="BB3525" s="22">
        <f t="shared" si="1053"/>
        <v>0</v>
      </c>
      <c r="BC3525" s="23">
        <v>0</v>
      </c>
      <c r="BD3525" s="130">
        <f t="shared" si="1054"/>
        <v>2</v>
      </c>
      <c r="BE3525" s="130">
        <f t="shared" si="1055"/>
        <v>0</v>
      </c>
      <c r="BF3525" s="195" t="e">
        <f t="shared" si="1056"/>
        <v>#DIV/0!</v>
      </c>
      <c r="BG3525" s="373"/>
    </row>
    <row r="3526" spans="1:59" s="46" customFormat="1" ht="15.95" customHeight="1">
      <c r="A3526" s="176">
        <v>19</v>
      </c>
      <c r="B3526" s="31" t="s">
        <v>772</v>
      </c>
      <c r="C3526" s="36" t="s">
        <v>773</v>
      </c>
      <c r="D3526" s="231"/>
      <c r="E3526" s="231"/>
      <c r="F3526" s="231"/>
      <c r="G3526" s="231"/>
      <c r="H3526" s="231">
        <v>2</v>
      </c>
      <c r="I3526" s="231"/>
      <c r="J3526" s="231"/>
      <c r="K3526" s="231"/>
      <c r="L3526" s="231">
        <v>4</v>
      </c>
      <c r="M3526" s="231"/>
      <c r="N3526" s="231"/>
      <c r="O3526" s="231"/>
      <c r="P3526" s="231">
        <v>5</v>
      </c>
      <c r="Q3526" s="231"/>
      <c r="R3526" s="231"/>
      <c r="S3526" s="231"/>
      <c r="T3526" s="231"/>
      <c r="U3526" s="231"/>
      <c r="V3526" s="231"/>
      <c r="W3526" s="231"/>
      <c r="X3526" s="231"/>
      <c r="Y3526" s="231"/>
      <c r="Z3526" s="231"/>
      <c r="AA3526" s="231"/>
      <c r="AB3526" s="22">
        <f t="shared" si="1052"/>
        <v>11</v>
      </c>
      <c r="AC3526" s="23">
        <v>1</v>
      </c>
      <c r="AD3526" s="35"/>
      <c r="AE3526" s="35"/>
      <c r="AF3526" s="35"/>
      <c r="AG3526" s="35"/>
      <c r="AH3526" s="35"/>
      <c r="AI3526" s="35"/>
      <c r="AJ3526" s="35"/>
      <c r="AK3526" s="35"/>
      <c r="AL3526" s="35">
        <v>1</v>
      </c>
      <c r="AM3526" s="35"/>
      <c r="AN3526" s="35"/>
      <c r="AO3526" s="35"/>
      <c r="AP3526" s="35"/>
      <c r="AQ3526" s="35"/>
      <c r="AR3526" s="35"/>
      <c r="AS3526" s="35"/>
      <c r="AT3526" s="35"/>
      <c r="AU3526" s="35"/>
      <c r="AV3526" s="35"/>
      <c r="AW3526" s="35"/>
      <c r="AX3526" s="35"/>
      <c r="AY3526" s="35"/>
      <c r="AZ3526" s="35"/>
      <c r="BA3526" s="35"/>
      <c r="BB3526" s="22">
        <f t="shared" si="1053"/>
        <v>1</v>
      </c>
      <c r="BC3526" s="23">
        <v>16</v>
      </c>
      <c r="BD3526" s="130">
        <f t="shared" si="1054"/>
        <v>12</v>
      </c>
      <c r="BE3526" s="130">
        <f t="shared" si="1055"/>
        <v>17</v>
      </c>
      <c r="BF3526" s="195">
        <f t="shared" si="1056"/>
        <v>70.588235294117652</v>
      </c>
      <c r="BG3526" s="373">
        <f>BE3526-BD3526</f>
        <v>5</v>
      </c>
    </row>
    <row r="3527" spans="1:59" s="46" customFormat="1" ht="15.95" customHeight="1">
      <c r="A3527" s="176">
        <v>20</v>
      </c>
      <c r="B3527" s="50" t="s">
        <v>775</v>
      </c>
      <c r="C3527" s="51" t="s">
        <v>776</v>
      </c>
      <c r="D3527" s="231"/>
      <c r="E3527" s="231"/>
      <c r="F3527" s="231"/>
      <c r="G3527" s="231"/>
      <c r="H3527" s="231"/>
      <c r="I3527" s="231"/>
      <c r="J3527" s="231"/>
      <c r="K3527" s="231"/>
      <c r="L3527" s="231"/>
      <c r="M3527" s="231"/>
      <c r="N3527" s="231"/>
      <c r="O3527" s="231"/>
      <c r="P3527" s="231"/>
      <c r="Q3527" s="231"/>
      <c r="R3527" s="231"/>
      <c r="S3527" s="231"/>
      <c r="T3527" s="231"/>
      <c r="U3527" s="231"/>
      <c r="V3527" s="231"/>
      <c r="W3527" s="231"/>
      <c r="X3527" s="231"/>
      <c r="Y3527" s="231"/>
      <c r="Z3527" s="231"/>
      <c r="AA3527" s="231"/>
      <c r="AB3527" s="22">
        <f t="shared" si="1052"/>
        <v>0</v>
      </c>
      <c r="AC3527" s="23">
        <v>1</v>
      </c>
      <c r="AD3527" s="35"/>
      <c r="AE3527" s="35"/>
      <c r="AF3527" s="35"/>
      <c r="AG3527" s="35"/>
      <c r="AH3527" s="35"/>
      <c r="AI3527" s="35"/>
      <c r="AJ3527" s="35"/>
      <c r="AK3527" s="35"/>
      <c r="AL3527" s="35"/>
      <c r="AM3527" s="35"/>
      <c r="AN3527" s="35"/>
      <c r="AO3527" s="35"/>
      <c r="AP3527" s="35"/>
      <c r="AQ3527" s="35"/>
      <c r="AR3527" s="35"/>
      <c r="AS3527" s="35"/>
      <c r="AT3527" s="35"/>
      <c r="AU3527" s="35"/>
      <c r="AV3527" s="35"/>
      <c r="AW3527" s="35"/>
      <c r="AX3527" s="35"/>
      <c r="AY3527" s="35"/>
      <c r="AZ3527" s="35"/>
      <c r="BA3527" s="35"/>
      <c r="BB3527" s="22">
        <f t="shared" si="1053"/>
        <v>0</v>
      </c>
      <c r="BC3527" s="23">
        <v>0</v>
      </c>
      <c r="BD3527" s="130">
        <f t="shared" si="1054"/>
        <v>0</v>
      </c>
      <c r="BE3527" s="130">
        <f t="shared" si="1055"/>
        <v>1</v>
      </c>
      <c r="BF3527" s="195">
        <f t="shared" si="1056"/>
        <v>0</v>
      </c>
      <c r="BG3527" s="373">
        <f>BE3527-BD3527</f>
        <v>1</v>
      </c>
    </row>
    <row r="3528" spans="1:59" s="46" customFormat="1" ht="15.95" customHeight="1">
      <c r="A3528" s="176">
        <v>21</v>
      </c>
      <c r="B3528" s="31" t="s">
        <v>780</v>
      </c>
      <c r="C3528" s="32" t="s">
        <v>991</v>
      </c>
      <c r="D3528" s="231"/>
      <c r="E3528" s="231"/>
      <c r="F3528" s="231"/>
      <c r="G3528" s="231"/>
      <c r="H3528" s="231">
        <v>17</v>
      </c>
      <c r="I3528" s="231"/>
      <c r="J3528" s="231"/>
      <c r="K3528" s="231"/>
      <c r="L3528" s="231">
        <v>83</v>
      </c>
      <c r="M3528" s="231"/>
      <c r="N3528" s="231"/>
      <c r="O3528" s="231"/>
      <c r="P3528" s="231">
        <f>2+104+1</f>
        <v>107</v>
      </c>
      <c r="Q3528" s="231"/>
      <c r="R3528" s="231"/>
      <c r="S3528" s="231"/>
      <c r="T3528" s="231"/>
      <c r="U3528" s="231"/>
      <c r="V3528" s="231"/>
      <c r="W3528" s="231"/>
      <c r="X3528" s="231"/>
      <c r="Y3528" s="231"/>
      <c r="Z3528" s="231"/>
      <c r="AA3528" s="231"/>
      <c r="AB3528" s="22">
        <f t="shared" si="1052"/>
        <v>207</v>
      </c>
      <c r="AC3528" s="23">
        <v>202</v>
      </c>
      <c r="AD3528" s="35"/>
      <c r="AE3528" s="35"/>
      <c r="AF3528" s="35"/>
      <c r="AG3528" s="35"/>
      <c r="AH3528" s="35"/>
      <c r="AI3528" s="35"/>
      <c r="AJ3528" s="35"/>
      <c r="AK3528" s="35"/>
      <c r="AL3528" s="35"/>
      <c r="AM3528" s="35"/>
      <c r="AN3528" s="35"/>
      <c r="AO3528" s="35"/>
      <c r="AP3528" s="35"/>
      <c r="AQ3528" s="35"/>
      <c r="AR3528" s="35"/>
      <c r="AS3528" s="35"/>
      <c r="AT3528" s="35"/>
      <c r="AU3528" s="35"/>
      <c r="AV3528" s="35"/>
      <c r="AW3528" s="35"/>
      <c r="AX3528" s="35"/>
      <c r="AY3528" s="35"/>
      <c r="AZ3528" s="35"/>
      <c r="BA3528" s="35"/>
      <c r="BB3528" s="22">
        <f t="shared" si="1053"/>
        <v>0</v>
      </c>
      <c r="BC3528" s="23">
        <v>1</v>
      </c>
      <c r="BD3528" s="130">
        <f t="shared" si="1054"/>
        <v>207</v>
      </c>
      <c r="BE3528" s="130">
        <f t="shared" si="1055"/>
        <v>203</v>
      </c>
      <c r="BF3528" s="195">
        <f t="shared" si="1056"/>
        <v>101.97044334975369</v>
      </c>
      <c r="BG3528" s="373">
        <f>BE3528-BD3528</f>
        <v>-4</v>
      </c>
    </row>
    <row r="3529" spans="1:59" s="46" customFormat="1" ht="15.95" customHeight="1">
      <c r="A3529" s="176">
        <v>22</v>
      </c>
      <c r="B3529" s="31" t="s">
        <v>783</v>
      </c>
      <c r="C3529" s="34" t="s">
        <v>1370</v>
      </c>
      <c r="D3529" s="231"/>
      <c r="E3529" s="231"/>
      <c r="F3529" s="231"/>
      <c r="G3529" s="231"/>
      <c r="H3529" s="231">
        <v>4</v>
      </c>
      <c r="I3529" s="231"/>
      <c r="J3529" s="231"/>
      <c r="K3529" s="231"/>
      <c r="L3529" s="231">
        <v>13</v>
      </c>
      <c r="M3529" s="231"/>
      <c r="N3529" s="231"/>
      <c r="O3529" s="231"/>
      <c r="P3529" s="231">
        <f>6+28</f>
        <v>34</v>
      </c>
      <c r="Q3529" s="231"/>
      <c r="R3529" s="231"/>
      <c r="S3529" s="231"/>
      <c r="T3529" s="231"/>
      <c r="U3529" s="231"/>
      <c r="V3529" s="231"/>
      <c r="W3529" s="231"/>
      <c r="X3529" s="231"/>
      <c r="Y3529" s="231"/>
      <c r="Z3529" s="231"/>
      <c r="AA3529" s="231"/>
      <c r="AB3529" s="22">
        <f t="shared" si="1052"/>
        <v>51</v>
      </c>
      <c r="AC3529" s="23">
        <v>26</v>
      </c>
      <c r="AD3529" s="35"/>
      <c r="AE3529" s="35"/>
      <c r="AF3529" s="35"/>
      <c r="AG3529" s="35"/>
      <c r="AH3529" s="35"/>
      <c r="AI3529" s="35"/>
      <c r="AJ3529" s="35"/>
      <c r="AK3529" s="35"/>
      <c r="AL3529" s="35"/>
      <c r="AM3529" s="35"/>
      <c r="AN3529" s="35"/>
      <c r="AO3529" s="35"/>
      <c r="AP3529" s="35"/>
      <c r="AQ3529" s="35"/>
      <c r="AR3529" s="35"/>
      <c r="AS3529" s="35"/>
      <c r="AT3529" s="35"/>
      <c r="AU3529" s="35"/>
      <c r="AV3529" s="35"/>
      <c r="AW3529" s="35"/>
      <c r="AX3529" s="35"/>
      <c r="AY3529" s="35"/>
      <c r="AZ3529" s="35"/>
      <c r="BA3529" s="35"/>
      <c r="BB3529" s="22">
        <f t="shared" si="1053"/>
        <v>0</v>
      </c>
      <c r="BC3529" s="23">
        <v>1</v>
      </c>
      <c r="BD3529" s="130">
        <f t="shared" si="1054"/>
        <v>51</v>
      </c>
      <c r="BE3529" s="130">
        <f t="shared" si="1055"/>
        <v>27</v>
      </c>
      <c r="BF3529" s="195">
        <f t="shared" si="1056"/>
        <v>188.88888888888889</v>
      </c>
      <c r="BG3529" s="373">
        <f>BE3529-BD3529</f>
        <v>-24</v>
      </c>
    </row>
    <row r="3530" spans="1:59" s="46" customFormat="1" ht="15.95" customHeight="1">
      <c r="A3530" s="176">
        <v>23</v>
      </c>
      <c r="B3530" s="31" t="s">
        <v>999</v>
      </c>
      <c r="C3530" s="34" t="s">
        <v>2435</v>
      </c>
      <c r="D3530" s="231"/>
      <c r="E3530" s="231"/>
      <c r="F3530" s="231"/>
      <c r="G3530" s="231"/>
      <c r="H3530" s="231">
        <f>4807+12</f>
        <v>4819</v>
      </c>
      <c r="I3530" s="231"/>
      <c r="J3530" s="231"/>
      <c r="K3530" s="231"/>
      <c r="L3530" s="231">
        <f>4798+3</f>
        <v>4801</v>
      </c>
      <c r="M3530" s="231"/>
      <c r="N3530" s="231"/>
      <c r="O3530" s="231"/>
      <c r="P3530" s="231">
        <f>18+6800</f>
        <v>6818</v>
      </c>
      <c r="Q3530" s="231"/>
      <c r="R3530" s="231"/>
      <c r="S3530" s="231"/>
      <c r="T3530" s="231"/>
      <c r="U3530" s="231"/>
      <c r="V3530" s="231"/>
      <c r="W3530" s="231"/>
      <c r="X3530" s="231"/>
      <c r="Y3530" s="231"/>
      <c r="Z3530" s="231"/>
      <c r="AA3530" s="231"/>
      <c r="AB3530" s="22">
        <f t="shared" si="1052"/>
        <v>16438</v>
      </c>
      <c r="AC3530" s="23">
        <v>1</v>
      </c>
      <c r="AD3530" s="35"/>
      <c r="AE3530" s="35"/>
      <c r="AF3530" s="35"/>
      <c r="AG3530" s="35"/>
      <c r="AH3530" s="35"/>
      <c r="AI3530" s="35"/>
      <c r="AJ3530" s="35"/>
      <c r="AK3530" s="35"/>
      <c r="AL3530" s="35"/>
      <c r="AM3530" s="35"/>
      <c r="AN3530" s="35"/>
      <c r="AO3530" s="35"/>
      <c r="AP3530" s="35"/>
      <c r="AQ3530" s="35"/>
      <c r="AR3530" s="35"/>
      <c r="AS3530" s="35"/>
      <c r="AT3530" s="35"/>
      <c r="AU3530" s="35"/>
      <c r="AV3530" s="35"/>
      <c r="AW3530" s="35"/>
      <c r="AX3530" s="35"/>
      <c r="AY3530" s="35"/>
      <c r="AZ3530" s="35"/>
      <c r="BA3530" s="35"/>
      <c r="BB3530" s="22">
        <f t="shared" si="1053"/>
        <v>0</v>
      </c>
      <c r="BC3530" s="23">
        <v>2</v>
      </c>
      <c r="BD3530" s="130">
        <f t="shared" si="1054"/>
        <v>16438</v>
      </c>
      <c r="BE3530" s="130">
        <f t="shared" si="1055"/>
        <v>3</v>
      </c>
      <c r="BF3530" s="522">
        <f t="shared" si="1056"/>
        <v>547933.33333333326</v>
      </c>
      <c r="BG3530" s="373">
        <f>BE3530-BD3530</f>
        <v>-16435</v>
      </c>
    </row>
    <row r="3531" spans="1:59" s="46" customFormat="1" ht="15.95" customHeight="1">
      <c r="A3531" s="176">
        <v>24</v>
      </c>
      <c r="B3531" s="31" t="s">
        <v>4189</v>
      </c>
      <c r="C3531" s="34" t="s">
        <v>4190</v>
      </c>
      <c r="D3531" s="577"/>
      <c r="E3531" s="577"/>
      <c r="F3531" s="577"/>
      <c r="G3531" s="577"/>
      <c r="H3531" s="577"/>
      <c r="I3531" s="577"/>
      <c r="J3531" s="577"/>
      <c r="K3531" s="577"/>
      <c r="L3531" s="577"/>
      <c r="M3531" s="577"/>
      <c r="N3531" s="577"/>
      <c r="O3531" s="577"/>
      <c r="P3531" s="577">
        <v>1</v>
      </c>
      <c r="Q3531" s="577"/>
      <c r="R3531" s="577"/>
      <c r="S3531" s="577"/>
      <c r="T3531" s="577"/>
      <c r="U3531" s="577"/>
      <c r="V3531" s="577"/>
      <c r="W3531" s="577"/>
      <c r="X3531" s="577"/>
      <c r="Y3531" s="577"/>
      <c r="Z3531" s="577"/>
      <c r="AA3531" s="577"/>
      <c r="AB3531" s="22">
        <f t="shared" si="1052"/>
        <v>1</v>
      </c>
      <c r="AC3531" s="23">
        <v>0</v>
      </c>
      <c r="AD3531" s="35"/>
      <c r="AE3531" s="35"/>
      <c r="AF3531" s="35"/>
      <c r="AG3531" s="35"/>
      <c r="AH3531" s="35"/>
      <c r="AI3531" s="35"/>
      <c r="AJ3531" s="35"/>
      <c r="AK3531" s="35"/>
      <c r="AL3531" s="35"/>
      <c r="AM3531" s="35"/>
      <c r="AN3531" s="35"/>
      <c r="AO3531" s="35"/>
      <c r="AP3531" s="35"/>
      <c r="AQ3531" s="35"/>
      <c r="AR3531" s="35"/>
      <c r="AS3531" s="35"/>
      <c r="AT3531" s="35"/>
      <c r="AU3531" s="35"/>
      <c r="AV3531" s="35"/>
      <c r="AW3531" s="35"/>
      <c r="AX3531" s="35"/>
      <c r="AY3531" s="35"/>
      <c r="AZ3531" s="35"/>
      <c r="BA3531" s="35"/>
      <c r="BB3531" s="22">
        <f t="shared" si="1053"/>
        <v>0</v>
      </c>
      <c r="BC3531" s="23">
        <v>0</v>
      </c>
      <c r="BD3531" s="130">
        <f t="shared" si="1054"/>
        <v>1</v>
      </c>
      <c r="BE3531" s="130">
        <f t="shared" si="1055"/>
        <v>0</v>
      </c>
      <c r="BF3531" s="522" t="e">
        <f t="shared" si="1056"/>
        <v>#DIV/0!</v>
      </c>
      <c r="BG3531" s="373"/>
    </row>
    <row r="3532" spans="1:59" s="46" customFormat="1" ht="15.95" customHeight="1">
      <c r="A3532" s="176">
        <v>25</v>
      </c>
      <c r="B3532" s="31" t="s">
        <v>1468</v>
      </c>
      <c r="C3532" s="34" t="s">
        <v>3597</v>
      </c>
      <c r="D3532" s="390"/>
      <c r="E3532" s="390"/>
      <c r="F3532" s="390"/>
      <c r="G3532" s="390"/>
      <c r="H3532" s="390"/>
      <c r="I3532" s="390"/>
      <c r="J3532" s="390"/>
      <c r="K3532" s="390"/>
      <c r="L3532" s="390"/>
      <c r="M3532" s="390"/>
      <c r="N3532" s="390"/>
      <c r="O3532" s="390"/>
      <c r="P3532" s="390"/>
      <c r="Q3532" s="390"/>
      <c r="R3532" s="390"/>
      <c r="S3532" s="390"/>
      <c r="T3532" s="390"/>
      <c r="U3532" s="390"/>
      <c r="V3532" s="390"/>
      <c r="W3532" s="390"/>
      <c r="X3532" s="390"/>
      <c r="Y3532" s="390"/>
      <c r="Z3532" s="390"/>
      <c r="AA3532" s="390"/>
      <c r="AB3532" s="22">
        <f t="shared" si="1052"/>
        <v>0</v>
      </c>
      <c r="AC3532" s="23">
        <v>0</v>
      </c>
      <c r="AD3532" s="35"/>
      <c r="AE3532" s="35"/>
      <c r="AF3532" s="35"/>
      <c r="AG3532" s="35"/>
      <c r="AH3532" s="35"/>
      <c r="AI3532" s="35"/>
      <c r="AJ3532" s="35"/>
      <c r="AK3532" s="35"/>
      <c r="AL3532" s="35"/>
      <c r="AM3532" s="35"/>
      <c r="AN3532" s="35"/>
      <c r="AO3532" s="35"/>
      <c r="AP3532" s="35"/>
      <c r="AQ3532" s="35"/>
      <c r="AR3532" s="35"/>
      <c r="AS3532" s="35"/>
      <c r="AT3532" s="35"/>
      <c r="AU3532" s="35"/>
      <c r="AV3532" s="35"/>
      <c r="AW3532" s="35"/>
      <c r="AX3532" s="35"/>
      <c r="AY3532" s="35"/>
      <c r="AZ3532" s="35"/>
      <c r="BA3532" s="35"/>
      <c r="BB3532" s="22">
        <f t="shared" si="1053"/>
        <v>0</v>
      </c>
      <c r="BC3532" s="23">
        <v>1</v>
      </c>
      <c r="BD3532" s="130">
        <f t="shared" si="1054"/>
        <v>0</v>
      </c>
      <c r="BE3532" s="130">
        <f t="shared" si="1055"/>
        <v>1</v>
      </c>
      <c r="BF3532" s="195">
        <f t="shared" si="1056"/>
        <v>0</v>
      </c>
      <c r="BG3532" s="373">
        <f>BE3532-BD3532</f>
        <v>1</v>
      </c>
    </row>
    <row r="3533" spans="1:59" s="46" customFormat="1" ht="15.95" customHeight="1">
      <c r="A3533" s="176">
        <v>26</v>
      </c>
      <c r="B3533" s="31" t="s">
        <v>1475</v>
      </c>
      <c r="C3533" s="34" t="s">
        <v>1476</v>
      </c>
      <c r="D3533" s="390"/>
      <c r="E3533" s="390"/>
      <c r="F3533" s="390"/>
      <c r="G3533" s="390"/>
      <c r="H3533" s="390"/>
      <c r="I3533" s="390"/>
      <c r="J3533" s="390"/>
      <c r="K3533" s="390"/>
      <c r="L3533" s="390"/>
      <c r="M3533" s="390"/>
      <c r="N3533" s="390"/>
      <c r="O3533" s="390"/>
      <c r="P3533" s="390"/>
      <c r="Q3533" s="390"/>
      <c r="R3533" s="390"/>
      <c r="S3533" s="390"/>
      <c r="T3533" s="390"/>
      <c r="U3533" s="390"/>
      <c r="V3533" s="390"/>
      <c r="W3533" s="390"/>
      <c r="X3533" s="390"/>
      <c r="Y3533" s="390"/>
      <c r="Z3533" s="390"/>
      <c r="AA3533" s="390"/>
      <c r="AB3533" s="22">
        <f t="shared" si="1052"/>
        <v>0</v>
      </c>
      <c r="AC3533" s="23">
        <v>0</v>
      </c>
      <c r="AD3533" s="35"/>
      <c r="AE3533" s="35"/>
      <c r="AF3533" s="35"/>
      <c r="AG3533" s="35"/>
      <c r="AH3533" s="35"/>
      <c r="AI3533" s="35"/>
      <c r="AJ3533" s="35"/>
      <c r="AK3533" s="35"/>
      <c r="AL3533" s="35"/>
      <c r="AM3533" s="35"/>
      <c r="AN3533" s="35"/>
      <c r="AO3533" s="35"/>
      <c r="AP3533" s="35"/>
      <c r="AQ3533" s="35"/>
      <c r="AR3533" s="35"/>
      <c r="AS3533" s="35"/>
      <c r="AT3533" s="35"/>
      <c r="AU3533" s="35"/>
      <c r="AV3533" s="35"/>
      <c r="AW3533" s="35"/>
      <c r="AX3533" s="35"/>
      <c r="AY3533" s="35"/>
      <c r="AZ3533" s="35"/>
      <c r="BA3533" s="35"/>
      <c r="BB3533" s="22">
        <f t="shared" si="1053"/>
        <v>0</v>
      </c>
      <c r="BC3533" s="23">
        <v>1</v>
      </c>
      <c r="BD3533" s="130">
        <f t="shared" si="1054"/>
        <v>0</v>
      </c>
      <c r="BE3533" s="130">
        <f t="shared" si="1055"/>
        <v>1</v>
      </c>
      <c r="BF3533" s="195">
        <f t="shared" si="1056"/>
        <v>0</v>
      </c>
      <c r="BG3533" s="373">
        <f>BE3533-BD3533</f>
        <v>1</v>
      </c>
    </row>
    <row r="3534" spans="1:59" s="46" customFormat="1" ht="15.95" customHeight="1">
      <c r="A3534" s="176">
        <v>27</v>
      </c>
      <c r="B3534" s="31" t="s">
        <v>1312</v>
      </c>
      <c r="C3534" s="34" t="s">
        <v>1313</v>
      </c>
      <c r="D3534" s="552"/>
      <c r="E3534" s="552"/>
      <c r="F3534" s="552"/>
      <c r="G3534" s="552"/>
      <c r="H3534" s="552"/>
      <c r="I3534" s="552"/>
      <c r="J3534" s="552"/>
      <c r="K3534" s="552"/>
      <c r="L3534" s="552"/>
      <c r="M3534" s="552"/>
      <c r="N3534" s="552"/>
      <c r="O3534" s="552"/>
      <c r="P3534" s="552"/>
      <c r="Q3534" s="552"/>
      <c r="R3534" s="552"/>
      <c r="S3534" s="552"/>
      <c r="T3534" s="552"/>
      <c r="U3534" s="552"/>
      <c r="V3534" s="552"/>
      <c r="W3534" s="552"/>
      <c r="X3534" s="552"/>
      <c r="Y3534" s="552"/>
      <c r="Z3534" s="552"/>
      <c r="AA3534" s="552"/>
      <c r="AB3534" s="22">
        <f t="shared" si="1052"/>
        <v>0</v>
      </c>
      <c r="AC3534" s="23">
        <v>0</v>
      </c>
      <c r="AD3534" s="35"/>
      <c r="AE3534" s="35"/>
      <c r="AF3534" s="35"/>
      <c r="AG3534" s="35"/>
      <c r="AH3534" s="35"/>
      <c r="AI3534" s="35"/>
      <c r="AJ3534" s="35"/>
      <c r="AK3534" s="35"/>
      <c r="AL3534" s="35">
        <v>1</v>
      </c>
      <c r="AM3534" s="35"/>
      <c r="AN3534" s="35"/>
      <c r="AO3534" s="35"/>
      <c r="AP3534" s="35"/>
      <c r="AQ3534" s="35"/>
      <c r="AR3534" s="35"/>
      <c r="AS3534" s="35"/>
      <c r="AT3534" s="35"/>
      <c r="AU3534" s="35"/>
      <c r="AV3534" s="35"/>
      <c r="AW3534" s="35"/>
      <c r="AX3534" s="35"/>
      <c r="AY3534" s="35"/>
      <c r="AZ3534" s="35"/>
      <c r="BA3534" s="35"/>
      <c r="BB3534" s="22">
        <f t="shared" si="1053"/>
        <v>1</v>
      </c>
      <c r="BC3534" s="23">
        <v>0</v>
      </c>
      <c r="BD3534" s="130">
        <f t="shared" si="1054"/>
        <v>1</v>
      </c>
      <c r="BE3534" s="130">
        <f t="shared" si="1055"/>
        <v>0</v>
      </c>
      <c r="BF3534" s="195" t="e">
        <f t="shared" si="1056"/>
        <v>#DIV/0!</v>
      </c>
      <c r="BG3534" s="373"/>
    </row>
    <row r="3535" spans="1:59" s="46" customFormat="1" ht="15.95" customHeight="1">
      <c r="A3535" s="176">
        <v>28</v>
      </c>
      <c r="B3535" s="31" t="s">
        <v>1318</v>
      </c>
      <c r="C3535" s="34" t="s">
        <v>1319</v>
      </c>
      <c r="D3535" s="390"/>
      <c r="E3535" s="390"/>
      <c r="F3535" s="390"/>
      <c r="G3535" s="390"/>
      <c r="H3535" s="390"/>
      <c r="I3535" s="390"/>
      <c r="J3535" s="390"/>
      <c r="K3535" s="390"/>
      <c r="L3535" s="390"/>
      <c r="M3535" s="390"/>
      <c r="N3535" s="390"/>
      <c r="O3535" s="390"/>
      <c r="P3535" s="390"/>
      <c r="Q3535" s="390"/>
      <c r="R3535" s="390"/>
      <c r="S3535" s="390"/>
      <c r="T3535" s="390"/>
      <c r="U3535" s="390"/>
      <c r="V3535" s="390"/>
      <c r="W3535" s="390"/>
      <c r="X3535" s="390"/>
      <c r="Y3535" s="390"/>
      <c r="Z3535" s="390"/>
      <c r="AA3535" s="390"/>
      <c r="AB3535" s="22">
        <f t="shared" si="1052"/>
        <v>0</v>
      </c>
      <c r="AC3535" s="23">
        <v>1</v>
      </c>
      <c r="AD3535" s="35"/>
      <c r="AE3535" s="35"/>
      <c r="AF3535" s="35"/>
      <c r="AG3535" s="35"/>
      <c r="AH3535" s="35"/>
      <c r="AI3535" s="35"/>
      <c r="AJ3535" s="35"/>
      <c r="AK3535" s="35"/>
      <c r="AL3535" s="35"/>
      <c r="AM3535" s="35"/>
      <c r="AN3535" s="35"/>
      <c r="AO3535" s="35"/>
      <c r="AP3535" s="35"/>
      <c r="AQ3535" s="35"/>
      <c r="AR3535" s="35"/>
      <c r="AS3535" s="35"/>
      <c r="AT3535" s="35"/>
      <c r="AU3535" s="35"/>
      <c r="AV3535" s="35"/>
      <c r="AW3535" s="35"/>
      <c r="AX3535" s="35"/>
      <c r="AY3535" s="35"/>
      <c r="AZ3535" s="35"/>
      <c r="BA3535" s="35"/>
      <c r="BB3535" s="22">
        <f t="shared" si="1053"/>
        <v>0</v>
      </c>
      <c r="BC3535" s="23">
        <v>0</v>
      </c>
      <c r="BD3535" s="130">
        <f t="shared" si="1054"/>
        <v>0</v>
      </c>
      <c r="BE3535" s="130">
        <f t="shared" si="1055"/>
        <v>1</v>
      </c>
      <c r="BF3535" s="195">
        <f t="shared" si="1056"/>
        <v>0</v>
      </c>
      <c r="BG3535" s="373">
        <f t="shared" ref="BG3535:BG3542" si="1057">BE3535-BD3535</f>
        <v>1</v>
      </c>
    </row>
    <row r="3536" spans="1:59" s="46" customFormat="1" ht="15.95" customHeight="1">
      <c r="A3536" s="176">
        <v>29</v>
      </c>
      <c r="B3536" s="31" t="s">
        <v>1072</v>
      </c>
      <c r="C3536" s="32" t="s">
        <v>1073</v>
      </c>
      <c r="D3536" s="390"/>
      <c r="E3536" s="390"/>
      <c r="F3536" s="390"/>
      <c r="G3536" s="390"/>
      <c r="H3536" s="390"/>
      <c r="I3536" s="390"/>
      <c r="J3536" s="390"/>
      <c r="K3536" s="390"/>
      <c r="L3536" s="390"/>
      <c r="M3536" s="390"/>
      <c r="N3536" s="390"/>
      <c r="O3536" s="390"/>
      <c r="P3536" s="390"/>
      <c r="Q3536" s="390"/>
      <c r="R3536" s="390"/>
      <c r="S3536" s="390"/>
      <c r="T3536" s="390"/>
      <c r="U3536" s="390"/>
      <c r="V3536" s="390"/>
      <c r="W3536" s="390"/>
      <c r="X3536" s="390"/>
      <c r="Y3536" s="390"/>
      <c r="Z3536" s="390"/>
      <c r="AA3536" s="390"/>
      <c r="AB3536" s="22">
        <f t="shared" si="1052"/>
        <v>0</v>
      </c>
      <c r="AC3536" s="23">
        <v>1</v>
      </c>
      <c r="AD3536" s="35"/>
      <c r="AE3536" s="35"/>
      <c r="AF3536" s="35"/>
      <c r="AG3536" s="35"/>
      <c r="AH3536" s="35"/>
      <c r="AI3536" s="35"/>
      <c r="AJ3536" s="35"/>
      <c r="AK3536" s="35"/>
      <c r="AL3536" s="35"/>
      <c r="AM3536" s="35"/>
      <c r="AN3536" s="35"/>
      <c r="AO3536" s="35"/>
      <c r="AP3536" s="35"/>
      <c r="AQ3536" s="35"/>
      <c r="AR3536" s="35"/>
      <c r="AS3536" s="35"/>
      <c r="AT3536" s="35"/>
      <c r="AU3536" s="35"/>
      <c r="AV3536" s="35"/>
      <c r="AW3536" s="35"/>
      <c r="AX3536" s="35"/>
      <c r="AY3536" s="35"/>
      <c r="AZ3536" s="35"/>
      <c r="BA3536" s="35"/>
      <c r="BB3536" s="22">
        <f t="shared" si="1053"/>
        <v>0</v>
      </c>
      <c r="BC3536" s="23">
        <v>2</v>
      </c>
      <c r="BD3536" s="130">
        <f t="shared" si="1054"/>
        <v>0</v>
      </c>
      <c r="BE3536" s="130">
        <f t="shared" si="1055"/>
        <v>3</v>
      </c>
      <c r="BF3536" s="195">
        <f t="shared" si="1056"/>
        <v>0</v>
      </c>
      <c r="BG3536" s="373">
        <f t="shared" si="1057"/>
        <v>3</v>
      </c>
    </row>
    <row r="3537" spans="1:59" s="46" customFormat="1" ht="15.95" customHeight="1">
      <c r="A3537" s="176">
        <v>30</v>
      </c>
      <c r="B3537" s="31" t="s">
        <v>819</v>
      </c>
      <c r="C3537" s="32" t="s">
        <v>1591</v>
      </c>
      <c r="D3537" s="366"/>
      <c r="E3537" s="366"/>
      <c r="F3537" s="366"/>
      <c r="G3537" s="366"/>
      <c r="H3537" s="366">
        <v>3</v>
      </c>
      <c r="I3537" s="366"/>
      <c r="J3537" s="366"/>
      <c r="K3537" s="366"/>
      <c r="L3537" s="366">
        <v>1</v>
      </c>
      <c r="M3537" s="366"/>
      <c r="N3537" s="366"/>
      <c r="O3537" s="366"/>
      <c r="P3537" s="366">
        <v>3</v>
      </c>
      <c r="Q3537" s="366"/>
      <c r="R3537" s="366"/>
      <c r="S3537" s="366"/>
      <c r="T3537" s="366"/>
      <c r="U3537" s="366"/>
      <c r="V3537" s="366"/>
      <c r="W3537" s="366"/>
      <c r="X3537" s="366"/>
      <c r="Y3537" s="366"/>
      <c r="Z3537" s="366"/>
      <c r="AA3537" s="366"/>
      <c r="AB3537" s="22">
        <f t="shared" si="1052"/>
        <v>7</v>
      </c>
      <c r="AC3537" s="23">
        <v>8</v>
      </c>
      <c r="AD3537" s="35"/>
      <c r="AE3537" s="35"/>
      <c r="AF3537" s="35"/>
      <c r="AG3537" s="35"/>
      <c r="AH3537" s="35"/>
      <c r="AI3537" s="35"/>
      <c r="AJ3537" s="35"/>
      <c r="AK3537" s="35"/>
      <c r="AL3537" s="35"/>
      <c r="AM3537" s="35"/>
      <c r="AN3537" s="35"/>
      <c r="AO3537" s="35"/>
      <c r="AP3537" s="35"/>
      <c r="AQ3537" s="35"/>
      <c r="AR3537" s="35"/>
      <c r="AS3537" s="35"/>
      <c r="AT3537" s="35"/>
      <c r="AU3537" s="35"/>
      <c r="AV3537" s="35"/>
      <c r="AW3537" s="35"/>
      <c r="AX3537" s="35"/>
      <c r="AY3537" s="35"/>
      <c r="AZ3537" s="35"/>
      <c r="BA3537" s="35"/>
      <c r="BB3537" s="22">
        <f t="shared" si="1053"/>
        <v>0</v>
      </c>
      <c r="BC3537" s="23">
        <v>0</v>
      </c>
      <c r="BD3537" s="130">
        <f t="shared" si="1054"/>
        <v>7</v>
      </c>
      <c r="BE3537" s="130">
        <f t="shared" si="1055"/>
        <v>8</v>
      </c>
      <c r="BF3537" s="195">
        <f t="shared" si="1056"/>
        <v>87.5</v>
      </c>
      <c r="BG3537" s="373">
        <f t="shared" si="1057"/>
        <v>1</v>
      </c>
    </row>
    <row r="3538" spans="1:59" s="46" customFormat="1" ht="15.95" customHeight="1">
      <c r="A3538" s="176">
        <v>31</v>
      </c>
      <c r="B3538" s="31" t="s">
        <v>821</v>
      </c>
      <c r="C3538" s="32" t="s">
        <v>1594</v>
      </c>
      <c r="D3538" s="366"/>
      <c r="E3538" s="366"/>
      <c r="F3538" s="366"/>
      <c r="G3538" s="366"/>
      <c r="H3538" s="366">
        <v>1</v>
      </c>
      <c r="I3538" s="366"/>
      <c r="J3538" s="366"/>
      <c r="K3538" s="366"/>
      <c r="L3538" s="366"/>
      <c r="M3538" s="366"/>
      <c r="N3538" s="366"/>
      <c r="O3538" s="366"/>
      <c r="P3538" s="366">
        <v>5</v>
      </c>
      <c r="Q3538" s="366"/>
      <c r="R3538" s="366"/>
      <c r="S3538" s="366"/>
      <c r="T3538" s="366"/>
      <c r="U3538" s="366"/>
      <c r="V3538" s="366"/>
      <c r="W3538" s="366"/>
      <c r="X3538" s="366"/>
      <c r="Y3538" s="366"/>
      <c r="Z3538" s="366"/>
      <c r="AA3538" s="366"/>
      <c r="AB3538" s="22">
        <f t="shared" si="1052"/>
        <v>6</v>
      </c>
      <c r="AC3538" s="23">
        <v>5</v>
      </c>
      <c r="AD3538" s="35"/>
      <c r="AE3538" s="35"/>
      <c r="AF3538" s="35"/>
      <c r="AG3538" s="35"/>
      <c r="AH3538" s="35"/>
      <c r="AI3538" s="35"/>
      <c r="AJ3538" s="35"/>
      <c r="AK3538" s="35"/>
      <c r="AL3538" s="35"/>
      <c r="AM3538" s="35"/>
      <c r="AN3538" s="35"/>
      <c r="AO3538" s="35"/>
      <c r="AP3538" s="35"/>
      <c r="AQ3538" s="35"/>
      <c r="AR3538" s="35"/>
      <c r="AS3538" s="35"/>
      <c r="AT3538" s="35"/>
      <c r="AU3538" s="35"/>
      <c r="AV3538" s="35"/>
      <c r="AW3538" s="35"/>
      <c r="AX3538" s="35"/>
      <c r="AY3538" s="35"/>
      <c r="AZ3538" s="35"/>
      <c r="BA3538" s="35"/>
      <c r="BB3538" s="22">
        <f t="shared" si="1053"/>
        <v>0</v>
      </c>
      <c r="BC3538" s="23">
        <v>0</v>
      </c>
      <c r="BD3538" s="130">
        <f t="shared" si="1054"/>
        <v>6</v>
      </c>
      <c r="BE3538" s="130">
        <f t="shared" si="1055"/>
        <v>5</v>
      </c>
      <c r="BF3538" s="195">
        <f t="shared" si="1056"/>
        <v>120</v>
      </c>
      <c r="BG3538" s="373">
        <f t="shared" si="1057"/>
        <v>-1</v>
      </c>
    </row>
    <row r="3539" spans="1:59" s="46" customFormat="1" ht="15.95" customHeight="1">
      <c r="A3539" s="176">
        <v>32</v>
      </c>
      <c r="B3539" s="31" t="s">
        <v>823</v>
      </c>
      <c r="C3539" s="34" t="s">
        <v>824</v>
      </c>
      <c r="D3539" s="366"/>
      <c r="E3539" s="366"/>
      <c r="F3539" s="366"/>
      <c r="G3539" s="366"/>
      <c r="H3539" s="366">
        <v>25</v>
      </c>
      <c r="I3539" s="366"/>
      <c r="J3539" s="366"/>
      <c r="K3539" s="366"/>
      <c r="L3539" s="366">
        <v>136</v>
      </c>
      <c r="M3539" s="366"/>
      <c r="N3539" s="366"/>
      <c r="O3539" s="366"/>
      <c r="P3539" s="366">
        <v>190</v>
      </c>
      <c r="Q3539" s="366"/>
      <c r="R3539" s="366"/>
      <c r="S3539" s="366"/>
      <c r="T3539" s="366"/>
      <c r="U3539" s="366"/>
      <c r="V3539" s="366"/>
      <c r="W3539" s="366"/>
      <c r="X3539" s="366"/>
      <c r="Y3539" s="366"/>
      <c r="Z3539" s="366"/>
      <c r="AA3539" s="366"/>
      <c r="AB3539" s="22">
        <f t="shared" si="1052"/>
        <v>351</v>
      </c>
      <c r="AC3539" s="23">
        <v>468</v>
      </c>
      <c r="AD3539" s="35"/>
      <c r="AE3539" s="35"/>
      <c r="AF3539" s="35"/>
      <c r="AG3539" s="35"/>
      <c r="AH3539" s="35"/>
      <c r="AI3539" s="35"/>
      <c r="AJ3539" s="35"/>
      <c r="AK3539" s="35"/>
      <c r="AL3539" s="35"/>
      <c r="AM3539" s="35"/>
      <c r="AN3539" s="35"/>
      <c r="AO3539" s="35"/>
      <c r="AP3539" s="35"/>
      <c r="AQ3539" s="35"/>
      <c r="AR3539" s="35"/>
      <c r="AS3539" s="35"/>
      <c r="AT3539" s="35"/>
      <c r="AU3539" s="35"/>
      <c r="AV3539" s="35"/>
      <c r="AW3539" s="35"/>
      <c r="AX3539" s="35"/>
      <c r="AY3539" s="35"/>
      <c r="AZ3539" s="35"/>
      <c r="BA3539" s="35"/>
      <c r="BB3539" s="22">
        <f t="shared" si="1053"/>
        <v>0</v>
      </c>
      <c r="BC3539" s="23">
        <v>0</v>
      </c>
      <c r="BD3539" s="130">
        <f t="shared" si="1054"/>
        <v>351</v>
      </c>
      <c r="BE3539" s="130">
        <f t="shared" si="1055"/>
        <v>468</v>
      </c>
      <c r="BF3539" s="195">
        <f t="shared" si="1056"/>
        <v>75</v>
      </c>
      <c r="BG3539" s="373">
        <f t="shared" si="1057"/>
        <v>117</v>
      </c>
    </row>
    <row r="3540" spans="1:59" s="46" customFormat="1" ht="15.95" customHeight="1">
      <c r="A3540" s="176">
        <v>33</v>
      </c>
      <c r="B3540" s="31" t="s">
        <v>825</v>
      </c>
      <c r="C3540" s="32" t="s">
        <v>907</v>
      </c>
      <c r="D3540" s="366"/>
      <c r="E3540" s="366"/>
      <c r="F3540" s="366"/>
      <c r="G3540" s="366"/>
      <c r="H3540" s="366">
        <f>2+22</f>
        <v>24</v>
      </c>
      <c r="I3540" s="366"/>
      <c r="J3540" s="366"/>
      <c r="K3540" s="366"/>
      <c r="L3540" s="366">
        <f>1+52</f>
        <v>53</v>
      </c>
      <c r="M3540" s="366"/>
      <c r="N3540" s="366"/>
      <c r="O3540" s="366"/>
      <c r="P3540" s="366">
        <f>520+170</f>
        <v>690</v>
      </c>
      <c r="Q3540" s="366"/>
      <c r="R3540" s="366"/>
      <c r="S3540" s="366"/>
      <c r="T3540" s="366"/>
      <c r="U3540" s="366"/>
      <c r="V3540" s="366"/>
      <c r="W3540" s="366"/>
      <c r="X3540" s="366"/>
      <c r="Y3540" s="366"/>
      <c r="Z3540" s="366"/>
      <c r="AA3540" s="366"/>
      <c r="AB3540" s="22">
        <f t="shared" ref="AB3540:AB3571" si="1058">SUM(D3540:AA3540)</f>
        <v>767</v>
      </c>
      <c r="AC3540" s="23">
        <v>74</v>
      </c>
      <c r="AD3540" s="35"/>
      <c r="AE3540" s="35"/>
      <c r="AF3540" s="35"/>
      <c r="AG3540" s="35"/>
      <c r="AH3540" s="35"/>
      <c r="AI3540" s="35"/>
      <c r="AJ3540" s="35"/>
      <c r="AK3540" s="35"/>
      <c r="AL3540" s="35"/>
      <c r="AM3540" s="35"/>
      <c r="AN3540" s="35"/>
      <c r="AO3540" s="35"/>
      <c r="AP3540" s="35"/>
      <c r="AQ3540" s="35"/>
      <c r="AR3540" s="35"/>
      <c r="AS3540" s="35"/>
      <c r="AT3540" s="35"/>
      <c r="AU3540" s="35"/>
      <c r="AV3540" s="35"/>
      <c r="AW3540" s="35"/>
      <c r="AX3540" s="35"/>
      <c r="AY3540" s="35"/>
      <c r="AZ3540" s="35"/>
      <c r="BA3540" s="35"/>
      <c r="BB3540" s="22">
        <f t="shared" ref="BB3540:BB3571" si="1059">SUM(AD3540:BA3540)</f>
        <v>0</v>
      </c>
      <c r="BC3540" s="23">
        <v>0</v>
      </c>
      <c r="BD3540" s="130">
        <f t="shared" ref="BD3540:BD3573" si="1060">AB3540+BB3540</f>
        <v>767</v>
      </c>
      <c r="BE3540" s="130">
        <f t="shared" ref="BE3540:BE3573" si="1061">AC3540+BC3540</f>
        <v>74</v>
      </c>
      <c r="BF3540" s="195">
        <f t="shared" ref="BF3540:BF3571" si="1062">BD3540/BE3540*100</f>
        <v>1036.4864864864865</v>
      </c>
      <c r="BG3540" s="373">
        <f t="shared" si="1057"/>
        <v>-693</v>
      </c>
    </row>
    <row r="3541" spans="1:59" s="46" customFormat="1" ht="15.95" customHeight="1">
      <c r="A3541" s="176">
        <v>34</v>
      </c>
      <c r="B3541" s="31" t="s">
        <v>827</v>
      </c>
      <c r="C3541" s="32" t="s">
        <v>828</v>
      </c>
      <c r="D3541" s="366"/>
      <c r="E3541" s="366"/>
      <c r="F3541" s="366"/>
      <c r="G3541" s="366"/>
      <c r="H3541" s="366">
        <f>1+1</f>
        <v>2</v>
      </c>
      <c r="I3541" s="366"/>
      <c r="J3541" s="366"/>
      <c r="K3541" s="366"/>
      <c r="L3541" s="366">
        <v>10</v>
      </c>
      <c r="M3541" s="366"/>
      <c r="N3541" s="366"/>
      <c r="O3541" s="366"/>
      <c r="P3541" s="366">
        <v>10</v>
      </c>
      <c r="Q3541" s="366"/>
      <c r="R3541" s="366"/>
      <c r="S3541" s="366"/>
      <c r="T3541" s="366"/>
      <c r="U3541" s="366"/>
      <c r="V3541" s="366"/>
      <c r="W3541" s="366"/>
      <c r="X3541" s="366"/>
      <c r="Y3541" s="366"/>
      <c r="Z3541" s="366"/>
      <c r="AA3541" s="366"/>
      <c r="AB3541" s="22">
        <f t="shared" si="1058"/>
        <v>22</v>
      </c>
      <c r="AC3541" s="23">
        <v>16</v>
      </c>
      <c r="AD3541" s="35"/>
      <c r="AE3541" s="35"/>
      <c r="AF3541" s="35"/>
      <c r="AG3541" s="35"/>
      <c r="AH3541" s="35"/>
      <c r="AI3541" s="35"/>
      <c r="AJ3541" s="35"/>
      <c r="AK3541" s="35"/>
      <c r="AL3541" s="35"/>
      <c r="AM3541" s="35"/>
      <c r="AN3541" s="35"/>
      <c r="AO3541" s="35"/>
      <c r="AP3541" s="35"/>
      <c r="AQ3541" s="35"/>
      <c r="AR3541" s="35"/>
      <c r="AS3541" s="35"/>
      <c r="AT3541" s="35"/>
      <c r="AU3541" s="35"/>
      <c r="AV3541" s="35"/>
      <c r="AW3541" s="35"/>
      <c r="AX3541" s="35"/>
      <c r="AY3541" s="35"/>
      <c r="AZ3541" s="35"/>
      <c r="BA3541" s="35"/>
      <c r="BB3541" s="22">
        <f t="shared" si="1059"/>
        <v>0</v>
      </c>
      <c r="BC3541" s="23">
        <v>0</v>
      </c>
      <c r="BD3541" s="130">
        <f t="shared" si="1060"/>
        <v>22</v>
      </c>
      <c r="BE3541" s="130">
        <f t="shared" si="1061"/>
        <v>16</v>
      </c>
      <c r="BF3541" s="195">
        <f t="shared" si="1062"/>
        <v>137.5</v>
      </c>
      <c r="BG3541" s="373">
        <f t="shared" si="1057"/>
        <v>-6</v>
      </c>
    </row>
    <row r="3542" spans="1:59" s="46" customFormat="1" ht="15.95" customHeight="1">
      <c r="A3542" s="176">
        <v>35</v>
      </c>
      <c r="B3542" s="31" t="s">
        <v>829</v>
      </c>
      <c r="C3542" s="32" t="s">
        <v>830</v>
      </c>
      <c r="D3542" s="366"/>
      <c r="E3542" s="366"/>
      <c r="F3542" s="366"/>
      <c r="G3542" s="366"/>
      <c r="H3542" s="366">
        <f>1+1</f>
        <v>2</v>
      </c>
      <c r="I3542" s="366"/>
      <c r="J3542" s="366"/>
      <c r="K3542" s="366"/>
      <c r="L3542" s="366">
        <v>10</v>
      </c>
      <c r="M3542" s="366"/>
      <c r="N3542" s="366"/>
      <c r="O3542" s="366"/>
      <c r="P3542" s="366">
        <v>10</v>
      </c>
      <c r="Q3542" s="366"/>
      <c r="R3542" s="366"/>
      <c r="S3542" s="366"/>
      <c r="T3542" s="366"/>
      <c r="U3542" s="366"/>
      <c r="V3542" s="366"/>
      <c r="W3542" s="366"/>
      <c r="X3542" s="366"/>
      <c r="Y3542" s="366"/>
      <c r="Z3542" s="366"/>
      <c r="AA3542" s="366"/>
      <c r="AB3542" s="22">
        <f t="shared" si="1058"/>
        <v>22</v>
      </c>
      <c r="AC3542" s="23">
        <v>157</v>
      </c>
      <c r="AD3542" s="35"/>
      <c r="AE3542" s="35"/>
      <c r="AF3542" s="35"/>
      <c r="AG3542" s="35"/>
      <c r="AH3542" s="35"/>
      <c r="AI3542" s="35"/>
      <c r="AJ3542" s="35"/>
      <c r="AK3542" s="35"/>
      <c r="AL3542" s="35"/>
      <c r="AM3542" s="35"/>
      <c r="AN3542" s="35"/>
      <c r="AO3542" s="35"/>
      <c r="AP3542" s="35"/>
      <c r="AQ3542" s="35"/>
      <c r="AR3542" s="35"/>
      <c r="AS3542" s="35"/>
      <c r="AT3542" s="35"/>
      <c r="AU3542" s="35"/>
      <c r="AV3542" s="35"/>
      <c r="AW3542" s="35"/>
      <c r="AX3542" s="35"/>
      <c r="AY3542" s="35"/>
      <c r="AZ3542" s="35"/>
      <c r="BA3542" s="35"/>
      <c r="BB3542" s="22">
        <f t="shared" si="1059"/>
        <v>0</v>
      </c>
      <c r="BC3542" s="23">
        <v>0</v>
      </c>
      <c r="BD3542" s="130">
        <f t="shared" si="1060"/>
        <v>22</v>
      </c>
      <c r="BE3542" s="130">
        <f t="shared" si="1061"/>
        <v>157</v>
      </c>
      <c r="BF3542" s="195">
        <f t="shared" si="1062"/>
        <v>14.012738853503185</v>
      </c>
      <c r="BG3542" s="373">
        <f t="shared" si="1057"/>
        <v>135</v>
      </c>
    </row>
    <row r="3543" spans="1:59" s="46" customFormat="1" ht="15.95" customHeight="1">
      <c r="A3543" s="176">
        <v>36</v>
      </c>
      <c r="B3543" s="31" t="s">
        <v>837</v>
      </c>
      <c r="C3543" s="32" t="s">
        <v>908</v>
      </c>
      <c r="D3543" s="545"/>
      <c r="E3543" s="545"/>
      <c r="F3543" s="545"/>
      <c r="G3543" s="545"/>
      <c r="H3543" s="545"/>
      <c r="I3543" s="545"/>
      <c r="J3543" s="545"/>
      <c r="K3543" s="545"/>
      <c r="L3543" s="545">
        <v>2</v>
      </c>
      <c r="M3543" s="545"/>
      <c r="N3543" s="545"/>
      <c r="O3543" s="545"/>
      <c r="P3543" s="545"/>
      <c r="Q3543" s="545"/>
      <c r="R3543" s="545"/>
      <c r="S3543" s="545"/>
      <c r="T3543" s="545"/>
      <c r="U3543" s="545"/>
      <c r="V3543" s="545"/>
      <c r="W3543" s="545"/>
      <c r="X3543" s="545"/>
      <c r="Y3543" s="545"/>
      <c r="Z3543" s="545"/>
      <c r="AA3543" s="545"/>
      <c r="AB3543" s="22">
        <f t="shared" si="1058"/>
        <v>2</v>
      </c>
      <c r="AC3543" s="23">
        <v>0</v>
      </c>
      <c r="AD3543" s="35"/>
      <c r="AE3543" s="35"/>
      <c r="AF3543" s="35"/>
      <c r="AG3543" s="35"/>
      <c r="AH3543" s="35"/>
      <c r="AI3543" s="35"/>
      <c r="AJ3543" s="35"/>
      <c r="AK3543" s="35"/>
      <c r="AL3543" s="35"/>
      <c r="AM3543" s="35"/>
      <c r="AN3543" s="35"/>
      <c r="AO3543" s="35"/>
      <c r="AP3543" s="35"/>
      <c r="AQ3543" s="35"/>
      <c r="AR3543" s="35"/>
      <c r="AS3543" s="35"/>
      <c r="AT3543" s="35"/>
      <c r="AU3543" s="35"/>
      <c r="AV3543" s="35"/>
      <c r="AW3543" s="35"/>
      <c r="AX3543" s="35"/>
      <c r="AY3543" s="35"/>
      <c r="AZ3543" s="35"/>
      <c r="BA3543" s="35"/>
      <c r="BB3543" s="22">
        <f t="shared" si="1059"/>
        <v>0</v>
      </c>
      <c r="BC3543" s="23">
        <v>0</v>
      </c>
      <c r="BD3543" s="130">
        <f t="shared" si="1060"/>
        <v>2</v>
      </c>
      <c r="BE3543" s="130">
        <f t="shared" si="1061"/>
        <v>0</v>
      </c>
      <c r="BF3543" s="195" t="e">
        <f t="shared" si="1062"/>
        <v>#DIV/0!</v>
      </c>
      <c r="BG3543" s="373"/>
    </row>
    <row r="3544" spans="1:59" s="46" customFormat="1" ht="15.95" customHeight="1">
      <c r="A3544" s="176">
        <v>37</v>
      </c>
      <c r="B3544" s="31" t="s">
        <v>909</v>
      </c>
      <c r="C3544" s="32" t="s">
        <v>3802</v>
      </c>
      <c r="D3544" s="521"/>
      <c r="E3544" s="521"/>
      <c r="F3544" s="521"/>
      <c r="G3544" s="521"/>
      <c r="H3544" s="521">
        <v>1</v>
      </c>
      <c r="I3544" s="521"/>
      <c r="J3544" s="521"/>
      <c r="K3544" s="521"/>
      <c r="L3544" s="521"/>
      <c r="M3544" s="521"/>
      <c r="N3544" s="521"/>
      <c r="O3544" s="521"/>
      <c r="P3544" s="521"/>
      <c r="Q3544" s="521"/>
      <c r="R3544" s="521"/>
      <c r="S3544" s="521"/>
      <c r="T3544" s="521"/>
      <c r="U3544" s="521"/>
      <c r="V3544" s="521"/>
      <c r="W3544" s="521"/>
      <c r="X3544" s="521"/>
      <c r="Y3544" s="521"/>
      <c r="Z3544" s="521"/>
      <c r="AA3544" s="521"/>
      <c r="AB3544" s="22">
        <f t="shared" si="1058"/>
        <v>1</v>
      </c>
      <c r="AC3544" s="23">
        <v>0</v>
      </c>
      <c r="AD3544" s="35"/>
      <c r="AE3544" s="35"/>
      <c r="AF3544" s="35"/>
      <c r="AG3544" s="35"/>
      <c r="AH3544" s="35"/>
      <c r="AI3544" s="35"/>
      <c r="AJ3544" s="35"/>
      <c r="AK3544" s="35"/>
      <c r="AL3544" s="35"/>
      <c r="AM3544" s="35"/>
      <c r="AN3544" s="35"/>
      <c r="AO3544" s="35"/>
      <c r="AP3544" s="35"/>
      <c r="AQ3544" s="35"/>
      <c r="AR3544" s="35"/>
      <c r="AS3544" s="35"/>
      <c r="AT3544" s="35"/>
      <c r="AU3544" s="35"/>
      <c r="AV3544" s="35"/>
      <c r="AW3544" s="35"/>
      <c r="AX3544" s="35"/>
      <c r="AY3544" s="35"/>
      <c r="AZ3544" s="35"/>
      <c r="BA3544" s="35"/>
      <c r="BB3544" s="22">
        <f t="shared" si="1059"/>
        <v>0</v>
      </c>
      <c r="BC3544" s="23">
        <v>0</v>
      </c>
      <c r="BD3544" s="130">
        <f t="shared" si="1060"/>
        <v>1</v>
      </c>
      <c r="BE3544" s="130">
        <f t="shared" si="1061"/>
        <v>0</v>
      </c>
      <c r="BF3544" s="195" t="e">
        <f t="shared" si="1062"/>
        <v>#DIV/0!</v>
      </c>
      <c r="BG3544" s="373"/>
    </row>
    <row r="3545" spans="1:59" s="46" customFormat="1" ht="15.95" customHeight="1">
      <c r="A3545" s="176">
        <v>38</v>
      </c>
      <c r="B3545" s="31" t="s">
        <v>1332</v>
      </c>
      <c r="C3545" s="32" t="s">
        <v>1333</v>
      </c>
      <c r="D3545" s="521"/>
      <c r="E3545" s="521"/>
      <c r="F3545" s="521"/>
      <c r="G3545" s="521"/>
      <c r="H3545" s="521">
        <v>1</v>
      </c>
      <c r="I3545" s="521"/>
      <c r="J3545" s="521"/>
      <c r="K3545" s="521"/>
      <c r="L3545" s="521">
        <v>1</v>
      </c>
      <c r="M3545" s="521"/>
      <c r="N3545" s="521"/>
      <c r="O3545" s="521"/>
      <c r="P3545" s="521"/>
      <c r="Q3545" s="521"/>
      <c r="R3545" s="521"/>
      <c r="S3545" s="521"/>
      <c r="T3545" s="521"/>
      <c r="U3545" s="521"/>
      <c r="V3545" s="521"/>
      <c r="W3545" s="521"/>
      <c r="X3545" s="521"/>
      <c r="Y3545" s="521"/>
      <c r="Z3545" s="521"/>
      <c r="AA3545" s="521"/>
      <c r="AB3545" s="22">
        <f t="shared" si="1058"/>
        <v>2</v>
      </c>
      <c r="AC3545" s="23">
        <v>0</v>
      </c>
      <c r="AD3545" s="35"/>
      <c r="AE3545" s="35"/>
      <c r="AF3545" s="35"/>
      <c r="AG3545" s="35"/>
      <c r="AH3545" s="35"/>
      <c r="AI3545" s="35"/>
      <c r="AJ3545" s="35"/>
      <c r="AK3545" s="35"/>
      <c r="AL3545" s="35"/>
      <c r="AM3545" s="35"/>
      <c r="AN3545" s="35"/>
      <c r="AO3545" s="35"/>
      <c r="AP3545" s="35"/>
      <c r="AQ3545" s="35"/>
      <c r="AR3545" s="35"/>
      <c r="AS3545" s="35"/>
      <c r="AT3545" s="35"/>
      <c r="AU3545" s="35"/>
      <c r="AV3545" s="35"/>
      <c r="AW3545" s="35"/>
      <c r="AX3545" s="35"/>
      <c r="AY3545" s="35"/>
      <c r="AZ3545" s="35"/>
      <c r="BA3545" s="35"/>
      <c r="BB3545" s="22">
        <f t="shared" si="1059"/>
        <v>0</v>
      </c>
      <c r="BC3545" s="23">
        <v>0</v>
      </c>
      <c r="BD3545" s="130">
        <f t="shared" si="1060"/>
        <v>2</v>
      </c>
      <c r="BE3545" s="130">
        <f t="shared" si="1061"/>
        <v>0</v>
      </c>
      <c r="BF3545" s="195" t="e">
        <f t="shared" si="1062"/>
        <v>#DIV/0!</v>
      </c>
      <c r="BG3545" s="373"/>
    </row>
    <row r="3546" spans="1:59" s="46" customFormat="1" ht="15.95" customHeight="1">
      <c r="A3546" s="176">
        <v>39</v>
      </c>
      <c r="B3546" s="31" t="s">
        <v>845</v>
      </c>
      <c r="C3546" s="34" t="s">
        <v>948</v>
      </c>
      <c r="D3546" s="231"/>
      <c r="E3546" s="231"/>
      <c r="F3546" s="231"/>
      <c r="G3546" s="231"/>
      <c r="H3546" s="231">
        <v>3</v>
      </c>
      <c r="I3546" s="231"/>
      <c r="J3546" s="231"/>
      <c r="K3546" s="231"/>
      <c r="L3546" s="231">
        <v>1</v>
      </c>
      <c r="M3546" s="231"/>
      <c r="N3546" s="231"/>
      <c r="O3546" s="231"/>
      <c r="P3546" s="231">
        <v>2</v>
      </c>
      <c r="Q3546" s="231"/>
      <c r="R3546" s="231"/>
      <c r="S3546" s="231"/>
      <c r="T3546" s="231"/>
      <c r="U3546" s="231"/>
      <c r="V3546" s="231"/>
      <c r="W3546" s="231"/>
      <c r="X3546" s="231"/>
      <c r="Y3546" s="231"/>
      <c r="Z3546" s="231"/>
      <c r="AA3546" s="231"/>
      <c r="AB3546" s="22">
        <f t="shared" si="1058"/>
        <v>6</v>
      </c>
      <c r="AC3546" s="23">
        <v>5</v>
      </c>
      <c r="AD3546" s="35"/>
      <c r="AE3546" s="35"/>
      <c r="AF3546" s="35"/>
      <c r="AG3546" s="35"/>
      <c r="AH3546" s="35"/>
      <c r="AI3546" s="35"/>
      <c r="AJ3546" s="35"/>
      <c r="AK3546" s="35"/>
      <c r="AL3546" s="35"/>
      <c r="AM3546" s="35"/>
      <c r="AN3546" s="35"/>
      <c r="AO3546" s="35"/>
      <c r="AP3546" s="35"/>
      <c r="AQ3546" s="35"/>
      <c r="AR3546" s="35"/>
      <c r="AS3546" s="35"/>
      <c r="AT3546" s="35"/>
      <c r="AU3546" s="35"/>
      <c r="AV3546" s="35"/>
      <c r="AW3546" s="35"/>
      <c r="AX3546" s="35"/>
      <c r="AY3546" s="35"/>
      <c r="AZ3546" s="35"/>
      <c r="BA3546" s="35"/>
      <c r="BB3546" s="22">
        <f t="shared" si="1059"/>
        <v>0</v>
      </c>
      <c r="BC3546" s="23">
        <v>0</v>
      </c>
      <c r="BD3546" s="130">
        <f t="shared" si="1060"/>
        <v>6</v>
      </c>
      <c r="BE3546" s="130">
        <f t="shared" si="1061"/>
        <v>5</v>
      </c>
      <c r="BF3546" s="195">
        <f t="shared" si="1062"/>
        <v>120</v>
      </c>
      <c r="BG3546" s="373">
        <f>BE3546-BD3546</f>
        <v>-1</v>
      </c>
    </row>
    <row r="3547" spans="1:59" s="46" customFormat="1" ht="15.95" customHeight="1">
      <c r="A3547" s="176">
        <v>40</v>
      </c>
      <c r="B3547" s="31" t="s">
        <v>1075</v>
      </c>
      <c r="C3547" s="34" t="s">
        <v>1670</v>
      </c>
      <c r="D3547" s="231"/>
      <c r="E3547" s="231"/>
      <c r="F3547" s="231"/>
      <c r="G3547" s="231"/>
      <c r="H3547" s="231"/>
      <c r="I3547" s="231"/>
      <c r="J3547" s="231"/>
      <c r="K3547" s="231"/>
      <c r="L3547" s="231">
        <v>1</v>
      </c>
      <c r="M3547" s="231"/>
      <c r="N3547" s="231"/>
      <c r="O3547" s="231"/>
      <c r="P3547" s="231">
        <v>1</v>
      </c>
      <c r="Q3547" s="231"/>
      <c r="R3547" s="231"/>
      <c r="S3547" s="231"/>
      <c r="T3547" s="231"/>
      <c r="U3547" s="231"/>
      <c r="V3547" s="231"/>
      <c r="W3547" s="231"/>
      <c r="X3547" s="231"/>
      <c r="Y3547" s="231"/>
      <c r="Z3547" s="231"/>
      <c r="AA3547" s="231"/>
      <c r="AB3547" s="22">
        <f t="shared" si="1058"/>
        <v>2</v>
      </c>
      <c r="AC3547" s="23">
        <v>2</v>
      </c>
      <c r="AD3547" s="35"/>
      <c r="AE3547" s="35"/>
      <c r="AF3547" s="35"/>
      <c r="AG3547" s="35"/>
      <c r="AH3547" s="35"/>
      <c r="AI3547" s="35"/>
      <c r="AJ3547" s="35"/>
      <c r="AK3547" s="35"/>
      <c r="AL3547" s="35"/>
      <c r="AM3547" s="35"/>
      <c r="AN3547" s="35"/>
      <c r="AO3547" s="35"/>
      <c r="AP3547" s="35"/>
      <c r="AQ3547" s="35"/>
      <c r="AR3547" s="35"/>
      <c r="AS3547" s="35"/>
      <c r="AT3547" s="35"/>
      <c r="AU3547" s="35"/>
      <c r="AV3547" s="35"/>
      <c r="AW3547" s="35"/>
      <c r="AX3547" s="35"/>
      <c r="AY3547" s="35"/>
      <c r="AZ3547" s="35"/>
      <c r="BA3547" s="35"/>
      <c r="BB3547" s="22">
        <f t="shared" si="1059"/>
        <v>0</v>
      </c>
      <c r="BC3547" s="23">
        <v>0</v>
      </c>
      <c r="BD3547" s="130">
        <f t="shared" si="1060"/>
        <v>2</v>
      </c>
      <c r="BE3547" s="130">
        <f t="shared" si="1061"/>
        <v>2</v>
      </c>
      <c r="BF3547" s="195">
        <f t="shared" si="1062"/>
        <v>100</v>
      </c>
      <c r="BG3547" s="373">
        <f>BE3547-BD3547</f>
        <v>0</v>
      </c>
    </row>
    <row r="3548" spans="1:59" s="46" customFormat="1" ht="15.95" customHeight="1">
      <c r="A3548" s="176">
        <v>41</v>
      </c>
      <c r="B3548" s="31" t="s">
        <v>1082</v>
      </c>
      <c r="C3548" s="34" t="s">
        <v>4013</v>
      </c>
      <c r="D3548" s="552"/>
      <c r="E3548" s="552"/>
      <c r="F3548" s="552"/>
      <c r="G3548" s="552"/>
      <c r="H3548" s="552"/>
      <c r="I3548" s="552"/>
      <c r="J3548" s="552"/>
      <c r="K3548" s="552"/>
      <c r="L3548" s="552">
        <v>1</v>
      </c>
      <c r="M3548" s="552"/>
      <c r="N3548" s="552"/>
      <c r="O3548" s="552"/>
      <c r="P3548" s="552"/>
      <c r="Q3548" s="552"/>
      <c r="R3548" s="552"/>
      <c r="S3548" s="552"/>
      <c r="T3548" s="552"/>
      <c r="U3548" s="552"/>
      <c r="V3548" s="552"/>
      <c r="W3548" s="552"/>
      <c r="X3548" s="552"/>
      <c r="Y3548" s="552"/>
      <c r="Z3548" s="552"/>
      <c r="AA3548" s="552"/>
      <c r="AB3548" s="22">
        <f t="shared" si="1058"/>
        <v>1</v>
      </c>
      <c r="AC3548" s="23">
        <v>0</v>
      </c>
      <c r="AD3548" s="35"/>
      <c r="AE3548" s="35"/>
      <c r="AF3548" s="35"/>
      <c r="AG3548" s="35"/>
      <c r="AH3548" s="35"/>
      <c r="AI3548" s="35"/>
      <c r="AJ3548" s="35"/>
      <c r="AK3548" s="35"/>
      <c r="AL3548" s="35"/>
      <c r="AM3548" s="35"/>
      <c r="AN3548" s="35"/>
      <c r="AO3548" s="35"/>
      <c r="AP3548" s="35"/>
      <c r="AQ3548" s="35"/>
      <c r="AR3548" s="35"/>
      <c r="AS3548" s="35"/>
      <c r="AT3548" s="35"/>
      <c r="AU3548" s="35"/>
      <c r="AV3548" s="35"/>
      <c r="AW3548" s="35"/>
      <c r="AX3548" s="35"/>
      <c r="AY3548" s="35"/>
      <c r="AZ3548" s="35"/>
      <c r="BA3548" s="35"/>
      <c r="BB3548" s="22">
        <f t="shared" si="1059"/>
        <v>0</v>
      </c>
      <c r="BC3548" s="23">
        <v>0</v>
      </c>
      <c r="BD3548" s="130">
        <f t="shared" si="1060"/>
        <v>1</v>
      </c>
      <c r="BE3548" s="130">
        <f t="shared" si="1061"/>
        <v>0</v>
      </c>
      <c r="BF3548" s="195" t="e">
        <f t="shared" si="1062"/>
        <v>#DIV/0!</v>
      </c>
      <c r="BG3548" s="373"/>
    </row>
    <row r="3549" spans="1:59" s="46" customFormat="1" ht="15.95" customHeight="1">
      <c r="A3549" s="176">
        <v>42</v>
      </c>
      <c r="B3549" s="31" t="s">
        <v>847</v>
      </c>
      <c r="C3549" s="32" t="s">
        <v>848</v>
      </c>
      <c r="D3549" s="231"/>
      <c r="E3549" s="231"/>
      <c r="F3549" s="231"/>
      <c r="G3549" s="231"/>
      <c r="H3549" s="231">
        <v>2</v>
      </c>
      <c r="I3549" s="231"/>
      <c r="J3549" s="231"/>
      <c r="K3549" s="231"/>
      <c r="L3549" s="231"/>
      <c r="M3549" s="231"/>
      <c r="N3549" s="231"/>
      <c r="O3549" s="231"/>
      <c r="P3549" s="231">
        <v>1</v>
      </c>
      <c r="Q3549" s="231"/>
      <c r="R3549" s="231"/>
      <c r="S3549" s="231"/>
      <c r="T3549" s="231"/>
      <c r="U3549" s="231"/>
      <c r="V3549" s="231"/>
      <c r="W3549" s="231"/>
      <c r="X3549" s="231"/>
      <c r="Y3549" s="231"/>
      <c r="Z3549" s="231"/>
      <c r="AA3549" s="231"/>
      <c r="AB3549" s="22">
        <f t="shared" si="1058"/>
        <v>3</v>
      </c>
      <c r="AC3549" s="23">
        <v>0</v>
      </c>
      <c r="AD3549" s="35"/>
      <c r="AE3549" s="35"/>
      <c r="AF3549" s="35"/>
      <c r="AG3549" s="35"/>
      <c r="AH3549" s="35"/>
      <c r="AI3549" s="35"/>
      <c r="AJ3549" s="35"/>
      <c r="AK3549" s="35"/>
      <c r="AL3549" s="35"/>
      <c r="AM3549" s="35"/>
      <c r="AN3549" s="35"/>
      <c r="AO3549" s="35"/>
      <c r="AP3549" s="35"/>
      <c r="AQ3549" s="35"/>
      <c r="AR3549" s="35"/>
      <c r="AS3549" s="35"/>
      <c r="AT3549" s="35"/>
      <c r="AU3549" s="35"/>
      <c r="AV3549" s="35"/>
      <c r="AW3549" s="35"/>
      <c r="AX3549" s="35"/>
      <c r="AY3549" s="35"/>
      <c r="AZ3549" s="35"/>
      <c r="BA3549" s="35"/>
      <c r="BB3549" s="22">
        <f t="shared" si="1059"/>
        <v>0</v>
      </c>
      <c r="BC3549" s="23">
        <v>1</v>
      </c>
      <c r="BD3549" s="130">
        <f t="shared" si="1060"/>
        <v>3</v>
      </c>
      <c r="BE3549" s="130">
        <f t="shared" si="1061"/>
        <v>1</v>
      </c>
      <c r="BF3549" s="195">
        <f t="shared" si="1062"/>
        <v>300</v>
      </c>
      <c r="BG3549" s="373">
        <f>BE3549-BD3549</f>
        <v>-2</v>
      </c>
    </row>
    <row r="3550" spans="1:59" s="46" customFormat="1" ht="15.95" customHeight="1">
      <c r="A3550" s="176">
        <v>43</v>
      </c>
      <c r="B3550" s="31" t="s">
        <v>957</v>
      </c>
      <c r="C3550" s="32" t="s">
        <v>958</v>
      </c>
      <c r="D3550" s="526"/>
      <c r="E3550" s="526"/>
      <c r="F3550" s="526"/>
      <c r="G3550" s="526"/>
      <c r="H3550" s="526"/>
      <c r="I3550" s="526"/>
      <c r="J3550" s="526"/>
      <c r="K3550" s="526"/>
      <c r="L3550" s="526"/>
      <c r="M3550" s="526"/>
      <c r="N3550" s="526"/>
      <c r="O3550" s="526"/>
      <c r="P3550" s="526">
        <v>2</v>
      </c>
      <c r="Q3550" s="526"/>
      <c r="R3550" s="526"/>
      <c r="S3550" s="526"/>
      <c r="T3550" s="526"/>
      <c r="U3550" s="526"/>
      <c r="V3550" s="526"/>
      <c r="W3550" s="526"/>
      <c r="X3550" s="526"/>
      <c r="Y3550" s="526"/>
      <c r="Z3550" s="526"/>
      <c r="AA3550" s="526"/>
      <c r="AB3550" s="22">
        <f t="shared" si="1058"/>
        <v>2</v>
      </c>
      <c r="AC3550" s="23">
        <v>0</v>
      </c>
      <c r="AD3550" s="35"/>
      <c r="AE3550" s="35"/>
      <c r="AF3550" s="35"/>
      <c r="AG3550" s="35"/>
      <c r="AH3550" s="35"/>
      <c r="AI3550" s="35"/>
      <c r="AJ3550" s="35"/>
      <c r="AK3550" s="35"/>
      <c r="AL3550" s="35"/>
      <c r="AM3550" s="35"/>
      <c r="AN3550" s="35"/>
      <c r="AO3550" s="35"/>
      <c r="AP3550" s="35"/>
      <c r="AQ3550" s="35"/>
      <c r="AR3550" s="35"/>
      <c r="AS3550" s="35"/>
      <c r="AT3550" s="35"/>
      <c r="AU3550" s="35"/>
      <c r="AV3550" s="35"/>
      <c r="AW3550" s="35"/>
      <c r="AX3550" s="35"/>
      <c r="AY3550" s="35"/>
      <c r="AZ3550" s="35"/>
      <c r="BA3550" s="35"/>
      <c r="BB3550" s="22">
        <f t="shared" si="1059"/>
        <v>0</v>
      </c>
      <c r="BC3550" s="23">
        <v>0</v>
      </c>
      <c r="BD3550" s="130">
        <f t="shared" si="1060"/>
        <v>2</v>
      </c>
      <c r="BE3550" s="130">
        <f t="shared" si="1061"/>
        <v>0</v>
      </c>
      <c r="BF3550" s="195" t="e">
        <f t="shared" si="1062"/>
        <v>#DIV/0!</v>
      </c>
      <c r="BG3550" s="373"/>
    </row>
    <row r="3551" spans="1:59" s="46" customFormat="1" ht="15.95" customHeight="1">
      <c r="A3551" s="176">
        <v>44</v>
      </c>
      <c r="B3551" s="31" t="s">
        <v>959</v>
      </c>
      <c r="C3551" s="32" t="s">
        <v>960</v>
      </c>
      <c r="D3551" s="336"/>
      <c r="E3551" s="336"/>
      <c r="F3551" s="336"/>
      <c r="G3551" s="336"/>
      <c r="H3551" s="336"/>
      <c r="I3551" s="336"/>
      <c r="J3551" s="336"/>
      <c r="K3551" s="336"/>
      <c r="L3551" s="336"/>
      <c r="M3551" s="336"/>
      <c r="N3551" s="336"/>
      <c r="O3551" s="336"/>
      <c r="P3551" s="336"/>
      <c r="Q3551" s="336"/>
      <c r="R3551" s="336"/>
      <c r="S3551" s="336"/>
      <c r="T3551" s="336"/>
      <c r="U3551" s="336"/>
      <c r="V3551" s="336"/>
      <c r="W3551" s="336"/>
      <c r="X3551" s="336"/>
      <c r="Y3551" s="336"/>
      <c r="Z3551" s="336"/>
      <c r="AA3551" s="336"/>
      <c r="AB3551" s="22">
        <f t="shared" si="1058"/>
        <v>0</v>
      </c>
      <c r="AC3551" s="23">
        <v>2</v>
      </c>
      <c r="AD3551" s="35"/>
      <c r="AE3551" s="35"/>
      <c r="AF3551" s="35"/>
      <c r="AG3551" s="35"/>
      <c r="AH3551" s="35"/>
      <c r="AI3551" s="35"/>
      <c r="AJ3551" s="35"/>
      <c r="AK3551" s="35"/>
      <c r="AL3551" s="35"/>
      <c r="AM3551" s="35"/>
      <c r="AN3551" s="35"/>
      <c r="AO3551" s="35"/>
      <c r="AP3551" s="35"/>
      <c r="AQ3551" s="35"/>
      <c r="AR3551" s="35"/>
      <c r="AS3551" s="35"/>
      <c r="AT3551" s="35"/>
      <c r="AU3551" s="35"/>
      <c r="AV3551" s="35"/>
      <c r="AW3551" s="35"/>
      <c r="AX3551" s="35"/>
      <c r="AY3551" s="35"/>
      <c r="AZ3551" s="35"/>
      <c r="BA3551" s="35"/>
      <c r="BB3551" s="22">
        <f t="shared" si="1059"/>
        <v>0</v>
      </c>
      <c r="BC3551" s="23">
        <v>0</v>
      </c>
      <c r="BD3551" s="130">
        <f t="shared" si="1060"/>
        <v>0</v>
      </c>
      <c r="BE3551" s="130">
        <f t="shared" si="1061"/>
        <v>2</v>
      </c>
      <c r="BF3551" s="195">
        <f t="shared" si="1062"/>
        <v>0</v>
      </c>
      <c r="BG3551" s="373">
        <f>BE3551-BD3551</f>
        <v>2</v>
      </c>
    </row>
    <row r="3552" spans="1:59" s="46" customFormat="1" ht="15.95" customHeight="1">
      <c r="A3552" s="176">
        <v>45</v>
      </c>
      <c r="B3552" s="31" t="s">
        <v>961</v>
      </c>
      <c r="C3552" s="32" t="s">
        <v>1599</v>
      </c>
      <c r="D3552" s="231"/>
      <c r="E3552" s="231"/>
      <c r="F3552" s="231"/>
      <c r="G3552" s="231"/>
      <c r="H3552" s="231">
        <v>1</v>
      </c>
      <c r="I3552" s="231"/>
      <c r="J3552" s="231"/>
      <c r="K3552" s="231"/>
      <c r="L3552" s="231"/>
      <c r="M3552" s="231"/>
      <c r="N3552" s="231"/>
      <c r="O3552" s="231"/>
      <c r="P3552" s="231"/>
      <c r="Q3552" s="231"/>
      <c r="R3552" s="231"/>
      <c r="S3552" s="231"/>
      <c r="T3552" s="231"/>
      <c r="U3552" s="231"/>
      <c r="V3552" s="231"/>
      <c r="W3552" s="231"/>
      <c r="X3552" s="231"/>
      <c r="Y3552" s="231"/>
      <c r="Z3552" s="231"/>
      <c r="AA3552" s="231"/>
      <c r="AB3552" s="22">
        <f t="shared" si="1058"/>
        <v>1</v>
      </c>
      <c r="AC3552" s="23">
        <v>2</v>
      </c>
      <c r="AD3552" s="35"/>
      <c r="AE3552" s="35"/>
      <c r="AF3552" s="35"/>
      <c r="AG3552" s="35"/>
      <c r="AH3552" s="35"/>
      <c r="AI3552" s="35"/>
      <c r="AJ3552" s="35"/>
      <c r="AK3552" s="35"/>
      <c r="AL3552" s="35"/>
      <c r="AM3552" s="35"/>
      <c r="AN3552" s="35"/>
      <c r="AO3552" s="35"/>
      <c r="AP3552" s="35"/>
      <c r="AQ3552" s="35"/>
      <c r="AR3552" s="35"/>
      <c r="AS3552" s="35"/>
      <c r="AT3552" s="35"/>
      <c r="AU3552" s="35"/>
      <c r="AV3552" s="35"/>
      <c r="AW3552" s="35"/>
      <c r="AX3552" s="35"/>
      <c r="AY3552" s="35"/>
      <c r="AZ3552" s="35"/>
      <c r="BA3552" s="35"/>
      <c r="BB3552" s="22">
        <f t="shared" si="1059"/>
        <v>0</v>
      </c>
      <c r="BC3552" s="23">
        <v>0</v>
      </c>
      <c r="BD3552" s="130">
        <f t="shared" si="1060"/>
        <v>1</v>
      </c>
      <c r="BE3552" s="130">
        <f t="shared" si="1061"/>
        <v>2</v>
      </c>
      <c r="BF3552" s="195">
        <f t="shared" si="1062"/>
        <v>50</v>
      </c>
      <c r="BG3552" s="373">
        <f>BE3552-BD3552</f>
        <v>1</v>
      </c>
    </row>
    <row r="3553" spans="1:59" s="46" customFormat="1" ht="15.95" customHeight="1">
      <c r="A3553" s="176">
        <v>46</v>
      </c>
      <c r="B3553" s="31" t="s">
        <v>963</v>
      </c>
      <c r="C3553" s="32" t="s">
        <v>2020</v>
      </c>
      <c r="D3553" s="231"/>
      <c r="E3553" s="231"/>
      <c r="F3553" s="231"/>
      <c r="G3553" s="231"/>
      <c r="H3553" s="231"/>
      <c r="I3553" s="231"/>
      <c r="J3553" s="231"/>
      <c r="K3553" s="231"/>
      <c r="L3553" s="231">
        <v>1</v>
      </c>
      <c r="M3553" s="231"/>
      <c r="N3553" s="231"/>
      <c r="O3553" s="231"/>
      <c r="P3553" s="231"/>
      <c r="Q3553" s="231"/>
      <c r="R3553" s="231"/>
      <c r="S3553" s="231"/>
      <c r="T3553" s="231"/>
      <c r="U3553" s="231"/>
      <c r="V3553" s="231"/>
      <c r="W3553" s="231"/>
      <c r="X3553" s="231"/>
      <c r="Y3553" s="231"/>
      <c r="Z3553" s="231"/>
      <c r="AA3553" s="231"/>
      <c r="AB3553" s="22">
        <f t="shared" si="1058"/>
        <v>1</v>
      </c>
      <c r="AC3553" s="23">
        <v>3</v>
      </c>
      <c r="AD3553" s="35"/>
      <c r="AE3553" s="35"/>
      <c r="AF3553" s="35"/>
      <c r="AG3553" s="35"/>
      <c r="AH3553" s="35"/>
      <c r="AI3553" s="35"/>
      <c r="AJ3553" s="35"/>
      <c r="AK3553" s="35"/>
      <c r="AL3553" s="35"/>
      <c r="AM3553" s="35"/>
      <c r="AN3553" s="35"/>
      <c r="AO3553" s="35"/>
      <c r="AP3553" s="35"/>
      <c r="AQ3553" s="35"/>
      <c r="AR3553" s="35"/>
      <c r="AS3553" s="35"/>
      <c r="AT3553" s="35"/>
      <c r="AU3553" s="35"/>
      <c r="AV3553" s="35"/>
      <c r="AW3553" s="35"/>
      <c r="AX3553" s="35"/>
      <c r="AY3553" s="35"/>
      <c r="AZ3553" s="35"/>
      <c r="BA3553" s="35"/>
      <c r="BB3553" s="22">
        <f t="shared" si="1059"/>
        <v>0</v>
      </c>
      <c r="BC3553" s="23">
        <v>0</v>
      </c>
      <c r="BD3553" s="130">
        <f t="shared" si="1060"/>
        <v>1</v>
      </c>
      <c r="BE3553" s="130">
        <f t="shared" si="1061"/>
        <v>3</v>
      </c>
      <c r="BF3553" s="195">
        <f t="shared" si="1062"/>
        <v>33.333333333333329</v>
      </c>
      <c r="BG3553" s="373">
        <f>BE3553-BD3553</f>
        <v>2</v>
      </c>
    </row>
    <row r="3554" spans="1:59" s="46" customFormat="1" ht="15.95" customHeight="1">
      <c r="A3554" s="176">
        <v>47</v>
      </c>
      <c r="B3554" s="31" t="s">
        <v>849</v>
      </c>
      <c r="C3554" s="34" t="s">
        <v>850</v>
      </c>
      <c r="D3554" s="275"/>
      <c r="E3554" s="275"/>
      <c r="F3554" s="275"/>
      <c r="G3554" s="275"/>
      <c r="H3554" s="275"/>
      <c r="I3554" s="275"/>
      <c r="J3554" s="275"/>
      <c r="K3554" s="275"/>
      <c r="L3554" s="275"/>
      <c r="M3554" s="275"/>
      <c r="N3554" s="275"/>
      <c r="O3554" s="275"/>
      <c r="P3554" s="275"/>
      <c r="Q3554" s="275"/>
      <c r="R3554" s="275"/>
      <c r="S3554" s="275"/>
      <c r="T3554" s="275"/>
      <c r="U3554" s="275"/>
      <c r="V3554" s="275"/>
      <c r="W3554" s="275"/>
      <c r="X3554" s="275"/>
      <c r="Y3554" s="275"/>
      <c r="Z3554" s="275"/>
      <c r="AA3554" s="275"/>
      <c r="AB3554" s="22">
        <f t="shared" si="1058"/>
        <v>0</v>
      </c>
      <c r="AC3554" s="23">
        <v>1</v>
      </c>
      <c r="AD3554" s="35"/>
      <c r="AE3554" s="35"/>
      <c r="AF3554" s="35"/>
      <c r="AG3554" s="35"/>
      <c r="AH3554" s="35"/>
      <c r="AI3554" s="35"/>
      <c r="AJ3554" s="35"/>
      <c r="AK3554" s="35"/>
      <c r="AL3554" s="35"/>
      <c r="AM3554" s="35"/>
      <c r="AN3554" s="35"/>
      <c r="AO3554" s="35"/>
      <c r="AP3554" s="35"/>
      <c r="AQ3554" s="35"/>
      <c r="AR3554" s="35"/>
      <c r="AS3554" s="35"/>
      <c r="AT3554" s="35"/>
      <c r="AU3554" s="35"/>
      <c r="AV3554" s="35"/>
      <c r="AW3554" s="35"/>
      <c r="AX3554" s="35"/>
      <c r="AY3554" s="35"/>
      <c r="AZ3554" s="35"/>
      <c r="BA3554" s="35"/>
      <c r="BB3554" s="22">
        <f t="shared" si="1059"/>
        <v>0</v>
      </c>
      <c r="BC3554" s="23">
        <v>0</v>
      </c>
      <c r="BD3554" s="130">
        <f t="shared" si="1060"/>
        <v>0</v>
      </c>
      <c r="BE3554" s="130">
        <f t="shared" si="1061"/>
        <v>1</v>
      </c>
      <c r="BF3554" s="195">
        <f t="shared" si="1062"/>
        <v>0</v>
      </c>
      <c r="BG3554" s="373">
        <f>BE3554-BD3554</f>
        <v>1</v>
      </c>
    </row>
    <row r="3555" spans="1:59" s="46" customFormat="1" ht="15.95" customHeight="1">
      <c r="A3555" s="176">
        <v>48</v>
      </c>
      <c r="B3555" s="31" t="s">
        <v>1120</v>
      </c>
      <c r="C3555" s="32" t="s">
        <v>4012</v>
      </c>
      <c r="D3555" s="552"/>
      <c r="E3555" s="552"/>
      <c r="F3555" s="552"/>
      <c r="G3555" s="552"/>
      <c r="H3555" s="552"/>
      <c r="I3555" s="552"/>
      <c r="J3555" s="552"/>
      <c r="K3555" s="552"/>
      <c r="L3555" s="552"/>
      <c r="M3555" s="552"/>
      <c r="N3555" s="552"/>
      <c r="O3555" s="552"/>
      <c r="P3555" s="552">
        <v>5</v>
      </c>
      <c r="Q3555" s="552"/>
      <c r="R3555" s="552"/>
      <c r="S3555" s="552"/>
      <c r="T3555" s="552"/>
      <c r="U3555" s="552"/>
      <c r="V3555" s="552"/>
      <c r="W3555" s="552"/>
      <c r="X3555" s="552"/>
      <c r="Y3555" s="552"/>
      <c r="Z3555" s="552"/>
      <c r="AA3555" s="552"/>
      <c r="AB3555" s="22">
        <f t="shared" si="1058"/>
        <v>5</v>
      </c>
      <c r="AC3555" s="23">
        <v>0</v>
      </c>
      <c r="AD3555" s="35"/>
      <c r="AE3555" s="35"/>
      <c r="AF3555" s="35"/>
      <c r="AG3555" s="35"/>
      <c r="AH3555" s="35"/>
      <c r="AI3555" s="35"/>
      <c r="AJ3555" s="35"/>
      <c r="AK3555" s="35"/>
      <c r="AL3555" s="35">
        <v>1</v>
      </c>
      <c r="AM3555" s="35"/>
      <c r="AN3555" s="35"/>
      <c r="AO3555" s="35"/>
      <c r="AP3555" s="35"/>
      <c r="AQ3555" s="35"/>
      <c r="AR3555" s="35"/>
      <c r="AS3555" s="35"/>
      <c r="AT3555" s="35"/>
      <c r="AU3555" s="35"/>
      <c r="AV3555" s="35"/>
      <c r="AW3555" s="35"/>
      <c r="AX3555" s="35"/>
      <c r="AY3555" s="35"/>
      <c r="AZ3555" s="35"/>
      <c r="BA3555" s="35"/>
      <c r="BB3555" s="22">
        <f t="shared" si="1059"/>
        <v>1</v>
      </c>
      <c r="BC3555" s="23">
        <v>0</v>
      </c>
      <c r="BD3555" s="130">
        <f t="shared" si="1060"/>
        <v>6</v>
      </c>
      <c r="BE3555" s="130">
        <f t="shared" si="1061"/>
        <v>0</v>
      </c>
      <c r="BF3555" s="195" t="e">
        <f t="shared" si="1062"/>
        <v>#DIV/0!</v>
      </c>
      <c r="BG3555" s="373"/>
    </row>
    <row r="3556" spans="1:59" s="46" customFormat="1" ht="15.95" customHeight="1">
      <c r="A3556" s="176">
        <v>49</v>
      </c>
      <c r="B3556" s="31" t="s">
        <v>854</v>
      </c>
      <c r="C3556" s="34" t="s">
        <v>1514</v>
      </c>
      <c r="D3556" s="231"/>
      <c r="E3556" s="231"/>
      <c r="F3556" s="231"/>
      <c r="G3556" s="231"/>
      <c r="H3556" s="231">
        <f>37+53+61</f>
        <v>151</v>
      </c>
      <c r="I3556" s="231"/>
      <c r="J3556" s="231"/>
      <c r="K3556" s="231"/>
      <c r="L3556" s="231">
        <f>37+142</f>
        <v>179</v>
      </c>
      <c r="M3556" s="231"/>
      <c r="N3556" s="231"/>
      <c r="O3556" s="231"/>
      <c r="P3556" s="231">
        <f>53+220</f>
        <v>273</v>
      </c>
      <c r="Q3556" s="231"/>
      <c r="R3556" s="231"/>
      <c r="S3556" s="231"/>
      <c r="T3556" s="231"/>
      <c r="U3556" s="231"/>
      <c r="V3556" s="231"/>
      <c r="W3556" s="231"/>
      <c r="X3556" s="231"/>
      <c r="Y3556" s="231"/>
      <c r="Z3556" s="231"/>
      <c r="AA3556" s="231"/>
      <c r="AB3556" s="22">
        <f t="shared" si="1058"/>
        <v>603</v>
      </c>
      <c r="AC3556" s="23">
        <v>846</v>
      </c>
      <c r="AD3556" s="35"/>
      <c r="AE3556" s="35"/>
      <c r="AF3556" s="35"/>
      <c r="AG3556" s="35"/>
      <c r="AH3556" s="35"/>
      <c r="AI3556" s="35"/>
      <c r="AJ3556" s="35"/>
      <c r="AK3556" s="35"/>
      <c r="AL3556" s="35"/>
      <c r="AM3556" s="35"/>
      <c r="AN3556" s="35"/>
      <c r="AO3556" s="35"/>
      <c r="AP3556" s="35"/>
      <c r="AQ3556" s="35"/>
      <c r="AR3556" s="35"/>
      <c r="AS3556" s="35"/>
      <c r="AT3556" s="35"/>
      <c r="AU3556" s="35"/>
      <c r="AV3556" s="35"/>
      <c r="AW3556" s="35"/>
      <c r="AX3556" s="35"/>
      <c r="AY3556" s="35"/>
      <c r="AZ3556" s="35"/>
      <c r="BA3556" s="35"/>
      <c r="BB3556" s="22">
        <f t="shared" si="1059"/>
        <v>0</v>
      </c>
      <c r="BC3556" s="23">
        <v>1</v>
      </c>
      <c r="BD3556" s="130">
        <f t="shared" si="1060"/>
        <v>603</v>
      </c>
      <c r="BE3556" s="130">
        <f t="shared" si="1061"/>
        <v>847</v>
      </c>
      <c r="BF3556" s="195">
        <f t="shared" si="1062"/>
        <v>71.192443919716652</v>
      </c>
      <c r="BG3556" s="373">
        <f t="shared" ref="BG3556:BG3573" si="1063">BE3556-BD3556</f>
        <v>244</v>
      </c>
    </row>
    <row r="3557" spans="1:59" s="46" customFormat="1" ht="15.95" customHeight="1">
      <c r="A3557" s="176">
        <v>50</v>
      </c>
      <c r="B3557" s="31" t="s">
        <v>974</v>
      </c>
      <c r="C3557" s="34" t="s">
        <v>1020</v>
      </c>
      <c r="D3557" s="231"/>
      <c r="E3557" s="231"/>
      <c r="F3557" s="231"/>
      <c r="G3557" s="231"/>
      <c r="H3557" s="231"/>
      <c r="I3557" s="231"/>
      <c r="J3557" s="231"/>
      <c r="K3557" s="231"/>
      <c r="L3557" s="231"/>
      <c r="M3557" s="231"/>
      <c r="N3557" s="231"/>
      <c r="O3557" s="231"/>
      <c r="P3557" s="231"/>
      <c r="Q3557" s="231"/>
      <c r="R3557" s="231"/>
      <c r="S3557" s="231"/>
      <c r="T3557" s="231"/>
      <c r="U3557" s="231"/>
      <c r="V3557" s="231"/>
      <c r="W3557" s="231"/>
      <c r="X3557" s="231"/>
      <c r="Y3557" s="231"/>
      <c r="Z3557" s="231"/>
      <c r="AA3557" s="231"/>
      <c r="AB3557" s="22">
        <f t="shared" si="1058"/>
        <v>0</v>
      </c>
      <c r="AC3557" s="23">
        <v>4</v>
      </c>
      <c r="AD3557" s="35"/>
      <c r="AE3557" s="35"/>
      <c r="AF3557" s="35"/>
      <c r="AG3557" s="35"/>
      <c r="AH3557" s="35"/>
      <c r="AI3557" s="35"/>
      <c r="AJ3557" s="35"/>
      <c r="AK3557" s="35"/>
      <c r="AL3557" s="35"/>
      <c r="AM3557" s="35"/>
      <c r="AN3557" s="35"/>
      <c r="AO3557" s="35"/>
      <c r="AP3557" s="35"/>
      <c r="AQ3557" s="35"/>
      <c r="AR3557" s="35"/>
      <c r="AS3557" s="35"/>
      <c r="AT3557" s="35"/>
      <c r="AU3557" s="35"/>
      <c r="AV3557" s="35"/>
      <c r="AW3557" s="35"/>
      <c r="AX3557" s="35"/>
      <c r="AY3557" s="35"/>
      <c r="AZ3557" s="35"/>
      <c r="BA3557" s="35"/>
      <c r="BB3557" s="22">
        <f t="shared" si="1059"/>
        <v>0</v>
      </c>
      <c r="BC3557" s="23">
        <v>0</v>
      </c>
      <c r="BD3557" s="130">
        <f t="shared" si="1060"/>
        <v>0</v>
      </c>
      <c r="BE3557" s="130">
        <f t="shared" si="1061"/>
        <v>4</v>
      </c>
      <c r="BF3557" s="195">
        <f t="shared" si="1062"/>
        <v>0</v>
      </c>
      <c r="BG3557" s="373">
        <f t="shared" si="1063"/>
        <v>4</v>
      </c>
    </row>
    <row r="3558" spans="1:59" s="46" customFormat="1" ht="15.95" customHeight="1">
      <c r="A3558" s="176">
        <v>51</v>
      </c>
      <c r="B3558" s="31" t="s">
        <v>1022</v>
      </c>
      <c r="C3558" s="34" t="s">
        <v>2051</v>
      </c>
      <c r="D3558" s="231"/>
      <c r="E3558" s="231"/>
      <c r="F3558" s="231"/>
      <c r="G3558" s="231"/>
      <c r="H3558" s="231"/>
      <c r="I3558" s="231"/>
      <c r="J3558" s="231"/>
      <c r="K3558" s="231"/>
      <c r="L3558" s="231"/>
      <c r="M3558" s="231"/>
      <c r="N3558" s="231"/>
      <c r="O3558" s="231"/>
      <c r="P3558" s="231">
        <v>105</v>
      </c>
      <c r="Q3558" s="231"/>
      <c r="R3558" s="231"/>
      <c r="S3558" s="231"/>
      <c r="T3558" s="231"/>
      <c r="U3558" s="231"/>
      <c r="V3558" s="231"/>
      <c r="W3558" s="231"/>
      <c r="X3558" s="231"/>
      <c r="Y3558" s="231"/>
      <c r="Z3558" s="231"/>
      <c r="AA3558" s="231"/>
      <c r="AB3558" s="22">
        <f t="shared" si="1058"/>
        <v>105</v>
      </c>
      <c r="AC3558" s="23">
        <v>64</v>
      </c>
      <c r="AD3558" s="35"/>
      <c r="AE3558" s="35"/>
      <c r="AF3558" s="35"/>
      <c r="AG3558" s="35"/>
      <c r="AH3558" s="35"/>
      <c r="AI3558" s="35"/>
      <c r="AJ3558" s="35"/>
      <c r="AK3558" s="35"/>
      <c r="AL3558" s="35"/>
      <c r="AM3558" s="35"/>
      <c r="AN3558" s="35"/>
      <c r="AO3558" s="35"/>
      <c r="AP3558" s="35"/>
      <c r="AQ3558" s="35"/>
      <c r="AR3558" s="35"/>
      <c r="AS3558" s="35"/>
      <c r="AT3558" s="35"/>
      <c r="AU3558" s="35"/>
      <c r="AV3558" s="35"/>
      <c r="AW3558" s="35"/>
      <c r="AX3558" s="35"/>
      <c r="AY3558" s="35"/>
      <c r="AZ3558" s="35"/>
      <c r="BA3558" s="35"/>
      <c r="BB3558" s="22">
        <f t="shared" si="1059"/>
        <v>0</v>
      </c>
      <c r="BC3558" s="23">
        <v>0</v>
      </c>
      <c r="BD3558" s="130">
        <f t="shared" si="1060"/>
        <v>105</v>
      </c>
      <c r="BE3558" s="130">
        <f t="shared" si="1061"/>
        <v>64</v>
      </c>
      <c r="BF3558" s="195">
        <f t="shared" si="1062"/>
        <v>164.0625</v>
      </c>
      <c r="BG3558" s="373">
        <f t="shared" si="1063"/>
        <v>-41</v>
      </c>
    </row>
    <row r="3559" spans="1:59" s="46" customFormat="1" ht="15.95" customHeight="1">
      <c r="A3559" s="176">
        <v>52</v>
      </c>
      <c r="B3559" s="31" t="s">
        <v>1059</v>
      </c>
      <c r="C3559" s="34" t="s">
        <v>2052</v>
      </c>
      <c r="D3559" s="231"/>
      <c r="E3559" s="231"/>
      <c r="F3559" s="231"/>
      <c r="G3559" s="231"/>
      <c r="H3559" s="231">
        <v>1</v>
      </c>
      <c r="I3559" s="231"/>
      <c r="J3559" s="231"/>
      <c r="K3559" s="231"/>
      <c r="L3559" s="231">
        <v>1</v>
      </c>
      <c r="M3559" s="231"/>
      <c r="N3559" s="231"/>
      <c r="O3559" s="231"/>
      <c r="P3559" s="231">
        <f>4+1</f>
        <v>5</v>
      </c>
      <c r="Q3559" s="231"/>
      <c r="R3559" s="231"/>
      <c r="S3559" s="231"/>
      <c r="T3559" s="231"/>
      <c r="U3559" s="231"/>
      <c r="V3559" s="231"/>
      <c r="W3559" s="231"/>
      <c r="X3559" s="231"/>
      <c r="Y3559" s="231"/>
      <c r="Z3559" s="231"/>
      <c r="AA3559" s="231"/>
      <c r="AB3559" s="22">
        <f t="shared" si="1058"/>
        <v>7</v>
      </c>
      <c r="AC3559" s="23">
        <v>115</v>
      </c>
      <c r="AD3559" s="35"/>
      <c r="AE3559" s="35"/>
      <c r="AF3559" s="35"/>
      <c r="AG3559" s="35"/>
      <c r="AH3559" s="35"/>
      <c r="AI3559" s="35"/>
      <c r="AJ3559" s="35"/>
      <c r="AK3559" s="35"/>
      <c r="AL3559" s="35"/>
      <c r="AM3559" s="35"/>
      <c r="AN3559" s="35"/>
      <c r="AO3559" s="35"/>
      <c r="AP3559" s="35"/>
      <c r="AQ3559" s="35"/>
      <c r="AR3559" s="35"/>
      <c r="AS3559" s="35"/>
      <c r="AT3559" s="35"/>
      <c r="AU3559" s="35"/>
      <c r="AV3559" s="35"/>
      <c r="AW3559" s="35"/>
      <c r="AX3559" s="35"/>
      <c r="AY3559" s="35"/>
      <c r="AZ3559" s="35"/>
      <c r="BA3559" s="35"/>
      <c r="BB3559" s="22">
        <f t="shared" si="1059"/>
        <v>0</v>
      </c>
      <c r="BC3559" s="23">
        <v>0</v>
      </c>
      <c r="BD3559" s="130">
        <f t="shared" si="1060"/>
        <v>7</v>
      </c>
      <c r="BE3559" s="130">
        <f t="shared" si="1061"/>
        <v>115</v>
      </c>
      <c r="BF3559" s="195">
        <f t="shared" si="1062"/>
        <v>6.0869565217391308</v>
      </c>
      <c r="BG3559" s="373">
        <f t="shared" si="1063"/>
        <v>108</v>
      </c>
    </row>
    <row r="3560" spans="1:59" s="46" customFormat="1" ht="15.95" customHeight="1">
      <c r="A3560" s="176">
        <v>53</v>
      </c>
      <c r="B3560" s="31" t="s">
        <v>1209</v>
      </c>
      <c r="C3560" s="34" t="s">
        <v>1645</v>
      </c>
      <c r="D3560" s="231"/>
      <c r="E3560" s="231"/>
      <c r="F3560" s="231"/>
      <c r="G3560" s="231"/>
      <c r="H3560" s="231"/>
      <c r="I3560" s="231"/>
      <c r="J3560" s="231"/>
      <c r="K3560" s="231"/>
      <c r="L3560" s="231"/>
      <c r="M3560" s="231"/>
      <c r="N3560" s="231"/>
      <c r="O3560" s="231"/>
      <c r="P3560" s="231"/>
      <c r="Q3560" s="231"/>
      <c r="R3560" s="231"/>
      <c r="S3560" s="231"/>
      <c r="T3560" s="231"/>
      <c r="U3560" s="231"/>
      <c r="V3560" s="231"/>
      <c r="W3560" s="231"/>
      <c r="X3560" s="231"/>
      <c r="Y3560" s="231"/>
      <c r="Z3560" s="231"/>
      <c r="AA3560" s="231"/>
      <c r="AB3560" s="22">
        <f t="shared" si="1058"/>
        <v>0</v>
      </c>
      <c r="AC3560" s="23">
        <v>146</v>
      </c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22">
        <f t="shared" si="1059"/>
        <v>0</v>
      </c>
      <c r="BC3560" s="23">
        <v>0</v>
      </c>
      <c r="BD3560" s="130">
        <f t="shared" si="1060"/>
        <v>0</v>
      </c>
      <c r="BE3560" s="130">
        <f t="shared" si="1061"/>
        <v>146</v>
      </c>
      <c r="BF3560" s="195">
        <f t="shared" si="1062"/>
        <v>0</v>
      </c>
      <c r="BG3560" s="373">
        <f t="shared" si="1063"/>
        <v>146</v>
      </c>
    </row>
    <row r="3561" spans="1:59" s="46" customFormat="1" ht="15.95" customHeight="1">
      <c r="A3561" s="176">
        <v>54</v>
      </c>
      <c r="B3561" s="31" t="s">
        <v>858</v>
      </c>
      <c r="C3561" s="32" t="s">
        <v>1671</v>
      </c>
      <c r="D3561" s="231"/>
      <c r="E3561" s="231"/>
      <c r="F3561" s="231"/>
      <c r="G3561" s="231"/>
      <c r="H3561" s="231">
        <f>57+265</f>
        <v>322</v>
      </c>
      <c r="I3561" s="231"/>
      <c r="J3561" s="231"/>
      <c r="K3561" s="231"/>
      <c r="L3561" s="231">
        <f>34+566</f>
        <v>600</v>
      </c>
      <c r="M3561" s="231"/>
      <c r="N3561" s="231"/>
      <c r="O3561" s="231"/>
      <c r="P3561" s="231">
        <f>12+764</f>
        <v>776</v>
      </c>
      <c r="Q3561" s="231"/>
      <c r="R3561" s="231"/>
      <c r="S3561" s="231"/>
      <c r="T3561" s="231"/>
      <c r="U3561" s="231"/>
      <c r="V3561" s="231"/>
      <c r="W3561" s="231"/>
      <c r="X3561" s="231"/>
      <c r="Y3561" s="231"/>
      <c r="Z3561" s="231"/>
      <c r="AA3561" s="231"/>
      <c r="AB3561" s="22">
        <f t="shared" si="1058"/>
        <v>1698</v>
      </c>
      <c r="AC3561" s="23">
        <v>3275</v>
      </c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22">
        <f t="shared" si="1059"/>
        <v>0</v>
      </c>
      <c r="BC3561" s="23">
        <v>0</v>
      </c>
      <c r="BD3561" s="130">
        <f t="shared" si="1060"/>
        <v>1698</v>
      </c>
      <c r="BE3561" s="130">
        <f t="shared" si="1061"/>
        <v>3275</v>
      </c>
      <c r="BF3561" s="195">
        <f t="shared" si="1062"/>
        <v>51.847328244274806</v>
      </c>
      <c r="BG3561" s="373">
        <f t="shared" si="1063"/>
        <v>1577</v>
      </c>
    </row>
    <row r="3562" spans="1:59" s="46" customFormat="1" ht="15.95" customHeight="1">
      <c r="A3562" s="176">
        <v>55</v>
      </c>
      <c r="B3562" s="31" t="s">
        <v>860</v>
      </c>
      <c r="C3562" s="34" t="s">
        <v>1646</v>
      </c>
      <c r="D3562" s="231"/>
      <c r="E3562" s="231"/>
      <c r="F3562" s="231"/>
      <c r="G3562" s="231"/>
      <c r="H3562" s="231">
        <f>192+230+1</f>
        <v>423</v>
      </c>
      <c r="I3562" s="231"/>
      <c r="J3562" s="231"/>
      <c r="K3562" s="231"/>
      <c r="L3562" s="231">
        <f>80+630</f>
        <v>710</v>
      </c>
      <c r="M3562" s="231"/>
      <c r="N3562" s="231"/>
      <c r="O3562" s="231"/>
      <c r="P3562" s="231">
        <f>1+735+946</f>
        <v>1682</v>
      </c>
      <c r="Q3562" s="231"/>
      <c r="R3562" s="231"/>
      <c r="S3562" s="231"/>
      <c r="T3562" s="231"/>
      <c r="U3562" s="231"/>
      <c r="V3562" s="231"/>
      <c r="W3562" s="231"/>
      <c r="X3562" s="231"/>
      <c r="Y3562" s="231"/>
      <c r="Z3562" s="231"/>
      <c r="AA3562" s="231"/>
      <c r="AB3562" s="22">
        <f t="shared" si="1058"/>
        <v>2815</v>
      </c>
      <c r="AC3562" s="23">
        <v>3234</v>
      </c>
      <c r="AD3562" s="35"/>
      <c r="AE3562" s="35"/>
      <c r="AF3562" s="35"/>
      <c r="AG3562" s="35"/>
      <c r="AH3562" s="35"/>
      <c r="AI3562" s="35"/>
      <c r="AJ3562" s="35"/>
      <c r="AK3562" s="35"/>
      <c r="AL3562" s="35"/>
      <c r="AM3562" s="35"/>
      <c r="AN3562" s="35"/>
      <c r="AO3562" s="35"/>
      <c r="AP3562" s="35"/>
      <c r="AQ3562" s="35"/>
      <c r="AR3562" s="35"/>
      <c r="AS3562" s="35"/>
      <c r="AT3562" s="35"/>
      <c r="AU3562" s="35"/>
      <c r="AV3562" s="35"/>
      <c r="AW3562" s="35"/>
      <c r="AX3562" s="35"/>
      <c r="AY3562" s="35"/>
      <c r="AZ3562" s="35"/>
      <c r="BA3562" s="35"/>
      <c r="BB3562" s="22">
        <f t="shared" si="1059"/>
        <v>0</v>
      </c>
      <c r="BC3562" s="23">
        <v>1</v>
      </c>
      <c r="BD3562" s="130">
        <f t="shared" si="1060"/>
        <v>2815</v>
      </c>
      <c r="BE3562" s="130">
        <f t="shared" si="1061"/>
        <v>3235</v>
      </c>
      <c r="BF3562" s="195">
        <f t="shared" si="1062"/>
        <v>87.017001545595051</v>
      </c>
      <c r="BG3562" s="373">
        <f t="shared" si="1063"/>
        <v>420</v>
      </c>
    </row>
    <row r="3563" spans="1:59" s="46" customFormat="1" ht="15.95" customHeight="1">
      <c r="A3563" s="176">
        <v>56</v>
      </c>
      <c r="B3563" s="31" t="s">
        <v>1026</v>
      </c>
      <c r="C3563" s="34" t="s">
        <v>1976</v>
      </c>
      <c r="D3563" s="231"/>
      <c r="E3563" s="231"/>
      <c r="F3563" s="231"/>
      <c r="G3563" s="231"/>
      <c r="H3563" s="231"/>
      <c r="I3563" s="231"/>
      <c r="J3563" s="231"/>
      <c r="K3563" s="231"/>
      <c r="L3563" s="231"/>
      <c r="M3563" s="231"/>
      <c r="N3563" s="231"/>
      <c r="O3563" s="231"/>
      <c r="P3563" s="231"/>
      <c r="Q3563" s="231"/>
      <c r="R3563" s="231"/>
      <c r="S3563" s="231"/>
      <c r="T3563" s="231"/>
      <c r="U3563" s="231"/>
      <c r="V3563" s="231"/>
      <c r="W3563" s="231"/>
      <c r="X3563" s="231"/>
      <c r="Y3563" s="231"/>
      <c r="Z3563" s="231"/>
      <c r="AA3563" s="231"/>
      <c r="AB3563" s="22">
        <f t="shared" si="1058"/>
        <v>0</v>
      </c>
      <c r="AC3563" s="23">
        <v>2</v>
      </c>
      <c r="AD3563" s="35"/>
      <c r="AE3563" s="35"/>
      <c r="AF3563" s="35"/>
      <c r="AG3563" s="35"/>
      <c r="AH3563" s="35"/>
      <c r="AI3563" s="35"/>
      <c r="AJ3563" s="35"/>
      <c r="AK3563" s="35"/>
      <c r="AL3563" s="35"/>
      <c r="AM3563" s="35"/>
      <c r="AN3563" s="35"/>
      <c r="AO3563" s="35"/>
      <c r="AP3563" s="35"/>
      <c r="AQ3563" s="35"/>
      <c r="AR3563" s="35"/>
      <c r="AS3563" s="35"/>
      <c r="AT3563" s="35"/>
      <c r="AU3563" s="35"/>
      <c r="AV3563" s="35"/>
      <c r="AW3563" s="35"/>
      <c r="AX3563" s="35"/>
      <c r="AY3563" s="35"/>
      <c r="AZ3563" s="35"/>
      <c r="BA3563" s="35"/>
      <c r="BB3563" s="22">
        <f t="shared" si="1059"/>
        <v>0</v>
      </c>
      <c r="BC3563" s="23">
        <v>0</v>
      </c>
      <c r="BD3563" s="130">
        <f t="shared" si="1060"/>
        <v>0</v>
      </c>
      <c r="BE3563" s="130">
        <f t="shared" si="1061"/>
        <v>2</v>
      </c>
      <c r="BF3563" s="195">
        <f t="shared" si="1062"/>
        <v>0</v>
      </c>
      <c r="BG3563" s="373">
        <f t="shared" si="1063"/>
        <v>2</v>
      </c>
    </row>
    <row r="3564" spans="1:59" s="46" customFormat="1" ht="15.95" customHeight="1">
      <c r="A3564" s="176">
        <v>57</v>
      </c>
      <c r="B3564" s="31" t="s">
        <v>862</v>
      </c>
      <c r="C3564" s="34" t="s">
        <v>2053</v>
      </c>
      <c r="D3564" s="231"/>
      <c r="E3564" s="231"/>
      <c r="F3564" s="231"/>
      <c r="G3564" s="231"/>
      <c r="H3564" s="231">
        <v>20</v>
      </c>
      <c r="I3564" s="231"/>
      <c r="J3564" s="231"/>
      <c r="K3564" s="231"/>
      <c r="L3564" s="231">
        <v>48</v>
      </c>
      <c r="M3564" s="231"/>
      <c r="N3564" s="231"/>
      <c r="O3564" s="231"/>
      <c r="P3564" s="231">
        <f>3+95</f>
        <v>98</v>
      </c>
      <c r="Q3564" s="231"/>
      <c r="R3564" s="231"/>
      <c r="S3564" s="231"/>
      <c r="T3564" s="231"/>
      <c r="U3564" s="231"/>
      <c r="V3564" s="231"/>
      <c r="W3564" s="231"/>
      <c r="X3564" s="231"/>
      <c r="Y3564" s="231"/>
      <c r="Z3564" s="231"/>
      <c r="AA3564" s="231"/>
      <c r="AB3564" s="22">
        <f t="shared" si="1058"/>
        <v>166</v>
      </c>
      <c r="AC3564" s="23">
        <v>23</v>
      </c>
      <c r="AD3564" s="35"/>
      <c r="AE3564" s="35"/>
      <c r="AF3564" s="35"/>
      <c r="AG3564" s="35"/>
      <c r="AH3564" s="35"/>
      <c r="AI3564" s="35"/>
      <c r="AJ3564" s="35"/>
      <c r="AK3564" s="35"/>
      <c r="AL3564" s="35"/>
      <c r="AM3564" s="35"/>
      <c r="AN3564" s="35"/>
      <c r="AO3564" s="35"/>
      <c r="AP3564" s="35"/>
      <c r="AQ3564" s="35"/>
      <c r="AR3564" s="35"/>
      <c r="AS3564" s="35"/>
      <c r="AT3564" s="35"/>
      <c r="AU3564" s="35"/>
      <c r="AV3564" s="35"/>
      <c r="AW3564" s="35"/>
      <c r="AX3564" s="35"/>
      <c r="AY3564" s="35"/>
      <c r="AZ3564" s="35"/>
      <c r="BA3564" s="35"/>
      <c r="BB3564" s="22">
        <f t="shared" si="1059"/>
        <v>0</v>
      </c>
      <c r="BC3564" s="23">
        <v>0</v>
      </c>
      <c r="BD3564" s="130">
        <f t="shared" si="1060"/>
        <v>166</v>
      </c>
      <c r="BE3564" s="130">
        <f t="shared" si="1061"/>
        <v>23</v>
      </c>
      <c r="BF3564" s="195">
        <f t="shared" si="1062"/>
        <v>721.73913043478262</v>
      </c>
      <c r="BG3564" s="373">
        <f t="shared" si="1063"/>
        <v>-143</v>
      </c>
    </row>
    <row r="3565" spans="1:59" s="46" customFormat="1" ht="15.95" customHeight="1">
      <c r="A3565" s="176">
        <v>58</v>
      </c>
      <c r="B3565" s="31" t="s">
        <v>864</v>
      </c>
      <c r="C3565" s="34" t="s">
        <v>2054</v>
      </c>
      <c r="D3565" s="231"/>
      <c r="E3565" s="231"/>
      <c r="F3565" s="231"/>
      <c r="G3565" s="231"/>
      <c r="H3565" s="231">
        <f>3+16</f>
        <v>19</v>
      </c>
      <c r="I3565" s="231"/>
      <c r="J3565" s="231"/>
      <c r="K3565" s="231"/>
      <c r="L3565" s="231">
        <f>3+29</f>
        <v>32</v>
      </c>
      <c r="M3565" s="231"/>
      <c r="N3565" s="231"/>
      <c r="O3565" s="231"/>
      <c r="P3565" s="231">
        <f>13+93</f>
        <v>106</v>
      </c>
      <c r="Q3565" s="231"/>
      <c r="R3565" s="231"/>
      <c r="S3565" s="231"/>
      <c r="T3565" s="231"/>
      <c r="U3565" s="231"/>
      <c r="V3565" s="231"/>
      <c r="W3565" s="231"/>
      <c r="X3565" s="231"/>
      <c r="Y3565" s="231"/>
      <c r="Z3565" s="231"/>
      <c r="AA3565" s="231"/>
      <c r="AB3565" s="22">
        <f t="shared" si="1058"/>
        <v>157</v>
      </c>
      <c r="AC3565" s="23">
        <v>131</v>
      </c>
      <c r="AD3565" s="35"/>
      <c r="AE3565" s="35"/>
      <c r="AF3565" s="35"/>
      <c r="AG3565" s="35"/>
      <c r="AH3565" s="35"/>
      <c r="AI3565" s="35"/>
      <c r="AJ3565" s="35"/>
      <c r="AK3565" s="35"/>
      <c r="AL3565" s="35"/>
      <c r="AM3565" s="35"/>
      <c r="AN3565" s="35"/>
      <c r="AO3565" s="35"/>
      <c r="AP3565" s="35"/>
      <c r="AQ3565" s="35"/>
      <c r="AR3565" s="35"/>
      <c r="AS3565" s="35"/>
      <c r="AT3565" s="35"/>
      <c r="AU3565" s="35"/>
      <c r="AV3565" s="35"/>
      <c r="AW3565" s="35"/>
      <c r="AX3565" s="35"/>
      <c r="AY3565" s="35"/>
      <c r="AZ3565" s="35"/>
      <c r="BA3565" s="35"/>
      <c r="BB3565" s="22">
        <f t="shared" si="1059"/>
        <v>0</v>
      </c>
      <c r="BC3565" s="23">
        <v>0</v>
      </c>
      <c r="BD3565" s="130">
        <f t="shared" si="1060"/>
        <v>157</v>
      </c>
      <c r="BE3565" s="130">
        <f t="shared" si="1061"/>
        <v>131</v>
      </c>
      <c r="BF3565" s="195">
        <f t="shared" si="1062"/>
        <v>119.84732824427482</v>
      </c>
      <c r="BG3565" s="373">
        <f t="shared" si="1063"/>
        <v>-26</v>
      </c>
    </row>
    <row r="3566" spans="1:59" s="46" customFormat="1" ht="15.95" customHeight="1">
      <c r="A3566" s="176">
        <v>59</v>
      </c>
      <c r="B3566" s="31" t="s">
        <v>865</v>
      </c>
      <c r="C3566" s="34" t="s">
        <v>1673</v>
      </c>
      <c r="D3566" s="231"/>
      <c r="E3566" s="231"/>
      <c r="F3566" s="231"/>
      <c r="G3566" s="231"/>
      <c r="H3566" s="231"/>
      <c r="I3566" s="231"/>
      <c r="J3566" s="231"/>
      <c r="K3566" s="231"/>
      <c r="L3566" s="231"/>
      <c r="M3566" s="231"/>
      <c r="N3566" s="231"/>
      <c r="O3566" s="231"/>
      <c r="P3566" s="231">
        <v>2</v>
      </c>
      <c r="Q3566" s="231"/>
      <c r="R3566" s="231"/>
      <c r="S3566" s="231"/>
      <c r="T3566" s="231"/>
      <c r="U3566" s="231"/>
      <c r="V3566" s="231"/>
      <c r="W3566" s="231"/>
      <c r="X3566" s="231"/>
      <c r="Y3566" s="231"/>
      <c r="Z3566" s="231"/>
      <c r="AA3566" s="231"/>
      <c r="AB3566" s="22">
        <f t="shared" si="1058"/>
        <v>2</v>
      </c>
      <c r="AC3566" s="23">
        <v>115</v>
      </c>
      <c r="AD3566" s="35"/>
      <c r="AE3566" s="35"/>
      <c r="AF3566" s="35"/>
      <c r="AG3566" s="35"/>
      <c r="AH3566" s="35"/>
      <c r="AI3566" s="35"/>
      <c r="AJ3566" s="35"/>
      <c r="AK3566" s="35"/>
      <c r="AL3566" s="35"/>
      <c r="AM3566" s="35"/>
      <c r="AN3566" s="35"/>
      <c r="AO3566" s="35"/>
      <c r="AP3566" s="35"/>
      <c r="AQ3566" s="35"/>
      <c r="AR3566" s="35"/>
      <c r="AS3566" s="35"/>
      <c r="AT3566" s="35"/>
      <c r="AU3566" s="35"/>
      <c r="AV3566" s="35"/>
      <c r="AW3566" s="35"/>
      <c r="AX3566" s="35"/>
      <c r="AY3566" s="35"/>
      <c r="AZ3566" s="35"/>
      <c r="BA3566" s="35"/>
      <c r="BB3566" s="22">
        <f t="shared" si="1059"/>
        <v>0</v>
      </c>
      <c r="BC3566" s="23">
        <v>0</v>
      </c>
      <c r="BD3566" s="130">
        <f t="shared" si="1060"/>
        <v>2</v>
      </c>
      <c r="BE3566" s="130">
        <f t="shared" si="1061"/>
        <v>115</v>
      </c>
      <c r="BF3566" s="195">
        <f t="shared" si="1062"/>
        <v>1.7391304347826086</v>
      </c>
      <c r="BG3566" s="373">
        <f t="shared" si="1063"/>
        <v>113</v>
      </c>
    </row>
    <row r="3567" spans="1:59" s="46" customFormat="1" ht="15.95" customHeight="1">
      <c r="A3567" s="176">
        <v>60</v>
      </c>
      <c r="B3567" s="31" t="s">
        <v>2576</v>
      </c>
      <c r="C3567" s="34" t="s">
        <v>2610</v>
      </c>
      <c r="D3567" s="231"/>
      <c r="E3567" s="231"/>
      <c r="F3567" s="231"/>
      <c r="G3567" s="231"/>
      <c r="H3567" s="231"/>
      <c r="I3567" s="231"/>
      <c r="J3567" s="231"/>
      <c r="K3567" s="231"/>
      <c r="L3567" s="231"/>
      <c r="M3567" s="231"/>
      <c r="N3567" s="231"/>
      <c r="O3567" s="231"/>
      <c r="P3567" s="231"/>
      <c r="Q3567" s="231"/>
      <c r="R3567" s="231"/>
      <c r="S3567" s="231"/>
      <c r="T3567" s="231"/>
      <c r="U3567" s="231"/>
      <c r="V3567" s="231"/>
      <c r="W3567" s="231"/>
      <c r="X3567" s="231"/>
      <c r="Y3567" s="231"/>
      <c r="Z3567" s="231"/>
      <c r="AA3567" s="231"/>
      <c r="AB3567" s="22">
        <f t="shared" si="1058"/>
        <v>0</v>
      </c>
      <c r="AC3567" s="23">
        <v>160</v>
      </c>
      <c r="AD3567" s="35"/>
      <c r="AE3567" s="35"/>
      <c r="AF3567" s="35"/>
      <c r="AG3567" s="35"/>
      <c r="AH3567" s="35"/>
      <c r="AI3567" s="35"/>
      <c r="AJ3567" s="35"/>
      <c r="AK3567" s="35"/>
      <c r="AL3567" s="35"/>
      <c r="AM3567" s="35"/>
      <c r="AN3567" s="35"/>
      <c r="AO3567" s="35"/>
      <c r="AP3567" s="35"/>
      <c r="AQ3567" s="35"/>
      <c r="AR3567" s="35"/>
      <c r="AS3567" s="35"/>
      <c r="AT3567" s="35"/>
      <c r="AU3567" s="35"/>
      <c r="AV3567" s="35"/>
      <c r="AW3567" s="35"/>
      <c r="AX3567" s="35"/>
      <c r="AY3567" s="35"/>
      <c r="AZ3567" s="35"/>
      <c r="BA3567" s="35"/>
      <c r="BB3567" s="22">
        <f t="shared" si="1059"/>
        <v>0</v>
      </c>
      <c r="BC3567" s="23">
        <v>0</v>
      </c>
      <c r="BD3567" s="130">
        <f t="shared" si="1060"/>
        <v>0</v>
      </c>
      <c r="BE3567" s="130">
        <f t="shared" si="1061"/>
        <v>160</v>
      </c>
      <c r="BF3567" s="195">
        <f t="shared" si="1062"/>
        <v>0</v>
      </c>
      <c r="BG3567" s="373">
        <f t="shared" si="1063"/>
        <v>160</v>
      </c>
    </row>
    <row r="3568" spans="1:59" s="46" customFormat="1" ht="15.95" customHeight="1">
      <c r="A3568" s="176">
        <v>61</v>
      </c>
      <c r="B3568" s="31" t="s">
        <v>1654</v>
      </c>
      <c r="C3568" s="34" t="s">
        <v>2210</v>
      </c>
      <c r="D3568" s="231"/>
      <c r="E3568" s="231"/>
      <c r="F3568" s="231"/>
      <c r="G3568" s="231"/>
      <c r="H3568" s="231">
        <f>1+2</f>
        <v>3</v>
      </c>
      <c r="I3568" s="231"/>
      <c r="J3568" s="231"/>
      <c r="K3568" s="231"/>
      <c r="L3568" s="231">
        <v>1</v>
      </c>
      <c r="M3568" s="231"/>
      <c r="N3568" s="231"/>
      <c r="O3568" s="231"/>
      <c r="P3568" s="231">
        <v>1</v>
      </c>
      <c r="Q3568" s="231"/>
      <c r="R3568" s="231"/>
      <c r="S3568" s="231"/>
      <c r="T3568" s="231"/>
      <c r="U3568" s="231"/>
      <c r="V3568" s="231"/>
      <c r="W3568" s="231"/>
      <c r="X3568" s="231"/>
      <c r="Y3568" s="231"/>
      <c r="Z3568" s="231"/>
      <c r="AA3568" s="231"/>
      <c r="AB3568" s="22">
        <f t="shared" si="1058"/>
        <v>5</v>
      </c>
      <c r="AC3568" s="23">
        <v>2</v>
      </c>
      <c r="AD3568" s="35"/>
      <c r="AE3568" s="35"/>
      <c r="AF3568" s="35"/>
      <c r="AG3568" s="35"/>
      <c r="AH3568" s="35"/>
      <c r="AI3568" s="35"/>
      <c r="AJ3568" s="35"/>
      <c r="AK3568" s="35"/>
      <c r="AL3568" s="35"/>
      <c r="AM3568" s="35"/>
      <c r="AN3568" s="35"/>
      <c r="AO3568" s="35"/>
      <c r="AP3568" s="35"/>
      <c r="AQ3568" s="35"/>
      <c r="AR3568" s="35"/>
      <c r="AS3568" s="35"/>
      <c r="AT3568" s="35"/>
      <c r="AU3568" s="35"/>
      <c r="AV3568" s="35"/>
      <c r="AW3568" s="35"/>
      <c r="AX3568" s="35"/>
      <c r="AY3568" s="35"/>
      <c r="AZ3568" s="35"/>
      <c r="BA3568" s="35"/>
      <c r="BB3568" s="22">
        <f t="shared" si="1059"/>
        <v>0</v>
      </c>
      <c r="BC3568" s="23">
        <v>0</v>
      </c>
      <c r="BD3568" s="130">
        <f t="shared" si="1060"/>
        <v>5</v>
      </c>
      <c r="BE3568" s="130">
        <f t="shared" si="1061"/>
        <v>2</v>
      </c>
      <c r="BF3568" s="195">
        <f t="shared" si="1062"/>
        <v>250</v>
      </c>
      <c r="BG3568" s="373">
        <f t="shared" si="1063"/>
        <v>-3</v>
      </c>
    </row>
    <row r="3569" spans="1:61" s="46" customFormat="1" ht="15.95" customHeight="1">
      <c r="A3569" s="176">
        <v>62</v>
      </c>
      <c r="B3569" s="31" t="s">
        <v>1658</v>
      </c>
      <c r="C3569" s="32" t="s">
        <v>1659</v>
      </c>
      <c r="D3569" s="231"/>
      <c r="E3569" s="231"/>
      <c r="F3569" s="231"/>
      <c r="G3569" s="231"/>
      <c r="H3569" s="231"/>
      <c r="I3569" s="231"/>
      <c r="J3569" s="231"/>
      <c r="K3569" s="231"/>
      <c r="L3569" s="231"/>
      <c r="M3569" s="231"/>
      <c r="N3569" s="231"/>
      <c r="O3569" s="231"/>
      <c r="P3569" s="231"/>
      <c r="Q3569" s="231"/>
      <c r="R3569" s="231"/>
      <c r="S3569" s="231"/>
      <c r="T3569" s="231"/>
      <c r="U3569" s="231"/>
      <c r="V3569" s="231"/>
      <c r="W3569" s="231"/>
      <c r="X3569" s="231"/>
      <c r="Y3569" s="231"/>
      <c r="Z3569" s="231"/>
      <c r="AA3569" s="231"/>
      <c r="AB3569" s="22">
        <f t="shared" si="1058"/>
        <v>0</v>
      </c>
      <c r="AC3569" s="23">
        <v>1</v>
      </c>
      <c r="AD3569" s="35"/>
      <c r="AE3569" s="35"/>
      <c r="AF3569" s="35"/>
      <c r="AG3569" s="35"/>
      <c r="AH3569" s="35"/>
      <c r="AI3569" s="35"/>
      <c r="AJ3569" s="35"/>
      <c r="AK3569" s="35"/>
      <c r="AL3569" s="35"/>
      <c r="AM3569" s="35"/>
      <c r="AN3569" s="35"/>
      <c r="AO3569" s="35"/>
      <c r="AP3569" s="35"/>
      <c r="AQ3569" s="35"/>
      <c r="AR3569" s="35"/>
      <c r="AS3569" s="35"/>
      <c r="AT3569" s="35"/>
      <c r="AU3569" s="35"/>
      <c r="AV3569" s="35"/>
      <c r="AW3569" s="35"/>
      <c r="AX3569" s="35"/>
      <c r="AY3569" s="35"/>
      <c r="AZ3569" s="35"/>
      <c r="BA3569" s="35"/>
      <c r="BB3569" s="22">
        <f t="shared" si="1059"/>
        <v>0</v>
      </c>
      <c r="BC3569" s="23">
        <v>0</v>
      </c>
      <c r="BD3569" s="130">
        <f t="shared" si="1060"/>
        <v>0</v>
      </c>
      <c r="BE3569" s="130">
        <f t="shared" si="1061"/>
        <v>1</v>
      </c>
      <c r="BF3569" s="195">
        <f t="shared" si="1062"/>
        <v>0</v>
      </c>
      <c r="BG3569" s="373">
        <f t="shared" si="1063"/>
        <v>1</v>
      </c>
    </row>
    <row r="3570" spans="1:61" s="46" customFormat="1" ht="15.95" customHeight="1">
      <c r="A3570" s="176">
        <v>63</v>
      </c>
      <c r="B3570" s="31" t="s">
        <v>1034</v>
      </c>
      <c r="C3570" s="34" t="s">
        <v>1660</v>
      </c>
      <c r="D3570" s="231"/>
      <c r="E3570" s="231"/>
      <c r="F3570" s="231"/>
      <c r="G3570" s="231"/>
      <c r="H3570" s="231">
        <f>17+215</f>
        <v>232</v>
      </c>
      <c r="I3570" s="231"/>
      <c r="J3570" s="231"/>
      <c r="K3570" s="231"/>
      <c r="L3570" s="231">
        <f>4+564</f>
        <v>568</v>
      </c>
      <c r="M3570" s="231"/>
      <c r="N3570" s="231"/>
      <c r="O3570" s="231"/>
      <c r="P3570" s="231">
        <f>53+783</f>
        <v>836</v>
      </c>
      <c r="Q3570" s="231"/>
      <c r="R3570" s="231"/>
      <c r="S3570" s="231"/>
      <c r="T3570" s="231"/>
      <c r="U3570" s="231"/>
      <c r="V3570" s="231"/>
      <c r="W3570" s="231"/>
      <c r="X3570" s="231"/>
      <c r="Y3570" s="231"/>
      <c r="Z3570" s="231"/>
      <c r="AA3570" s="231"/>
      <c r="AB3570" s="22">
        <f t="shared" si="1058"/>
        <v>1636</v>
      </c>
      <c r="AC3570" s="23">
        <v>1588</v>
      </c>
      <c r="AD3570" s="35"/>
      <c r="AE3570" s="35"/>
      <c r="AF3570" s="35"/>
      <c r="AG3570" s="35"/>
      <c r="AH3570" s="35"/>
      <c r="AI3570" s="35"/>
      <c r="AJ3570" s="35"/>
      <c r="AK3570" s="35"/>
      <c r="AL3570" s="35"/>
      <c r="AM3570" s="35"/>
      <c r="AN3570" s="35"/>
      <c r="AO3570" s="35"/>
      <c r="AP3570" s="35"/>
      <c r="AQ3570" s="35"/>
      <c r="AR3570" s="35"/>
      <c r="AS3570" s="35"/>
      <c r="AT3570" s="35"/>
      <c r="AU3570" s="35"/>
      <c r="AV3570" s="35"/>
      <c r="AW3570" s="35"/>
      <c r="AX3570" s="35"/>
      <c r="AY3570" s="35"/>
      <c r="AZ3570" s="35"/>
      <c r="BA3570" s="35"/>
      <c r="BB3570" s="22">
        <f t="shared" si="1059"/>
        <v>0</v>
      </c>
      <c r="BC3570" s="23">
        <v>0</v>
      </c>
      <c r="BD3570" s="130">
        <f t="shared" si="1060"/>
        <v>1636</v>
      </c>
      <c r="BE3570" s="130">
        <f t="shared" si="1061"/>
        <v>1588</v>
      </c>
      <c r="BF3570" s="195">
        <f t="shared" si="1062"/>
        <v>103.02267002518892</v>
      </c>
      <c r="BG3570" s="373">
        <f t="shared" si="1063"/>
        <v>-48</v>
      </c>
    </row>
    <row r="3571" spans="1:61" s="46" customFormat="1" ht="15.95" customHeight="1">
      <c r="A3571" s="176">
        <v>64</v>
      </c>
      <c r="B3571" s="31" t="s">
        <v>3598</v>
      </c>
      <c r="C3571" s="34" t="s">
        <v>1608</v>
      </c>
      <c r="D3571" s="275"/>
      <c r="E3571" s="275"/>
      <c r="F3571" s="275"/>
      <c r="G3571" s="275"/>
      <c r="H3571" s="275"/>
      <c r="I3571" s="275"/>
      <c r="J3571" s="275"/>
      <c r="K3571" s="275"/>
      <c r="L3571" s="275"/>
      <c r="M3571" s="275"/>
      <c r="N3571" s="275"/>
      <c r="O3571" s="275"/>
      <c r="P3571" s="275"/>
      <c r="Q3571" s="275"/>
      <c r="R3571" s="275"/>
      <c r="S3571" s="275"/>
      <c r="T3571" s="275"/>
      <c r="U3571" s="275"/>
      <c r="V3571" s="275"/>
      <c r="W3571" s="275"/>
      <c r="X3571" s="275"/>
      <c r="Y3571" s="275"/>
      <c r="Z3571" s="275"/>
      <c r="AA3571" s="275"/>
      <c r="AB3571" s="22">
        <f t="shared" si="1058"/>
        <v>0</v>
      </c>
      <c r="AC3571" s="23">
        <v>0</v>
      </c>
      <c r="AD3571" s="35"/>
      <c r="AE3571" s="35"/>
      <c r="AF3571" s="35"/>
      <c r="AG3571" s="35"/>
      <c r="AH3571" s="35"/>
      <c r="AI3571" s="35"/>
      <c r="AJ3571" s="35"/>
      <c r="AK3571" s="35"/>
      <c r="AL3571" s="35"/>
      <c r="AM3571" s="35"/>
      <c r="AN3571" s="35"/>
      <c r="AO3571" s="35"/>
      <c r="AP3571" s="35"/>
      <c r="AQ3571" s="35"/>
      <c r="AR3571" s="35"/>
      <c r="AS3571" s="35"/>
      <c r="AT3571" s="35"/>
      <c r="AU3571" s="35"/>
      <c r="AV3571" s="35"/>
      <c r="AW3571" s="35"/>
      <c r="AX3571" s="35"/>
      <c r="AY3571" s="35"/>
      <c r="AZ3571" s="35"/>
      <c r="BA3571" s="35"/>
      <c r="BB3571" s="22">
        <f t="shared" si="1059"/>
        <v>0</v>
      </c>
      <c r="BC3571" s="23">
        <v>1</v>
      </c>
      <c r="BD3571" s="130">
        <f t="shared" si="1060"/>
        <v>0</v>
      </c>
      <c r="BE3571" s="130">
        <f t="shared" si="1061"/>
        <v>1</v>
      </c>
      <c r="BF3571" s="195">
        <f t="shared" si="1062"/>
        <v>0</v>
      </c>
      <c r="BG3571" s="373">
        <f t="shared" si="1063"/>
        <v>1</v>
      </c>
    </row>
    <row r="3572" spans="1:61" s="46" customFormat="1" ht="15.95" customHeight="1">
      <c r="A3572" s="176">
        <v>65</v>
      </c>
      <c r="B3572" s="31" t="s">
        <v>1361</v>
      </c>
      <c r="C3572" s="32" t="s">
        <v>1362</v>
      </c>
      <c r="D3572" s="231"/>
      <c r="E3572" s="231"/>
      <c r="F3572" s="231"/>
      <c r="G3572" s="231"/>
      <c r="H3572" s="231">
        <f>4807+12</f>
        <v>4819</v>
      </c>
      <c r="I3572" s="231"/>
      <c r="J3572" s="231"/>
      <c r="K3572" s="231"/>
      <c r="L3572" s="231">
        <f>4798+3</f>
        <v>4801</v>
      </c>
      <c r="M3572" s="231"/>
      <c r="N3572" s="231"/>
      <c r="O3572" s="231"/>
      <c r="P3572" s="231">
        <f>18+6800</f>
        <v>6818</v>
      </c>
      <c r="Q3572" s="231"/>
      <c r="R3572" s="231"/>
      <c r="S3572" s="231"/>
      <c r="T3572" s="231"/>
      <c r="U3572" s="231"/>
      <c r="V3572" s="231"/>
      <c r="W3572" s="231"/>
      <c r="X3572" s="231"/>
      <c r="Y3572" s="231"/>
      <c r="Z3572" s="231"/>
      <c r="AA3572" s="231"/>
      <c r="AB3572" s="22">
        <f t="shared" ref="AB3572:AB3573" si="1064">SUM(D3572:AA3572)</f>
        <v>16438</v>
      </c>
      <c r="AC3572" s="23">
        <v>1</v>
      </c>
      <c r="AD3572" s="35"/>
      <c r="AE3572" s="35"/>
      <c r="AF3572" s="35"/>
      <c r="AG3572" s="35"/>
      <c r="AH3572" s="35"/>
      <c r="AI3572" s="35"/>
      <c r="AJ3572" s="35"/>
      <c r="AK3572" s="35"/>
      <c r="AL3572" s="35"/>
      <c r="AM3572" s="35"/>
      <c r="AN3572" s="35"/>
      <c r="AO3572" s="35"/>
      <c r="AP3572" s="35"/>
      <c r="AQ3572" s="35"/>
      <c r="AR3572" s="35"/>
      <c r="AS3572" s="35"/>
      <c r="AT3572" s="35"/>
      <c r="AU3572" s="35"/>
      <c r="AV3572" s="35"/>
      <c r="AW3572" s="35"/>
      <c r="AX3572" s="35"/>
      <c r="AY3572" s="35"/>
      <c r="AZ3572" s="35"/>
      <c r="BA3572" s="35"/>
      <c r="BB3572" s="22">
        <f t="shared" ref="BB3572:BB3573" si="1065">SUM(AD3572:BA3572)</f>
        <v>0</v>
      </c>
      <c r="BC3572" s="23">
        <v>2</v>
      </c>
      <c r="BD3572" s="130">
        <f t="shared" si="1060"/>
        <v>16438</v>
      </c>
      <c r="BE3572" s="130">
        <f t="shared" si="1061"/>
        <v>3</v>
      </c>
      <c r="BF3572" s="522">
        <f t="shared" ref="BF3572:BF3573" si="1066">BD3572/BE3572*100</f>
        <v>547933.33333333326</v>
      </c>
      <c r="BG3572" s="373">
        <f t="shared" si="1063"/>
        <v>-16435</v>
      </c>
    </row>
    <row r="3573" spans="1:61" s="46" customFormat="1" ht="15.95" customHeight="1">
      <c r="A3573" s="176">
        <v>66</v>
      </c>
      <c r="B3573" s="437" t="s">
        <v>3047</v>
      </c>
      <c r="C3573" s="439" t="s">
        <v>3048</v>
      </c>
      <c r="D3573" s="231"/>
      <c r="E3573" s="231"/>
      <c r="F3573" s="231"/>
      <c r="G3573" s="231"/>
      <c r="H3573" s="231"/>
      <c r="I3573" s="231"/>
      <c r="J3573" s="231"/>
      <c r="K3573" s="231"/>
      <c r="L3573" s="231">
        <v>3</v>
      </c>
      <c r="M3573" s="231"/>
      <c r="N3573" s="231"/>
      <c r="O3573" s="231"/>
      <c r="P3573" s="231">
        <v>18849</v>
      </c>
      <c r="Q3573" s="231"/>
      <c r="R3573" s="231"/>
      <c r="S3573" s="231"/>
      <c r="T3573" s="231"/>
      <c r="U3573" s="231"/>
      <c r="V3573" s="231"/>
      <c r="W3573" s="231"/>
      <c r="X3573" s="231"/>
      <c r="Y3573" s="231"/>
      <c r="Z3573" s="231"/>
      <c r="AA3573" s="231"/>
      <c r="AB3573" s="22">
        <f t="shared" si="1064"/>
        <v>18852</v>
      </c>
      <c r="AC3573" s="23">
        <v>5</v>
      </c>
      <c r="AD3573" s="35"/>
      <c r="AE3573" s="35"/>
      <c r="AF3573" s="35"/>
      <c r="AG3573" s="35"/>
      <c r="AH3573" s="35"/>
      <c r="AI3573" s="35"/>
      <c r="AJ3573" s="35"/>
      <c r="AK3573" s="35"/>
      <c r="AL3573" s="35"/>
      <c r="AM3573" s="35"/>
      <c r="AN3573" s="35"/>
      <c r="AO3573" s="35"/>
      <c r="AP3573" s="35"/>
      <c r="AQ3573" s="35"/>
      <c r="AR3573" s="35"/>
      <c r="AS3573" s="35"/>
      <c r="AT3573" s="35"/>
      <c r="AU3573" s="35"/>
      <c r="AV3573" s="35"/>
      <c r="AW3573" s="35"/>
      <c r="AX3573" s="35"/>
      <c r="AY3573" s="35"/>
      <c r="AZ3573" s="35"/>
      <c r="BA3573" s="35"/>
      <c r="BB3573" s="22">
        <f t="shared" si="1065"/>
        <v>0</v>
      </c>
      <c r="BC3573" s="23">
        <v>0</v>
      </c>
      <c r="BD3573" s="130">
        <f t="shared" si="1060"/>
        <v>18852</v>
      </c>
      <c r="BE3573" s="130">
        <f t="shared" si="1061"/>
        <v>5</v>
      </c>
      <c r="BF3573" s="195">
        <f t="shared" si="1066"/>
        <v>377040</v>
      </c>
      <c r="BG3573" s="373">
        <f t="shared" si="1063"/>
        <v>-18847</v>
      </c>
    </row>
    <row r="3574" spans="1:61" s="46" customFormat="1" ht="15.95" customHeight="1">
      <c r="A3574" s="640" t="s">
        <v>1674</v>
      </c>
      <c r="B3574" s="641"/>
      <c r="C3574" s="641"/>
      <c r="D3574" s="98">
        <f t="shared" ref="D3574:AI3574" si="1067">D3575+D3615+D3651+D3699+D3749+D3761+D3827</f>
        <v>0</v>
      </c>
      <c r="E3574" s="98">
        <f t="shared" si="1067"/>
        <v>0</v>
      </c>
      <c r="F3574" s="98">
        <f t="shared" si="1067"/>
        <v>0</v>
      </c>
      <c r="G3574" s="98">
        <f t="shared" si="1067"/>
        <v>5929</v>
      </c>
      <c r="H3574" s="98">
        <f t="shared" si="1067"/>
        <v>3895</v>
      </c>
      <c r="I3574" s="98">
        <f t="shared" si="1067"/>
        <v>0</v>
      </c>
      <c r="J3574" s="98">
        <f t="shared" si="1067"/>
        <v>0</v>
      </c>
      <c r="K3574" s="98">
        <f t="shared" si="1067"/>
        <v>225</v>
      </c>
      <c r="L3574" s="98">
        <f t="shared" si="1067"/>
        <v>13253</v>
      </c>
      <c r="M3574" s="98">
        <f t="shared" si="1067"/>
        <v>0</v>
      </c>
      <c r="N3574" s="98">
        <f t="shared" si="1067"/>
        <v>0</v>
      </c>
      <c r="O3574" s="98">
        <f t="shared" si="1067"/>
        <v>1517</v>
      </c>
      <c r="P3574" s="98">
        <f t="shared" si="1067"/>
        <v>10375</v>
      </c>
      <c r="Q3574" s="98">
        <f t="shared" si="1067"/>
        <v>0</v>
      </c>
      <c r="R3574" s="98">
        <f t="shared" si="1067"/>
        <v>0</v>
      </c>
      <c r="S3574" s="98">
        <f t="shared" si="1067"/>
        <v>872</v>
      </c>
      <c r="T3574" s="98">
        <f t="shared" si="1067"/>
        <v>0</v>
      </c>
      <c r="U3574" s="98">
        <f t="shared" si="1067"/>
        <v>0</v>
      </c>
      <c r="V3574" s="98">
        <f t="shared" si="1067"/>
        <v>0</v>
      </c>
      <c r="W3574" s="98">
        <f t="shared" si="1067"/>
        <v>0</v>
      </c>
      <c r="X3574" s="98">
        <f t="shared" si="1067"/>
        <v>0</v>
      </c>
      <c r="Y3574" s="98">
        <f t="shared" si="1067"/>
        <v>0</v>
      </c>
      <c r="Z3574" s="98">
        <f t="shared" si="1067"/>
        <v>0</v>
      </c>
      <c r="AA3574" s="98">
        <f t="shared" si="1067"/>
        <v>0</v>
      </c>
      <c r="AB3574" s="98">
        <f t="shared" si="1067"/>
        <v>36066</v>
      </c>
      <c r="AC3574" s="23">
        <f t="shared" si="1067"/>
        <v>81865</v>
      </c>
      <c r="AD3574" s="98">
        <f t="shared" si="1067"/>
        <v>0</v>
      </c>
      <c r="AE3574" s="98">
        <f t="shared" si="1067"/>
        <v>0</v>
      </c>
      <c r="AF3574" s="98">
        <f t="shared" si="1067"/>
        <v>0</v>
      </c>
      <c r="AG3574" s="98">
        <f t="shared" si="1067"/>
        <v>0</v>
      </c>
      <c r="AH3574" s="98">
        <f t="shared" si="1067"/>
        <v>0</v>
      </c>
      <c r="AI3574" s="98">
        <f t="shared" si="1067"/>
        <v>0</v>
      </c>
      <c r="AJ3574" s="98">
        <f t="shared" ref="AJ3574:BC3574" si="1068">AJ3575+AJ3615+AJ3651+AJ3699+AJ3749+AJ3761+AJ3827</f>
        <v>0</v>
      </c>
      <c r="AK3574" s="98">
        <f t="shared" si="1068"/>
        <v>0</v>
      </c>
      <c r="AL3574" s="98">
        <f t="shared" si="1068"/>
        <v>0</v>
      </c>
      <c r="AM3574" s="98">
        <f t="shared" si="1068"/>
        <v>0</v>
      </c>
      <c r="AN3574" s="98">
        <f t="shared" si="1068"/>
        <v>0</v>
      </c>
      <c r="AO3574" s="98">
        <f t="shared" si="1068"/>
        <v>0</v>
      </c>
      <c r="AP3574" s="98">
        <f t="shared" si="1068"/>
        <v>1</v>
      </c>
      <c r="AQ3574" s="98">
        <f t="shared" si="1068"/>
        <v>0</v>
      </c>
      <c r="AR3574" s="98">
        <f t="shared" si="1068"/>
        <v>0</v>
      </c>
      <c r="AS3574" s="98">
        <f t="shared" si="1068"/>
        <v>0</v>
      </c>
      <c r="AT3574" s="98">
        <f t="shared" si="1068"/>
        <v>0</v>
      </c>
      <c r="AU3574" s="98">
        <f t="shared" si="1068"/>
        <v>0</v>
      </c>
      <c r="AV3574" s="98">
        <f t="shared" si="1068"/>
        <v>0</v>
      </c>
      <c r="AW3574" s="98">
        <f t="shared" si="1068"/>
        <v>0</v>
      </c>
      <c r="AX3574" s="98">
        <f t="shared" si="1068"/>
        <v>0</v>
      </c>
      <c r="AY3574" s="98">
        <f t="shared" si="1068"/>
        <v>0</v>
      </c>
      <c r="AZ3574" s="98">
        <f t="shared" si="1068"/>
        <v>0</v>
      </c>
      <c r="BA3574" s="98">
        <f t="shared" si="1068"/>
        <v>0</v>
      </c>
      <c r="BB3574" s="98">
        <f t="shared" si="1068"/>
        <v>1</v>
      </c>
      <c r="BC3574" s="23">
        <f t="shared" si="1068"/>
        <v>0</v>
      </c>
      <c r="BD3574" s="130">
        <f t="shared" ref="BD3574:BD3575" si="1069">AB3574+BB3574</f>
        <v>36067</v>
      </c>
      <c r="BE3574" s="130">
        <f t="shared" ref="BE3574:BE3575" si="1070">AC3574+BC3574</f>
        <v>81865</v>
      </c>
      <c r="BF3574" s="195">
        <f t="shared" ref="BF3574:BF3575" si="1071">BD3574/BE3574*100</f>
        <v>44.056678678311854</v>
      </c>
      <c r="BG3574" s="374">
        <f t="shared" si="1051"/>
        <v>45798</v>
      </c>
    </row>
    <row r="3575" spans="1:61" s="46" customFormat="1" ht="15.95" customHeight="1">
      <c r="A3575" s="644" t="s">
        <v>717</v>
      </c>
      <c r="B3575" s="645"/>
      <c r="C3575" s="645"/>
      <c r="D3575" s="28">
        <f t="shared" ref="D3575:AI3575" si="1072">SUM(D3576:D3614)</f>
        <v>0</v>
      </c>
      <c r="E3575" s="28">
        <f t="shared" si="1072"/>
        <v>0</v>
      </c>
      <c r="F3575" s="28">
        <f t="shared" si="1072"/>
        <v>0</v>
      </c>
      <c r="G3575" s="28">
        <f t="shared" si="1072"/>
        <v>5929</v>
      </c>
      <c r="H3575" s="28">
        <f t="shared" si="1072"/>
        <v>1053</v>
      </c>
      <c r="I3575" s="28">
        <f t="shared" si="1072"/>
        <v>0</v>
      </c>
      <c r="J3575" s="28">
        <f t="shared" si="1072"/>
        <v>0</v>
      </c>
      <c r="K3575" s="28">
        <f t="shared" si="1072"/>
        <v>83</v>
      </c>
      <c r="L3575" s="28">
        <f t="shared" si="1072"/>
        <v>3823</v>
      </c>
      <c r="M3575" s="28">
        <f t="shared" si="1072"/>
        <v>0</v>
      </c>
      <c r="N3575" s="28">
        <f t="shared" si="1072"/>
        <v>0</v>
      </c>
      <c r="O3575" s="28">
        <f t="shared" si="1072"/>
        <v>181</v>
      </c>
      <c r="P3575" s="28">
        <f t="shared" si="1072"/>
        <v>0</v>
      </c>
      <c r="Q3575" s="28">
        <f t="shared" si="1072"/>
        <v>0</v>
      </c>
      <c r="R3575" s="28">
        <f t="shared" si="1072"/>
        <v>0</v>
      </c>
      <c r="S3575" s="28">
        <f t="shared" si="1072"/>
        <v>0</v>
      </c>
      <c r="T3575" s="28">
        <f t="shared" si="1072"/>
        <v>0</v>
      </c>
      <c r="U3575" s="28">
        <f t="shared" si="1072"/>
        <v>0</v>
      </c>
      <c r="V3575" s="28">
        <f t="shared" si="1072"/>
        <v>0</v>
      </c>
      <c r="W3575" s="28">
        <f t="shared" si="1072"/>
        <v>0</v>
      </c>
      <c r="X3575" s="28">
        <f t="shared" si="1072"/>
        <v>0</v>
      </c>
      <c r="Y3575" s="28">
        <f t="shared" si="1072"/>
        <v>0</v>
      </c>
      <c r="Z3575" s="28">
        <f t="shared" si="1072"/>
        <v>0</v>
      </c>
      <c r="AA3575" s="28">
        <f t="shared" si="1072"/>
        <v>0</v>
      </c>
      <c r="AB3575" s="28">
        <f t="shared" si="1072"/>
        <v>11069</v>
      </c>
      <c r="AC3575" s="23">
        <f t="shared" si="1072"/>
        <v>14801</v>
      </c>
      <c r="AD3575" s="29">
        <f t="shared" si="1072"/>
        <v>0</v>
      </c>
      <c r="AE3575" s="29">
        <f t="shared" si="1072"/>
        <v>0</v>
      </c>
      <c r="AF3575" s="29">
        <f t="shared" si="1072"/>
        <v>0</v>
      </c>
      <c r="AG3575" s="29">
        <f t="shared" si="1072"/>
        <v>0</v>
      </c>
      <c r="AH3575" s="29">
        <f t="shared" si="1072"/>
        <v>0</v>
      </c>
      <c r="AI3575" s="29">
        <f t="shared" si="1072"/>
        <v>0</v>
      </c>
      <c r="AJ3575" s="29">
        <f t="shared" ref="AJ3575:BC3575" si="1073">SUM(AJ3576:AJ3614)</f>
        <v>0</v>
      </c>
      <c r="AK3575" s="29">
        <f t="shared" si="1073"/>
        <v>0</v>
      </c>
      <c r="AL3575" s="29">
        <f t="shared" si="1073"/>
        <v>0</v>
      </c>
      <c r="AM3575" s="29">
        <f t="shared" si="1073"/>
        <v>0</v>
      </c>
      <c r="AN3575" s="29">
        <f t="shared" si="1073"/>
        <v>0</v>
      </c>
      <c r="AO3575" s="29">
        <f t="shared" si="1073"/>
        <v>0</v>
      </c>
      <c r="AP3575" s="29">
        <f t="shared" si="1073"/>
        <v>0</v>
      </c>
      <c r="AQ3575" s="29">
        <f t="shared" si="1073"/>
        <v>0</v>
      </c>
      <c r="AR3575" s="29">
        <f t="shared" si="1073"/>
        <v>0</v>
      </c>
      <c r="AS3575" s="29">
        <f t="shared" si="1073"/>
        <v>0</v>
      </c>
      <c r="AT3575" s="29">
        <f t="shared" si="1073"/>
        <v>0</v>
      </c>
      <c r="AU3575" s="29">
        <f t="shared" si="1073"/>
        <v>0</v>
      </c>
      <c r="AV3575" s="29">
        <f t="shared" si="1073"/>
        <v>0</v>
      </c>
      <c r="AW3575" s="29">
        <f t="shared" si="1073"/>
        <v>0</v>
      </c>
      <c r="AX3575" s="29">
        <f t="shared" si="1073"/>
        <v>0</v>
      </c>
      <c r="AY3575" s="29">
        <f t="shared" si="1073"/>
        <v>0</v>
      </c>
      <c r="AZ3575" s="29">
        <f t="shared" si="1073"/>
        <v>0</v>
      </c>
      <c r="BA3575" s="29">
        <f t="shared" si="1073"/>
        <v>0</v>
      </c>
      <c r="BB3575" s="29">
        <f t="shared" si="1073"/>
        <v>0</v>
      </c>
      <c r="BC3575" s="23">
        <f t="shared" si="1073"/>
        <v>0</v>
      </c>
      <c r="BD3575" s="130">
        <f t="shared" si="1069"/>
        <v>11069</v>
      </c>
      <c r="BE3575" s="130">
        <f t="shared" si="1070"/>
        <v>14801</v>
      </c>
      <c r="BF3575" s="195">
        <f t="shared" si="1071"/>
        <v>74.785487467063035</v>
      </c>
      <c r="BG3575" s="374">
        <f t="shared" ref="BG3575:BG3651" si="1074">BE3575-BD3575</f>
        <v>3732</v>
      </c>
    </row>
    <row r="3576" spans="1:61" s="46" customFormat="1" ht="21" customHeight="1">
      <c r="A3576" s="417">
        <v>1</v>
      </c>
      <c r="B3576" s="418" t="s">
        <v>731</v>
      </c>
      <c r="C3576" s="419" t="s">
        <v>2050</v>
      </c>
      <c r="D3576" s="231"/>
      <c r="E3576" s="231"/>
      <c r="F3576" s="231"/>
      <c r="G3576" s="231"/>
      <c r="H3576" s="231">
        <v>31</v>
      </c>
      <c r="I3576" s="231"/>
      <c r="J3576" s="231"/>
      <c r="K3576" s="231"/>
      <c r="L3576" s="231">
        <v>102</v>
      </c>
      <c r="M3576" s="231"/>
      <c r="N3576" s="231"/>
      <c r="O3576" s="231"/>
      <c r="P3576" s="231"/>
      <c r="Q3576" s="231"/>
      <c r="R3576" s="231"/>
      <c r="S3576" s="231"/>
      <c r="T3576" s="231"/>
      <c r="U3576" s="231"/>
      <c r="V3576" s="231"/>
      <c r="W3576" s="231"/>
      <c r="X3576" s="231"/>
      <c r="Y3576" s="231"/>
      <c r="Z3576" s="231"/>
      <c r="AA3576" s="231"/>
      <c r="AB3576" s="22">
        <f t="shared" ref="AB3576:AB3614" si="1075">SUM(D3576:AA3576)</f>
        <v>133</v>
      </c>
      <c r="AC3576" s="23">
        <v>671</v>
      </c>
      <c r="AD3576" s="35"/>
      <c r="AE3576" s="35"/>
      <c r="AF3576" s="35"/>
      <c r="AG3576" s="35"/>
      <c r="AH3576" s="35"/>
      <c r="AI3576" s="35"/>
      <c r="AJ3576" s="35"/>
      <c r="AK3576" s="35"/>
      <c r="AL3576" s="35"/>
      <c r="AM3576" s="35"/>
      <c r="AN3576" s="35"/>
      <c r="AO3576" s="35"/>
      <c r="AP3576" s="35"/>
      <c r="AQ3576" s="35"/>
      <c r="AR3576" s="35"/>
      <c r="AS3576" s="35"/>
      <c r="AT3576" s="35"/>
      <c r="AU3576" s="35"/>
      <c r="AV3576" s="35"/>
      <c r="AW3576" s="35"/>
      <c r="AX3576" s="35"/>
      <c r="AY3576" s="35"/>
      <c r="AZ3576" s="35"/>
      <c r="BA3576" s="35"/>
      <c r="BB3576" s="22">
        <f t="shared" ref="BB3576:BB3614" si="1076">SUM(AD3576:BA3576)</f>
        <v>0</v>
      </c>
      <c r="BC3576" s="23">
        <v>0</v>
      </c>
      <c r="BD3576" s="130">
        <f t="shared" ref="BD3576:BD3614" si="1077">AB3576+BB3576</f>
        <v>133</v>
      </c>
      <c r="BE3576" s="130">
        <f t="shared" ref="BE3576:BE3614" si="1078">AC3576+BC3576</f>
        <v>671</v>
      </c>
      <c r="BF3576" s="195">
        <f t="shared" ref="BF3576:BF3614" si="1079">BD3576/BE3576*100</f>
        <v>19.821162444113263</v>
      </c>
      <c r="BG3576" s="373">
        <f t="shared" ref="BG3576:BG3596" si="1080">BE3576-BD3576</f>
        <v>538</v>
      </c>
      <c r="BH3576" s="426" t="s">
        <v>3675</v>
      </c>
      <c r="BI3576" s="420"/>
    </row>
    <row r="3577" spans="1:61" s="46" customFormat="1" ht="21" customHeight="1">
      <c r="A3577" s="417">
        <v>2</v>
      </c>
      <c r="B3577" s="418" t="s">
        <v>926</v>
      </c>
      <c r="C3577" s="423" t="s">
        <v>927</v>
      </c>
      <c r="D3577" s="231"/>
      <c r="E3577" s="231"/>
      <c r="F3577" s="231"/>
      <c r="G3577" s="231"/>
      <c r="H3577" s="231"/>
      <c r="I3577" s="231"/>
      <c r="J3577" s="231"/>
      <c r="K3577" s="231">
        <v>33</v>
      </c>
      <c r="L3577" s="231"/>
      <c r="M3577" s="231"/>
      <c r="N3577" s="231"/>
      <c r="O3577" s="231">
        <v>20</v>
      </c>
      <c r="P3577" s="231"/>
      <c r="Q3577" s="231"/>
      <c r="R3577" s="231"/>
      <c r="S3577" s="231"/>
      <c r="T3577" s="231"/>
      <c r="U3577" s="231"/>
      <c r="V3577" s="231"/>
      <c r="W3577" s="231"/>
      <c r="X3577" s="231"/>
      <c r="Y3577" s="231"/>
      <c r="Z3577" s="231"/>
      <c r="AA3577" s="231"/>
      <c r="AB3577" s="22">
        <f t="shared" si="1075"/>
        <v>53</v>
      </c>
      <c r="AC3577" s="23">
        <f>51+3</f>
        <v>54</v>
      </c>
      <c r="AD3577" s="35"/>
      <c r="AE3577" s="35"/>
      <c r="AF3577" s="35"/>
      <c r="AG3577" s="35"/>
      <c r="AH3577" s="35"/>
      <c r="AI3577" s="35"/>
      <c r="AJ3577" s="35"/>
      <c r="AK3577" s="35"/>
      <c r="AL3577" s="35"/>
      <c r="AM3577" s="35"/>
      <c r="AN3577" s="35"/>
      <c r="AO3577" s="35"/>
      <c r="AP3577" s="35"/>
      <c r="AQ3577" s="35"/>
      <c r="AR3577" s="35"/>
      <c r="AS3577" s="35"/>
      <c r="AT3577" s="35"/>
      <c r="AU3577" s="35"/>
      <c r="AV3577" s="35"/>
      <c r="AW3577" s="35"/>
      <c r="AX3577" s="35"/>
      <c r="AY3577" s="35"/>
      <c r="AZ3577" s="35"/>
      <c r="BA3577" s="35"/>
      <c r="BB3577" s="22">
        <f t="shared" si="1076"/>
        <v>0</v>
      </c>
      <c r="BC3577" s="23">
        <v>0</v>
      </c>
      <c r="BD3577" s="130">
        <f t="shared" si="1077"/>
        <v>53</v>
      </c>
      <c r="BE3577" s="130">
        <f t="shared" si="1078"/>
        <v>54</v>
      </c>
      <c r="BF3577" s="195">
        <f t="shared" si="1079"/>
        <v>98.148148148148152</v>
      </c>
      <c r="BG3577" s="373">
        <f t="shared" si="1080"/>
        <v>1</v>
      </c>
      <c r="BH3577" s="426" t="s">
        <v>3675</v>
      </c>
      <c r="BI3577" s="426"/>
    </row>
    <row r="3578" spans="1:61" s="46" customFormat="1" ht="21" customHeight="1">
      <c r="A3578" s="417">
        <v>3</v>
      </c>
      <c r="B3578" s="418" t="s">
        <v>1266</v>
      </c>
      <c r="C3578" s="419" t="s">
        <v>1267</v>
      </c>
      <c r="D3578" s="390"/>
      <c r="E3578" s="390"/>
      <c r="F3578" s="390"/>
      <c r="G3578" s="390"/>
      <c r="H3578" s="390"/>
      <c r="I3578" s="390"/>
      <c r="J3578" s="390"/>
      <c r="K3578" s="390">
        <v>50</v>
      </c>
      <c r="L3578" s="390"/>
      <c r="M3578" s="390"/>
      <c r="N3578" s="390"/>
      <c r="O3578" s="390">
        <v>159</v>
      </c>
      <c r="P3578" s="390"/>
      <c r="Q3578" s="390"/>
      <c r="R3578" s="390"/>
      <c r="S3578" s="390"/>
      <c r="T3578" s="390"/>
      <c r="U3578" s="390"/>
      <c r="V3578" s="390"/>
      <c r="W3578" s="390"/>
      <c r="X3578" s="390"/>
      <c r="Y3578" s="390"/>
      <c r="Z3578" s="390"/>
      <c r="AA3578" s="390"/>
      <c r="AB3578" s="22">
        <f t="shared" si="1075"/>
        <v>209</v>
      </c>
      <c r="AC3578" s="23">
        <f>555+1</f>
        <v>556</v>
      </c>
      <c r="AD3578" s="35"/>
      <c r="AE3578" s="35"/>
      <c r="AF3578" s="35"/>
      <c r="AG3578" s="35"/>
      <c r="AH3578" s="35"/>
      <c r="AI3578" s="35"/>
      <c r="AJ3578" s="35"/>
      <c r="AK3578" s="35"/>
      <c r="AL3578" s="35"/>
      <c r="AM3578" s="35"/>
      <c r="AN3578" s="35"/>
      <c r="AO3578" s="35"/>
      <c r="AP3578" s="35"/>
      <c r="AQ3578" s="35"/>
      <c r="AR3578" s="35"/>
      <c r="AS3578" s="35"/>
      <c r="AT3578" s="35"/>
      <c r="AU3578" s="35"/>
      <c r="AV3578" s="35"/>
      <c r="AW3578" s="35"/>
      <c r="AX3578" s="35"/>
      <c r="AY3578" s="35"/>
      <c r="AZ3578" s="35"/>
      <c r="BA3578" s="35"/>
      <c r="BB3578" s="22">
        <f t="shared" si="1076"/>
        <v>0</v>
      </c>
      <c r="BC3578" s="23">
        <v>0</v>
      </c>
      <c r="BD3578" s="130">
        <f t="shared" si="1077"/>
        <v>209</v>
      </c>
      <c r="BE3578" s="130">
        <f t="shared" si="1078"/>
        <v>556</v>
      </c>
      <c r="BF3578" s="195">
        <f t="shared" si="1079"/>
        <v>37.589928057553955</v>
      </c>
      <c r="BG3578" s="373">
        <f t="shared" si="1080"/>
        <v>347</v>
      </c>
      <c r="BH3578" s="426" t="s">
        <v>3675</v>
      </c>
      <c r="BI3578" s="421"/>
    </row>
    <row r="3579" spans="1:61" s="46" customFormat="1" ht="21" customHeight="1">
      <c r="A3579" s="417">
        <v>4</v>
      </c>
      <c r="B3579" s="418" t="s">
        <v>2218</v>
      </c>
      <c r="C3579" s="419" t="s">
        <v>3599</v>
      </c>
      <c r="D3579" s="390"/>
      <c r="E3579" s="390"/>
      <c r="F3579" s="390"/>
      <c r="G3579" s="390"/>
      <c r="H3579" s="390"/>
      <c r="I3579" s="390"/>
      <c r="J3579" s="390"/>
      <c r="K3579" s="390"/>
      <c r="L3579" s="390"/>
      <c r="M3579" s="390"/>
      <c r="N3579" s="390"/>
      <c r="O3579" s="390"/>
      <c r="P3579" s="390"/>
      <c r="Q3579" s="390"/>
      <c r="R3579" s="390"/>
      <c r="S3579" s="390"/>
      <c r="T3579" s="390"/>
      <c r="U3579" s="390"/>
      <c r="V3579" s="390"/>
      <c r="W3579" s="390"/>
      <c r="X3579" s="390"/>
      <c r="Y3579" s="390"/>
      <c r="Z3579" s="390"/>
      <c r="AA3579" s="390"/>
      <c r="AB3579" s="22">
        <f t="shared" si="1075"/>
        <v>0</v>
      </c>
      <c r="AC3579" s="23">
        <v>14</v>
      </c>
      <c r="AD3579" s="35"/>
      <c r="AE3579" s="35"/>
      <c r="AF3579" s="35"/>
      <c r="AG3579" s="35"/>
      <c r="AH3579" s="35"/>
      <c r="AI3579" s="35"/>
      <c r="AJ3579" s="35"/>
      <c r="AK3579" s="35"/>
      <c r="AL3579" s="35"/>
      <c r="AM3579" s="35"/>
      <c r="AN3579" s="35"/>
      <c r="AO3579" s="35"/>
      <c r="AP3579" s="35"/>
      <c r="AQ3579" s="35"/>
      <c r="AR3579" s="35"/>
      <c r="AS3579" s="35"/>
      <c r="AT3579" s="35"/>
      <c r="AU3579" s="35"/>
      <c r="AV3579" s="35"/>
      <c r="AW3579" s="35"/>
      <c r="AX3579" s="35"/>
      <c r="AY3579" s="35"/>
      <c r="AZ3579" s="35"/>
      <c r="BA3579" s="35"/>
      <c r="BB3579" s="22">
        <f t="shared" si="1076"/>
        <v>0</v>
      </c>
      <c r="BC3579" s="23">
        <v>0</v>
      </c>
      <c r="BD3579" s="130">
        <f t="shared" si="1077"/>
        <v>0</v>
      </c>
      <c r="BE3579" s="130">
        <f t="shared" si="1078"/>
        <v>14</v>
      </c>
      <c r="BF3579" s="195">
        <f t="shared" si="1079"/>
        <v>0</v>
      </c>
      <c r="BG3579" s="373">
        <f t="shared" si="1080"/>
        <v>14</v>
      </c>
      <c r="BH3579" s="426" t="s">
        <v>3675</v>
      </c>
      <c r="BI3579" s="421"/>
    </row>
    <row r="3580" spans="1:61" s="46" customFormat="1" ht="21" customHeight="1">
      <c r="A3580" s="417">
        <v>5</v>
      </c>
      <c r="B3580" s="418" t="s">
        <v>2246</v>
      </c>
      <c r="C3580" s="419" t="s">
        <v>2247</v>
      </c>
      <c r="D3580" s="390"/>
      <c r="E3580" s="390"/>
      <c r="F3580" s="390"/>
      <c r="G3580" s="390">
        <f>5893+36</f>
        <v>5929</v>
      </c>
      <c r="H3580" s="390"/>
      <c r="I3580" s="390"/>
      <c r="J3580" s="390"/>
      <c r="K3580" s="390"/>
      <c r="L3580" s="390"/>
      <c r="M3580" s="390"/>
      <c r="N3580" s="390"/>
      <c r="O3580" s="390">
        <v>2</v>
      </c>
      <c r="P3580" s="390"/>
      <c r="Q3580" s="390"/>
      <c r="R3580" s="390"/>
      <c r="S3580" s="390"/>
      <c r="T3580" s="390"/>
      <c r="U3580" s="390"/>
      <c r="V3580" s="390"/>
      <c r="W3580" s="390"/>
      <c r="X3580" s="390"/>
      <c r="Y3580" s="390"/>
      <c r="Z3580" s="390"/>
      <c r="AA3580" s="390"/>
      <c r="AB3580" s="22">
        <f t="shared" si="1075"/>
        <v>5931</v>
      </c>
      <c r="AC3580" s="23">
        <v>16</v>
      </c>
      <c r="AD3580" s="35"/>
      <c r="AE3580" s="35"/>
      <c r="AF3580" s="35"/>
      <c r="AG3580" s="35"/>
      <c r="AH3580" s="35"/>
      <c r="AI3580" s="35"/>
      <c r="AJ3580" s="35"/>
      <c r="AK3580" s="35"/>
      <c r="AL3580" s="35"/>
      <c r="AM3580" s="35"/>
      <c r="AN3580" s="35"/>
      <c r="AO3580" s="35"/>
      <c r="AP3580" s="35"/>
      <c r="AQ3580" s="35"/>
      <c r="AR3580" s="35"/>
      <c r="AS3580" s="35"/>
      <c r="AT3580" s="35"/>
      <c r="AU3580" s="35"/>
      <c r="AV3580" s="35"/>
      <c r="AW3580" s="35"/>
      <c r="AX3580" s="35"/>
      <c r="AY3580" s="35"/>
      <c r="AZ3580" s="35"/>
      <c r="BA3580" s="35"/>
      <c r="BB3580" s="22">
        <f t="shared" si="1076"/>
        <v>0</v>
      </c>
      <c r="BC3580" s="23">
        <v>0</v>
      </c>
      <c r="BD3580" s="130">
        <f t="shared" si="1077"/>
        <v>5931</v>
      </c>
      <c r="BE3580" s="130">
        <f t="shared" si="1078"/>
        <v>16</v>
      </c>
      <c r="BF3580" s="195">
        <f t="shared" si="1079"/>
        <v>37068.75</v>
      </c>
      <c r="BG3580" s="373">
        <f t="shared" si="1080"/>
        <v>-5915</v>
      </c>
      <c r="BH3580" s="426" t="s">
        <v>3675</v>
      </c>
      <c r="BI3580" s="421"/>
    </row>
    <row r="3581" spans="1:61" s="46" customFormat="1" ht="15.95" customHeight="1">
      <c r="A3581" s="176">
        <v>6</v>
      </c>
      <c r="B3581" s="31" t="s">
        <v>1675</v>
      </c>
      <c r="C3581" s="32" t="s">
        <v>1676</v>
      </c>
      <c r="D3581" s="390"/>
      <c r="E3581" s="390"/>
      <c r="F3581" s="390"/>
      <c r="G3581" s="390"/>
      <c r="H3581" s="390">
        <v>9</v>
      </c>
      <c r="I3581" s="390"/>
      <c r="J3581" s="390"/>
      <c r="K3581" s="390"/>
      <c r="L3581" s="390">
        <v>37</v>
      </c>
      <c r="M3581" s="390"/>
      <c r="N3581" s="390"/>
      <c r="O3581" s="390"/>
      <c r="P3581" s="390"/>
      <c r="Q3581" s="390"/>
      <c r="R3581" s="390"/>
      <c r="S3581" s="390"/>
      <c r="T3581" s="390"/>
      <c r="U3581" s="390"/>
      <c r="V3581" s="390"/>
      <c r="W3581" s="390"/>
      <c r="X3581" s="390"/>
      <c r="Y3581" s="390"/>
      <c r="Z3581" s="390"/>
      <c r="AA3581" s="390"/>
      <c r="AB3581" s="22">
        <f t="shared" si="1075"/>
        <v>46</v>
      </c>
      <c r="AC3581" s="23">
        <v>382</v>
      </c>
      <c r="AD3581" s="35"/>
      <c r="AE3581" s="35"/>
      <c r="AF3581" s="35"/>
      <c r="AG3581" s="35"/>
      <c r="AH3581" s="35"/>
      <c r="AI3581" s="35"/>
      <c r="AJ3581" s="35"/>
      <c r="AK3581" s="35"/>
      <c r="AL3581" s="35"/>
      <c r="AM3581" s="35"/>
      <c r="AN3581" s="35"/>
      <c r="AO3581" s="35"/>
      <c r="AP3581" s="35"/>
      <c r="AQ3581" s="35"/>
      <c r="AR3581" s="35"/>
      <c r="AS3581" s="35"/>
      <c r="AT3581" s="35"/>
      <c r="AU3581" s="35"/>
      <c r="AV3581" s="35"/>
      <c r="AW3581" s="35"/>
      <c r="AX3581" s="35"/>
      <c r="AY3581" s="35"/>
      <c r="AZ3581" s="35"/>
      <c r="BA3581" s="35"/>
      <c r="BB3581" s="22">
        <f t="shared" si="1076"/>
        <v>0</v>
      </c>
      <c r="BC3581" s="23">
        <v>0</v>
      </c>
      <c r="BD3581" s="130">
        <f t="shared" si="1077"/>
        <v>46</v>
      </c>
      <c r="BE3581" s="130">
        <f t="shared" si="1078"/>
        <v>382</v>
      </c>
      <c r="BF3581" s="195">
        <f t="shared" si="1079"/>
        <v>12.041884816753926</v>
      </c>
      <c r="BG3581" s="373">
        <f t="shared" si="1080"/>
        <v>336</v>
      </c>
    </row>
    <row r="3582" spans="1:61" s="46" customFormat="1" ht="15.95" customHeight="1">
      <c r="A3582" s="176">
        <v>7</v>
      </c>
      <c r="B3582" s="31" t="s">
        <v>746</v>
      </c>
      <c r="C3582" s="32" t="s">
        <v>1520</v>
      </c>
      <c r="D3582" s="231"/>
      <c r="E3582" s="231"/>
      <c r="F3582" s="231"/>
      <c r="G3582" s="231"/>
      <c r="H3582" s="231"/>
      <c r="I3582" s="231"/>
      <c r="J3582" s="231"/>
      <c r="K3582" s="231"/>
      <c r="L3582" s="231"/>
      <c r="M3582" s="231"/>
      <c r="N3582" s="231"/>
      <c r="O3582" s="231"/>
      <c r="P3582" s="231"/>
      <c r="Q3582" s="231"/>
      <c r="R3582" s="231"/>
      <c r="S3582" s="231"/>
      <c r="T3582" s="231"/>
      <c r="U3582" s="231"/>
      <c r="V3582" s="231"/>
      <c r="W3582" s="231"/>
      <c r="X3582" s="231"/>
      <c r="Y3582" s="231"/>
      <c r="Z3582" s="231"/>
      <c r="AA3582" s="231"/>
      <c r="AB3582" s="22">
        <f t="shared" si="1075"/>
        <v>0</v>
      </c>
      <c r="AC3582" s="23">
        <v>1</v>
      </c>
      <c r="AD3582" s="35"/>
      <c r="AE3582" s="35"/>
      <c r="AF3582" s="35"/>
      <c r="AG3582" s="35"/>
      <c r="AH3582" s="35"/>
      <c r="AI3582" s="35"/>
      <c r="AJ3582" s="35"/>
      <c r="AK3582" s="35"/>
      <c r="AL3582" s="35"/>
      <c r="AM3582" s="35"/>
      <c r="AN3582" s="35"/>
      <c r="AO3582" s="35"/>
      <c r="AP3582" s="35"/>
      <c r="AQ3582" s="35"/>
      <c r="AR3582" s="35"/>
      <c r="AS3582" s="35"/>
      <c r="AT3582" s="35"/>
      <c r="AU3582" s="35"/>
      <c r="AV3582" s="35"/>
      <c r="AW3582" s="35"/>
      <c r="AX3582" s="35"/>
      <c r="AY3582" s="35"/>
      <c r="AZ3582" s="35"/>
      <c r="BA3582" s="35"/>
      <c r="BB3582" s="22">
        <f t="shared" si="1076"/>
        <v>0</v>
      </c>
      <c r="BC3582" s="23">
        <v>0</v>
      </c>
      <c r="BD3582" s="130">
        <f t="shared" si="1077"/>
        <v>0</v>
      </c>
      <c r="BE3582" s="130">
        <f t="shared" si="1078"/>
        <v>1</v>
      </c>
      <c r="BF3582" s="195">
        <f t="shared" si="1079"/>
        <v>0</v>
      </c>
      <c r="BG3582" s="373">
        <f t="shared" si="1080"/>
        <v>1</v>
      </c>
    </row>
    <row r="3583" spans="1:61" s="46" customFormat="1" ht="15.95" customHeight="1">
      <c r="A3583" s="176">
        <v>8</v>
      </c>
      <c r="B3583" s="31" t="s">
        <v>756</v>
      </c>
      <c r="C3583" s="32" t="s">
        <v>757</v>
      </c>
      <c r="D3583" s="231"/>
      <c r="E3583" s="231"/>
      <c r="F3583" s="231"/>
      <c r="G3583" s="231"/>
      <c r="H3583" s="231">
        <v>541</v>
      </c>
      <c r="I3583" s="231"/>
      <c r="J3583" s="231"/>
      <c r="K3583" s="231"/>
      <c r="L3583" s="231">
        <v>1668</v>
      </c>
      <c r="M3583" s="231"/>
      <c r="N3583" s="231"/>
      <c r="O3583" s="231"/>
      <c r="P3583" s="231"/>
      <c r="Q3583" s="231"/>
      <c r="R3583" s="231"/>
      <c r="S3583" s="231"/>
      <c r="T3583" s="231"/>
      <c r="U3583" s="231"/>
      <c r="V3583" s="231"/>
      <c r="W3583" s="231"/>
      <c r="X3583" s="231"/>
      <c r="Y3583" s="231"/>
      <c r="Z3583" s="231"/>
      <c r="AA3583" s="231"/>
      <c r="AB3583" s="22">
        <f t="shared" si="1075"/>
        <v>2209</v>
      </c>
      <c r="AC3583" s="23">
        <v>4736</v>
      </c>
      <c r="AD3583" s="35"/>
      <c r="AE3583" s="35"/>
      <c r="AF3583" s="35"/>
      <c r="AG3583" s="35"/>
      <c r="AH3583" s="35"/>
      <c r="AI3583" s="35"/>
      <c r="AJ3583" s="35"/>
      <c r="AK3583" s="35"/>
      <c r="AL3583" s="35"/>
      <c r="AM3583" s="35"/>
      <c r="AN3583" s="35"/>
      <c r="AO3583" s="35"/>
      <c r="AP3583" s="35"/>
      <c r="AQ3583" s="35"/>
      <c r="AR3583" s="35"/>
      <c r="AS3583" s="35"/>
      <c r="AT3583" s="35"/>
      <c r="AU3583" s="35"/>
      <c r="AV3583" s="35"/>
      <c r="AW3583" s="35"/>
      <c r="AX3583" s="35"/>
      <c r="AY3583" s="35"/>
      <c r="AZ3583" s="35"/>
      <c r="BA3583" s="35"/>
      <c r="BB3583" s="22">
        <f t="shared" si="1076"/>
        <v>0</v>
      </c>
      <c r="BC3583" s="23">
        <v>0</v>
      </c>
      <c r="BD3583" s="130">
        <f t="shared" si="1077"/>
        <v>2209</v>
      </c>
      <c r="BE3583" s="130">
        <f t="shared" si="1078"/>
        <v>4736</v>
      </c>
      <c r="BF3583" s="195">
        <f t="shared" si="1079"/>
        <v>46.642736486486484</v>
      </c>
      <c r="BG3583" s="373">
        <f t="shared" si="1080"/>
        <v>2527</v>
      </c>
    </row>
    <row r="3584" spans="1:61" s="46" customFormat="1" ht="15.95" customHeight="1">
      <c r="A3584" s="176">
        <v>9</v>
      </c>
      <c r="B3584" s="31" t="s">
        <v>1140</v>
      </c>
      <c r="C3584" s="32" t="s">
        <v>1677</v>
      </c>
      <c r="D3584" s="327"/>
      <c r="E3584" s="327"/>
      <c r="F3584" s="327"/>
      <c r="G3584" s="327"/>
      <c r="H3584" s="327">
        <v>24</v>
      </c>
      <c r="I3584" s="327"/>
      <c r="J3584" s="327"/>
      <c r="K3584" s="327"/>
      <c r="L3584" s="327">
        <v>42</v>
      </c>
      <c r="M3584" s="327"/>
      <c r="N3584" s="327"/>
      <c r="O3584" s="327"/>
      <c r="P3584" s="327"/>
      <c r="Q3584" s="327"/>
      <c r="R3584" s="327"/>
      <c r="S3584" s="327"/>
      <c r="T3584" s="327"/>
      <c r="U3584" s="327"/>
      <c r="V3584" s="327"/>
      <c r="W3584" s="327"/>
      <c r="X3584" s="327"/>
      <c r="Y3584" s="327"/>
      <c r="Z3584" s="327"/>
      <c r="AA3584" s="327"/>
      <c r="AB3584" s="22">
        <f t="shared" si="1075"/>
        <v>66</v>
      </c>
      <c r="AC3584" s="23">
        <v>95</v>
      </c>
      <c r="AD3584" s="35"/>
      <c r="AE3584" s="35"/>
      <c r="AF3584" s="35"/>
      <c r="AG3584" s="35"/>
      <c r="AH3584" s="35"/>
      <c r="AI3584" s="35"/>
      <c r="AJ3584" s="35"/>
      <c r="AK3584" s="35"/>
      <c r="AL3584" s="35"/>
      <c r="AM3584" s="35"/>
      <c r="AN3584" s="35"/>
      <c r="AO3584" s="35"/>
      <c r="AP3584" s="35"/>
      <c r="AQ3584" s="35"/>
      <c r="AR3584" s="35"/>
      <c r="AS3584" s="35"/>
      <c r="AT3584" s="35"/>
      <c r="AU3584" s="35"/>
      <c r="AV3584" s="35"/>
      <c r="AW3584" s="35"/>
      <c r="AX3584" s="35"/>
      <c r="AY3584" s="35"/>
      <c r="AZ3584" s="35"/>
      <c r="BA3584" s="35"/>
      <c r="BB3584" s="22">
        <f t="shared" si="1076"/>
        <v>0</v>
      </c>
      <c r="BC3584" s="23">
        <v>0</v>
      </c>
      <c r="BD3584" s="130">
        <f t="shared" si="1077"/>
        <v>66</v>
      </c>
      <c r="BE3584" s="130">
        <f t="shared" si="1078"/>
        <v>95</v>
      </c>
      <c r="BF3584" s="195">
        <f t="shared" si="1079"/>
        <v>69.473684210526315</v>
      </c>
      <c r="BG3584" s="373">
        <f t="shared" si="1080"/>
        <v>29</v>
      </c>
    </row>
    <row r="3585" spans="1:59" s="46" customFormat="1" ht="15.95" customHeight="1">
      <c r="A3585" s="176">
        <v>10</v>
      </c>
      <c r="B3585" s="31" t="s">
        <v>1523</v>
      </c>
      <c r="C3585" s="32" t="s">
        <v>1678</v>
      </c>
      <c r="D3585" s="231"/>
      <c r="E3585" s="231"/>
      <c r="F3585" s="231"/>
      <c r="G3585" s="231"/>
      <c r="H3585" s="231"/>
      <c r="I3585" s="231"/>
      <c r="J3585" s="231"/>
      <c r="K3585" s="231"/>
      <c r="L3585" s="231"/>
      <c r="M3585" s="231"/>
      <c r="N3585" s="231"/>
      <c r="O3585" s="231"/>
      <c r="P3585" s="231"/>
      <c r="Q3585" s="231"/>
      <c r="R3585" s="231"/>
      <c r="S3585" s="231"/>
      <c r="T3585" s="231"/>
      <c r="U3585" s="231"/>
      <c r="V3585" s="231"/>
      <c r="W3585" s="231"/>
      <c r="X3585" s="231"/>
      <c r="Y3585" s="231"/>
      <c r="Z3585" s="231"/>
      <c r="AA3585" s="231"/>
      <c r="AB3585" s="22">
        <f t="shared" si="1075"/>
        <v>0</v>
      </c>
      <c r="AC3585" s="23">
        <v>45</v>
      </c>
      <c r="AD3585" s="35"/>
      <c r="AE3585" s="35"/>
      <c r="AF3585" s="35"/>
      <c r="AG3585" s="35"/>
      <c r="AH3585" s="35"/>
      <c r="AI3585" s="35"/>
      <c r="AJ3585" s="35"/>
      <c r="AK3585" s="35"/>
      <c r="AL3585" s="35"/>
      <c r="AM3585" s="35"/>
      <c r="AN3585" s="35"/>
      <c r="AO3585" s="35"/>
      <c r="AP3585" s="35"/>
      <c r="AQ3585" s="35"/>
      <c r="AR3585" s="35"/>
      <c r="AS3585" s="35"/>
      <c r="AT3585" s="35"/>
      <c r="AU3585" s="35"/>
      <c r="AV3585" s="35"/>
      <c r="AW3585" s="35"/>
      <c r="AX3585" s="35"/>
      <c r="AY3585" s="35"/>
      <c r="AZ3585" s="35"/>
      <c r="BA3585" s="35"/>
      <c r="BB3585" s="22">
        <f t="shared" si="1076"/>
        <v>0</v>
      </c>
      <c r="BC3585" s="23">
        <v>0</v>
      </c>
      <c r="BD3585" s="130">
        <f t="shared" si="1077"/>
        <v>0</v>
      </c>
      <c r="BE3585" s="130">
        <f t="shared" si="1078"/>
        <v>45</v>
      </c>
      <c r="BF3585" s="195">
        <f t="shared" si="1079"/>
        <v>0</v>
      </c>
      <c r="BG3585" s="373">
        <f t="shared" si="1080"/>
        <v>45</v>
      </c>
    </row>
    <row r="3586" spans="1:59" s="46" customFormat="1" ht="15.95" customHeight="1">
      <c r="A3586" s="176">
        <v>11</v>
      </c>
      <c r="B3586" s="31" t="s">
        <v>772</v>
      </c>
      <c r="C3586" s="32" t="s">
        <v>773</v>
      </c>
      <c r="D3586" s="231"/>
      <c r="E3586" s="231"/>
      <c r="F3586" s="231"/>
      <c r="G3586" s="231"/>
      <c r="H3586" s="231">
        <v>267</v>
      </c>
      <c r="I3586" s="231"/>
      <c r="J3586" s="231"/>
      <c r="K3586" s="231"/>
      <c r="L3586" s="231">
        <v>1267</v>
      </c>
      <c r="M3586" s="231"/>
      <c r="N3586" s="231"/>
      <c r="O3586" s="231"/>
      <c r="P3586" s="231"/>
      <c r="Q3586" s="231"/>
      <c r="R3586" s="231"/>
      <c r="S3586" s="231"/>
      <c r="T3586" s="231"/>
      <c r="U3586" s="231"/>
      <c r="V3586" s="231"/>
      <c r="W3586" s="231"/>
      <c r="X3586" s="231"/>
      <c r="Y3586" s="231"/>
      <c r="Z3586" s="231"/>
      <c r="AA3586" s="231"/>
      <c r="AB3586" s="22">
        <f t="shared" si="1075"/>
        <v>1534</v>
      </c>
      <c r="AC3586" s="23">
        <v>5593</v>
      </c>
      <c r="AD3586" s="35"/>
      <c r="AE3586" s="35"/>
      <c r="AF3586" s="35"/>
      <c r="AG3586" s="35"/>
      <c r="AH3586" s="35"/>
      <c r="AI3586" s="35"/>
      <c r="AJ3586" s="35"/>
      <c r="AK3586" s="35"/>
      <c r="AL3586" s="35"/>
      <c r="AM3586" s="35"/>
      <c r="AN3586" s="35"/>
      <c r="AO3586" s="35"/>
      <c r="AP3586" s="35"/>
      <c r="AQ3586" s="35"/>
      <c r="AR3586" s="35"/>
      <c r="AS3586" s="35"/>
      <c r="AT3586" s="35"/>
      <c r="AU3586" s="35"/>
      <c r="AV3586" s="35"/>
      <c r="AW3586" s="35"/>
      <c r="AX3586" s="35"/>
      <c r="AY3586" s="35"/>
      <c r="AZ3586" s="35"/>
      <c r="BA3586" s="35"/>
      <c r="BB3586" s="22">
        <f t="shared" si="1076"/>
        <v>0</v>
      </c>
      <c r="BC3586" s="23">
        <v>0</v>
      </c>
      <c r="BD3586" s="130">
        <f t="shared" si="1077"/>
        <v>1534</v>
      </c>
      <c r="BE3586" s="130">
        <f t="shared" si="1078"/>
        <v>5593</v>
      </c>
      <c r="BF3586" s="195">
        <f t="shared" si="1079"/>
        <v>27.427141069193635</v>
      </c>
      <c r="BG3586" s="373">
        <f t="shared" si="1080"/>
        <v>4059</v>
      </c>
    </row>
    <row r="3587" spans="1:59" s="46" customFormat="1" ht="15.95" customHeight="1">
      <c r="A3587" s="176">
        <v>12</v>
      </c>
      <c r="B3587" s="31" t="s">
        <v>1284</v>
      </c>
      <c r="C3587" s="32" t="s">
        <v>1285</v>
      </c>
      <c r="D3587" s="231"/>
      <c r="E3587" s="231"/>
      <c r="F3587" s="231"/>
      <c r="G3587" s="231"/>
      <c r="H3587" s="231"/>
      <c r="I3587" s="231"/>
      <c r="J3587" s="231"/>
      <c r="K3587" s="231"/>
      <c r="L3587" s="231"/>
      <c r="M3587" s="231"/>
      <c r="N3587" s="231"/>
      <c r="O3587" s="231"/>
      <c r="P3587" s="231"/>
      <c r="Q3587" s="231"/>
      <c r="R3587" s="231"/>
      <c r="S3587" s="231"/>
      <c r="T3587" s="231"/>
      <c r="U3587" s="231"/>
      <c r="V3587" s="231"/>
      <c r="W3587" s="231"/>
      <c r="X3587" s="231"/>
      <c r="Y3587" s="231"/>
      <c r="Z3587" s="231"/>
      <c r="AA3587" s="231"/>
      <c r="AB3587" s="22">
        <f t="shared" si="1075"/>
        <v>0</v>
      </c>
      <c r="AC3587" s="23">
        <v>4</v>
      </c>
      <c r="AD3587" s="35"/>
      <c r="AE3587" s="35"/>
      <c r="AF3587" s="35"/>
      <c r="AG3587" s="35"/>
      <c r="AH3587" s="35"/>
      <c r="AI3587" s="35"/>
      <c r="AJ3587" s="35"/>
      <c r="AK3587" s="35"/>
      <c r="AL3587" s="35"/>
      <c r="AM3587" s="35"/>
      <c r="AN3587" s="35"/>
      <c r="AO3587" s="35"/>
      <c r="AP3587" s="35"/>
      <c r="AQ3587" s="35"/>
      <c r="AR3587" s="35"/>
      <c r="AS3587" s="35"/>
      <c r="AT3587" s="35"/>
      <c r="AU3587" s="35"/>
      <c r="AV3587" s="35"/>
      <c r="AW3587" s="35"/>
      <c r="AX3587" s="35"/>
      <c r="AY3587" s="35"/>
      <c r="AZ3587" s="35"/>
      <c r="BA3587" s="35"/>
      <c r="BB3587" s="22">
        <f t="shared" si="1076"/>
        <v>0</v>
      </c>
      <c r="BC3587" s="23">
        <v>0</v>
      </c>
      <c r="BD3587" s="130">
        <f t="shared" si="1077"/>
        <v>0</v>
      </c>
      <c r="BE3587" s="130">
        <f t="shared" si="1078"/>
        <v>4</v>
      </c>
      <c r="BF3587" s="195">
        <f t="shared" si="1079"/>
        <v>0</v>
      </c>
      <c r="BG3587" s="373">
        <f t="shared" si="1080"/>
        <v>4</v>
      </c>
    </row>
    <row r="3588" spans="1:59" s="46" customFormat="1" ht="15.95" customHeight="1">
      <c r="A3588" s="176">
        <v>13</v>
      </c>
      <c r="B3588" s="31" t="s">
        <v>780</v>
      </c>
      <c r="C3588" s="32" t="s">
        <v>991</v>
      </c>
      <c r="D3588" s="231"/>
      <c r="E3588" s="231"/>
      <c r="F3588" s="231"/>
      <c r="G3588" s="231"/>
      <c r="H3588" s="231">
        <v>65</v>
      </c>
      <c r="I3588" s="231"/>
      <c r="J3588" s="231"/>
      <c r="K3588" s="231"/>
      <c r="L3588" s="231">
        <v>153</v>
      </c>
      <c r="M3588" s="231"/>
      <c r="N3588" s="231"/>
      <c r="O3588" s="231"/>
      <c r="P3588" s="231"/>
      <c r="Q3588" s="231"/>
      <c r="R3588" s="231"/>
      <c r="S3588" s="231"/>
      <c r="T3588" s="231"/>
      <c r="U3588" s="231"/>
      <c r="V3588" s="231"/>
      <c r="W3588" s="231"/>
      <c r="X3588" s="231"/>
      <c r="Y3588" s="231"/>
      <c r="Z3588" s="231"/>
      <c r="AA3588" s="231"/>
      <c r="AB3588" s="22">
        <f t="shared" si="1075"/>
        <v>218</v>
      </c>
      <c r="AC3588" s="23">
        <v>641</v>
      </c>
      <c r="AD3588" s="35"/>
      <c r="AE3588" s="35"/>
      <c r="AF3588" s="35"/>
      <c r="AG3588" s="35"/>
      <c r="AH3588" s="35"/>
      <c r="AI3588" s="35"/>
      <c r="AJ3588" s="35"/>
      <c r="AK3588" s="35"/>
      <c r="AL3588" s="35"/>
      <c r="AM3588" s="35"/>
      <c r="AN3588" s="35"/>
      <c r="AO3588" s="35"/>
      <c r="AP3588" s="35"/>
      <c r="AQ3588" s="35"/>
      <c r="AR3588" s="35"/>
      <c r="AS3588" s="35"/>
      <c r="AT3588" s="35"/>
      <c r="AU3588" s="35"/>
      <c r="AV3588" s="35"/>
      <c r="AW3588" s="35"/>
      <c r="AX3588" s="35"/>
      <c r="AY3588" s="35"/>
      <c r="AZ3588" s="35"/>
      <c r="BA3588" s="35"/>
      <c r="BB3588" s="22">
        <f t="shared" si="1076"/>
        <v>0</v>
      </c>
      <c r="BC3588" s="23">
        <f t="shared" ref="BC3588:BC3594" si="1081">BB3588</f>
        <v>0</v>
      </c>
      <c r="BD3588" s="130">
        <f t="shared" si="1077"/>
        <v>218</v>
      </c>
      <c r="BE3588" s="130">
        <f t="shared" si="1078"/>
        <v>641</v>
      </c>
      <c r="BF3588" s="195">
        <f t="shared" si="1079"/>
        <v>34.009360374414975</v>
      </c>
      <c r="BG3588" s="373">
        <f t="shared" si="1080"/>
        <v>423</v>
      </c>
    </row>
    <row r="3589" spans="1:59" s="46" customFormat="1" ht="15.95" customHeight="1">
      <c r="A3589" s="176">
        <v>14</v>
      </c>
      <c r="B3589" s="31" t="s">
        <v>783</v>
      </c>
      <c r="C3589" s="32" t="s">
        <v>1370</v>
      </c>
      <c r="D3589" s="231"/>
      <c r="E3589" s="231"/>
      <c r="F3589" s="231"/>
      <c r="G3589" s="231"/>
      <c r="H3589" s="231">
        <v>2</v>
      </c>
      <c r="I3589" s="231"/>
      <c r="J3589" s="231"/>
      <c r="K3589" s="231"/>
      <c r="L3589" s="231">
        <v>9</v>
      </c>
      <c r="M3589" s="231"/>
      <c r="N3589" s="231"/>
      <c r="O3589" s="231"/>
      <c r="P3589" s="231"/>
      <c r="Q3589" s="231"/>
      <c r="R3589" s="231"/>
      <c r="S3589" s="231"/>
      <c r="T3589" s="231"/>
      <c r="U3589" s="231"/>
      <c r="V3589" s="231"/>
      <c r="W3589" s="231"/>
      <c r="X3589" s="231"/>
      <c r="Y3589" s="231"/>
      <c r="Z3589" s="231"/>
      <c r="AA3589" s="231"/>
      <c r="AB3589" s="22">
        <f t="shared" si="1075"/>
        <v>11</v>
      </c>
      <c r="AC3589" s="23">
        <v>17</v>
      </c>
      <c r="AD3589" s="35"/>
      <c r="AE3589" s="35"/>
      <c r="AF3589" s="35"/>
      <c r="AG3589" s="35"/>
      <c r="AH3589" s="35"/>
      <c r="AI3589" s="35"/>
      <c r="AJ3589" s="35"/>
      <c r="AK3589" s="35"/>
      <c r="AL3589" s="35"/>
      <c r="AM3589" s="35"/>
      <c r="AN3589" s="35"/>
      <c r="AO3589" s="35"/>
      <c r="AP3589" s="35"/>
      <c r="AQ3589" s="35"/>
      <c r="AR3589" s="35"/>
      <c r="AS3589" s="35"/>
      <c r="AT3589" s="35"/>
      <c r="AU3589" s="35"/>
      <c r="AV3589" s="35"/>
      <c r="AW3589" s="35"/>
      <c r="AX3589" s="35"/>
      <c r="AY3589" s="35"/>
      <c r="AZ3589" s="35"/>
      <c r="BA3589" s="35"/>
      <c r="BB3589" s="22">
        <f t="shared" si="1076"/>
        <v>0</v>
      </c>
      <c r="BC3589" s="23">
        <f t="shared" si="1081"/>
        <v>0</v>
      </c>
      <c r="BD3589" s="130">
        <f t="shared" si="1077"/>
        <v>11</v>
      </c>
      <c r="BE3589" s="130">
        <f t="shared" si="1078"/>
        <v>17</v>
      </c>
      <c r="BF3589" s="195">
        <f t="shared" si="1079"/>
        <v>64.705882352941174</v>
      </c>
      <c r="BG3589" s="373">
        <f t="shared" si="1080"/>
        <v>6</v>
      </c>
    </row>
    <row r="3590" spans="1:59" s="46" customFormat="1" ht="15.95" customHeight="1">
      <c r="A3590" s="176">
        <v>15</v>
      </c>
      <c r="B3590" s="31" t="s">
        <v>1475</v>
      </c>
      <c r="C3590" s="32" t="s">
        <v>1476</v>
      </c>
      <c r="D3590" s="231"/>
      <c r="E3590" s="231"/>
      <c r="F3590" s="231"/>
      <c r="G3590" s="231"/>
      <c r="H3590" s="231"/>
      <c r="I3590" s="231"/>
      <c r="J3590" s="231"/>
      <c r="K3590" s="231"/>
      <c r="L3590" s="231"/>
      <c r="M3590" s="231"/>
      <c r="N3590" s="231"/>
      <c r="O3590" s="231"/>
      <c r="P3590" s="231"/>
      <c r="Q3590" s="231"/>
      <c r="R3590" s="231"/>
      <c r="S3590" s="231"/>
      <c r="T3590" s="231"/>
      <c r="U3590" s="231"/>
      <c r="V3590" s="231"/>
      <c r="W3590" s="231"/>
      <c r="X3590" s="231"/>
      <c r="Y3590" s="231"/>
      <c r="Z3590" s="231"/>
      <c r="AA3590" s="231"/>
      <c r="AB3590" s="22">
        <f t="shared" si="1075"/>
        <v>0</v>
      </c>
      <c r="AC3590" s="23">
        <v>2</v>
      </c>
      <c r="AD3590" s="35"/>
      <c r="AE3590" s="35"/>
      <c r="AF3590" s="35"/>
      <c r="AG3590" s="35"/>
      <c r="AH3590" s="35"/>
      <c r="AI3590" s="35"/>
      <c r="AJ3590" s="35"/>
      <c r="AK3590" s="35"/>
      <c r="AL3590" s="35"/>
      <c r="AM3590" s="35"/>
      <c r="AN3590" s="35"/>
      <c r="AO3590" s="35"/>
      <c r="AP3590" s="35"/>
      <c r="AQ3590" s="35"/>
      <c r="AR3590" s="35"/>
      <c r="AS3590" s="35"/>
      <c r="AT3590" s="35"/>
      <c r="AU3590" s="35"/>
      <c r="AV3590" s="35"/>
      <c r="AW3590" s="35"/>
      <c r="AX3590" s="35"/>
      <c r="AY3590" s="35"/>
      <c r="AZ3590" s="35"/>
      <c r="BA3590" s="35"/>
      <c r="BB3590" s="22">
        <f t="shared" si="1076"/>
        <v>0</v>
      </c>
      <c r="BC3590" s="23">
        <f t="shared" si="1081"/>
        <v>0</v>
      </c>
      <c r="BD3590" s="130">
        <f t="shared" si="1077"/>
        <v>0</v>
      </c>
      <c r="BE3590" s="130">
        <f t="shared" si="1078"/>
        <v>2</v>
      </c>
      <c r="BF3590" s="195">
        <f t="shared" si="1079"/>
        <v>0</v>
      </c>
      <c r="BG3590" s="373">
        <f t="shared" si="1080"/>
        <v>2</v>
      </c>
    </row>
    <row r="3591" spans="1:59" s="46" customFormat="1" ht="15.95" customHeight="1">
      <c r="A3591" s="176">
        <v>16</v>
      </c>
      <c r="B3591" s="31" t="s">
        <v>1477</v>
      </c>
      <c r="C3591" s="32" t="s">
        <v>1478</v>
      </c>
      <c r="D3591" s="231"/>
      <c r="E3591" s="231"/>
      <c r="F3591" s="231"/>
      <c r="G3591" s="231"/>
      <c r="H3591" s="231"/>
      <c r="I3591" s="231"/>
      <c r="J3591" s="231"/>
      <c r="K3591" s="231"/>
      <c r="L3591" s="231"/>
      <c r="M3591" s="231"/>
      <c r="N3591" s="231"/>
      <c r="O3591" s="231"/>
      <c r="P3591" s="231"/>
      <c r="Q3591" s="231"/>
      <c r="R3591" s="231"/>
      <c r="S3591" s="231"/>
      <c r="T3591" s="231"/>
      <c r="U3591" s="231"/>
      <c r="V3591" s="231"/>
      <c r="W3591" s="231"/>
      <c r="X3591" s="231"/>
      <c r="Y3591" s="231"/>
      <c r="Z3591" s="231"/>
      <c r="AA3591" s="231"/>
      <c r="AB3591" s="22">
        <f t="shared" si="1075"/>
        <v>0</v>
      </c>
      <c r="AC3591" s="23">
        <v>1</v>
      </c>
      <c r="AD3591" s="35"/>
      <c r="AE3591" s="35"/>
      <c r="AF3591" s="35"/>
      <c r="AG3591" s="35"/>
      <c r="AH3591" s="35"/>
      <c r="AI3591" s="35"/>
      <c r="AJ3591" s="35"/>
      <c r="AK3591" s="35"/>
      <c r="AL3591" s="35"/>
      <c r="AM3591" s="35"/>
      <c r="AN3591" s="35"/>
      <c r="AO3591" s="35"/>
      <c r="AP3591" s="35"/>
      <c r="AQ3591" s="35"/>
      <c r="AR3591" s="35"/>
      <c r="AS3591" s="35"/>
      <c r="AT3591" s="35"/>
      <c r="AU3591" s="35"/>
      <c r="AV3591" s="35"/>
      <c r="AW3591" s="35"/>
      <c r="AX3591" s="35"/>
      <c r="AY3591" s="35"/>
      <c r="AZ3591" s="35"/>
      <c r="BA3591" s="35"/>
      <c r="BB3591" s="22">
        <f t="shared" si="1076"/>
        <v>0</v>
      </c>
      <c r="BC3591" s="23">
        <f t="shared" si="1081"/>
        <v>0</v>
      </c>
      <c r="BD3591" s="130">
        <f t="shared" si="1077"/>
        <v>0</v>
      </c>
      <c r="BE3591" s="130">
        <f t="shared" si="1078"/>
        <v>1</v>
      </c>
      <c r="BF3591" s="195">
        <f t="shared" si="1079"/>
        <v>0</v>
      </c>
      <c r="BG3591" s="373">
        <f t="shared" si="1080"/>
        <v>1</v>
      </c>
    </row>
    <row r="3592" spans="1:59" s="46" customFormat="1" ht="15.95" customHeight="1">
      <c r="A3592" s="176">
        <v>17</v>
      </c>
      <c r="B3592" s="31" t="s">
        <v>1428</v>
      </c>
      <c r="C3592" s="32" t="s">
        <v>1429</v>
      </c>
      <c r="D3592" s="231"/>
      <c r="E3592" s="231"/>
      <c r="F3592" s="231"/>
      <c r="G3592" s="231"/>
      <c r="H3592" s="231"/>
      <c r="I3592" s="231"/>
      <c r="J3592" s="231"/>
      <c r="K3592" s="231"/>
      <c r="L3592" s="231">
        <v>2</v>
      </c>
      <c r="M3592" s="231"/>
      <c r="N3592" s="231"/>
      <c r="O3592" s="231"/>
      <c r="P3592" s="231"/>
      <c r="Q3592" s="231"/>
      <c r="R3592" s="231"/>
      <c r="S3592" s="231"/>
      <c r="T3592" s="231"/>
      <c r="U3592" s="231"/>
      <c r="V3592" s="231"/>
      <c r="W3592" s="231"/>
      <c r="X3592" s="231"/>
      <c r="Y3592" s="231"/>
      <c r="Z3592" s="231"/>
      <c r="AA3592" s="231"/>
      <c r="AB3592" s="22">
        <f t="shared" si="1075"/>
        <v>2</v>
      </c>
      <c r="AC3592" s="23">
        <v>1</v>
      </c>
      <c r="AD3592" s="35"/>
      <c r="AE3592" s="35"/>
      <c r="AF3592" s="35"/>
      <c r="AG3592" s="35"/>
      <c r="AH3592" s="35"/>
      <c r="AI3592" s="35"/>
      <c r="AJ3592" s="35"/>
      <c r="AK3592" s="35"/>
      <c r="AL3592" s="35"/>
      <c r="AM3592" s="35"/>
      <c r="AN3592" s="35"/>
      <c r="AO3592" s="35"/>
      <c r="AP3592" s="35"/>
      <c r="AQ3592" s="35"/>
      <c r="AR3592" s="35"/>
      <c r="AS3592" s="35"/>
      <c r="AT3592" s="35"/>
      <c r="AU3592" s="35"/>
      <c r="AV3592" s="35"/>
      <c r="AW3592" s="35"/>
      <c r="AX3592" s="35"/>
      <c r="AY3592" s="35"/>
      <c r="AZ3592" s="35"/>
      <c r="BA3592" s="35"/>
      <c r="BB3592" s="22">
        <f t="shared" si="1076"/>
        <v>0</v>
      </c>
      <c r="BC3592" s="23">
        <f t="shared" si="1081"/>
        <v>0</v>
      </c>
      <c r="BD3592" s="130">
        <f t="shared" si="1077"/>
        <v>2</v>
      </c>
      <c r="BE3592" s="130">
        <f t="shared" si="1078"/>
        <v>1</v>
      </c>
      <c r="BF3592" s="195">
        <f t="shared" si="1079"/>
        <v>200</v>
      </c>
      <c r="BG3592" s="373">
        <f t="shared" si="1080"/>
        <v>-1</v>
      </c>
    </row>
    <row r="3593" spans="1:59" s="46" customFormat="1" ht="15.95" customHeight="1">
      <c r="A3593" s="176">
        <v>18</v>
      </c>
      <c r="B3593" s="31" t="s">
        <v>1312</v>
      </c>
      <c r="C3593" s="32" t="s">
        <v>1313</v>
      </c>
      <c r="D3593" s="231"/>
      <c r="E3593" s="231"/>
      <c r="F3593" s="231"/>
      <c r="G3593" s="231"/>
      <c r="H3593" s="231"/>
      <c r="I3593" s="231"/>
      <c r="J3593" s="231"/>
      <c r="K3593" s="231"/>
      <c r="L3593" s="231"/>
      <c r="M3593" s="231"/>
      <c r="N3593" s="231"/>
      <c r="O3593" s="231"/>
      <c r="P3593" s="231"/>
      <c r="Q3593" s="231"/>
      <c r="R3593" s="231"/>
      <c r="S3593" s="231"/>
      <c r="T3593" s="231"/>
      <c r="U3593" s="231"/>
      <c r="V3593" s="231"/>
      <c r="W3593" s="231"/>
      <c r="X3593" s="231"/>
      <c r="Y3593" s="231"/>
      <c r="Z3593" s="231"/>
      <c r="AA3593" s="231"/>
      <c r="AB3593" s="22">
        <f t="shared" si="1075"/>
        <v>0</v>
      </c>
      <c r="AC3593" s="23">
        <v>1</v>
      </c>
      <c r="AD3593" s="35"/>
      <c r="AE3593" s="35"/>
      <c r="AF3593" s="35"/>
      <c r="AG3593" s="35"/>
      <c r="AH3593" s="35"/>
      <c r="AI3593" s="35"/>
      <c r="AJ3593" s="35"/>
      <c r="AK3593" s="35"/>
      <c r="AL3593" s="35"/>
      <c r="AM3593" s="35"/>
      <c r="AN3593" s="35"/>
      <c r="AO3593" s="35"/>
      <c r="AP3593" s="35"/>
      <c r="AQ3593" s="35"/>
      <c r="AR3593" s="35"/>
      <c r="AS3593" s="35"/>
      <c r="AT3593" s="35"/>
      <c r="AU3593" s="35"/>
      <c r="AV3593" s="35"/>
      <c r="AW3593" s="35"/>
      <c r="AX3593" s="35"/>
      <c r="AY3593" s="35"/>
      <c r="AZ3593" s="35"/>
      <c r="BA3593" s="35"/>
      <c r="BB3593" s="22">
        <f t="shared" si="1076"/>
        <v>0</v>
      </c>
      <c r="BC3593" s="23">
        <f t="shared" si="1081"/>
        <v>0</v>
      </c>
      <c r="BD3593" s="130">
        <f t="shared" si="1077"/>
        <v>0</v>
      </c>
      <c r="BE3593" s="130">
        <f t="shared" si="1078"/>
        <v>1</v>
      </c>
      <c r="BF3593" s="195">
        <f t="shared" si="1079"/>
        <v>0</v>
      </c>
      <c r="BG3593" s="373">
        <f t="shared" si="1080"/>
        <v>1</v>
      </c>
    </row>
    <row r="3594" spans="1:59" s="46" customFormat="1" ht="15.95" customHeight="1">
      <c r="A3594" s="176">
        <v>19</v>
      </c>
      <c r="B3594" s="31" t="s">
        <v>1494</v>
      </c>
      <c r="C3594" s="32" t="s">
        <v>1679</v>
      </c>
      <c r="D3594" s="390"/>
      <c r="E3594" s="390"/>
      <c r="F3594" s="390"/>
      <c r="G3594" s="390"/>
      <c r="H3594" s="390"/>
      <c r="I3594" s="390"/>
      <c r="J3594" s="390"/>
      <c r="K3594" s="390"/>
      <c r="L3594" s="390"/>
      <c r="M3594" s="390"/>
      <c r="N3594" s="390"/>
      <c r="O3594" s="390"/>
      <c r="P3594" s="390"/>
      <c r="Q3594" s="390"/>
      <c r="R3594" s="390"/>
      <c r="S3594" s="390"/>
      <c r="T3594" s="390"/>
      <c r="U3594" s="390"/>
      <c r="V3594" s="390"/>
      <c r="W3594" s="390"/>
      <c r="X3594" s="390"/>
      <c r="Y3594" s="390"/>
      <c r="Z3594" s="390"/>
      <c r="AA3594" s="390"/>
      <c r="AB3594" s="22">
        <f t="shared" si="1075"/>
        <v>0</v>
      </c>
      <c r="AC3594" s="23">
        <v>2</v>
      </c>
      <c r="AD3594" s="35"/>
      <c r="AE3594" s="35"/>
      <c r="AF3594" s="35"/>
      <c r="AG3594" s="35"/>
      <c r="AH3594" s="35"/>
      <c r="AI3594" s="35"/>
      <c r="AJ3594" s="35"/>
      <c r="AK3594" s="35"/>
      <c r="AL3594" s="35"/>
      <c r="AM3594" s="35"/>
      <c r="AN3594" s="35"/>
      <c r="AO3594" s="35"/>
      <c r="AP3594" s="35"/>
      <c r="AQ3594" s="35"/>
      <c r="AR3594" s="35"/>
      <c r="AS3594" s="35"/>
      <c r="AT3594" s="35"/>
      <c r="AU3594" s="35"/>
      <c r="AV3594" s="35"/>
      <c r="AW3594" s="35"/>
      <c r="AX3594" s="35"/>
      <c r="AY3594" s="35"/>
      <c r="AZ3594" s="35"/>
      <c r="BA3594" s="35"/>
      <c r="BB3594" s="22">
        <f t="shared" si="1076"/>
        <v>0</v>
      </c>
      <c r="BC3594" s="23">
        <f t="shared" si="1081"/>
        <v>0</v>
      </c>
      <c r="BD3594" s="130">
        <f t="shared" si="1077"/>
        <v>0</v>
      </c>
      <c r="BE3594" s="130">
        <f t="shared" si="1078"/>
        <v>2</v>
      </c>
      <c r="BF3594" s="195">
        <f t="shared" si="1079"/>
        <v>0</v>
      </c>
      <c r="BG3594" s="373">
        <f t="shared" si="1080"/>
        <v>2</v>
      </c>
    </row>
    <row r="3595" spans="1:59" s="46" customFormat="1" ht="15.95" customHeight="1">
      <c r="A3595" s="176">
        <v>20</v>
      </c>
      <c r="B3595" s="31" t="s">
        <v>819</v>
      </c>
      <c r="C3595" s="32" t="s">
        <v>2257</v>
      </c>
      <c r="D3595" s="390"/>
      <c r="E3595" s="390"/>
      <c r="F3595" s="390"/>
      <c r="G3595" s="390"/>
      <c r="H3595" s="390"/>
      <c r="I3595" s="390"/>
      <c r="J3595" s="390"/>
      <c r="K3595" s="390"/>
      <c r="L3595" s="390"/>
      <c r="M3595" s="390"/>
      <c r="N3595" s="390"/>
      <c r="O3595" s="390"/>
      <c r="P3595" s="390"/>
      <c r="Q3595" s="390"/>
      <c r="R3595" s="390"/>
      <c r="S3595" s="390"/>
      <c r="T3595" s="390"/>
      <c r="U3595" s="390"/>
      <c r="V3595" s="390"/>
      <c r="W3595" s="390"/>
      <c r="X3595" s="390"/>
      <c r="Y3595" s="390"/>
      <c r="Z3595" s="390"/>
      <c r="AA3595" s="390"/>
      <c r="AB3595" s="22">
        <f t="shared" si="1075"/>
        <v>0</v>
      </c>
      <c r="AC3595" s="23">
        <v>1</v>
      </c>
      <c r="AD3595" s="35"/>
      <c r="AE3595" s="35"/>
      <c r="AF3595" s="35"/>
      <c r="AG3595" s="35"/>
      <c r="AH3595" s="35"/>
      <c r="AI3595" s="35"/>
      <c r="AJ3595" s="35"/>
      <c r="AK3595" s="35"/>
      <c r="AL3595" s="35"/>
      <c r="AM3595" s="35"/>
      <c r="AN3595" s="35"/>
      <c r="AO3595" s="35"/>
      <c r="AP3595" s="35"/>
      <c r="AQ3595" s="35"/>
      <c r="AR3595" s="35"/>
      <c r="AS3595" s="35"/>
      <c r="AT3595" s="35"/>
      <c r="AU3595" s="35"/>
      <c r="AV3595" s="35"/>
      <c r="AW3595" s="35"/>
      <c r="AX3595" s="35"/>
      <c r="AY3595" s="35"/>
      <c r="AZ3595" s="35"/>
      <c r="BA3595" s="35"/>
      <c r="BB3595" s="22">
        <f t="shared" si="1076"/>
        <v>0</v>
      </c>
      <c r="BC3595" s="23">
        <v>0</v>
      </c>
      <c r="BD3595" s="130">
        <f t="shared" si="1077"/>
        <v>0</v>
      </c>
      <c r="BE3595" s="130">
        <f t="shared" si="1078"/>
        <v>1</v>
      </c>
      <c r="BF3595" s="195">
        <f t="shared" si="1079"/>
        <v>0</v>
      </c>
      <c r="BG3595" s="373">
        <f t="shared" si="1080"/>
        <v>1</v>
      </c>
    </row>
    <row r="3596" spans="1:59" s="46" customFormat="1" ht="15.95" customHeight="1">
      <c r="A3596" s="176">
        <v>21</v>
      </c>
      <c r="B3596" s="31" t="s">
        <v>1047</v>
      </c>
      <c r="C3596" s="32" t="s">
        <v>1326</v>
      </c>
      <c r="D3596" s="409"/>
      <c r="E3596" s="409"/>
      <c r="F3596" s="409"/>
      <c r="G3596" s="409"/>
      <c r="H3596" s="409">
        <v>1</v>
      </c>
      <c r="I3596" s="409"/>
      <c r="J3596" s="409"/>
      <c r="K3596" s="409"/>
      <c r="L3596" s="409">
        <v>5</v>
      </c>
      <c r="M3596" s="409"/>
      <c r="N3596" s="409"/>
      <c r="O3596" s="409"/>
      <c r="P3596" s="409"/>
      <c r="Q3596" s="409"/>
      <c r="R3596" s="409"/>
      <c r="S3596" s="409"/>
      <c r="T3596" s="409"/>
      <c r="U3596" s="409"/>
      <c r="V3596" s="409"/>
      <c r="W3596" s="409"/>
      <c r="X3596" s="409"/>
      <c r="Y3596" s="409"/>
      <c r="Z3596" s="409"/>
      <c r="AA3596" s="409"/>
      <c r="AB3596" s="22">
        <f t="shared" si="1075"/>
        <v>6</v>
      </c>
      <c r="AC3596" s="23">
        <v>1</v>
      </c>
      <c r="AD3596" s="35"/>
      <c r="AE3596" s="35"/>
      <c r="AF3596" s="35"/>
      <c r="AG3596" s="35"/>
      <c r="AH3596" s="35"/>
      <c r="AI3596" s="35"/>
      <c r="AJ3596" s="35"/>
      <c r="AK3596" s="35"/>
      <c r="AL3596" s="35"/>
      <c r="AM3596" s="35"/>
      <c r="AN3596" s="35"/>
      <c r="AO3596" s="35"/>
      <c r="AP3596" s="35"/>
      <c r="AQ3596" s="35"/>
      <c r="AR3596" s="35"/>
      <c r="AS3596" s="35"/>
      <c r="AT3596" s="35"/>
      <c r="AU3596" s="35"/>
      <c r="AV3596" s="35"/>
      <c r="AW3596" s="35"/>
      <c r="AX3596" s="35"/>
      <c r="AY3596" s="35"/>
      <c r="AZ3596" s="35"/>
      <c r="BA3596" s="35"/>
      <c r="BB3596" s="22">
        <f t="shared" si="1076"/>
        <v>0</v>
      </c>
      <c r="BC3596" s="23">
        <v>0</v>
      </c>
      <c r="BD3596" s="130">
        <f t="shared" si="1077"/>
        <v>6</v>
      </c>
      <c r="BE3596" s="130">
        <f t="shared" si="1078"/>
        <v>1</v>
      </c>
      <c r="BF3596" s="195">
        <f t="shared" si="1079"/>
        <v>600</v>
      </c>
      <c r="BG3596" s="373">
        <f t="shared" si="1080"/>
        <v>-5</v>
      </c>
    </row>
    <row r="3597" spans="1:59" s="46" customFormat="1" ht="15.95" customHeight="1">
      <c r="A3597" s="176">
        <v>22</v>
      </c>
      <c r="B3597" s="31" t="s">
        <v>1327</v>
      </c>
      <c r="C3597" s="32" t="s">
        <v>1328</v>
      </c>
      <c r="D3597" s="552"/>
      <c r="E3597" s="552"/>
      <c r="F3597" s="552"/>
      <c r="G3597" s="552"/>
      <c r="H3597" s="552"/>
      <c r="I3597" s="552"/>
      <c r="J3597" s="552"/>
      <c r="K3597" s="552"/>
      <c r="L3597" s="552">
        <v>2</v>
      </c>
      <c r="M3597" s="552"/>
      <c r="N3597" s="552"/>
      <c r="O3597" s="552"/>
      <c r="P3597" s="552"/>
      <c r="Q3597" s="552"/>
      <c r="R3597" s="552"/>
      <c r="S3597" s="552"/>
      <c r="T3597" s="552"/>
      <c r="U3597" s="552"/>
      <c r="V3597" s="552"/>
      <c r="W3597" s="552"/>
      <c r="X3597" s="552"/>
      <c r="Y3597" s="552"/>
      <c r="Z3597" s="552"/>
      <c r="AA3597" s="552"/>
      <c r="AB3597" s="22">
        <f t="shared" si="1075"/>
        <v>2</v>
      </c>
      <c r="AC3597" s="23">
        <v>0</v>
      </c>
      <c r="AD3597" s="35"/>
      <c r="AE3597" s="35"/>
      <c r="AF3597" s="35"/>
      <c r="AG3597" s="35"/>
      <c r="AH3597" s="35"/>
      <c r="AI3597" s="35"/>
      <c r="AJ3597" s="35"/>
      <c r="AK3597" s="35"/>
      <c r="AL3597" s="35"/>
      <c r="AM3597" s="35"/>
      <c r="AN3597" s="35"/>
      <c r="AO3597" s="35"/>
      <c r="AP3597" s="35"/>
      <c r="AQ3597" s="35"/>
      <c r="AR3597" s="35"/>
      <c r="AS3597" s="35"/>
      <c r="AT3597" s="35"/>
      <c r="AU3597" s="35"/>
      <c r="AV3597" s="35"/>
      <c r="AW3597" s="35"/>
      <c r="AX3597" s="35"/>
      <c r="AY3597" s="35"/>
      <c r="AZ3597" s="35"/>
      <c r="BA3597" s="35"/>
      <c r="BB3597" s="22">
        <f t="shared" si="1076"/>
        <v>0</v>
      </c>
      <c r="BC3597" s="23">
        <v>0</v>
      </c>
      <c r="BD3597" s="130">
        <f t="shared" si="1077"/>
        <v>2</v>
      </c>
      <c r="BE3597" s="130">
        <f t="shared" si="1078"/>
        <v>0</v>
      </c>
      <c r="BF3597" s="195" t="e">
        <f t="shared" si="1079"/>
        <v>#DIV/0!</v>
      </c>
      <c r="BG3597" s="373"/>
    </row>
    <row r="3598" spans="1:59" s="46" customFormat="1" ht="15.95" customHeight="1">
      <c r="A3598" s="176">
        <v>23</v>
      </c>
      <c r="B3598" s="31" t="s">
        <v>945</v>
      </c>
      <c r="C3598" s="32" t="s">
        <v>946</v>
      </c>
      <c r="D3598" s="526"/>
      <c r="E3598" s="526"/>
      <c r="F3598" s="526"/>
      <c r="G3598" s="526"/>
      <c r="H3598" s="526">
        <v>1</v>
      </c>
      <c r="I3598" s="526"/>
      <c r="J3598" s="526"/>
      <c r="K3598" s="526"/>
      <c r="L3598" s="526">
        <v>2</v>
      </c>
      <c r="M3598" s="526"/>
      <c r="N3598" s="526"/>
      <c r="O3598" s="526"/>
      <c r="P3598" s="526"/>
      <c r="Q3598" s="526"/>
      <c r="R3598" s="526"/>
      <c r="S3598" s="526"/>
      <c r="T3598" s="526"/>
      <c r="U3598" s="526"/>
      <c r="V3598" s="526"/>
      <c r="W3598" s="526"/>
      <c r="X3598" s="526"/>
      <c r="Y3598" s="526"/>
      <c r="Z3598" s="526"/>
      <c r="AA3598" s="526"/>
      <c r="AB3598" s="22">
        <f t="shared" si="1075"/>
        <v>3</v>
      </c>
      <c r="AC3598" s="23">
        <v>0</v>
      </c>
      <c r="AD3598" s="35"/>
      <c r="AE3598" s="35"/>
      <c r="AF3598" s="35"/>
      <c r="AG3598" s="35"/>
      <c r="AH3598" s="35"/>
      <c r="AI3598" s="35"/>
      <c r="AJ3598" s="35"/>
      <c r="AK3598" s="35"/>
      <c r="AL3598" s="35"/>
      <c r="AM3598" s="35"/>
      <c r="AN3598" s="35"/>
      <c r="AO3598" s="35"/>
      <c r="AP3598" s="35"/>
      <c r="AQ3598" s="35"/>
      <c r="AR3598" s="35"/>
      <c r="AS3598" s="35"/>
      <c r="AT3598" s="35"/>
      <c r="AU3598" s="35"/>
      <c r="AV3598" s="35"/>
      <c r="AW3598" s="35"/>
      <c r="AX3598" s="35"/>
      <c r="AY3598" s="35"/>
      <c r="AZ3598" s="35"/>
      <c r="BA3598" s="35"/>
      <c r="BB3598" s="22">
        <f t="shared" si="1076"/>
        <v>0</v>
      </c>
      <c r="BC3598" s="23">
        <v>0</v>
      </c>
      <c r="BD3598" s="130">
        <f t="shared" si="1077"/>
        <v>3</v>
      </c>
      <c r="BE3598" s="130">
        <f t="shared" si="1078"/>
        <v>0</v>
      </c>
      <c r="BF3598" s="195" t="e">
        <f t="shared" si="1079"/>
        <v>#DIV/0!</v>
      </c>
      <c r="BG3598" s="373"/>
    </row>
    <row r="3599" spans="1:59" s="46" customFormat="1" ht="15.95" customHeight="1">
      <c r="A3599" s="176">
        <v>24</v>
      </c>
      <c r="B3599" s="31" t="s">
        <v>821</v>
      </c>
      <c r="C3599" s="32" t="s">
        <v>1594</v>
      </c>
      <c r="D3599" s="409"/>
      <c r="E3599" s="409"/>
      <c r="F3599" s="409"/>
      <c r="G3599" s="409"/>
      <c r="H3599" s="409"/>
      <c r="I3599" s="409"/>
      <c r="J3599" s="409"/>
      <c r="K3599" s="409"/>
      <c r="L3599" s="409"/>
      <c r="M3599" s="409"/>
      <c r="N3599" s="409"/>
      <c r="O3599" s="409"/>
      <c r="P3599" s="409"/>
      <c r="Q3599" s="409"/>
      <c r="R3599" s="409"/>
      <c r="S3599" s="409"/>
      <c r="T3599" s="409"/>
      <c r="U3599" s="409"/>
      <c r="V3599" s="409"/>
      <c r="W3599" s="409"/>
      <c r="X3599" s="409"/>
      <c r="Y3599" s="409"/>
      <c r="Z3599" s="409"/>
      <c r="AA3599" s="409"/>
      <c r="AB3599" s="22">
        <f t="shared" si="1075"/>
        <v>0</v>
      </c>
      <c r="AC3599" s="23">
        <v>6</v>
      </c>
      <c r="AD3599" s="35"/>
      <c r="AE3599" s="35"/>
      <c r="AF3599" s="35"/>
      <c r="AG3599" s="35"/>
      <c r="AH3599" s="35"/>
      <c r="AI3599" s="35"/>
      <c r="AJ3599" s="35"/>
      <c r="AK3599" s="35"/>
      <c r="AL3599" s="35"/>
      <c r="AM3599" s="35"/>
      <c r="AN3599" s="35"/>
      <c r="AO3599" s="35"/>
      <c r="AP3599" s="35"/>
      <c r="AQ3599" s="35"/>
      <c r="AR3599" s="35"/>
      <c r="AS3599" s="35"/>
      <c r="AT3599" s="35"/>
      <c r="AU3599" s="35"/>
      <c r="AV3599" s="35"/>
      <c r="AW3599" s="35"/>
      <c r="AX3599" s="35"/>
      <c r="AY3599" s="35"/>
      <c r="AZ3599" s="35"/>
      <c r="BA3599" s="35"/>
      <c r="BB3599" s="22">
        <f t="shared" si="1076"/>
        <v>0</v>
      </c>
      <c r="BC3599" s="23">
        <v>0</v>
      </c>
      <c r="BD3599" s="130">
        <f t="shared" si="1077"/>
        <v>0</v>
      </c>
      <c r="BE3599" s="130">
        <f t="shared" si="1078"/>
        <v>6</v>
      </c>
      <c r="BF3599" s="195">
        <f t="shared" si="1079"/>
        <v>0</v>
      </c>
      <c r="BG3599" s="373">
        <f t="shared" ref="BG3599:BG3614" si="1082">BE3599-BD3599</f>
        <v>6</v>
      </c>
    </row>
    <row r="3600" spans="1:59" s="46" customFormat="1" ht="15.95" customHeight="1">
      <c r="A3600" s="176">
        <v>25</v>
      </c>
      <c r="B3600" s="31" t="s">
        <v>909</v>
      </c>
      <c r="C3600" s="32" t="s">
        <v>910</v>
      </c>
      <c r="D3600" s="231"/>
      <c r="E3600" s="231"/>
      <c r="F3600" s="231"/>
      <c r="G3600" s="231"/>
      <c r="H3600" s="231">
        <v>9</v>
      </c>
      <c r="I3600" s="231"/>
      <c r="J3600" s="231"/>
      <c r="K3600" s="231"/>
      <c r="L3600" s="231">
        <v>30</v>
      </c>
      <c r="M3600" s="231"/>
      <c r="N3600" s="231"/>
      <c r="O3600" s="231"/>
      <c r="P3600" s="231"/>
      <c r="Q3600" s="231"/>
      <c r="R3600" s="231"/>
      <c r="S3600" s="231"/>
      <c r="T3600" s="231"/>
      <c r="U3600" s="231"/>
      <c r="V3600" s="231"/>
      <c r="W3600" s="231"/>
      <c r="X3600" s="231"/>
      <c r="Y3600" s="231"/>
      <c r="Z3600" s="231"/>
      <c r="AA3600" s="231"/>
      <c r="AB3600" s="22">
        <f t="shared" si="1075"/>
        <v>39</v>
      </c>
      <c r="AC3600" s="23">
        <v>94</v>
      </c>
      <c r="AD3600" s="35"/>
      <c r="AE3600" s="35"/>
      <c r="AF3600" s="35"/>
      <c r="AG3600" s="35"/>
      <c r="AH3600" s="35"/>
      <c r="AI3600" s="35"/>
      <c r="AJ3600" s="35"/>
      <c r="AK3600" s="35"/>
      <c r="AL3600" s="35"/>
      <c r="AM3600" s="35"/>
      <c r="AN3600" s="35"/>
      <c r="AO3600" s="35"/>
      <c r="AP3600" s="35"/>
      <c r="AQ3600" s="35"/>
      <c r="AR3600" s="35"/>
      <c r="AS3600" s="35"/>
      <c r="AT3600" s="35"/>
      <c r="AU3600" s="35"/>
      <c r="AV3600" s="35"/>
      <c r="AW3600" s="35"/>
      <c r="AX3600" s="35"/>
      <c r="AY3600" s="35"/>
      <c r="AZ3600" s="35"/>
      <c r="BA3600" s="35"/>
      <c r="BB3600" s="22">
        <f t="shared" si="1076"/>
        <v>0</v>
      </c>
      <c r="BC3600" s="23">
        <v>0</v>
      </c>
      <c r="BD3600" s="130">
        <f t="shared" si="1077"/>
        <v>39</v>
      </c>
      <c r="BE3600" s="130">
        <f t="shared" si="1078"/>
        <v>94</v>
      </c>
      <c r="BF3600" s="195">
        <f t="shared" si="1079"/>
        <v>41.48936170212766</v>
      </c>
      <c r="BG3600" s="373">
        <f t="shared" si="1082"/>
        <v>55</v>
      </c>
    </row>
    <row r="3601" spans="1:61" s="46" customFormat="1" ht="15.95" customHeight="1">
      <c r="A3601" s="176">
        <v>26</v>
      </c>
      <c r="B3601" s="31" t="s">
        <v>1332</v>
      </c>
      <c r="C3601" s="32" t="s">
        <v>1333</v>
      </c>
      <c r="D3601" s="231"/>
      <c r="E3601" s="231"/>
      <c r="F3601" s="231"/>
      <c r="G3601" s="231"/>
      <c r="H3601" s="231">
        <v>47</v>
      </c>
      <c r="I3601" s="231"/>
      <c r="J3601" s="231"/>
      <c r="K3601" s="231"/>
      <c r="L3601" s="231">
        <v>314</v>
      </c>
      <c r="M3601" s="231"/>
      <c r="N3601" s="231"/>
      <c r="O3601" s="231"/>
      <c r="P3601" s="231"/>
      <c r="Q3601" s="231"/>
      <c r="R3601" s="231"/>
      <c r="S3601" s="231"/>
      <c r="T3601" s="231"/>
      <c r="U3601" s="231"/>
      <c r="V3601" s="231"/>
      <c r="W3601" s="231"/>
      <c r="X3601" s="231"/>
      <c r="Y3601" s="231"/>
      <c r="Z3601" s="231"/>
      <c r="AA3601" s="231"/>
      <c r="AB3601" s="22">
        <f t="shared" si="1075"/>
        <v>361</v>
      </c>
      <c r="AC3601" s="23">
        <v>1145</v>
      </c>
      <c r="AD3601" s="35"/>
      <c r="AE3601" s="35"/>
      <c r="AF3601" s="35"/>
      <c r="AG3601" s="35"/>
      <c r="AH3601" s="35"/>
      <c r="AI3601" s="35"/>
      <c r="AJ3601" s="35"/>
      <c r="AK3601" s="35"/>
      <c r="AL3601" s="35"/>
      <c r="AM3601" s="35"/>
      <c r="AN3601" s="35"/>
      <c r="AO3601" s="35"/>
      <c r="AP3601" s="35"/>
      <c r="AQ3601" s="35"/>
      <c r="AR3601" s="35"/>
      <c r="AS3601" s="35"/>
      <c r="AT3601" s="35"/>
      <c r="AU3601" s="35"/>
      <c r="AV3601" s="35"/>
      <c r="AW3601" s="35"/>
      <c r="AX3601" s="35"/>
      <c r="AY3601" s="35"/>
      <c r="AZ3601" s="35"/>
      <c r="BA3601" s="35"/>
      <c r="BB3601" s="22">
        <f t="shared" si="1076"/>
        <v>0</v>
      </c>
      <c r="BC3601" s="23">
        <v>0</v>
      </c>
      <c r="BD3601" s="130">
        <f t="shared" si="1077"/>
        <v>361</v>
      </c>
      <c r="BE3601" s="130">
        <f t="shared" si="1078"/>
        <v>1145</v>
      </c>
      <c r="BF3601" s="195">
        <f t="shared" si="1079"/>
        <v>31.528384279475986</v>
      </c>
      <c r="BG3601" s="373">
        <f t="shared" si="1082"/>
        <v>784</v>
      </c>
    </row>
    <row r="3602" spans="1:61" s="46" customFormat="1" ht="15.95" customHeight="1">
      <c r="A3602" s="176">
        <v>27</v>
      </c>
      <c r="B3602" s="31" t="s">
        <v>2065</v>
      </c>
      <c r="C3602" s="32" t="s">
        <v>2083</v>
      </c>
      <c r="D3602" s="231"/>
      <c r="E3602" s="231"/>
      <c r="F3602" s="231"/>
      <c r="G3602" s="231"/>
      <c r="H3602" s="231"/>
      <c r="I3602" s="231"/>
      <c r="J3602" s="231"/>
      <c r="K3602" s="231"/>
      <c r="L3602" s="231">
        <v>5</v>
      </c>
      <c r="M3602" s="231"/>
      <c r="N3602" s="231"/>
      <c r="O3602" s="231"/>
      <c r="P3602" s="231"/>
      <c r="Q3602" s="231"/>
      <c r="R3602" s="231"/>
      <c r="S3602" s="231"/>
      <c r="T3602" s="231"/>
      <c r="U3602" s="231"/>
      <c r="V3602" s="231"/>
      <c r="W3602" s="231"/>
      <c r="X3602" s="231"/>
      <c r="Y3602" s="231"/>
      <c r="Z3602" s="231"/>
      <c r="AA3602" s="231"/>
      <c r="AB3602" s="22">
        <f t="shared" si="1075"/>
        <v>5</v>
      </c>
      <c r="AC3602" s="23">
        <v>35</v>
      </c>
      <c r="AD3602" s="35"/>
      <c r="AE3602" s="35"/>
      <c r="AF3602" s="35"/>
      <c r="AG3602" s="35"/>
      <c r="AH3602" s="35"/>
      <c r="AI3602" s="35"/>
      <c r="AJ3602" s="35"/>
      <c r="AK3602" s="35"/>
      <c r="AL3602" s="35"/>
      <c r="AM3602" s="35"/>
      <c r="AN3602" s="35"/>
      <c r="AO3602" s="35"/>
      <c r="AP3602" s="35"/>
      <c r="AQ3602" s="35"/>
      <c r="AR3602" s="35"/>
      <c r="AS3602" s="35"/>
      <c r="AT3602" s="35"/>
      <c r="AU3602" s="35"/>
      <c r="AV3602" s="35"/>
      <c r="AW3602" s="35"/>
      <c r="AX3602" s="35"/>
      <c r="AY3602" s="35"/>
      <c r="AZ3602" s="35"/>
      <c r="BA3602" s="35"/>
      <c r="BB3602" s="22">
        <f t="shared" si="1076"/>
        <v>0</v>
      </c>
      <c r="BC3602" s="23">
        <v>0</v>
      </c>
      <c r="BD3602" s="130">
        <f t="shared" si="1077"/>
        <v>5</v>
      </c>
      <c r="BE3602" s="130">
        <f t="shared" si="1078"/>
        <v>35</v>
      </c>
      <c r="BF3602" s="195">
        <f t="shared" si="1079"/>
        <v>14.285714285714285</v>
      </c>
      <c r="BG3602" s="373">
        <f t="shared" si="1082"/>
        <v>30</v>
      </c>
    </row>
    <row r="3603" spans="1:61" s="46" customFormat="1" ht="15.95" customHeight="1">
      <c r="A3603" s="176">
        <v>28</v>
      </c>
      <c r="B3603" s="31" t="s">
        <v>1187</v>
      </c>
      <c r="C3603" s="32" t="s">
        <v>1188</v>
      </c>
      <c r="D3603" s="231"/>
      <c r="E3603" s="231"/>
      <c r="F3603" s="231"/>
      <c r="G3603" s="231"/>
      <c r="H3603" s="231">
        <v>2</v>
      </c>
      <c r="I3603" s="231"/>
      <c r="J3603" s="231"/>
      <c r="K3603" s="231"/>
      <c r="L3603" s="231">
        <v>2</v>
      </c>
      <c r="M3603" s="231"/>
      <c r="N3603" s="231"/>
      <c r="O3603" s="231"/>
      <c r="P3603" s="231"/>
      <c r="Q3603" s="231"/>
      <c r="R3603" s="231"/>
      <c r="S3603" s="231"/>
      <c r="T3603" s="231"/>
      <c r="U3603" s="231"/>
      <c r="V3603" s="231"/>
      <c r="W3603" s="231"/>
      <c r="X3603" s="231"/>
      <c r="Y3603" s="231"/>
      <c r="Z3603" s="231"/>
      <c r="AA3603" s="231"/>
      <c r="AB3603" s="22">
        <f t="shared" si="1075"/>
        <v>4</v>
      </c>
      <c r="AC3603" s="23">
        <v>14</v>
      </c>
      <c r="AD3603" s="35"/>
      <c r="AE3603" s="35"/>
      <c r="AF3603" s="35"/>
      <c r="AG3603" s="35"/>
      <c r="AH3603" s="35"/>
      <c r="AI3603" s="35"/>
      <c r="AJ3603" s="35"/>
      <c r="AK3603" s="35"/>
      <c r="AL3603" s="35"/>
      <c r="AM3603" s="35"/>
      <c r="AN3603" s="35"/>
      <c r="AO3603" s="35"/>
      <c r="AP3603" s="35"/>
      <c r="AQ3603" s="35"/>
      <c r="AR3603" s="35"/>
      <c r="AS3603" s="35"/>
      <c r="AT3603" s="35"/>
      <c r="AU3603" s="35"/>
      <c r="AV3603" s="35"/>
      <c r="AW3603" s="35"/>
      <c r="AX3603" s="35"/>
      <c r="AY3603" s="35"/>
      <c r="AZ3603" s="35"/>
      <c r="BA3603" s="35"/>
      <c r="BB3603" s="22">
        <f t="shared" si="1076"/>
        <v>0</v>
      </c>
      <c r="BC3603" s="23">
        <v>0</v>
      </c>
      <c r="BD3603" s="130">
        <f t="shared" si="1077"/>
        <v>4</v>
      </c>
      <c r="BE3603" s="130">
        <f t="shared" si="1078"/>
        <v>14</v>
      </c>
      <c r="BF3603" s="195">
        <f t="shared" si="1079"/>
        <v>28.571428571428569</v>
      </c>
      <c r="BG3603" s="373">
        <f t="shared" si="1082"/>
        <v>10</v>
      </c>
    </row>
    <row r="3604" spans="1:61" s="46" customFormat="1" ht="15.95" customHeight="1">
      <c r="A3604" s="176">
        <v>29</v>
      </c>
      <c r="B3604" s="31" t="s">
        <v>915</v>
      </c>
      <c r="C3604" s="32" t="s">
        <v>1015</v>
      </c>
      <c r="D3604" s="275"/>
      <c r="E3604" s="275"/>
      <c r="F3604" s="275"/>
      <c r="G3604" s="275"/>
      <c r="H3604" s="275">
        <v>11</v>
      </c>
      <c r="I3604" s="275"/>
      <c r="J3604" s="275"/>
      <c r="K3604" s="275"/>
      <c r="L3604" s="275">
        <v>19</v>
      </c>
      <c r="M3604" s="275"/>
      <c r="N3604" s="275"/>
      <c r="O3604" s="275"/>
      <c r="P3604" s="275"/>
      <c r="Q3604" s="275"/>
      <c r="R3604" s="275"/>
      <c r="S3604" s="275"/>
      <c r="T3604" s="275"/>
      <c r="U3604" s="275"/>
      <c r="V3604" s="275"/>
      <c r="W3604" s="275"/>
      <c r="X3604" s="275"/>
      <c r="Y3604" s="275"/>
      <c r="Z3604" s="275"/>
      <c r="AA3604" s="275"/>
      <c r="AB3604" s="22">
        <f t="shared" si="1075"/>
        <v>30</v>
      </c>
      <c r="AC3604" s="23">
        <v>144</v>
      </c>
      <c r="AD3604" s="35"/>
      <c r="AE3604" s="35"/>
      <c r="AF3604" s="35"/>
      <c r="AG3604" s="35"/>
      <c r="AH3604" s="35"/>
      <c r="AI3604" s="35"/>
      <c r="AJ3604" s="35"/>
      <c r="AK3604" s="35"/>
      <c r="AL3604" s="35"/>
      <c r="AM3604" s="35"/>
      <c r="AN3604" s="35"/>
      <c r="AO3604" s="35"/>
      <c r="AP3604" s="35"/>
      <c r="AQ3604" s="35"/>
      <c r="AR3604" s="35"/>
      <c r="AS3604" s="35"/>
      <c r="AT3604" s="35"/>
      <c r="AU3604" s="35"/>
      <c r="AV3604" s="35"/>
      <c r="AW3604" s="35"/>
      <c r="AX3604" s="35"/>
      <c r="AY3604" s="35"/>
      <c r="AZ3604" s="35"/>
      <c r="BA3604" s="35"/>
      <c r="BB3604" s="22">
        <f t="shared" si="1076"/>
        <v>0</v>
      </c>
      <c r="BC3604" s="23">
        <v>0</v>
      </c>
      <c r="BD3604" s="130">
        <f t="shared" si="1077"/>
        <v>30</v>
      </c>
      <c r="BE3604" s="130">
        <f t="shared" si="1078"/>
        <v>144</v>
      </c>
      <c r="BF3604" s="195">
        <f t="shared" si="1079"/>
        <v>20.833333333333336</v>
      </c>
      <c r="BG3604" s="373">
        <f t="shared" si="1082"/>
        <v>114</v>
      </c>
    </row>
    <row r="3605" spans="1:61" s="46" customFormat="1" ht="15.95" customHeight="1">
      <c r="A3605" s="176">
        <v>30</v>
      </c>
      <c r="B3605" s="31" t="s">
        <v>1191</v>
      </c>
      <c r="C3605" s="32" t="s">
        <v>1345</v>
      </c>
      <c r="D3605" s="231"/>
      <c r="E3605" s="231"/>
      <c r="F3605" s="231"/>
      <c r="G3605" s="231"/>
      <c r="H3605" s="231">
        <v>1</v>
      </c>
      <c r="I3605" s="231"/>
      <c r="J3605" s="231"/>
      <c r="K3605" s="231"/>
      <c r="L3605" s="231">
        <v>5</v>
      </c>
      <c r="M3605" s="231"/>
      <c r="N3605" s="231"/>
      <c r="O3605" s="231"/>
      <c r="P3605" s="231"/>
      <c r="Q3605" s="231"/>
      <c r="R3605" s="231"/>
      <c r="S3605" s="231"/>
      <c r="T3605" s="231"/>
      <c r="U3605" s="231"/>
      <c r="V3605" s="231"/>
      <c r="W3605" s="231"/>
      <c r="X3605" s="231"/>
      <c r="Y3605" s="231"/>
      <c r="Z3605" s="231"/>
      <c r="AA3605" s="231"/>
      <c r="AB3605" s="22">
        <f t="shared" si="1075"/>
        <v>6</v>
      </c>
      <c r="AC3605" s="23">
        <v>8</v>
      </c>
      <c r="AD3605" s="35"/>
      <c r="AE3605" s="35"/>
      <c r="AF3605" s="35"/>
      <c r="AG3605" s="35"/>
      <c r="AH3605" s="35"/>
      <c r="AI3605" s="35"/>
      <c r="AJ3605" s="35"/>
      <c r="AK3605" s="35"/>
      <c r="AL3605" s="35"/>
      <c r="AM3605" s="35"/>
      <c r="AN3605" s="35"/>
      <c r="AO3605" s="35"/>
      <c r="AP3605" s="35"/>
      <c r="AQ3605" s="35"/>
      <c r="AR3605" s="35"/>
      <c r="AS3605" s="35"/>
      <c r="AT3605" s="35"/>
      <c r="AU3605" s="35"/>
      <c r="AV3605" s="35"/>
      <c r="AW3605" s="35"/>
      <c r="AX3605" s="35"/>
      <c r="AY3605" s="35"/>
      <c r="AZ3605" s="35"/>
      <c r="BA3605" s="35"/>
      <c r="BB3605" s="22">
        <f t="shared" si="1076"/>
        <v>0</v>
      </c>
      <c r="BC3605" s="23">
        <v>0</v>
      </c>
      <c r="BD3605" s="130">
        <f t="shared" si="1077"/>
        <v>6</v>
      </c>
      <c r="BE3605" s="130">
        <f t="shared" si="1078"/>
        <v>8</v>
      </c>
      <c r="BF3605" s="195">
        <f t="shared" si="1079"/>
        <v>75</v>
      </c>
      <c r="BG3605" s="373">
        <f t="shared" si="1082"/>
        <v>2</v>
      </c>
    </row>
    <row r="3606" spans="1:61" s="46" customFormat="1" ht="15.95" customHeight="1">
      <c r="A3606" s="176">
        <v>31</v>
      </c>
      <c r="B3606" s="31" t="s">
        <v>1120</v>
      </c>
      <c r="C3606" s="32" t="s">
        <v>1642</v>
      </c>
      <c r="D3606" s="231"/>
      <c r="E3606" s="231"/>
      <c r="F3606" s="231"/>
      <c r="G3606" s="231"/>
      <c r="H3606" s="231"/>
      <c r="I3606" s="231"/>
      <c r="J3606" s="231"/>
      <c r="K3606" s="231"/>
      <c r="L3606" s="231">
        <v>19</v>
      </c>
      <c r="M3606" s="231"/>
      <c r="N3606" s="231"/>
      <c r="O3606" s="231"/>
      <c r="P3606" s="231"/>
      <c r="Q3606" s="231"/>
      <c r="R3606" s="231"/>
      <c r="S3606" s="231"/>
      <c r="T3606" s="231"/>
      <c r="U3606" s="231"/>
      <c r="V3606" s="231"/>
      <c r="W3606" s="231"/>
      <c r="X3606" s="231"/>
      <c r="Y3606" s="231"/>
      <c r="Z3606" s="231"/>
      <c r="AA3606" s="231"/>
      <c r="AB3606" s="22">
        <f t="shared" si="1075"/>
        <v>19</v>
      </c>
      <c r="AC3606" s="23">
        <v>1</v>
      </c>
      <c r="AD3606" s="35"/>
      <c r="AE3606" s="35"/>
      <c r="AF3606" s="35"/>
      <c r="AG3606" s="35"/>
      <c r="AH3606" s="35"/>
      <c r="AI3606" s="35"/>
      <c r="AJ3606" s="35"/>
      <c r="AK3606" s="35"/>
      <c r="AL3606" s="35"/>
      <c r="AM3606" s="35"/>
      <c r="AN3606" s="35"/>
      <c r="AO3606" s="35"/>
      <c r="AP3606" s="35"/>
      <c r="AQ3606" s="35"/>
      <c r="AR3606" s="35"/>
      <c r="AS3606" s="35"/>
      <c r="AT3606" s="35"/>
      <c r="AU3606" s="35"/>
      <c r="AV3606" s="35"/>
      <c r="AW3606" s="35"/>
      <c r="AX3606" s="35"/>
      <c r="AY3606" s="35"/>
      <c r="AZ3606" s="35"/>
      <c r="BA3606" s="35"/>
      <c r="BB3606" s="22">
        <f t="shared" si="1076"/>
        <v>0</v>
      </c>
      <c r="BC3606" s="23">
        <v>0</v>
      </c>
      <c r="BD3606" s="130">
        <f t="shared" si="1077"/>
        <v>19</v>
      </c>
      <c r="BE3606" s="130">
        <f t="shared" si="1078"/>
        <v>1</v>
      </c>
      <c r="BF3606" s="195">
        <f t="shared" si="1079"/>
        <v>1900</v>
      </c>
      <c r="BG3606" s="373">
        <f t="shared" si="1082"/>
        <v>-18</v>
      </c>
    </row>
    <row r="3607" spans="1:61" s="46" customFormat="1" ht="15.95" customHeight="1">
      <c r="A3607" s="176">
        <v>32</v>
      </c>
      <c r="B3607" s="31" t="s">
        <v>854</v>
      </c>
      <c r="C3607" s="32" t="s">
        <v>1680</v>
      </c>
      <c r="D3607" s="231"/>
      <c r="E3607" s="231"/>
      <c r="F3607" s="231"/>
      <c r="G3607" s="231"/>
      <c r="H3607" s="231">
        <v>9</v>
      </c>
      <c r="I3607" s="231"/>
      <c r="J3607" s="231"/>
      <c r="K3607" s="231"/>
      <c r="L3607" s="231">
        <v>47</v>
      </c>
      <c r="M3607" s="231"/>
      <c r="N3607" s="231"/>
      <c r="O3607" s="231"/>
      <c r="P3607" s="231"/>
      <c r="Q3607" s="231"/>
      <c r="R3607" s="231"/>
      <c r="S3607" s="231"/>
      <c r="T3607" s="231"/>
      <c r="U3607" s="231"/>
      <c r="V3607" s="231"/>
      <c r="W3607" s="231"/>
      <c r="X3607" s="231"/>
      <c r="Y3607" s="231"/>
      <c r="Z3607" s="231"/>
      <c r="AA3607" s="231"/>
      <c r="AB3607" s="22">
        <f t="shared" si="1075"/>
        <v>56</v>
      </c>
      <c r="AC3607" s="23">
        <v>238</v>
      </c>
      <c r="AD3607" s="35"/>
      <c r="AE3607" s="35"/>
      <c r="AF3607" s="35"/>
      <c r="AG3607" s="35"/>
      <c r="AH3607" s="35"/>
      <c r="AI3607" s="35"/>
      <c r="AJ3607" s="35"/>
      <c r="AK3607" s="35"/>
      <c r="AL3607" s="35"/>
      <c r="AM3607" s="35"/>
      <c r="AN3607" s="35"/>
      <c r="AO3607" s="35"/>
      <c r="AP3607" s="35"/>
      <c r="AQ3607" s="35"/>
      <c r="AR3607" s="35"/>
      <c r="AS3607" s="35"/>
      <c r="AT3607" s="35"/>
      <c r="AU3607" s="35"/>
      <c r="AV3607" s="35"/>
      <c r="AW3607" s="35"/>
      <c r="AX3607" s="35"/>
      <c r="AY3607" s="35"/>
      <c r="AZ3607" s="35"/>
      <c r="BA3607" s="35"/>
      <c r="BB3607" s="22">
        <f t="shared" si="1076"/>
        <v>0</v>
      </c>
      <c r="BC3607" s="23">
        <v>0</v>
      </c>
      <c r="BD3607" s="130">
        <f t="shared" si="1077"/>
        <v>56</v>
      </c>
      <c r="BE3607" s="130">
        <f t="shared" si="1078"/>
        <v>238</v>
      </c>
      <c r="BF3607" s="195">
        <f t="shared" si="1079"/>
        <v>23.52941176470588</v>
      </c>
      <c r="BG3607" s="373">
        <f t="shared" si="1082"/>
        <v>182</v>
      </c>
    </row>
    <row r="3608" spans="1:61" s="46" customFormat="1" ht="15.95" customHeight="1">
      <c r="A3608" s="176">
        <v>33</v>
      </c>
      <c r="B3608" s="31" t="s">
        <v>856</v>
      </c>
      <c r="C3608" s="32" t="s">
        <v>1681</v>
      </c>
      <c r="D3608" s="231"/>
      <c r="E3608" s="231"/>
      <c r="F3608" s="231"/>
      <c r="G3608" s="231"/>
      <c r="H3608" s="231"/>
      <c r="I3608" s="231"/>
      <c r="J3608" s="231"/>
      <c r="K3608" s="231"/>
      <c r="L3608" s="231"/>
      <c r="M3608" s="231"/>
      <c r="N3608" s="231"/>
      <c r="O3608" s="231"/>
      <c r="P3608" s="231"/>
      <c r="Q3608" s="231"/>
      <c r="R3608" s="231"/>
      <c r="S3608" s="231"/>
      <c r="T3608" s="231"/>
      <c r="U3608" s="231"/>
      <c r="V3608" s="231"/>
      <c r="W3608" s="231"/>
      <c r="X3608" s="231"/>
      <c r="Y3608" s="231"/>
      <c r="Z3608" s="231"/>
      <c r="AA3608" s="231"/>
      <c r="AB3608" s="22">
        <f t="shared" si="1075"/>
        <v>0</v>
      </c>
      <c r="AC3608" s="23">
        <v>2</v>
      </c>
      <c r="AD3608" s="35"/>
      <c r="AE3608" s="35"/>
      <c r="AF3608" s="35"/>
      <c r="AG3608" s="35"/>
      <c r="AH3608" s="35"/>
      <c r="AI3608" s="35"/>
      <c r="AJ3608" s="35"/>
      <c r="AK3608" s="35"/>
      <c r="AL3608" s="35"/>
      <c r="AM3608" s="35"/>
      <c r="AN3608" s="35"/>
      <c r="AO3608" s="35"/>
      <c r="AP3608" s="35"/>
      <c r="AQ3608" s="35"/>
      <c r="AR3608" s="35"/>
      <c r="AS3608" s="35"/>
      <c r="AT3608" s="35"/>
      <c r="AU3608" s="35"/>
      <c r="AV3608" s="35"/>
      <c r="AW3608" s="35"/>
      <c r="AX3608" s="35"/>
      <c r="AY3608" s="35"/>
      <c r="AZ3608" s="35"/>
      <c r="BA3608" s="35"/>
      <c r="BB3608" s="22">
        <f t="shared" si="1076"/>
        <v>0</v>
      </c>
      <c r="BC3608" s="23">
        <v>0</v>
      </c>
      <c r="BD3608" s="130">
        <f t="shared" si="1077"/>
        <v>0</v>
      </c>
      <c r="BE3608" s="130">
        <f t="shared" si="1078"/>
        <v>2</v>
      </c>
      <c r="BF3608" s="195">
        <f t="shared" si="1079"/>
        <v>0</v>
      </c>
      <c r="BG3608" s="373">
        <f t="shared" si="1082"/>
        <v>2</v>
      </c>
    </row>
    <row r="3609" spans="1:61" s="46" customFormat="1" ht="15.95" customHeight="1">
      <c r="A3609" s="176">
        <v>34</v>
      </c>
      <c r="B3609" s="31" t="s">
        <v>1022</v>
      </c>
      <c r="C3609" s="32" t="s">
        <v>1023</v>
      </c>
      <c r="D3609" s="231"/>
      <c r="E3609" s="231"/>
      <c r="F3609" s="231"/>
      <c r="G3609" s="231"/>
      <c r="H3609" s="231"/>
      <c r="I3609" s="231"/>
      <c r="J3609" s="231"/>
      <c r="K3609" s="231"/>
      <c r="L3609" s="231"/>
      <c r="M3609" s="231"/>
      <c r="N3609" s="231"/>
      <c r="O3609" s="231"/>
      <c r="P3609" s="231"/>
      <c r="Q3609" s="231"/>
      <c r="R3609" s="231"/>
      <c r="S3609" s="231"/>
      <c r="T3609" s="231"/>
      <c r="U3609" s="231"/>
      <c r="V3609" s="231"/>
      <c r="W3609" s="231"/>
      <c r="X3609" s="231"/>
      <c r="Y3609" s="231"/>
      <c r="Z3609" s="231"/>
      <c r="AA3609" s="231"/>
      <c r="AB3609" s="22">
        <f t="shared" si="1075"/>
        <v>0</v>
      </c>
      <c r="AC3609" s="23">
        <v>1</v>
      </c>
      <c r="AD3609" s="35"/>
      <c r="AE3609" s="35"/>
      <c r="AF3609" s="35"/>
      <c r="AG3609" s="35"/>
      <c r="AH3609" s="35"/>
      <c r="AI3609" s="35"/>
      <c r="AJ3609" s="35"/>
      <c r="AK3609" s="35"/>
      <c r="AL3609" s="35"/>
      <c r="AM3609" s="35"/>
      <c r="AN3609" s="35"/>
      <c r="AO3609" s="35"/>
      <c r="AP3609" s="35"/>
      <c r="AQ3609" s="35"/>
      <c r="AR3609" s="35"/>
      <c r="AS3609" s="35"/>
      <c r="AT3609" s="35"/>
      <c r="AU3609" s="35"/>
      <c r="AV3609" s="35"/>
      <c r="AW3609" s="35"/>
      <c r="AX3609" s="35"/>
      <c r="AY3609" s="35"/>
      <c r="AZ3609" s="35"/>
      <c r="BA3609" s="35"/>
      <c r="BB3609" s="22">
        <f t="shared" si="1076"/>
        <v>0</v>
      </c>
      <c r="BC3609" s="23">
        <v>0</v>
      </c>
      <c r="BD3609" s="130">
        <f t="shared" si="1077"/>
        <v>0</v>
      </c>
      <c r="BE3609" s="130">
        <f t="shared" si="1078"/>
        <v>1</v>
      </c>
      <c r="BF3609" s="195">
        <f t="shared" si="1079"/>
        <v>0</v>
      </c>
      <c r="BG3609" s="373">
        <f t="shared" si="1082"/>
        <v>1</v>
      </c>
    </row>
    <row r="3610" spans="1:61" s="46" customFormat="1" ht="15.95" customHeight="1">
      <c r="A3610" s="176">
        <v>35</v>
      </c>
      <c r="B3610" s="31" t="s">
        <v>1059</v>
      </c>
      <c r="C3610" s="32" t="s">
        <v>2752</v>
      </c>
      <c r="D3610" s="256"/>
      <c r="E3610" s="256"/>
      <c r="F3610" s="256"/>
      <c r="G3610" s="256"/>
      <c r="H3610" s="256"/>
      <c r="I3610" s="256"/>
      <c r="J3610" s="256"/>
      <c r="K3610" s="256"/>
      <c r="L3610" s="256"/>
      <c r="M3610" s="256"/>
      <c r="N3610" s="256"/>
      <c r="O3610" s="256"/>
      <c r="P3610" s="256"/>
      <c r="Q3610" s="256"/>
      <c r="R3610" s="256"/>
      <c r="S3610" s="256"/>
      <c r="T3610" s="256"/>
      <c r="U3610" s="256"/>
      <c r="V3610" s="256"/>
      <c r="W3610" s="256"/>
      <c r="X3610" s="256"/>
      <c r="Y3610" s="256"/>
      <c r="Z3610" s="256"/>
      <c r="AA3610" s="256"/>
      <c r="AB3610" s="22">
        <f t="shared" si="1075"/>
        <v>0</v>
      </c>
      <c r="AC3610" s="23">
        <v>1</v>
      </c>
      <c r="AD3610" s="35"/>
      <c r="AE3610" s="35"/>
      <c r="AF3610" s="35"/>
      <c r="AG3610" s="35"/>
      <c r="AH3610" s="35"/>
      <c r="AI3610" s="35"/>
      <c r="AJ3610" s="35"/>
      <c r="AK3610" s="35"/>
      <c r="AL3610" s="35"/>
      <c r="AM3610" s="35"/>
      <c r="AN3610" s="35"/>
      <c r="AO3610" s="35"/>
      <c r="AP3610" s="35"/>
      <c r="AQ3610" s="35"/>
      <c r="AR3610" s="35"/>
      <c r="AS3610" s="35"/>
      <c r="AT3610" s="35"/>
      <c r="AU3610" s="35"/>
      <c r="AV3610" s="35"/>
      <c r="AW3610" s="35"/>
      <c r="AX3610" s="35"/>
      <c r="AY3610" s="35"/>
      <c r="AZ3610" s="35"/>
      <c r="BA3610" s="35"/>
      <c r="BB3610" s="22">
        <f t="shared" si="1076"/>
        <v>0</v>
      </c>
      <c r="BC3610" s="23">
        <v>0</v>
      </c>
      <c r="BD3610" s="130">
        <f t="shared" si="1077"/>
        <v>0</v>
      </c>
      <c r="BE3610" s="130">
        <f t="shared" si="1078"/>
        <v>1</v>
      </c>
      <c r="BF3610" s="195">
        <f t="shared" si="1079"/>
        <v>0</v>
      </c>
      <c r="BG3610" s="373">
        <f t="shared" si="1082"/>
        <v>1</v>
      </c>
    </row>
    <row r="3611" spans="1:61" s="46" customFormat="1" ht="15.95" customHeight="1">
      <c r="A3611" s="176">
        <v>36</v>
      </c>
      <c r="B3611" s="31" t="s">
        <v>1209</v>
      </c>
      <c r="C3611" s="32" t="s">
        <v>1645</v>
      </c>
      <c r="D3611" s="231"/>
      <c r="E3611" s="231"/>
      <c r="F3611" s="231"/>
      <c r="G3611" s="231"/>
      <c r="H3611" s="231"/>
      <c r="I3611" s="231"/>
      <c r="J3611" s="231"/>
      <c r="K3611" s="231"/>
      <c r="L3611" s="231">
        <v>35</v>
      </c>
      <c r="M3611" s="231"/>
      <c r="N3611" s="231"/>
      <c r="O3611" s="231"/>
      <c r="P3611" s="231"/>
      <c r="Q3611" s="231"/>
      <c r="R3611" s="231"/>
      <c r="S3611" s="231"/>
      <c r="T3611" s="231"/>
      <c r="U3611" s="231"/>
      <c r="V3611" s="231"/>
      <c r="W3611" s="231"/>
      <c r="X3611" s="231"/>
      <c r="Y3611" s="231"/>
      <c r="Z3611" s="231"/>
      <c r="AA3611" s="231"/>
      <c r="AB3611" s="22">
        <f t="shared" si="1075"/>
        <v>35</v>
      </c>
      <c r="AC3611" s="23">
        <v>8</v>
      </c>
      <c r="AD3611" s="35"/>
      <c r="AE3611" s="35"/>
      <c r="AF3611" s="35"/>
      <c r="AG3611" s="35"/>
      <c r="AH3611" s="35"/>
      <c r="AI3611" s="35"/>
      <c r="AJ3611" s="35"/>
      <c r="AK3611" s="35"/>
      <c r="AL3611" s="35"/>
      <c r="AM3611" s="35"/>
      <c r="AN3611" s="35"/>
      <c r="AO3611" s="35"/>
      <c r="AP3611" s="35"/>
      <c r="AQ3611" s="35"/>
      <c r="AR3611" s="35"/>
      <c r="AS3611" s="35"/>
      <c r="AT3611" s="35"/>
      <c r="AU3611" s="35"/>
      <c r="AV3611" s="35"/>
      <c r="AW3611" s="35"/>
      <c r="AX3611" s="35"/>
      <c r="AY3611" s="35"/>
      <c r="AZ3611" s="35"/>
      <c r="BA3611" s="35"/>
      <c r="BB3611" s="22">
        <f t="shared" si="1076"/>
        <v>0</v>
      </c>
      <c r="BC3611" s="23">
        <v>0</v>
      </c>
      <c r="BD3611" s="130">
        <f t="shared" si="1077"/>
        <v>35</v>
      </c>
      <c r="BE3611" s="130">
        <f t="shared" si="1078"/>
        <v>8</v>
      </c>
      <c r="BF3611" s="195">
        <f t="shared" si="1079"/>
        <v>437.5</v>
      </c>
      <c r="BG3611" s="373">
        <f t="shared" si="1082"/>
        <v>-27</v>
      </c>
    </row>
    <row r="3612" spans="1:61" s="46" customFormat="1" ht="15.95" customHeight="1">
      <c r="A3612" s="176">
        <v>37</v>
      </c>
      <c r="B3612" s="31" t="s">
        <v>858</v>
      </c>
      <c r="C3612" s="32" t="s">
        <v>859</v>
      </c>
      <c r="D3612" s="231"/>
      <c r="E3612" s="231"/>
      <c r="F3612" s="231"/>
      <c r="G3612" s="231"/>
      <c r="H3612" s="231">
        <v>1</v>
      </c>
      <c r="I3612" s="231"/>
      <c r="J3612" s="231"/>
      <c r="K3612" s="231"/>
      <c r="L3612" s="231">
        <v>4</v>
      </c>
      <c r="M3612" s="231"/>
      <c r="N3612" s="231"/>
      <c r="O3612" s="231"/>
      <c r="P3612" s="231"/>
      <c r="Q3612" s="231"/>
      <c r="R3612" s="231"/>
      <c r="S3612" s="231"/>
      <c r="T3612" s="231"/>
      <c r="U3612" s="231"/>
      <c r="V3612" s="231"/>
      <c r="W3612" s="231"/>
      <c r="X3612" s="231"/>
      <c r="Y3612" s="231"/>
      <c r="Z3612" s="231"/>
      <c r="AA3612" s="231"/>
      <c r="AB3612" s="22">
        <f t="shared" si="1075"/>
        <v>5</v>
      </c>
      <c r="AC3612" s="23">
        <v>52</v>
      </c>
      <c r="AD3612" s="35"/>
      <c r="AE3612" s="35"/>
      <c r="AF3612" s="35"/>
      <c r="AG3612" s="35"/>
      <c r="AH3612" s="35"/>
      <c r="AI3612" s="35"/>
      <c r="AJ3612" s="35"/>
      <c r="AK3612" s="35"/>
      <c r="AL3612" s="35"/>
      <c r="AM3612" s="35"/>
      <c r="AN3612" s="35"/>
      <c r="AO3612" s="35"/>
      <c r="AP3612" s="35"/>
      <c r="AQ3612" s="35"/>
      <c r="AR3612" s="35"/>
      <c r="AS3612" s="35"/>
      <c r="AT3612" s="35"/>
      <c r="AU3612" s="35"/>
      <c r="AV3612" s="35"/>
      <c r="AW3612" s="35"/>
      <c r="AX3612" s="35"/>
      <c r="AY3612" s="35"/>
      <c r="AZ3612" s="35"/>
      <c r="BA3612" s="35"/>
      <c r="BB3612" s="22">
        <f t="shared" si="1076"/>
        <v>0</v>
      </c>
      <c r="BC3612" s="23">
        <v>0</v>
      </c>
      <c r="BD3612" s="130">
        <f t="shared" si="1077"/>
        <v>5</v>
      </c>
      <c r="BE3612" s="130">
        <f t="shared" si="1078"/>
        <v>52</v>
      </c>
      <c r="BF3612" s="195">
        <f t="shared" si="1079"/>
        <v>9.6153846153846168</v>
      </c>
      <c r="BG3612" s="373">
        <f t="shared" si="1082"/>
        <v>47</v>
      </c>
    </row>
    <row r="3613" spans="1:61" s="46" customFormat="1" ht="15.95" customHeight="1">
      <c r="A3613" s="176">
        <v>38</v>
      </c>
      <c r="B3613" s="31" t="s">
        <v>860</v>
      </c>
      <c r="C3613" s="32" t="s">
        <v>861</v>
      </c>
      <c r="D3613" s="231"/>
      <c r="E3613" s="231"/>
      <c r="F3613" s="231"/>
      <c r="G3613" s="231"/>
      <c r="H3613" s="231">
        <v>32</v>
      </c>
      <c r="I3613" s="231"/>
      <c r="J3613" s="231"/>
      <c r="K3613" s="231"/>
      <c r="L3613" s="231">
        <v>54</v>
      </c>
      <c r="M3613" s="231"/>
      <c r="N3613" s="231"/>
      <c r="O3613" s="231"/>
      <c r="P3613" s="231"/>
      <c r="Q3613" s="231"/>
      <c r="R3613" s="231"/>
      <c r="S3613" s="231"/>
      <c r="T3613" s="231"/>
      <c r="U3613" s="231"/>
      <c r="V3613" s="231"/>
      <c r="W3613" s="231"/>
      <c r="X3613" s="231"/>
      <c r="Y3613" s="231"/>
      <c r="Z3613" s="231"/>
      <c r="AA3613" s="231"/>
      <c r="AB3613" s="22">
        <f t="shared" si="1075"/>
        <v>86</v>
      </c>
      <c r="AC3613" s="23">
        <v>218</v>
      </c>
      <c r="AD3613" s="35"/>
      <c r="AE3613" s="35"/>
      <c r="AF3613" s="35"/>
      <c r="AG3613" s="35"/>
      <c r="AH3613" s="35"/>
      <c r="AI3613" s="35"/>
      <c r="AJ3613" s="35"/>
      <c r="AK3613" s="35"/>
      <c r="AL3613" s="35"/>
      <c r="AM3613" s="35"/>
      <c r="AN3613" s="35"/>
      <c r="AO3613" s="35"/>
      <c r="AP3613" s="35"/>
      <c r="AQ3613" s="35"/>
      <c r="AR3613" s="35"/>
      <c r="AS3613" s="35"/>
      <c r="AT3613" s="35"/>
      <c r="AU3613" s="35"/>
      <c r="AV3613" s="35"/>
      <c r="AW3613" s="35"/>
      <c r="AX3613" s="35"/>
      <c r="AY3613" s="35"/>
      <c r="AZ3613" s="35"/>
      <c r="BA3613" s="35"/>
      <c r="BB3613" s="22">
        <f t="shared" si="1076"/>
        <v>0</v>
      </c>
      <c r="BC3613" s="23">
        <v>0</v>
      </c>
      <c r="BD3613" s="130">
        <f t="shared" si="1077"/>
        <v>86</v>
      </c>
      <c r="BE3613" s="130">
        <f t="shared" si="1078"/>
        <v>218</v>
      </c>
      <c r="BF3613" s="195">
        <f t="shared" si="1079"/>
        <v>39.449541284403672</v>
      </c>
      <c r="BG3613" s="373">
        <f t="shared" si="1082"/>
        <v>132</v>
      </c>
    </row>
    <row r="3614" spans="1:61" s="46" customFormat="1" ht="15.95" customHeight="1">
      <c r="A3614" s="176">
        <v>39</v>
      </c>
      <c r="B3614" s="31"/>
      <c r="C3614" s="32"/>
      <c r="D3614" s="231"/>
      <c r="E3614" s="231"/>
      <c r="F3614" s="231"/>
      <c r="G3614" s="231"/>
      <c r="H3614" s="231"/>
      <c r="I3614" s="231"/>
      <c r="J3614" s="231"/>
      <c r="K3614" s="231"/>
      <c r="L3614" s="231"/>
      <c r="M3614" s="231"/>
      <c r="N3614" s="231"/>
      <c r="O3614" s="231"/>
      <c r="P3614" s="231"/>
      <c r="Q3614" s="231"/>
      <c r="R3614" s="231"/>
      <c r="S3614" s="231"/>
      <c r="T3614" s="231"/>
      <c r="U3614" s="231"/>
      <c r="V3614" s="231"/>
      <c r="W3614" s="231"/>
      <c r="X3614" s="231"/>
      <c r="Y3614" s="231"/>
      <c r="Z3614" s="231"/>
      <c r="AA3614" s="231"/>
      <c r="AB3614" s="22">
        <f t="shared" si="1075"/>
        <v>0</v>
      </c>
      <c r="AC3614" s="23">
        <v>0</v>
      </c>
      <c r="AD3614" s="35"/>
      <c r="AE3614" s="35"/>
      <c r="AF3614" s="35"/>
      <c r="AG3614" s="35"/>
      <c r="AH3614" s="35"/>
      <c r="AI3614" s="35"/>
      <c r="AJ3614" s="35"/>
      <c r="AK3614" s="35"/>
      <c r="AL3614" s="35"/>
      <c r="AM3614" s="35"/>
      <c r="AN3614" s="35"/>
      <c r="AO3614" s="35"/>
      <c r="AP3614" s="35"/>
      <c r="AQ3614" s="35"/>
      <c r="AR3614" s="35"/>
      <c r="AS3614" s="35"/>
      <c r="AT3614" s="35"/>
      <c r="AU3614" s="35"/>
      <c r="AV3614" s="35"/>
      <c r="AW3614" s="35"/>
      <c r="AX3614" s="35"/>
      <c r="AY3614" s="35"/>
      <c r="AZ3614" s="35"/>
      <c r="BA3614" s="35"/>
      <c r="BB3614" s="22">
        <f t="shared" si="1076"/>
        <v>0</v>
      </c>
      <c r="BC3614" s="23">
        <v>0</v>
      </c>
      <c r="BD3614" s="130">
        <f t="shared" si="1077"/>
        <v>0</v>
      </c>
      <c r="BE3614" s="130">
        <f t="shared" si="1078"/>
        <v>0</v>
      </c>
      <c r="BF3614" s="195" t="e">
        <f t="shared" si="1079"/>
        <v>#DIV/0!</v>
      </c>
      <c r="BG3614" s="373">
        <f t="shared" si="1082"/>
        <v>0</v>
      </c>
    </row>
    <row r="3615" spans="1:61" s="46" customFormat="1" ht="15.95" customHeight="1">
      <c r="A3615" s="644" t="s">
        <v>722</v>
      </c>
      <c r="B3615" s="645"/>
      <c r="C3615" s="645"/>
      <c r="D3615" s="28">
        <f t="shared" ref="D3615:AI3615" si="1083">SUM(D3616:D3650)</f>
        <v>0</v>
      </c>
      <c r="E3615" s="28">
        <f t="shared" si="1083"/>
        <v>0</v>
      </c>
      <c r="F3615" s="28">
        <f t="shared" si="1083"/>
        <v>0</v>
      </c>
      <c r="G3615" s="28">
        <f t="shared" si="1083"/>
        <v>0</v>
      </c>
      <c r="H3615" s="28">
        <f t="shared" si="1083"/>
        <v>272</v>
      </c>
      <c r="I3615" s="28">
        <f t="shared" si="1083"/>
        <v>0</v>
      </c>
      <c r="J3615" s="28">
        <f t="shared" si="1083"/>
        <v>0</v>
      </c>
      <c r="K3615" s="28">
        <f t="shared" si="1083"/>
        <v>129</v>
      </c>
      <c r="L3615" s="28">
        <f t="shared" si="1083"/>
        <v>988</v>
      </c>
      <c r="M3615" s="28">
        <f t="shared" si="1083"/>
        <v>0</v>
      </c>
      <c r="N3615" s="28">
        <f t="shared" si="1083"/>
        <v>0</v>
      </c>
      <c r="O3615" s="28">
        <f t="shared" si="1083"/>
        <v>0</v>
      </c>
      <c r="P3615" s="28">
        <f t="shared" si="1083"/>
        <v>1202</v>
      </c>
      <c r="Q3615" s="28">
        <f t="shared" si="1083"/>
        <v>0</v>
      </c>
      <c r="R3615" s="28">
        <f t="shared" si="1083"/>
        <v>0</v>
      </c>
      <c r="S3615" s="28">
        <f t="shared" si="1083"/>
        <v>514</v>
      </c>
      <c r="T3615" s="28">
        <f t="shared" si="1083"/>
        <v>0</v>
      </c>
      <c r="U3615" s="28">
        <f t="shared" si="1083"/>
        <v>0</v>
      </c>
      <c r="V3615" s="28">
        <f t="shared" si="1083"/>
        <v>0</v>
      </c>
      <c r="W3615" s="28">
        <f t="shared" si="1083"/>
        <v>0</v>
      </c>
      <c r="X3615" s="28">
        <f t="shared" si="1083"/>
        <v>0</v>
      </c>
      <c r="Y3615" s="28">
        <f t="shared" si="1083"/>
        <v>0</v>
      </c>
      <c r="Z3615" s="28">
        <f t="shared" si="1083"/>
        <v>0</v>
      </c>
      <c r="AA3615" s="28">
        <f t="shared" si="1083"/>
        <v>0</v>
      </c>
      <c r="AB3615" s="28">
        <f t="shared" si="1083"/>
        <v>3105</v>
      </c>
      <c r="AC3615" s="23">
        <f t="shared" si="1083"/>
        <v>5575</v>
      </c>
      <c r="AD3615" s="29">
        <f t="shared" si="1083"/>
        <v>0</v>
      </c>
      <c r="AE3615" s="29">
        <f t="shared" si="1083"/>
        <v>0</v>
      </c>
      <c r="AF3615" s="29">
        <f t="shared" si="1083"/>
        <v>0</v>
      </c>
      <c r="AG3615" s="29">
        <f t="shared" si="1083"/>
        <v>0</v>
      </c>
      <c r="AH3615" s="29">
        <f t="shared" si="1083"/>
        <v>0</v>
      </c>
      <c r="AI3615" s="29">
        <f t="shared" si="1083"/>
        <v>0</v>
      </c>
      <c r="AJ3615" s="29">
        <f t="shared" ref="AJ3615:BB3615" si="1084">SUM(AJ3616:AJ3650)</f>
        <v>0</v>
      </c>
      <c r="AK3615" s="29">
        <f t="shared" si="1084"/>
        <v>0</v>
      </c>
      <c r="AL3615" s="29">
        <f t="shared" si="1084"/>
        <v>0</v>
      </c>
      <c r="AM3615" s="29">
        <f t="shared" si="1084"/>
        <v>0</v>
      </c>
      <c r="AN3615" s="29">
        <f t="shared" si="1084"/>
        <v>0</v>
      </c>
      <c r="AO3615" s="29">
        <f t="shared" si="1084"/>
        <v>0</v>
      </c>
      <c r="AP3615" s="29">
        <f t="shared" si="1084"/>
        <v>0</v>
      </c>
      <c r="AQ3615" s="29">
        <f t="shared" si="1084"/>
        <v>0</v>
      </c>
      <c r="AR3615" s="29">
        <f t="shared" si="1084"/>
        <v>0</v>
      </c>
      <c r="AS3615" s="29">
        <f t="shared" si="1084"/>
        <v>0</v>
      </c>
      <c r="AT3615" s="29">
        <f t="shared" si="1084"/>
        <v>0</v>
      </c>
      <c r="AU3615" s="29">
        <f t="shared" si="1084"/>
        <v>0</v>
      </c>
      <c r="AV3615" s="29">
        <f t="shared" si="1084"/>
        <v>0</v>
      </c>
      <c r="AW3615" s="29">
        <f t="shared" si="1084"/>
        <v>0</v>
      </c>
      <c r="AX3615" s="29">
        <f t="shared" si="1084"/>
        <v>0</v>
      </c>
      <c r="AY3615" s="29">
        <f t="shared" si="1084"/>
        <v>0</v>
      </c>
      <c r="AZ3615" s="29">
        <f t="shared" si="1084"/>
        <v>0</v>
      </c>
      <c r="BA3615" s="29">
        <f t="shared" si="1084"/>
        <v>0</v>
      </c>
      <c r="BB3615" s="29">
        <f t="shared" si="1084"/>
        <v>0</v>
      </c>
      <c r="BC3615" s="23">
        <v>0</v>
      </c>
      <c r="BD3615" s="130">
        <f t="shared" ref="BD3615:BD3651" si="1085">AB3615+BB3615</f>
        <v>3105</v>
      </c>
      <c r="BE3615" s="130">
        <f t="shared" ref="BE3615:BE3651" si="1086">AC3615+BC3615</f>
        <v>5575</v>
      </c>
      <c r="BF3615" s="195">
        <f t="shared" ref="BF3615:BF3651" si="1087">BD3615/BE3615*100</f>
        <v>55.695067264573993</v>
      </c>
      <c r="BG3615" s="374">
        <f t="shared" si="1074"/>
        <v>2470</v>
      </c>
    </row>
    <row r="3616" spans="1:61" s="46" customFormat="1" ht="21" customHeight="1">
      <c r="A3616" s="417">
        <v>1</v>
      </c>
      <c r="B3616" s="418" t="s">
        <v>731</v>
      </c>
      <c r="C3616" s="419" t="s">
        <v>2050</v>
      </c>
      <c r="D3616" s="231"/>
      <c r="E3616" s="231"/>
      <c r="F3616" s="231"/>
      <c r="G3616" s="231"/>
      <c r="H3616" s="231">
        <v>6</v>
      </c>
      <c r="I3616" s="231"/>
      <c r="J3616" s="231"/>
      <c r="K3616" s="231"/>
      <c r="L3616" s="231">
        <v>11</v>
      </c>
      <c r="M3616" s="231"/>
      <c r="N3616" s="231"/>
      <c r="O3616" s="231"/>
      <c r="P3616" s="231">
        <v>9</v>
      </c>
      <c r="Q3616" s="231"/>
      <c r="R3616" s="231"/>
      <c r="S3616" s="231"/>
      <c r="T3616" s="231"/>
      <c r="U3616" s="231"/>
      <c r="V3616" s="231"/>
      <c r="W3616" s="231"/>
      <c r="X3616" s="231"/>
      <c r="Y3616" s="231"/>
      <c r="Z3616" s="231"/>
      <c r="AA3616" s="231"/>
      <c r="AB3616" s="22">
        <f t="shared" ref="AB3616:AB3650" si="1088">SUM(D3616:AA3616)</f>
        <v>26</v>
      </c>
      <c r="AC3616" s="23">
        <v>21</v>
      </c>
      <c r="AD3616" s="35"/>
      <c r="AE3616" s="35"/>
      <c r="AF3616" s="35"/>
      <c r="AG3616" s="35"/>
      <c r="AH3616" s="35"/>
      <c r="AI3616" s="35"/>
      <c r="AJ3616" s="35"/>
      <c r="AK3616" s="35"/>
      <c r="AL3616" s="35"/>
      <c r="AM3616" s="35"/>
      <c r="AN3616" s="35"/>
      <c r="AO3616" s="35"/>
      <c r="AP3616" s="35"/>
      <c r="AQ3616" s="35"/>
      <c r="AR3616" s="35"/>
      <c r="AS3616" s="35"/>
      <c r="AT3616" s="35"/>
      <c r="AU3616" s="35"/>
      <c r="AV3616" s="35"/>
      <c r="AW3616" s="35"/>
      <c r="AX3616" s="35"/>
      <c r="AY3616" s="35"/>
      <c r="AZ3616" s="35"/>
      <c r="BA3616" s="35"/>
      <c r="BB3616" s="22">
        <f t="shared" ref="BB3616:BB3650" si="1089">SUM(AD3616:BA3616)</f>
        <v>0</v>
      </c>
      <c r="BC3616" s="23">
        <v>0</v>
      </c>
      <c r="BD3616" s="130">
        <f t="shared" ref="BD3616:BD3650" si="1090">AB3616+BB3616</f>
        <v>26</v>
      </c>
      <c r="BE3616" s="130">
        <f t="shared" si="1086"/>
        <v>21</v>
      </c>
      <c r="BF3616" s="195">
        <f t="shared" ref="BF3616:BF3650" si="1091">BD3616/BE3616*100</f>
        <v>123.80952380952381</v>
      </c>
      <c r="BG3616" s="373">
        <f t="shared" ref="BG3616:BG3628" si="1092">BE3616-BD3616</f>
        <v>-5</v>
      </c>
      <c r="BH3616" s="426" t="s">
        <v>3675</v>
      </c>
      <c r="BI3616" s="420"/>
    </row>
    <row r="3617" spans="1:61" s="46" customFormat="1" ht="21" customHeight="1">
      <c r="A3617" s="417">
        <v>2</v>
      </c>
      <c r="B3617" s="418" t="s">
        <v>926</v>
      </c>
      <c r="C3617" s="423" t="s">
        <v>927</v>
      </c>
      <c r="D3617" s="231"/>
      <c r="E3617" s="231"/>
      <c r="F3617" s="231"/>
      <c r="G3617" s="231"/>
      <c r="H3617" s="231"/>
      <c r="I3617" s="231"/>
      <c r="J3617" s="231"/>
      <c r="K3617" s="231">
        <v>7</v>
      </c>
      <c r="L3617" s="231"/>
      <c r="M3617" s="231"/>
      <c r="N3617" s="231"/>
      <c r="O3617" s="231"/>
      <c r="P3617" s="231"/>
      <c r="Q3617" s="231"/>
      <c r="R3617" s="231"/>
      <c r="S3617" s="231">
        <v>2</v>
      </c>
      <c r="T3617" s="231"/>
      <c r="U3617" s="231"/>
      <c r="V3617" s="231"/>
      <c r="W3617" s="231"/>
      <c r="X3617" s="231"/>
      <c r="Y3617" s="231"/>
      <c r="Z3617" s="231"/>
      <c r="AA3617" s="231"/>
      <c r="AB3617" s="22">
        <f t="shared" si="1088"/>
        <v>9</v>
      </c>
      <c r="AC3617" s="23">
        <v>1</v>
      </c>
      <c r="AD3617" s="35"/>
      <c r="AE3617" s="35"/>
      <c r="AF3617" s="35"/>
      <c r="AG3617" s="35"/>
      <c r="AH3617" s="35"/>
      <c r="AI3617" s="35"/>
      <c r="AJ3617" s="35"/>
      <c r="AK3617" s="35"/>
      <c r="AL3617" s="35"/>
      <c r="AM3617" s="35"/>
      <c r="AN3617" s="35"/>
      <c r="AO3617" s="35"/>
      <c r="AP3617" s="35"/>
      <c r="AQ3617" s="35"/>
      <c r="AR3617" s="35"/>
      <c r="AS3617" s="35"/>
      <c r="AT3617" s="35"/>
      <c r="AU3617" s="35"/>
      <c r="AV3617" s="35"/>
      <c r="AW3617" s="35"/>
      <c r="AX3617" s="35"/>
      <c r="AY3617" s="35"/>
      <c r="AZ3617" s="35"/>
      <c r="BA3617" s="35"/>
      <c r="BB3617" s="22">
        <f t="shared" si="1089"/>
        <v>0</v>
      </c>
      <c r="BC3617" s="23">
        <v>0</v>
      </c>
      <c r="BD3617" s="130">
        <f t="shared" si="1090"/>
        <v>9</v>
      </c>
      <c r="BE3617" s="130">
        <f t="shared" si="1086"/>
        <v>1</v>
      </c>
      <c r="BF3617" s="195">
        <f t="shared" si="1091"/>
        <v>900</v>
      </c>
      <c r="BG3617" s="373">
        <f t="shared" si="1092"/>
        <v>-8</v>
      </c>
      <c r="BH3617" s="426" t="s">
        <v>3675</v>
      </c>
      <c r="BI3617" s="426"/>
    </row>
    <row r="3618" spans="1:61" s="46" customFormat="1" ht="21" customHeight="1">
      <c r="A3618" s="417">
        <v>3</v>
      </c>
      <c r="B3618" s="418" t="s">
        <v>1266</v>
      </c>
      <c r="C3618" s="423" t="s">
        <v>1267</v>
      </c>
      <c r="D3618" s="231"/>
      <c r="E3618" s="231"/>
      <c r="F3618" s="231"/>
      <c r="G3618" s="231"/>
      <c r="H3618" s="231"/>
      <c r="I3618" s="231"/>
      <c r="J3618" s="231"/>
      <c r="K3618" s="231">
        <v>122</v>
      </c>
      <c r="L3618" s="231"/>
      <c r="M3618" s="231"/>
      <c r="N3618" s="231"/>
      <c r="O3618" s="231"/>
      <c r="P3618" s="231"/>
      <c r="Q3618" s="231"/>
      <c r="R3618" s="231"/>
      <c r="S3618" s="231">
        <v>512</v>
      </c>
      <c r="T3618" s="231"/>
      <c r="U3618" s="231"/>
      <c r="V3618" s="231"/>
      <c r="W3618" s="231"/>
      <c r="X3618" s="231"/>
      <c r="Y3618" s="231"/>
      <c r="Z3618" s="231"/>
      <c r="AA3618" s="231"/>
      <c r="AB3618" s="22">
        <f t="shared" si="1088"/>
        <v>634</v>
      </c>
      <c r="AC3618" s="23">
        <v>1902</v>
      </c>
      <c r="AD3618" s="35"/>
      <c r="AE3618" s="35"/>
      <c r="AF3618" s="35"/>
      <c r="AG3618" s="35"/>
      <c r="AH3618" s="35"/>
      <c r="AI3618" s="35"/>
      <c r="AJ3618" s="35"/>
      <c r="AK3618" s="35"/>
      <c r="AL3618" s="35"/>
      <c r="AM3618" s="35"/>
      <c r="AN3618" s="35"/>
      <c r="AO3618" s="35"/>
      <c r="AP3618" s="35"/>
      <c r="AQ3618" s="35"/>
      <c r="AR3618" s="35"/>
      <c r="AS3618" s="35"/>
      <c r="AT3618" s="35"/>
      <c r="AU3618" s="35"/>
      <c r="AV3618" s="35"/>
      <c r="AW3618" s="35"/>
      <c r="AX3618" s="35"/>
      <c r="AY3618" s="35"/>
      <c r="AZ3618" s="35"/>
      <c r="BA3618" s="35"/>
      <c r="BB3618" s="22">
        <f t="shared" si="1089"/>
        <v>0</v>
      </c>
      <c r="BC3618" s="23">
        <v>0</v>
      </c>
      <c r="BD3618" s="130">
        <f t="shared" si="1090"/>
        <v>634</v>
      </c>
      <c r="BE3618" s="130">
        <f t="shared" si="1086"/>
        <v>1902</v>
      </c>
      <c r="BF3618" s="195">
        <f t="shared" si="1091"/>
        <v>33.333333333333329</v>
      </c>
      <c r="BG3618" s="373">
        <f t="shared" si="1092"/>
        <v>1268</v>
      </c>
      <c r="BH3618" s="426" t="s">
        <v>3675</v>
      </c>
      <c r="BI3618" s="421"/>
    </row>
    <row r="3619" spans="1:61" s="46" customFormat="1" ht="15.95" customHeight="1">
      <c r="A3619" s="176">
        <v>4</v>
      </c>
      <c r="B3619" s="31" t="s">
        <v>738</v>
      </c>
      <c r="C3619" s="34" t="s">
        <v>739</v>
      </c>
      <c r="D3619" s="327"/>
      <c r="E3619" s="327"/>
      <c r="F3619" s="327"/>
      <c r="G3619" s="327"/>
      <c r="H3619" s="327"/>
      <c r="I3619" s="327"/>
      <c r="J3619" s="327"/>
      <c r="K3619" s="327"/>
      <c r="L3619" s="327"/>
      <c r="M3619" s="327"/>
      <c r="N3619" s="327"/>
      <c r="O3619" s="327"/>
      <c r="P3619" s="327"/>
      <c r="Q3619" s="327"/>
      <c r="R3619" s="327"/>
      <c r="S3619" s="327"/>
      <c r="T3619" s="327"/>
      <c r="U3619" s="327"/>
      <c r="V3619" s="327"/>
      <c r="W3619" s="327"/>
      <c r="X3619" s="327"/>
      <c r="Y3619" s="327"/>
      <c r="Z3619" s="327"/>
      <c r="AA3619" s="327"/>
      <c r="AB3619" s="22">
        <f t="shared" si="1088"/>
        <v>0</v>
      </c>
      <c r="AC3619" s="23">
        <v>1</v>
      </c>
      <c r="AD3619" s="35"/>
      <c r="AE3619" s="35"/>
      <c r="AF3619" s="35"/>
      <c r="AG3619" s="35"/>
      <c r="AH3619" s="35"/>
      <c r="AI3619" s="35"/>
      <c r="AJ3619" s="35"/>
      <c r="AK3619" s="35"/>
      <c r="AL3619" s="35"/>
      <c r="AM3619" s="35"/>
      <c r="AN3619" s="35"/>
      <c r="AO3619" s="35"/>
      <c r="AP3619" s="35"/>
      <c r="AQ3619" s="35"/>
      <c r="AR3619" s="35"/>
      <c r="AS3619" s="35"/>
      <c r="AT3619" s="35"/>
      <c r="AU3619" s="35"/>
      <c r="AV3619" s="35"/>
      <c r="AW3619" s="35"/>
      <c r="AX3619" s="35"/>
      <c r="AY3619" s="35"/>
      <c r="AZ3619" s="35"/>
      <c r="BA3619" s="35"/>
      <c r="BB3619" s="22">
        <f t="shared" si="1089"/>
        <v>0</v>
      </c>
      <c r="BC3619" s="23">
        <v>0</v>
      </c>
      <c r="BD3619" s="130">
        <f t="shared" si="1090"/>
        <v>0</v>
      </c>
      <c r="BE3619" s="130">
        <f t="shared" si="1086"/>
        <v>1</v>
      </c>
      <c r="BF3619" s="195">
        <f t="shared" si="1091"/>
        <v>0</v>
      </c>
      <c r="BG3619" s="373">
        <f t="shared" si="1092"/>
        <v>1</v>
      </c>
    </row>
    <row r="3620" spans="1:61" s="46" customFormat="1" ht="15.95" customHeight="1">
      <c r="A3620" s="176">
        <v>5</v>
      </c>
      <c r="B3620" s="31" t="s">
        <v>1675</v>
      </c>
      <c r="C3620" s="34" t="s">
        <v>1676</v>
      </c>
      <c r="D3620" s="231"/>
      <c r="E3620" s="231"/>
      <c r="F3620" s="231"/>
      <c r="G3620" s="231"/>
      <c r="H3620" s="231">
        <v>1</v>
      </c>
      <c r="I3620" s="231"/>
      <c r="J3620" s="231"/>
      <c r="K3620" s="231"/>
      <c r="L3620" s="231"/>
      <c r="M3620" s="231"/>
      <c r="N3620" s="231"/>
      <c r="O3620" s="231"/>
      <c r="P3620" s="231">
        <v>4</v>
      </c>
      <c r="Q3620" s="231"/>
      <c r="R3620" s="231"/>
      <c r="S3620" s="231"/>
      <c r="T3620" s="231"/>
      <c r="U3620" s="231"/>
      <c r="V3620" s="231"/>
      <c r="W3620" s="231"/>
      <c r="X3620" s="231"/>
      <c r="Y3620" s="231"/>
      <c r="Z3620" s="231"/>
      <c r="AA3620" s="231"/>
      <c r="AB3620" s="22">
        <f t="shared" si="1088"/>
        <v>5</v>
      </c>
      <c r="AC3620" s="23">
        <v>2</v>
      </c>
      <c r="AD3620" s="35"/>
      <c r="AE3620" s="35"/>
      <c r="AF3620" s="35"/>
      <c r="AG3620" s="35"/>
      <c r="AH3620" s="35"/>
      <c r="AI3620" s="35"/>
      <c r="AJ3620" s="35"/>
      <c r="AK3620" s="35"/>
      <c r="AL3620" s="35"/>
      <c r="AM3620" s="35"/>
      <c r="AN3620" s="35"/>
      <c r="AO3620" s="35"/>
      <c r="AP3620" s="35"/>
      <c r="AQ3620" s="35"/>
      <c r="AR3620" s="35"/>
      <c r="AS3620" s="35"/>
      <c r="AT3620" s="35"/>
      <c r="AU3620" s="35"/>
      <c r="AV3620" s="35"/>
      <c r="AW3620" s="35"/>
      <c r="AX3620" s="35"/>
      <c r="AY3620" s="35"/>
      <c r="AZ3620" s="35"/>
      <c r="BA3620" s="35"/>
      <c r="BB3620" s="22">
        <f t="shared" si="1089"/>
        <v>0</v>
      </c>
      <c r="BC3620" s="23">
        <v>0</v>
      </c>
      <c r="BD3620" s="130">
        <f t="shared" si="1090"/>
        <v>5</v>
      </c>
      <c r="BE3620" s="130">
        <f t="shared" si="1086"/>
        <v>2</v>
      </c>
      <c r="BF3620" s="195">
        <f t="shared" si="1091"/>
        <v>250</v>
      </c>
      <c r="BG3620" s="373">
        <f t="shared" si="1092"/>
        <v>-3</v>
      </c>
    </row>
    <row r="3621" spans="1:61" s="46" customFormat="1" ht="15.95" customHeight="1">
      <c r="A3621" s="176">
        <v>6</v>
      </c>
      <c r="B3621" s="31" t="s">
        <v>756</v>
      </c>
      <c r="C3621" s="34" t="s">
        <v>757</v>
      </c>
      <c r="D3621" s="231"/>
      <c r="E3621" s="231"/>
      <c r="F3621" s="231"/>
      <c r="G3621" s="231"/>
      <c r="H3621" s="231">
        <v>175</v>
      </c>
      <c r="I3621" s="231"/>
      <c r="J3621" s="231"/>
      <c r="K3621" s="231"/>
      <c r="L3621" s="231">
        <v>578</v>
      </c>
      <c r="M3621" s="231"/>
      <c r="N3621" s="231"/>
      <c r="O3621" s="231"/>
      <c r="P3621" s="231">
        <v>685</v>
      </c>
      <c r="Q3621" s="231"/>
      <c r="R3621" s="231"/>
      <c r="S3621" s="231"/>
      <c r="T3621" s="231"/>
      <c r="U3621" s="231"/>
      <c r="V3621" s="231"/>
      <c r="W3621" s="231"/>
      <c r="X3621" s="231"/>
      <c r="Y3621" s="231"/>
      <c r="Z3621" s="231"/>
      <c r="AA3621" s="231"/>
      <c r="AB3621" s="22">
        <f t="shared" si="1088"/>
        <v>1438</v>
      </c>
      <c r="AC3621" s="23">
        <v>2474</v>
      </c>
      <c r="AD3621" s="35"/>
      <c r="AE3621" s="35"/>
      <c r="AF3621" s="35"/>
      <c r="AG3621" s="35"/>
      <c r="AH3621" s="35"/>
      <c r="AI3621" s="35"/>
      <c r="AJ3621" s="35"/>
      <c r="AK3621" s="35"/>
      <c r="AL3621" s="35"/>
      <c r="AM3621" s="35"/>
      <c r="AN3621" s="35"/>
      <c r="AO3621" s="35"/>
      <c r="AP3621" s="35"/>
      <c r="AQ3621" s="35"/>
      <c r="AR3621" s="35"/>
      <c r="AS3621" s="35"/>
      <c r="AT3621" s="35"/>
      <c r="AU3621" s="35"/>
      <c r="AV3621" s="35"/>
      <c r="AW3621" s="35"/>
      <c r="AX3621" s="35"/>
      <c r="AY3621" s="35"/>
      <c r="AZ3621" s="35"/>
      <c r="BA3621" s="35"/>
      <c r="BB3621" s="22">
        <f t="shared" si="1089"/>
        <v>0</v>
      </c>
      <c r="BC3621" s="23">
        <v>0</v>
      </c>
      <c r="BD3621" s="130">
        <f t="shared" si="1090"/>
        <v>1438</v>
      </c>
      <c r="BE3621" s="130">
        <f t="shared" si="1086"/>
        <v>2474</v>
      </c>
      <c r="BF3621" s="195">
        <f t="shared" si="1091"/>
        <v>58.124494745351662</v>
      </c>
      <c r="BG3621" s="373">
        <f t="shared" si="1092"/>
        <v>1036</v>
      </c>
    </row>
    <row r="3622" spans="1:61" s="46" customFormat="1" ht="15.95" customHeight="1">
      <c r="A3622" s="176">
        <v>7</v>
      </c>
      <c r="B3622" s="31" t="s">
        <v>1135</v>
      </c>
      <c r="C3622" s="34" t="s">
        <v>3212</v>
      </c>
      <c r="D3622" s="327"/>
      <c r="E3622" s="327"/>
      <c r="F3622" s="327"/>
      <c r="G3622" s="327"/>
      <c r="H3622" s="327"/>
      <c r="I3622" s="327"/>
      <c r="J3622" s="327"/>
      <c r="K3622" s="327"/>
      <c r="L3622" s="327"/>
      <c r="M3622" s="327"/>
      <c r="N3622" s="327"/>
      <c r="O3622" s="327"/>
      <c r="P3622" s="327"/>
      <c r="Q3622" s="327"/>
      <c r="R3622" s="327"/>
      <c r="S3622" s="327"/>
      <c r="T3622" s="327"/>
      <c r="U3622" s="327"/>
      <c r="V3622" s="327"/>
      <c r="W3622" s="327"/>
      <c r="X3622" s="327"/>
      <c r="Y3622" s="327"/>
      <c r="Z3622" s="327"/>
      <c r="AA3622" s="327"/>
      <c r="AB3622" s="22">
        <f t="shared" si="1088"/>
        <v>0</v>
      </c>
      <c r="AC3622" s="23">
        <v>1</v>
      </c>
      <c r="AD3622" s="35"/>
      <c r="AE3622" s="35"/>
      <c r="AF3622" s="35"/>
      <c r="AG3622" s="35"/>
      <c r="AH3622" s="35"/>
      <c r="AI3622" s="35"/>
      <c r="AJ3622" s="35"/>
      <c r="AK3622" s="35"/>
      <c r="AL3622" s="35"/>
      <c r="AM3622" s="35"/>
      <c r="AN3622" s="35"/>
      <c r="AO3622" s="35"/>
      <c r="AP3622" s="35"/>
      <c r="AQ3622" s="35"/>
      <c r="AR3622" s="35"/>
      <c r="AS3622" s="35"/>
      <c r="AT3622" s="35"/>
      <c r="AU3622" s="35"/>
      <c r="AV3622" s="35"/>
      <c r="AW3622" s="35"/>
      <c r="AX3622" s="35"/>
      <c r="AY3622" s="35"/>
      <c r="AZ3622" s="35"/>
      <c r="BA3622" s="35"/>
      <c r="BB3622" s="22">
        <f t="shared" si="1089"/>
        <v>0</v>
      </c>
      <c r="BC3622" s="23">
        <v>0</v>
      </c>
      <c r="BD3622" s="130">
        <f t="shared" si="1090"/>
        <v>0</v>
      </c>
      <c r="BE3622" s="130">
        <f t="shared" si="1086"/>
        <v>1</v>
      </c>
      <c r="BF3622" s="195">
        <f t="shared" si="1091"/>
        <v>0</v>
      </c>
      <c r="BG3622" s="373">
        <f t="shared" si="1092"/>
        <v>1</v>
      </c>
    </row>
    <row r="3623" spans="1:61" s="46" customFormat="1" ht="15.95" customHeight="1">
      <c r="A3623" s="176">
        <v>8</v>
      </c>
      <c r="B3623" s="31" t="s">
        <v>768</v>
      </c>
      <c r="C3623" s="34" t="s">
        <v>769</v>
      </c>
      <c r="D3623" s="336"/>
      <c r="E3623" s="336"/>
      <c r="F3623" s="336"/>
      <c r="G3623" s="336"/>
      <c r="H3623" s="336"/>
      <c r="I3623" s="336"/>
      <c r="J3623" s="336"/>
      <c r="K3623" s="336"/>
      <c r="L3623" s="336"/>
      <c r="M3623" s="336"/>
      <c r="N3623" s="336"/>
      <c r="O3623" s="336"/>
      <c r="P3623" s="336"/>
      <c r="Q3623" s="336"/>
      <c r="R3623" s="336"/>
      <c r="S3623" s="336"/>
      <c r="T3623" s="336"/>
      <c r="U3623" s="336"/>
      <c r="V3623" s="336"/>
      <c r="W3623" s="336"/>
      <c r="X3623" s="336"/>
      <c r="Y3623" s="336"/>
      <c r="Z3623" s="336"/>
      <c r="AA3623" s="336"/>
      <c r="AB3623" s="22">
        <f t="shared" si="1088"/>
        <v>0</v>
      </c>
      <c r="AC3623" s="23">
        <v>1</v>
      </c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22">
        <f t="shared" si="1089"/>
        <v>0</v>
      </c>
      <c r="BC3623" s="23">
        <v>0</v>
      </c>
      <c r="BD3623" s="130">
        <f t="shared" si="1090"/>
        <v>0</v>
      </c>
      <c r="BE3623" s="130">
        <f t="shared" si="1086"/>
        <v>1</v>
      </c>
      <c r="BF3623" s="195">
        <f t="shared" si="1091"/>
        <v>0</v>
      </c>
      <c r="BG3623" s="373">
        <f t="shared" si="1092"/>
        <v>1</v>
      </c>
    </row>
    <row r="3624" spans="1:61" s="46" customFormat="1" ht="15.95" customHeight="1">
      <c r="A3624" s="176">
        <v>9</v>
      </c>
      <c r="B3624" s="31" t="s">
        <v>770</v>
      </c>
      <c r="C3624" s="34" t="s">
        <v>771</v>
      </c>
      <c r="D3624" s="336"/>
      <c r="E3624" s="336"/>
      <c r="F3624" s="336"/>
      <c r="G3624" s="336"/>
      <c r="H3624" s="336"/>
      <c r="I3624" s="336"/>
      <c r="J3624" s="336"/>
      <c r="K3624" s="336"/>
      <c r="L3624" s="336"/>
      <c r="M3624" s="336"/>
      <c r="N3624" s="336"/>
      <c r="O3624" s="336"/>
      <c r="P3624" s="336"/>
      <c r="Q3624" s="336"/>
      <c r="R3624" s="336"/>
      <c r="S3624" s="336"/>
      <c r="T3624" s="336"/>
      <c r="U3624" s="336"/>
      <c r="V3624" s="336"/>
      <c r="W3624" s="336"/>
      <c r="X3624" s="336"/>
      <c r="Y3624" s="336"/>
      <c r="Z3624" s="336"/>
      <c r="AA3624" s="336"/>
      <c r="AB3624" s="22">
        <f t="shared" si="1088"/>
        <v>0</v>
      </c>
      <c r="AC3624" s="23">
        <v>1</v>
      </c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22">
        <f t="shared" si="1089"/>
        <v>0</v>
      </c>
      <c r="BC3624" s="23">
        <v>0</v>
      </c>
      <c r="BD3624" s="130">
        <f t="shared" si="1090"/>
        <v>0</v>
      </c>
      <c r="BE3624" s="130">
        <f t="shared" si="1086"/>
        <v>1</v>
      </c>
      <c r="BF3624" s="195">
        <f t="shared" si="1091"/>
        <v>0</v>
      </c>
      <c r="BG3624" s="373">
        <f t="shared" si="1092"/>
        <v>1</v>
      </c>
    </row>
    <row r="3625" spans="1:61" s="46" customFormat="1" ht="15.95" customHeight="1">
      <c r="A3625" s="176">
        <v>10</v>
      </c>
      <c r="B3625" s="31" t="s">
        <v>1140</v>
      </c>
      <c r="C3625" s="34" t="s">
        <v>639</v>
      </c>
      <c r="D3625" s="231"/>
      <c r="E3625" s="231"/>
      <c r="F3625" s="231"/>
      <c r="G3625" s="231"/>
      <c r="H3625" s="231"/>
      <c r="I3625" s="231"/>
      <c r="J3625" s="231"/>
      <c r="K3625" s="231"/>
      <c r="L3625" s="231">
        <v>3</v>
      </c>
      <c r="M3625" s="231"/>
      <c r="N3625" s="231"/>
      <c r="O3625" s="231"/>
      <c r="P3625" s="231">
        <v>3</v>
      </c>
      <c r="Q3625" s="231"/>
      <c r="R3625" s="231"/>
      <c r="S3625" s="231"/>
      <c r="T3625" s="231"/>
      <c r="U3625" s="231"/>
      <c r="V3625" s="231"/>
      <c r="W3625" s="231"/>
      <c r="X3625" s="231"/>
      <c r="Y3625" s="231"/>
      <c r="Z3625" s="231"/>
      <c r="AA3625" s="231"/>
      <c r="AB3625" s="22">
        <f t="shared" si="1088"/>
        <v>6</v>
      </c>
      <c r="AC3625" s="23">
        <v>3</v>
      </c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22">
        <f t="shared" si="1089"/>
        <v>0</v>
      </c>
      <c r="BC3625" s="23">
        <v>0</v>
      </c>
      <c r="BD3625" s="130">
        <f t="shared" si="1090"/>
        <v>6</v>
      </c>
      <c r="BE3625" s="130">
        <f t="shared" si="1086"/>
        <v>3</v>
      </c>
      <c r="BF3625" s="195">
        <f t="shared" si="1091"/>
        <v>200</v>
      </c>
      <c r="BG3625" s="373">
        <f t="shared" si="1092"/>
        <v>-3</v>
      </c>
    </row>
    <row r="3626" spans="1:61" s="46" customFormat="1" ht="15.95" customHeight="1">
      <c r="A3626" s="176">
        <v>11</v>
      </c>
      <c r="B3626" s="31" t="s">
        <v>772</v>
      </c>
      <c r="C3626" s="34" t="s">
        <v>773</v>
      </c>
      <c r="D3626" s="231"/>
      <c r="E3626" s="231"/>
      <c r="F3626" s="231"/>
      <c r="G3626" s="231"/>
      <c r="H3626" s="231">
        <v>8</v>
      </c>
      <c r="I3626" s="231"/>
      <c r="J3626" s="231"/>
      <c r="K3626" s="231"/>
      <c r="L3626" s="231">
        <v>48</v>
      </c>
      <c r="M3626" s="231"/>
      <c r="N3626" s="231"/>
      <c r="O3626" s="231"/>
      <c r="P3626" s="231">
        <v>84</v>
      </c>
      <c r="Q3626" s="231"/>
      <c r="R3626" s="231"/>
      <c r="S3626" s="231"/>
      <c r="T3626" s="231"/>
      <c r="U3626" s="231"/>
      <c r="V3626" s="231"/>
      <c r="W3626" s="231"/>
      <c r="X3626" s="231"/>
      <c r="Y3626" s="231"/>
      <c r="Z3626" s="231"/>
      <c r="AA3626" s="231"/>
      <c r="AB3626" s="22">
        <f t="shared" si="1088"/>
        <v>140</v>
      </c>
      <c r="AC3626" s="23">
        <v>51</v>
      </c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22">
        <f t="shared" si="1089"/>
        <v>0</v>
      </c>
      <c r="BC3626" s="23">
        <v>0</v>
      </c>
      <c r="BD3626" s="130">
        <f t="shared" si="1090"/>
        <v>140</v>
      </c>
      <c r="BE3626" s="130">
        <f t="shared" si="1086"/>
        <v>51</v>
      </c>
      <c r="BF3626" s="195">
        <f t="shared" si="1091"/>
        <v>274.50980392156862</v>
      </c>
      <c r="BG3626" s="373">
        <f t="shared" si="1092"/>
        <v>-89</v>
      </c>
    </row>
    <row r="3627" spans="1:61" s="46" customFormat="1" ht="15.95" customHeight="1">
      <c r="A3627" s="176">
        <v>12</v>
      </c>
      <c r="B3627" s="31" t="s">
        <v>780</v>
      </c>
      <c r="C3627" s="34" t="s">
        <v>1683</v>
      </c>
      <c r="D3627" s="231"/>
      <c r="E3627" s="231"/>
      <c r="F3627" s="231"/>
      <c r="G3627" s="231"/>
      <c r="H3627" s="231">
        <v>2</v>
      </c>
      <c r="I3627" s="231"/>
      <c r="J3627" s="231"/>
      <c r="K3627" s="231"/>
      <c r="L3627" s="231">
        <v>8</v>
      </c>
      <c r="M3627" s="231"/>
      <c r="N3627" s="231"/>
      <c r="O3627" s="231"/>
      <c r="P3627" s="231">
        <v>2</v>
      </c>
      <c r="Q3627" s="231"/>
      <c r="R3627" s="231"/>
      <c r="S3627" s="231"/>
      <c r="T3627" s="231"/>
      <c r="U3627" s="231"/>
      <c r="V3627" s="231"/>
      <c r="W3627" s="231"/>
      <c r="X3627" s="231"/>
      <c r="Y3627" s="231"/>
      <c r="Z3627" s="231"/>
      <c r="AA3627" s="231"/>
      <c r="AB3627" s="22">
        <f t="shared" si="1088"/>
        <v>12</v>
      </c>
      <c r="AC3627" s="23">
        <v>16</v>
      </c>
      <c r="AD3627" s="35"/>
      <c r="AE3627" s="35"/>
      <c r="AF3627" s="35"/>
      <c r="AG3627" s="35"/>
      <c r="AH3627" s="35"/>
      <c r="AI3627" s="35"/>
      <c r="AJ3627" s="35"/>
      <c r="AK3627" s="35"/>
      <c r="AL3627" s="35"/>
      <c r="AM3627" s="35"/>
      <c r="AN3627" s="35"/>
      <c r="AO3627" s="35"/>
      <c r="AP3627" s="35"/>
      <c r="AQ3627" s="35"/>
      <c r="AR3627" s="35"/>
      <c r="AS3627" s="35"/>
      <c r="AT3627" s="35"/>
      <c r="AU3627" s="35"/>
      <c r="AV3627" s="35"/>
      <c r="AW3627" s="35"/>
      <c r="AX3627" s="35"/>
      <c r="AY3627" s="35"/>
      <c r="AZ3627" s="35"/>
      <c r="BA3627" s="35"/>
      <c r="BB3627" s="22">
        <f t="shared" si="1089"/>
        <v>0</v>
      </c>
      <c r="BC3627" s="23">
        <v>0</v>
      </c>
      <c r="BD3627" s="130">
        <f t="shared" si="1090"/>
        <v>12</v>
      </c>
      <c r="BE3627" s="130">
        <f t="shared" si="1086"/>
        <v>16</v>
      </c>
      <c r="BF3627" s="195">
        <f t="shared" si="1091"/>
        <v>75</v>
      </c>
      <c r="BG3627" s="373">
        <f t="shared" si="1092"/>
        <v>4</v>
      </c>
    </row>
    <row r="3628" spans="1:61" s="46" customFormat="1" ht="15.95" customHeight="1">
      <c r="A3628" s="176">
        <v>13</v>
      </c>
      <c r="B3628" s="31" t="s">
        <v>783</v>
      </c>
      <c r="C3628" s="34" t="s">
        <v>1370</v>
      </c>
      <c r="D3628" s="231"/>
      <c r="E3628" s="231"/>
      <c r="F3628" s="231"/>
      <c r="G3628" s="231"/>
      <c r="H3628" s="231">
        <v>47</v>
      </c>
      <c r="I3628" s="231"/>
      <c r="J3628" s="231"/>
      <c r="K3628" s="231"/>
      <c r="L3628" s="231">
        <v>214</v>
      </c>
      <c r="M3628" s="231"/>
      <c r="N3628" s="231"/>
      <c r="O3628" s="231"/>
      <c r="P3628" s="231">
        <v>264</v>
      </c>
      <c r="Q3628" s="231"/>
      <c r="R3628" s="231"/>
      <c r="S3628" s="231"/>
      <c r="T3628" s="231"/>
      <c r="U3628" s="231"/>
      <c r="V3628" s="231"/>
      <c r="W3628" s="231"/>
      <c r="X3628" s="231"/>
      <c r="Y3628" s="231"/>
      <c r="Z3628" s="231"/>
      <c r="AA3628" s="231"/>
      <c r="AB3628" s="22">
        <f t="shared" si="1088"/>
        <v>525</v>
      </c>
      <c r="AC3628" s="23">
        <v>655</v>
      </c>
      <c r="AD3628" s="35"/>
      <c r="AE3628" s="35"/>
      <c r="AF3628" s="35"/>
      <c r="AG3628" s="35"/>
      <c r="AH3628" s="35"/>
      <c r="AI3628" s="35"/>
      <c r="AJ3628" s="35"/>
      <c r="AK3628" s="35"/>
      <c r="AL3628" s="35"/>
      <c r="AM3628" s="35"/>
      <c r="AN3628" s="35"/>
      <c r="AO3628" s="35"/>
      <c r="AP3628" s="35"/>
      <c r="AQ3628" s="35"/>
      <c r="AR3628" s="35"/>
      <c r="AS3628" s="35"/>
      <c r="AT3628" s="35"/>
      <c r="AU3628" s="35"/>
      <c r="AV3628" s="35"/>
      <c r="AW3628" s="35"/>
      <c r="AX3628" s="35"/>
      <c r="AY3628" s="35"/>
      <c r="AZ3628" s="35"/>
      <c r="BA3628" s="35"/>
      <c r="BB3628" s="22">
        <f t="shared" si="1089"/>
        <v>0</v>
      </c>
      <c r="BC3628" s="23">
        <v>0</v>
      </c>
      <c r="BD3628" s="130">
        <f t="shared" si="1090"/>
        <v>525</v>
      </c>
      <c r="BE3628" s="130">
        <f t="shared" si="1086"/>
        <v>655</v>
      </c>
      <c r="BF3628" s="195">
        <f t="shared" si="1091"/>
        <v>80.152671755725194</v>
      </c>
      <c r="BG3628" s="373">
        <f t="shared" si="1092"/>
        <v>130</v>
      </c>
    </row>
    <row r="3629" spans="1:61" s="46" customFormat="1" ht="15.95" customHeight="1">
      <c r="A3629" s="176">
        <v>14</v>
      </c>
      <c r="B3629" s="31" t="s">
        <v>993</v>
      </c>
      <c r="C3629" s="34" t="s">
        <v>4195</v>
      </c>
      <c r="D3629" s="577"/>
      <c r="E3629" s="577"/>
      <c r="F3629" s="577"/>
      <c r="G3629" s="577"/>
      <c r="H3629" s="577"/>
      <c r="I3629" s="577"/>
      <c r="J3629" s="577"/>
      <c r="K3629" s="577"/>
      <c r="L3629" s="577"/>
      <c r="M3629" s="577"/>
      <c r="N3629" s="577"/>
      <c r="O3629" s="577"/>
      <c r="P3629" s="577">
        <v>1</v>
      </c>
      <c r="Q3629" s="577"/>
      <c r="R3629" s="577"/>
      <c r="S3629" s="577"/>
      <c r="T3629" s="577"/>
      <c r="U3629" s="577"/>
      <c r="V3629" s="577"/>
      <c r="W3629" s="577"/>
      <c r="X3629" s="577"/>
      <c r="Y3629" s="577"/>
      <c r="Z3629" s="577"/>
      <c r="AA3629" s="577"/>
      <c r="AB3629" s="22">
        <f t="shared" si="1088"/>
        <v>1</v>
      </c>
      <c r="AC3629" s="23">
        <v>0</v>
      </c>
      <c r="AD3629" s="35"/>
      <c r="AE3629" s="35"/>
      <c r="AF3629" s="35"/>
      <c r="AG3629" s="35"/>
      <c r="AH3629" s="35"/>
      <c r="AI3629" s="35"/>
      <c r="AJ3629" s="35"/>
      <c r="AK3629" s="35"/>
      <c r="AL3629" s="35"/>
      <c r="AM3629" s="35"/>
      <c r="AN3629" s="35"/>
      <c r="AO3629" s="35"/>
      <c r="AP3629" s="35"/>
      <c r="AQ3629" s="35"/>
      <c r="AR3629" s="35"/>
      <c r="AS3629" s="35"/>
      <c r="AT3629" s="35"/>
      <c r="AU3629" s="35"/>
      <c r="AV3629" s="35"/>
      <c r="AW3629" s="35"/>
      <c r="AX3629" s="35"/>
      <c r="AY3629" s="35"/>
      <c r="AZ3629" s="35"/>
      <c r="BA3629" s="35"/>
      <c r="BB3629" s="22">
        <f t="shared" si="1089"/>
        <v>0</v>
      </c>
      <c r="BC3629" s="23">
        <v>0</v>
      </c>
      <c r="BD3629" s="130">
        <f t="shared" si="1090"/>
        <v>1</v>
      </c>
      <c r="BE3629" s="130">
        <f t="shared" si="1086"/>
        <v>0</v>
      </c>
      <c r="BF3629" s="195" t="e">
        <f t="shared" si="1091"/>
        <v>#DIV/0!</v>
      </c>
      <c r="BG3629" s="373"/>
    </row>
    <row r="3630" spans="1:61" s="46" customFormat="1" ht="15.95" customHeight="1">
      <c r="A3630" s="176">
        <v>15</v>
      </c>
      <c r="B3630" s="37" t="s">
        <v>1158</v>
      </c>
      <c r="C3630" s="38" t="s">
        <v>1159</v>
      </c>
      <c r="D3630" s="231"/>
      <c r="E3630" s="231"/>
      <c r="F3630" s="231"/>
      <c r="G3630" s="231"/>
      <c r="H3630" s="231"/>
      <c r="I3630" s="231"/>
      <c r="J3630" s="231"/>
      <c r="K3630" s="231"/>
      <c r="L3630" s="231"/>
      <c r="M3630" s="231"/>
      <c r="N3630" s="231"/>
      <c r="O3630" s="231"/>
      <c r="P3630" s="231"/>
      <c r="Q3630" s="231"/>
      <c r="R3630" s="231"/>
      <c r="S3630" s="231"/>
      <c r="T3630" s="231"/>
      <c r="U3630" s="231"/>
      <c r="V3630" s="231"/>
      <c r="W3630" s="231"/>
      <c r="X3630" s="231"/>
      <c r="Y3630" s="231"/>
      <c r="Z3630" s="231"/>
      <c r="AA3630" s="231"/>
      <c r="AB3630" s="22">
        <f t="shared" si="1088"/>
        <v>0</v>
      </c>
      <c r="AC3630" s="23">
        <v>2</v>
      </c>
      <c r="AD3630" s="35"/>
      <c r="AE3630" s="35"/>
      <c r="AF3630" s="35"/>
      <c r="AG3630" s="35"/>
      <c r="AH3630" s="35"/>
      <c r="AI3630" s="35"/>
      <c r="AJ3630" s="35"/>
      <c r="AK3630" s="35"/>
      <c r="AL3630" s="35"/>
      <c r="AM3630" s="35"/>
      <c r="AN3630" s="35"/>
      <c r="AO3630" s="35"/>
      <c r="AP3630" s="35"/>
      <c r="AQ3630" s="35"/>
      <c r="AR3630" s="35"/>
      <c r="AS3630" s="35"/>
      <c r="AT3630" s="35"/>
      <c r="AU3630" s="35"/>
      <c r="AV3630" s="35"/>
      <c r="AW3630" s="35"/>
      <c r="AX3630" s="35"/>
      <c r="AY3630" s="35"/>
      <c r="AZ3630" s="35"/>
      <c r="BA3630" s="35"/>
      <c r="BB3630" s="22">
        <f t="shared" si="1089"/>
        <v>0</v>
      </c>
      <c r="BC3630" s="23">
        <v>0</v>
      </c>
      <c r="BD3630" s="130">
        <f t="shared" si="1090"/>
        <v>0</v>
      </c>
      <c r="BE3630" s="130">
        <f t="shared" si="1086"/>
        <v>2</v>
      </c>
      <c r="BF3630" s="195">
        <f t="shared" si="1091"/>
        <v>0</v>
      </c>
      <c r="BG3630" s="373">
        <f>BE3630-BD3630</f>
        <v>2</v>
      </c>
    </row>
    <row r="3631" spans="1:61" s="46" customFormat="1" ht="15.95" customHeight="1">
      <c r="A3631" s="176">
        <v>16</v>
      </c>
      <c r="B3631" s="37" t="s">
        <v>1310</v>
      </c>
      <c r="C3631" s="38" t="s">
        <v>681</v>
      </c>
      <c r="D3631" s="231"/>
      <c r="E3631" s="231"/>
      <c r="F3631" s="231"/>
      <c r="G3631" s="231"/>
      <c r="H3631" s="231"/>
      <c r="I3631" s="231"/>
      <c r="J3631" s="231"/>
      <c r="K3631" s="231"/>
      <c r="L3631" s="231"/>
      <c r="M3631" s="231"/>
      <c r="N3631" s="231"/>
      <c r="O3631" s="231"/>
      <c r="P3631" s="231"/>
      <c r="Q3631" s="231"/>
      <c r="R3631" s="231"/>
      <c r="S3631" s="231"/>
      <c r="T3631" s="231"/>
      <c r="U3631" s="231"/>
      <c r="V3631" s="231"/>
      <c r="W3631" s="231"/>
      <c r="X3631" s="231"/>
      <c r="Y3631" s="231"/>
      <c r="Z3631" s="231"/>
      <c r="AA3631" s="231"/>
      <c r="AB3631" s="22">
        <f t="shared" si="1088"/>
        <v>0</v>
      </c>
      <c r="AC3631" s="23">
        <v>1</v>
      </c>
      <c r="AD3631" s="35"/>
      <c r="AE3631" s="35"/>
      <c r="AF3631" s="35"/>
      <c r="AG3631" s="35"/>
      <c r="AH3631" s="35"/>
      <c r="AI3631" s="35"/>
      <c r="AJ3631" s="35"/>
      <c r="AK3631" s="35"/>
      <c r="AL3631" s="35"/>
      <c r="AM3631" s="35"/>
      <c r="AN3631" s="35"/>
      <c r="AO3631" s="35"/>
      <c r="AP3631" s="35"/>
      <c r="AQ3631" s="35"/>
      <c r="AR3631" s="35"/>
      <c r="AS3631" s="35"/>
      <c r="AT3631" s="35"/>
      <c r="AU3631" s="35"/>
      <c r="AV3631" s="35"/>
      <c r="AW3631" s="35"/>
      <c r="AX3631" s="35"/>
      <c r="AY3631" s="35"/>
      <c r="AZ3631" s="35"/>
      <c r="BA3631" s="35"/>
      <c r="BB3631" s="22">
        <f t="shared" si="1089"/>
        <v>0</v>
      </c>
      <c r="BC3631" s="23">
        <v>0</v>
      </c>
      <c r="BD3631" s="130">
        <f t="shared" si="1090"/>
        <v>0</v>
      </c>
      <c r="BE3631" s="130">
        <f t="shared" si="1086"/>
        <v>1</v>
      </c>
      <c r="BF3631" s="195">
        <f t="shared" si="1091"/>
        <v>0</v>
      </c>
      <c r="BG3631" s="373">
        <f>BE3631-BD3631</f>
        <v>1</v>
      </c>
    </row>
    <row r="3632" spans="1:61" s="46" customFormat="1" ht="15.95" customHeight="1">
      <c r="A3632" s="176">
        <v>17</v>
      </c>
      <c r="B3632" s="31" t="s">
        <v>819</v>
      </c>
      <c r="C3632" s="34" t="s">
        <v>2834</v>
      </c>
      <c r="D3632" s="276"/>
      <c r="E3632" s="276"/>
      <c r="F3632" s="276"/>
      <c r="G3632" s="276"/>
      <c r="H3632" s="276"/>
      <c r="I3632" s="276"/>
      <c r="J3632" s="276"/>
      <c r="K3632" s="276"/>
      <c r="L3632" s="276"/>
      <c r="M3632" s="276"/>
      <c r="N3632" s="276"/>
      <c r="O3632" s="276"/>
      <c r="P3632" s="276"/>
      <c r="Q3632" s="276"/>
      <c r="R3632" s="276"/>
      <c r="S3632" s="276"/>
      <c r="T3632" s="276"/>
      <c r="U3632" s="276"/>
      <c r="V3632" s="276"/>
      <c r="W3632" s="276"/>
      <c r="X3632" s="276"/>
      <c r="Y3632" s="276"/>
      <c r="Z3632" s="276"/>
      <c r="AA3632" s="276"/>
      <c r="AB3632" s="22">
        <f t="shared" si="1088"/>
        <v>0</v>
      </c>
      <c r="AC3632" s="23">
        <v>2</v>
      </c>
      <c r="AD3632" s="35"/>
      <c r="AE3632" s="35"/>
      <c r="AF3632" s="35"/>
      <c r="AG3632" s="35"/>
      <c r="AH3632" s="35"/>
      <c r="AI3632" s="35"/>
      <c r="AJ3632" s="35"/>
      <c r="AK3632" s="35"/>
      <c r="AL3632" s="35"/>
      <c r="AM3632" s="35"/>
      <c r="AN3632" s="35"/>
      <c r="AO3632" s="35"/>
      <c r="AP3632" s="35"/>
      <c r="AQ3632" s="35"/>
      <c r="AR3632" s="35"/>
      <c r="AS3632" s="35"/>
      <c r="AT3632" s="35"/>
      <c r="AU3632" s="35"/>
      <c r="AV3632" s="35"/>
      <c r="AW3632" s="35"/>
      <c r="AX3632" s="35"/>
      <c r="AY3632" s="35"/>
      <c r="AZ3632" s="35"/>
      <c r="BA3632" s="35"/>
      <c r="BB3632" s="22">
        <f t="shared" si="1089"/>
        <v>0</v>
      </c>
      <c r="BC3632" s="23">
        <v>0</v>
      </c>
      <c r="BD3632" s="130">
        <f t="shared" si="1090"/>
        <v>0</v>
      </c>
      <c r="BE3632" s="130">
        <f t="shared" si="1086"/>
        <v>2</v>
      </c>
      <c r="BF3632" s="195">
        <f t="shared" si="1091"/>
        <v>0</v>
      </c>
      <c r="BG3632" s="373">
        <f>BE3632-BD3632</f>
        <v>2</v>
      </c>
    </row>
    <row r="3633" spans="1:59" s="46" customFormat="1" ht="15.95" customHeight="1">
      <c r="A3633" s="176">
        <v>18</v>
      </c>
      <c r="B3633" s="31" t="s">
        <v>823</v>
      </c>
      <c r="C3633" s="34" t="s">
        <v>824</v>
      </c>
      <c r="D3633" s="552"/>
      <c r="E3633" s="552"/>
      <c r="F3633" s="552"/>
      <c r="G3633" s="552"/>
      <c r="H3633" s="552"/>
      <c r="I3633" s="552"/>
      <c r="J3633" s="552"/>
      <c r="K3633" s="552"/>
      <c r="L3633" s="552">
        <v>1</v>
      </c>
      <c r="M3633" s="552"/>
      <c r="N3633" s="552"/>
      <c r="O3633" s="552"/>
      <c r="P3633" s="552">
        <v>1</v>
      </c>
      <c r="Q3633" s="552"/>
      <c r="R3633" s="552"/>
      <c r="S3633" s="552"/>
      <c r="T3633" s="552"/>
      <c r="U3633" s="552"/>
      <c r="V3633" s="552"/>
      <c r="W3633" s="552"/>
      <c r="X3633" s="552"/>
      <c r="Y3633" s="552"/>
      <c r="Z3633" s="552"/>
      <c r="AA3633" s="552"/>
      <c r="AB3633" s="22">
        <f t="shared" si="1088"/>
        <v>2</v>
      </c>
      <c r="AC3633" s="23">
        <v>0</v>
      </c>
      <c r="AD3633" s="35"/>
      <c r="AE3633" s="35"/>
      <c r="AF3633" s="35"/>
      <c r="AG3633" s="35"/>
      <c r="AH3633" s="35"/>
      <c r="AI3633" s="35"/>
      <c r="AJ3633" s="35"/>
      <c r="AK3633" s="35"/>
      <c r="AL3633" s="35"/>
      <c r="AM3633" s="35"/>
      <c r="AN3633" s="35"/>
      <c r="AO3633" s="35"/>
      <c r="AP3633" s="35"/>
      <c r="AQ3633" s="35"/>
      <c r="AR3633" s="35"/>
      <c r="AS3633" s="35"/>
      <c r="AT3633" s="35"/>
      <c r="AU3633" s="35"/>
      <c r="AV3633" s="35"/>
      <c r="AW3633" s="35"/>
      <c r="AX3633" s="35"/>
      <c r="AY3633" s="35"/>
      <c r="AZ3633" s="35"/>
      <c r="BA3633" s="35"/>
      <c r="BB3633" s="22">
        <f t="shared" si="1089"/>
        <v>0</v>
      </c>
      <c r="BC3633" s="23">
        <v>0</v>
      </c>
      <c r="BD3633" s="130">
        <f t="shared" si="1090"/>
        <v>2</v>
      </c>
      <c r="BE3633" s="130">
        <f t="shared" si="1086"/>
        <v>0</v>
      </c>
      <c r="BF3633" s="195" t="e">
        <f t="shared" si="1091"/>
        <v>#DIV/0!</v>
      </c>
      <c r="BG3633" s="373"/>
    </row>
    <row r="3634" spans="1:59" s="46" customFormat="1" ht="15.95" customHeight="1">
      <c r="A3634" s="176">
        <v>19</v>
      </c>
      <c r="B3634" s="31" t="s">
        <v>841</v>
      </c>
      <c r="C3634" s="34" t="s">
        <v>842</v>
      </c>
      <c r="D3634" s="231"/>
      <c r="E3634" s="231"/>
      <c r="F3634" s="231"/>
      <c r="G3634" s="231"/>
      <c r="H3634" s="231">
        <v>1</v>
      </c>
      <c r="I3634" s="231"/>
      <c r="J3634" s="231"/>
      <c r="K3634" s="231"/>
      <c r="L3634" s="231">
        <v>2</v>
      </c>
      <c r="M3634" s="231"/>
      <c r="N3634" s="231"/>
      <c r="O3634" s="231"/>
      <c r="P3634" s="231"/>
      <c r="Q3634" s="231"/>
      <c r="R3634" s="231"/>
      <c r="S3634" s="231"/>
      <c r="T3634" s="231"/>
      <c r="U3634" s="231"/>
      <c r="V3634" s="231"/>
      <c r="W3634" s="231"/>
      <c r="X3634" s="231"/>
      <c r="Y3634" s="231"/>
      <c r="Z3634" s="231"/>
      <c r="AA3634" s="231"/>
      <c r="AB3634" s="22">
        <f t="shared" si="1088"/>
        <v>3</v>
      </c>
      <c r="AC3634" s="23">
        <v>10</v>
      </c>
      <c r="AD3634" s="35"/>
      <c r="AE3634" s="35"/>
      <c r="AF3634" s="35"/>
      <c r="AG3634" s="35"/>
      <c r="AH3634" s="35"/>
      <c r="AI3634" s="35"/>
      <c r="AJ3634" s="35"/>
      <c r="AK3634" s="35"/>
      <c r="AL3634" s="35"/>
      <c r="AM3634" s="35"/>
      <c r="AN3634" s="35"/>
      <c r="AO3634" s="35"/>
      <c r="AP3634" s="35"/>
      <c r="AQ3634" s="35"/>
      <c r="AR3634" s="35"/>
      <c r="AS3634" s="35"/>
      <c r="AT3634" s="35"/>
      <c r="AU3634" s="35"/>
      <c r="AV3634" s="35"/>
      <c r="AW3634" s="35"/>
      <c r="AX3634" s="35"/>
      <c r="AY3634" s="35"/>
      <c r="AZ3634" s="35"/>
      <c r="BA3634" s="35"/>
      <c r="BB3634" s="22">
        <f t="shared" si="1089"/>
        <v>0</v>
      </c>
      <c r="BC3634" s="23">
        <v>0</v>
      </c>
      <c r="BD3634" s="130">
        <f t="shared" si="1090"/>
        <v>3</v>
      </c>
      <c r="BE3634" s="130">
        <f t="shared" si="1086"/>
        <v>10</v>
      </c>
      <c r="BF3634" s="195">
        <f t="shared" si="1091"/>
        <v>30</v>
      </c>
      <c r="BG3634" s="373">
        <f>BE3634-BD3634</f>
        <v>7</v>
      </c>
    </row>
    <row r="3635" spans="1:59" s="46" customFormat="1" ht="15.95" customHeight="1">
      <c r="A3635" s="176">
        <v>20</v>
      </c>
      <c r="B3635" s="31" t="s">
        <v>911</v>
      </c>
      <c r="C3635" s="34" t="s">
        <v>2521</v>
      </c>
      <c r="D3635" s="231"/>
      <c r="E3635" s="231"/>
      <c r="F3635" s="231"/>
      <c r="G3635" s="231"/>
      <c r="H3635" s="231"/>
      <c r="I3635" s="231"/>
      <c r="J3635" s="231"/>
      <c r="K3635" s="231"/>
      <c r="L3635" s="231"/>
      <c r="M3635" s="231"/>
      <c r="N3635" s="231"/>
      <c r="O3635" s="231"/>
      <c r="P3635" s="231"/>
      <c r="Q3635" s="231"/>
      <c r="R3635" s="231"/>
      <c r="S3635" s="231"/>
      <c r="T3635" s="231"/>
      <c r="U3635" s="231"/>
      <c r="V3635" s="231"/>
      <c r="W3635" s="231"/>
      <c r="X3635" s="231"/>
      <c r="Y3635" s="231"/>
      <c r="Z3635" s="231"/>
      <c r="AA3635" s="231"/>
      <c r="AB3635" s="22">
        <f t="shared" si="1088"/>
        <v>0</v>
      </c>
      <c r="AC3635" s="23">
        <v>1</v>
      </c>
      <c r="AD3635" s="35"/>
      <c r="AE3635" s="35"/>
      <c r="AF3635" s="35"/>
      <c r="AG3635" s="35"/>
      <c r="AH3635" s="35"/>
      <c r="AI3635" s="35"/>
      <c r="AJ3635" s="35"/>
      <c r="AK3635" s="35"/>
      <c r="AL3635" s="35"/>
      <c r="AM3635" s="35"/>
      <c r="AN3635" s="35"/>
      <c r="AO3635" s="35"/>
      <c r="AP3635" s="35"/>
      <c r="AQ3635" s="35"/>
      <c r="AR3635" s="35"/>
      <c r="AS3635" s="35"/>
      <c r="AT3635" s="35"/>
      <c r="AU3635" s="35"/>
      <c r="AV3635" s="35"/>
      <c r="AW3635" s="35"/>
      <c r="AX3635" s="35"/>
      <c r="AY3635" s="35"/>
      <c r="AZ3635" s="35"/>
      <c r="BA3635" s="35"/>
      <c r="BB3635" s="22">
        <f t="shared" si="1089"/>
        <v>0</v>
      </c>
      <c r="BC3635" s="23">
        <v>0</v>
      </c>
      <c r="BD3635" s="130">
        <f t="shared" si="1090"/>
        <v>0</v>
      </c>
      <c r="BE3635" s="130">
        <f t="shared" si="1086"/>
        <v>1</v>
      </c>
      <c r="BF3635" s="195">
        <f t="shared" si="1091"/>
        <v>0</v>
      </c>
      <c r="BG3635" s="373">
        <f>BE3635-BD3635</f>
        <v>1</v>
      </c>
    </row>
    <row r="3636" spans="1:59" s="46" customFormat="1" ht="15.95" customHeight="1">
      <c r="A3636" s="176">
        <v>21</v>
      </c>
      <c r="B3636" s="31" t="s">
        <v>1112</v>
      </c>
      <c r="C3636" s="34" t="s">
        <v>1638</v>
      </c>
      <c r="D3636" s="231"/>
      <c r="E3636" s="231"/>
      <c r="F3636" s="231"/>
      <c r="G3636" s="231"/>
      <c r="H3636" s="231"/>
      <c r="I3636" s="231"/>
      <c r="J3636" s="231"/>
      <c r="K3636" s="231"/>
      <c r="L3636" s="231">
        <v>1</v>
      </c>
      <c r="M3636" s="231"/>
      <c r="N3636" s="231"/>
      <c r="O3636" s="231"/>
      <c r="P3636" s="231"/>
      <c r="Q3636" s="231"/>
      <c r="R3636" s="231"/>
      <c r="S3636" s="231"/>
      <c r="T3636" s="231"/>
      <c r="U3636" s="231"/>
      <c r="V3636" s="231"/>
      <c r="W3636" s="231"/>
      <c r="X3636" s="231"/>
      <c r="Y3636" s="231"/>
      <c r="Z3636" s="231"/>
      <c r="AA3636" s="231"/>
      <c r="AB3636" s="22">
        <f t="shared" si="1088"/>
        <v>1</v>
      </c>
      <c r="AC3636" s="23">
        <v>1</v>
      </c>
      <c r="AD3636" s="35"/>
      <c r="AE3636" s="35"/>
      <c r="AF3636" s="35"/>
      <c r="AG3636" s="35"/>
      <c r="AH3636" s="35"/>
      <c r="AI3636" s="35"/>
      <c r="AJ3636" s="35"/>
      <c r="AK3636" s="35"/>
      <c r="AL3636" s="35"/>
      <c r="AM3636" s="35"/>
      <c r="AN3636" s="35"/>
      <c r="AO3636" s="35"/>
      <c r="AP3636" s="35"/>
      <c r="AQ3636" s="35"/>
      <c r="AR3636" s="35"/>
      <c r="AS3636" s="35"/>
      <c r="AT3636" s="35"/>
      <c r="AU3636" s="35"/>
      <c r="AV3636" s="35"/>
      <c r="AW3636" s="35"/>
      <c r="AX3636" s="35"/>
      <c r="AY3636" s="35"/>
      <c r="AZ3636" s="35"/>
      <c r="BA3636" s="35"/>
      <c r="BB3636" s="22">
        <f t="shared" si="1089"/>
        <v>0</v>
      </c>
      <c r="BC3636" s="23">
        <v>0</v>
      </c>
      <c r="BD3636" s="130">
        <f t="shared" si="1090"/>
        <v>1</v>
      </c>
      <c r="BE3636" s="130">
        <f t="shared" si="1086"/>
        <v>1</v>
      </c>
      <c r="BF3636" s="195">
        <f t="shared" si="1091"/>
        <v>100</v>
      </c>
      <c r="BG3636" s="373">
        <f>BE3636-BD3636</f>
        <v>0</v>
      </c>
    </row>
    <row r="3637" spans="1:59" s="46" customFormat="1" ht="15.95" customHeight="1">
      <c r="A3637" s="176">
        <v>22</v>
      </c>
      <c r="B3637" s="31" t="s">
        <v>1332</v>
      </c>
      <c r="C3637" s="32" t="s">
        <v>1333</v>
      </c>
      <c r="D3637" s="231"/>
      <c r="E3637" s="231"/>
      <c r="F3637" s="231"/>
      <c r="G3637" s="231"/>
      <c r="H3637" s="231"/>
      <c r="I3637" s="231"/>
      <c r="J3637" s="231"/>
      <c r="K3637" s="231"/>
      <c r="L3637" s="231">
        <v>7</v>
      </c>
      <c r="M3637" s="231"/>
      <c r="N3637" s="231"/>
      <c r="O3637" s="231"/>
      <c r="P3637" s="231">
        <v>4</v>
      </c>
      <c r="Q3637" s="231"/>
      <c r="R3637" s="231"/>
      <c r="S3637" s="231"/>
      <c r="T3637" s="231"/>
      <c r="U3637" s="231"/>
      <c r="V3637" s="231"/>
      <c r="W3637" s="231"/>
      <c r="X3637" s="231"/>
      <c r="Y3637" s="231"/>
      <c r="Z3637" s="231"/>
      <c r="AA3637" s="231"/>
      <c r="AB3637" s="22">
        <f t="shared" si="1088"/>
        <v>11</v>
      </c>
      <c r="AC3637" s="23">
        <v>1</v>
      </c>
      <c r="AD3637" s="35"/>
      <c r="AE3637" s="35"/>
      <c r="AF3637" s="35"/>
      <c r="AG3637" s="35"/>
      <c r="AH3637" s="35"/>
      <c r="AI3637" s="35"/>
      <c r="AJ3637" s="35"/>
      <c r="AK3637" s="35"/>
      <c r="AL3637" s="35"/>
      <c r="AM3637" s="35"/>
      <c r="AN3637" s="35"/>
      <c r="AO3637" s="35"/>
      <c r="AP3637" s="35"/>
      <c r="AQ3637" s="35"/>
      <c r="AR3637" s="35"/>
      <c r="AS3637" s="35"/>
      <c r="AT3637" s="35"/>
      <c r="AU3637" s="35"/>
      <c r="AV3637" s="35"/>
      <c r="AW3637" s="35"/>
      <c r="AX3637" s="35"/>
      <c r="AY3637" s="35"/>
      <c r="AZ3637" s="35"/>
      <c r="BA3637" s="35"/>
      <c r="BB3637" s="22">
        <f t="shared" si="1089"/>
        <v>0</v>
      </c>
      <c r="BC3637" s="23">
        <v>0</v>
      </c>
      <c r="BD3637" s="130">
        <f t="shared" si="1090"/>
        <v>11</v>
      </c>
      <c r="BE3637" s="130">
        <f t="shared" si="1086"/>
        <v>1</v>
      </c>
      <c r="BF3637" s="195">
        <f t="shared" si="1091"/>
        <v>1100</v>
      </c>
      <c r="BG3637" s="373">
        <f>BE3637-BD3637</f>
        <v>-10</v>
      </c>
    </row>
    <row r="3638" spans="1:59" s="46" customFormat="1" ht="15.95" customHeight="1">
      <c r="A3638" s="176">
        <v>23</v>
      </c>
      <c r="B3638" s="31" t="s">
        <v>1431</v>
      </c>
      <c r="C3638" s="32" t="s">
        <v>1432</v>
      </c>
      <c r="D3638" s="577"/>
      <c r="E3638" s="577"/>
      <c r="F3638" s="577"/>
      <c r="G3638" s="577"/>
      <c r="H3638" s="577"/>
      <c r="I3638" s="577"/>
      <c r="J3638" s="577"/>
      <c r="K3638" s="577"/>
      <c r="L3638" s="577"/>
      <c r="M3638" s="577"/>
      <c r="N3638" s="577"/>
      <c r="O3638" s="577"/>
      <c r="P3638" s="577">
        <v>1</v>
      </c>
      <c r="Q3638" s="577"/>
      <c r="R3638" s="577"/>
      <c r="S3638" s="577"/>
      <c r="T3638" s="577"/>
      <c r="U3638" s="577"/>
      <c r="V3638" s="577"/>
      <c r="W3638" s="577"/>
      <c r="X3638" s="577"/>
      <c r="Y3638" s="577"/>
      <c r="Z3638" s="577"/>
      <c r="AA3638" s="577"/>
      <c r="AB3638" s="22">
        <f t="shared" si="1088"/>
        <v>1</v>
      </c>
      <c r="AC3638" s="23">
        <v>0</v>
      </c>
      <c r="AD3638" s="35"/>
      <c r="AE3638" s="35"/>
      <c r="AF3638" s="35"/>
      <c r="AG3638" s="35"/>
      <c r="AH3638" s="35"/>
      <c r="AI3638" s="35"/>
      <c r="AJ3638" s="35"/>
      <c r="AK3638" s="35"/>
      <c r="AL3638" s="35"/>
      <c r="AM3638" s="35"/>
      <c r="AN3638" s="35"/>
      <c r="AO3638" s="35"/>
      <c r="AP3638" s="35"/>
      <c r="AQ3638" s="35"/>
      <c r="AR3638" s="35"/>
      <c r="AS3638" s="35"/>
      <c r="AT3638" s="35"/>
      <c r="AU3638" s="35"/>
      <c r="AV3638" s="35"/>
      <c r="AW3638" s="35"/>
      <c r="AX3638" s="35"/>
      <c r="AY3638" s="35"/>
      <c r="AZ3638" s="35"/>
      <c r="BA3638" s="35"/>
      <c r="BB3638" s="22">
        <f t="shared" si="1089"/>
        <v>0</v>
      </c>
      <c r="BC3638" s="23">
        <v>0</v>
      </c>
      <c r="BD3638" s="130">
        <f t="shared" si="1090"/>
        <v>1</v>
      </c>
      <c r="BE3638" s="130">
        <f t="shared" si="1086"/>
        <v>0</v>
      </c>
      <c r="BF3638" s="195" t="e">
        <f t="shared" si="1091"/>
        <v>#DIV/0!</v>
      </c>
      <c r="BG3638" s="373"/>
    </row>
    <row r="3639" spans="1:59" s="46" customFormat="1" ht="15.95" customHeight="1">
      <c r="A3639" s="176">
        <v>24</v>
      </c>
      <c r="B3639" s="31" t="s">
        <v>1075</v>
      </c>
      <c r="C3639" s="32" t="s">
        <v>1076</v>
      </c>
      <c r="D3639" s="336"/>
      <c r="E3639" s="336"/>
      <c r="F3639" s="336"/>
      <c r="G3639" s="336"/>
      <c r="H3639" s="336"/>
      <c r="I3639" s="336"/>
      <c r="J3639" s="336"/>
      <c r="K3639" s="336"/>
      <c r="L3639" s="336"/>
      <c r="M3639" s="336"/>
      <c r="N3639" s="336"/>
      <c r="O3639" s="336"/>
      <c r="P3639" s="336"/>
      <c r="Q3639" s="336"/>
      <c r="R3639" s="336"/>
      <c r="S3639" s="336"/>
      <c r="T3639" s="336"/>
      <c r="U3639" s="336"/>
      <c r="V3639" s="336"/>
      <c r="W3639" s="336"/>
      <c r="X3639" s="336"/>
      <c r="Y3639" s="336"/>
      <c r="Z3639" s="336"/>
      <c r="AA3639" s="336"/>
      <c r="AB3639" s="22">
        <f t="shared" si="1088"/>
        <v>0</v>
      </c>
      <c r="AC3639" s="23">
        <v>1</v>
      </c>
      <c r="AD3639" s="35"/>
      <c r="AE3639" s="35"/>
      <c r="AF3639" s="35"/>
      <c r="AG3639" s="35"/>
      <c r="AH3639" s="35"/>
      <c r="AI3639" s="35"/>
      <c r="AJ3639" s="35"/>
      <c r="AK3639" s="35"/>
      <c r="AL3639" s="35"/>
      <c r="AM3639" s="35"/>
      <c r="AN3639" s="35"/>
      <c r="AO3639" s="35"/>
      <c r="AP3639" s="35"/>
      <c r="AQ3639" s="35"/>
      <c r="AR3639" s="35"/>
      <c r="AS3639" s="35"/>
      <c r="AT3639" s="35"/>
      <c r="AU3639" s="35"/>
      <c r="AV3639" s="35"/>
      <c r="AW3639" s="35"/>
      <c r="AX3639" s="35"/>
      <c r="AY3639" s="35"/>
      <c r="AZ3639" s="35"/>
      <c r="BA3639" s="35"/>
      <c r="BB3639" s="22">
        <f t="shared" si="1089"/>
        <v>0</v>
      </c>
      <c r="BC3639" s="23">
        <v>0</v>
      </c>
      <c r="BD3639" s="130">
        <f t="shared" si="1090"/>
        <v>0</v>
      </c>
      <c r="BE3639" s="130">
        <f t="shared" si="1086"/>
        <v>1</v>
      </c>
      <c r="BF3639" s="195">
        <f t="shared" si="1091"/>
        <v>0</v>
      </c>
      <c r="BG3639" s="373">
        <f>BE3639-BD3639</f>
        <v>1</v>
      </c>
    </row>
    <row r="3640" spans="1:59" s="46" customFormat="1" ht="15.95" customHeight="1">
      <c r="A3640" s="176">
        <v>25</v>
      </c>
      <c r="B3640" s="31" t="s">
        <v>915</v>
      </c>
      <c r="C3640" s="32" t="s">
        <v>1015</v>
      </c>
      <c r="D3640" s="552"/>
      <c r="E3640" s="552"/>
      <c r="F3640" s="552"/>
      <c r="G3640" s="552"/>
      <c r="H3640" s="552"/>
      <c r="I3640" s="552"/>
      <c r="J3640" s="552"/>
      <c r="K3640" s="552"/>
      <c r="L3640" s="552">
        <v>1</v>
      </c>
      <c r="M3640" s="552"/>
      <c r="N3640" s="552"/>
      <c r="O3640" s="552"/>
      <c r="P3640" s="552">
        <v>1</v>
      </c>
      <c r="Q3640" s="552"/>
      <c r="R3640" s="552"/>
      <c r="S3640" s="552"/>
      <c r="T3640" s="552"/>
      <c r="U3640" s="552"/>
      <c r="V3640" s="552"/>
      <c r="W3640" s="552"/>
      <c r="X3640" s="552"/>
      <c r="Y3640" s="552"/>
      <c r="Z3640" s="552"/>
      <c r="AA3640" s="552"/>
      <c r="AB3640" s="22">
        <f t="shared" si="1088"/>
        <v>2</v>
      </c>
      <c r="AC3640" s="23">
        <v>0</v>
      </c>
      <c r="AD3640" s="35"/>
      <c r="AE3640" s="35"/>
      <c r="AF3640" s="35"/>
      <c r="AG3640" s="35"/>
      <c r="AH3640" s="35"/>
      <c r="AI3640" s="35"/>
      <c r="AJ3640" s="35"/>
      <c r="AK3640" s="35"/>
      <c r="AL3640" s="35"/>
      <c r="AM3640" s="35"/>
      <c r="AN3640" s="35"/>
      <c r="AO3640" s="35"/>
      <c r="AP3640" s="35"/>
      <c r="AQ3640" s="35"/>
      <c r="AR3640" s="35"/>
      <c r="AS3640" s="35"/>
      <c r="AT3640" s="35"/>
      <c r="AU3640" s="35"/>
      <c r="AV3640" s="35"/>
      <c r="AW3640" s="35"/>
      <c r="AX3640" s="35"/>
      <c r="AY3640" s="35"/>
      <c r="AZ3640" s="35"/>
      <c r="BA3640" s="35"/>
      <c r="BB3640" s="22">
        <f t="shared" si="1089"/>
        <v>0</v>
      </c>
      <c r="BC3640" s="23">
        <v>0</v>
      </c>
      <c r="BD3640" s="130">
        <f t="shared" si="1090"/>
        <v>2</v>
      </c>
      <c r="BE3640" s="130">
        <f t="shared" si="1086"/>
        <v>0</v>
      </c>
      <c r="BF3640" s="195" t="e">
        <f t="shared" si="1091"/>
        <v>#DIV/0!</v>
      </c>
      <c r="BG3640" s="373"/>
    </row>
    <row r="3641" spans="1:59" s="46" customFormat="1" ht="15.95" customHeight="1">
      <c r="A3641" s="176">
        <v>26</v>
      </c>
      <c r="B3641" s="31" t="s">
        <v>1088</v>
      </c>
      <c r="C3641" s="32" t="s">
        <v>1089</v>
      </c>
      <c r="D3641" s="336"/>
      <c r="E3641" s="336"/>
      <c r="F3641" s="336"/>
      <c r="G3641" s="336"/>
      <c r="H3641" s="336"/>
      <c r="I3641" s="336"/>
      <c r="J3641" s="336"/>
      <c r="K3641" s="336"/>
      <c r="L3641" s="336"/>
      <c r="M3641" s="336"/>
      <c r="N3641" s="336"/>
      <c r="O3641" s="336"/>
      <c r="P3641" s="336"/>
      <c r="Q3641" s="336"/>
      <c r="R3641" s="336"/>
      <c r="S3641" s="336"/>
      <c r="T3641" s="336"/>
      <c r="U3641" s="336"/>
      <c r="V3641" s="336"/>
      <c r="W3641" s="336"/>
      <c r="X3641" s="336"/>
      <c r="Y3641" s="336"/>
      <c r="Z3641" s="336"/>
      <c r="AA3641" s="336"/>
      <c r="AB3641" s="22">
        <f t="shared" si="1088"/>
        <v>0</v>
      </c>
      <c r="AC3641" s="23">
        <v>1</v>
      </c>
      <c r="AD3641" s="35"/>
      <c r="AE3641" s="35"/>
      <c r="AF3641" s="35"/>
      <c r="AG3641" s="35"/>
      <c r="AH3641" s="35"/>
      <c r="AI3641" s="35"/>
      <c r="AJ3641" s="35"/>
      <c r="AK3641" s="35"/>
      <c r="AL3641" s="35"/>
      <c r="AM3641" s="35"/>
      <c r="AN3641" s="35"/>
      <c r="AO3641" s="35"/>
      <c r="AP3641" s="35"/>
      <c r="AQ3641" s="35"/>
      <c r="AR3641" s="35"/>
      <c r="AS3641" s="35"/>
      <c r="AT3641" s="35"/>
      <c r="AU3641" s="35"/>
      <c r="AV3641" s="35"/>
      <c r="AW3641" s="35"/>
      <c r="AX3641" s="35"/>
      <c r="AY3641" s="35"/>
      <c r="AZ3641" s="35"/>
      <c r="BA3641" s="35"/>
      <c r="BB3641" s="22">
        <f t="shared" si="1089"/>
        <v>0</v>
      </c>
      <c r="BC3641" s="23">
        <v>0</v>
      </c>
      <c r="BD3641" s="130">
        <f t="shared" si="1090"/>
        <v>0</v>
      </c>
      <c r="BE3641" s="130">
        <f t="shared" si="1086"/>
        <v>1</v>
      </c>
      <c r="BF3641" s="195">
        <f t="shared" si="1091"/>
        <v>0</v>
      </c>
      <c r="BG3641" s="373">
        <f>BE3641-BD3641</f>
        <v>1</v>
      </c>
    </row>
    <row r="3642" spans="1:59" s="46" customFormat="1" ht="15.95" customHeight="1">
      <c r="A3642" s="176">
        <v>27</v>
      </c>
      <c r="B3642" s="31" t="s">
        <v>1120</v>
      </c>
      <c r="C3642" s="32" t="s">
        <v>3355</v>
      </c>
      <c r="D3642" s="339"/>
      <c r="E3642" s="339"/>
      <c r="F3642" s="339"/>
      <c r="G3642" s="339"/>
      <c r="H3642" s="339"/>
      <c r="I3642" s="339"/>
      <c r="J3642" s="339"/>
      <c r="K3642" s="339"/>
      <c r="L3642" s="339">
        <v>15</v>
      </c>
      <c r="M3642" s="339"/>
      <c r="N3642" s="339"/>
      <c r="O3642" s="339"/>
      <c r="P3642" s="339">
        <v>15</v>
      </c>
      <c r="Q3642" s="339"/>
      <c r="R3642" s="339"/>
      <c r="S3642" s="339"/>
      <c r="T3642" s="339"/>
      <c r="U3642" s="339"/>
      <c r="V3642" s="339"/>
      <c r="W3642" s="339"/>
      <c r="X3642" s="339"/>
      <c r="Y3642" s="339"/>
      <c r="Z3642" s="339"/>
      <c r="AA3642" s="339"/>
      <c r="AB3642" s="22">
        <f t="shared" si="1088"/>
        <v>30</v>
      </c>
      <c r="AC3642" s="23">
        <v>4</v>
      </c>
      <c r="AD3642" s="35"/>
      <c r="AE3642" s="35"/>
      <c r="AF3642" s="35"/>
      <c r="AG3642" s="35"/>
      <c r="AH3642" s="35"/>
      <c r="AI3642" s="35"/>
      <c r="AJ3642" s="35"/>
      <c r="AK3642" s="35"/>
      <c r="AL3642" s="35"/>
      <c r="AM3642" s="35"/>
      <c r="AN3642" s="35"/>
      <c r="AO3642" s="35"/>
      <c r="AP3642" s="35"/>
      <c r="AQ3642" s="35"/>
      <c r="AR3642" s="35"/>
      <c r="AS3642" s="35"/>
      <c r="AT3642" s="35"/>
      <c r="AU3642" s="35"/>
      <c r="AV3642" s="35"/>
      <c r="AW3642" s="35"/>
      <c r="AX3642" s="35"/>
      <c r="AY3642" s="35"/>
      <c r="AZ3642" s="35"/>
      <c r="BA3642" s="35"/>
      <c r="BB3642" s="22">
        <f t="shared" si="1089"/>
        <v>0</v>
      </c>
      <c r="BC3642" s="23">
        <v>0</v>
      </c>
      <c r="BD3642" s="130">
        <f t="shared" si="1090"/>
        <v>30</v>
      </c>
      <c r="BE3642" s="130">
        <f t="shared" si="1086"/>
        <v>4</v>
      </c>
      <c r="BF3642" s="195">
        <f t="shared" si="1091"/>
        <v>750</v>
      </c>
      <c r="BG3642" s="373">
        <f>BE3642-BD3642</f>
        <v>-26</v>
      </c>
    </row>
    <row r="3643" spans="1:59" s="46" customFormat="1" ht="15.95" customHeight="1">
      <c r="A3643" s="176">
        <v>28</v>
      </c>
      <c r="B3643" s="31" t="s">
        <v>1205</v>
      </c>
      <c r="C3643" s="34" t="s">
        <v>2901</v>
      </c>
      <c r="D3643" s="552"/>
      <c r="E3643" s="552"/>
      <c r="F3643" s="552"/>
      <c r="G3643" s="552"/>
      <c r="H3643" s="552"/>
      <c r="I3643" s="552"/>
      <c r="J3643" s="552"/>
      <c r="K3643" s="552"/>
      <c r="L3643" s="552">
        <v>1</v>
      </c>
      <c r="M3643" s="552"/>
      <c r="N3643" s="552"/>
      <c r="O3643" s="552"/>
      <c r="P3643" s="552"/>
      <c r="Q3643" s="552"/>
      <c r="R3643" s="552"/>
      <c r="S3643" s="552"/>
      <c r="T3643" s="552"/>
      <c r="U3643" s="552"/>
      <c r="V3643" s="552"/>
      <c r="W3643" s="552"/>
      <c r="X3643" s="552"/>
      <c r="Y3643" s="552"/>
      <c r="Z3643" s="552"/>
      <c r="AA3643" s="552"/>
      <c r="AB3643" s="22">
        <f t="shared" si="1088"/>
        <v>1</v>
      </c>
      <c r="AC3643" s="23">
        <v>0</v>
      </c>
      <c r="AD3643" s="35"/>
      <c r="AE3643" s="35"/>
      <c r="AF3643" s="35"/>
      <c r="AG3643" s="35"/>
      <c r="AH3643" s="35"/>
      <c r="AI3643" s="35"/>
      <c r="AJ3643" s="35"/>
      <c r="AK3643" s="35"/>
      <c r="AL3643" s="35"/>
      <c r="AM3643" s="35"/>
      <c r="AN3643" s="35"/>
      <c r="AO3643" s="35"/>
      <c r="AP3643" s="35"/>
      <c r="AQ3643" s="35"/>
      <c r="AR3643" s="35"/>
      <c r="AS3643" s="35"/>
      <c r="AT3643" s="35"/>
      <c r="AU3643" s="35"/>
      <c r="AV3643" s="35"/>
      <c r="AW3643" s="35"/>
      <c r="AX3643" s="35"/>
      <c r="AY3643" s="35"/>
      <c r="AZ3643" s="35"/>
      <c r="BA3643" s="35"/>
      <c r="BB3643" s="22">
        <f t="shared" si="1089"/>
        <v>0</v>
      </c>
      <c r="BC3643" s="23">
        <v>0</v>
      </c>
      <c r="BD3643" s="130">
        <f t="shared" si="1090"/>
        <v>1</v>
      </c>
      <c r="BE3643" s="130">
        <f t="shared" si="1086"/>
        <v>0</v>
      </c>
      <c r="BF3643" s="195" t="e">
        <f t="shared" si="1091"/>
        <v>#DIV/0!</v>
      </c>
      <c r="BG3643" s="373"/>
    </row>
    <row r="3644" spans="1:59" s="46" customFormat="1" ht="15.95" customHeight="1">
      <c r="A3644" s="176">
        <v>29</v>
      </c>
      <c r="B3644" s="31" t="s">
        <v>854</v>
      </c>
      <c r="C3644" s="34" t="s">
        <v>1090</v>
      </c>
      <c r="D3644" s="231"/>
      <c r="E3644" s="231"/>
      <c r="F3644" s="231"/>
      <c r="G3644" s="231"/>
      <c r="H3644" s="231">
        <v>22</v>
      </c>
      <c r="I3644" s="231"/>
      <c r="J3644" s="231"/>
      <c r="K3644" s="231"/>
      <c r="L3644" s="231">
        <v>72</v>
      </c>
      <c r="M3644" s="231"/>
      <c r="N3644" s="231"/>
      <c r="O3644" s="231"/>
      <c r="P3644" s="231">
        <v>103</v>
      </c>
      <c r="Q3644" s="231"/>
      <c r="R3644" s="231"/>
      <c r="S3644" s="231"/>
      <c r="T3644" s="231"/>
      <c r="U3644" s="231"/>
      <c r="V3644" s="231"/>
      <c r="W3644" s="231"/>
      <c r="X3644" s="231"/>
      <c r="Y3644" s="231"/>
      <c r="Z3644" s="231"/>
      <c r="AA3644" s="231"/>
      <c r="AB3644" s="22">
        <f t="shared" si="1088"/>
        <v>197</v>
      </c>
      <c r="AC3644" s="23">
        <v>362</v>
      </c>
      <c r="AD3644" s="35"/>
      <c r="AE3644" s="35"/>
      <c r="AF3644" s="35"/>
      <c r="AG3644" s="35"/>
      <c r="AH3644" s="35"/>
      <c r="AI3644" s="35"/>
      <c r="AJ3644" s="35"/>
      <c r="AK3644" s="35"/>
      <c r="AL3644" s="35"/>
      <c r="AM3644" s="35"/>
      <c r="AN3644" s="35"/>
      <c r="AO3644" s="35"/>
      <c r="AP3644" s="35"/>
      <c r="AQ3644" s="35"/>
      <c r="AR3644" s="35"/>
      <c r="AS3644" s="35"/>
      <c r="AT3644" s="35"/>
      <c r="AU3644" s="35"/>
      <c r="AV3644" s="35"/>
      <c r="AW3644" s="35"/>
      <c r="AX3644" s="35"/>
      <c r="AY3644" s="35"/>
      <c r="AZ3644" s="35"/>
      <c r="BA3644" s="35"/>
      <c r="BB3644" s="22">
        <f t="shared" si="1089"/>
        <v>0</v>
      </c>
      <c r="BC3644" s="23">
        <v>0</v>
      </c>
      <c r="BD3644" s="130">
        <f t="shared" si="1090"/>
        <v>197</v>
      </c>
      <c r="BE3644" s="130">
        <f t="shared" si="1086"/>
        <v>362</v>
      </c>
      <c r="BF3644" s="195">
        <f t="shared" si="1091"/>
        <v>54.41988950276243</v>
      </c>
      <c r="BG3644" s="373">
        <f>BE3644-BD3644</f>
        <v>165</v>
      </c>
    </row>
    <row r="3645" spans="1:59" s="46" customFormat="1" ht="15.95" customHeight="1">
      <c r="A3645" s="176">
        <v>30</v>
      </c>
      <c r="B3645" s="31" t="s">
        <v>856</v>
      </c>
      <c r="C3645" s="34" t="s">
        <v>1264</v>
      </c>
      <c r="D3645" s="390"/>
      <c r="E3645" s="390"/>
      <c r="F3645" s="390"/>
      <c r="G3645" s="390"/>
      <c r="H3645" s="390"/>
      <c r="I3645" s="390"/>
      <c r="J3645" s="390"/>
      <c r="K3645" s="390"/>
      <c r="L3645" s="390"/>
      <c r="M3645" s="390"/>
      <c r="N3645" s="390"/>
      <c r="O3645" s="390"/>
      <c r="P3645" s="390"/>
      <c r="Q3645" s="390"/>
      <c r="R3645" s="390"/>
      <c r="S3645" s="390"/>
      <c r="T3645" s="390"/>
      <c r="U3645" s="390"/>
      <c r="V3645" s="390"/>
      <c r="W3645" s="390"/>
      <c r="X3645" s="390"/>
      <c r="Y3645" s="390"/>
      <c r="Z3645" s="390"/>
      <c r="AA3645" s="390"/>
      <c r="AB3645" s="22">
        <f t="shared" si="1088"/>
        <v>0</v>
      </c>
      <c r="AC3645" s="23">
        <v>1</v>
      </c>
      <c r="AD3645" s="35"/>
      <c r="AE3645" s="35"/>
      <c r="AF3645" s="35"/>
      <c r="AG3645" s="35"/>
      <c r="AH3645" s="35"/>
      <c r="AI3645" s="35"/>
      <c r="AJ3645" s="35"/>
      <c r="AK3645" s="35"/>
      <c r="AL3645" s="35"/>
      <c r="AM3645" s="35"/>
      <c r="AN3645" s="35"/>
      <c r="AO3645" s="35"/>
      <c r="AP3645" s="35"/>
      <c r="AQ3645" s="35"/>
      <c r="AR3645" s="35"/>
      <c r="AS3645" s="35"/>
      <c r="AT3645" s="35"/>
      <c r="AU3645" s="35"/>
      <c r="AV3645" s="35"/>
      <c r="AW3645" s="35"/>
      <c r="AX3645" s="35"/>
      <c r="AY3645" s="35"/>
      <c r="AZ3645" s="35"/>
      <c r="BA3645" s="35"/>
      <c r="BB3645" s="22">
        <f t="shared" si="1089"/>
        <v>0</v>
      </c>
      <c r="BC3645" s="23">
        <v>0</v>
      </c>
      <c r="BD3645" s="130">
        <f t="shared" si="1090"/>
        <v>0</v>
      </c>
      <c r="BE3645" s="130">
        <f t="shared" si="1086"/>
        <v>1</v>
      </c>
      <c r="BF3645" s="195">
        <f t="shared" si="1091"/>
        <v>0</v>
      </c>
      <c r="BG3645" s="373">
        <f>BE3645-BD3645</f>
        <v>1</v>
      </c>
    </row>
    <row r="3646" spans="1:59" s="46" customFormat="1" ht="15.95" customHeight="1">
      <c r="A3646" s="176">
        <v>31</v>
      </c>
      <c r="B3646" s="31" t="s">
        <v>1209</v>
      </c>
      <c r="C3646" s="34" t="s">
        <v>1606</v>
      </c>
      <c r="D3646" s="231"/>
      <c r="E3646" s="231"/>
      <c r="F3646" s="231"/>
      <c r="G3646" s="231"/>
      <c r="H3646" s="231"/>
      <c r="I3646" s="231"/>
      <c r="J3646" s="231"/>
      <c r="K3646" s="231"/>
      <c r="L3646" s="231">
        <v>12</v>
      </c>
      <c r="M3646" s="231"/>
      <c r="N3646" s="231"/>
      <c r="O3646" s="231"/>
      <c r="P3646" s="231">
        <v>12</v>
      </c>
      <c r="Q3646" s="231"/>
      <c r="R3646" s="231"/>
      <c r="S3646" s="231"/>
      <c r="T3646" s="231"/>
      <c r="U3646" s="231"/>
      <c r="V3646" s="231"/>
      <c r="W3646" s="231"/>
      <c r="X3646" s="231"/>
      <c r="Y3646" s="231"/>
      <c r="Z3646" s="231"/>
      <c r="AA3646" s="231"/>
      <c r="AB3646" s="22">
        <f t="shared" si="1088"/>
        <v>24</v>
      </c>
      <c r="AC3646" s="23">
        <v>1</v>
      </c>
      <c r="AD3646" s="35"/>
      <c r="AE3646" s="35"/>
      <c r="AF3646" s="35"/>
      <c r="AG3646" s="35"/>
      <c r="AH3646" s="35"/>
      <c r="AI3646" s="35"/>
      <c r="AJ3646" s="35"/>
      <c r="AK3646" s="35"/>
      <c r="AL3646" s="35"/>
      <c r="AM3646" s="35"/>
      <c r="AN3646" s="35"/>
      <c r="AO3646" s="35"/>
      <c r="AP3646" s="35"/>
      <c r="AQ3646" s="35"/>
      <c r="AR3646" s="35"/>
      <c r="AS3646" s="35"/>
      <c r="AT3646" s="35"/>
      <c r="AU3646" s="35"/>
      <c r="AV3646" s="35"/>
      <c r="AW3646" s="35"/>
      <c r="AX3646" s="35"/>
      <c r="AY3646" s="35"/>
      <c r="AZ3646" s="35"/>
      <c r="BA3646" s="35"/>
      <c r="BB3646" s="22">
        <f t="shared" si="1089"/>
        <v>0</v>
      </c>
      <c r="BC3646" s="23">
        <v>0</v>
      </c>
      <c r="BD3646" s="130">
        <f t="shared" si="1090"/>
        <v>24</v>
      </c>
      <c r="BE3646" s="130">
        <f t="shared" si="1086"/>
        <v>1</v>
      </c>
      <c r="BF3646" s="195">
        <f t="shared" si="1091"/>
        <v>2400</v>
      </c>
      <c r="BG3646" s="373">
        <f>BE3646-BD3646</f>
        <v>-23</v>
      </c>
    </row>
    <row r="3647" spans="1:59" s="46" customFormat="1" ht="15.95" customHeight="1">
      <c r="A3647" s="176">
        <v>32</v>
      </c>
      <c r="B3647" s="31" t="s">
        <v>858</v>
      </c>
      <c r="C3647" s="32" t="s">
        <v>859</v>
      </c>
      <c r="D3647" s="231"/>
      <c r="E3647" s="231"/>
      <c r="F3647" s="231"/>
      <c r="G3647" s="231"/>
      <c r="H3647" s="231">
        <v>4</v>
      </c>
      <c r="I3647" s="231"/>
      <c r="J3647" s="231"/>
      <c r="K3647" s="231"/>
      <c r="L3647" s="231">
        <v>3</v>
      </c>
      <c r="M3647" s="231"/>
      <c r="N3647" s="231"/>
      <c r="O3647" s="231"/>
      <c r="P3647" s="231">
        <v>3</v>
      </c>
      <c r="Q3647" s="231"/>
      <c r="R3647" s="231"/>
      <c r="S3647" s="231"/>
      <c r="T3647" s="231"/>
      <c r="U3647" s="231"/>
      <c r="V3647" s="231"/>
      <c r="W3647" s="231"/>
      <c r="X3647" s="231"/>
      <c r="Y3647" s="231"/>
      <c r="Z3647" s="231"/>
      <c r="AA3647" s="231"/>
      <c r="AB3647" s="22">
        <f t="shared" si="1088"/>
        <v>10</v>
      </c>
      <c r="AC3647" s="23">
        <v>19</v>
      </c>
      <c r="AD3647" s="35"/>
      <c r="AE3647" s="35"/>
      <c r="AF3647" s="35"/>
      <c r="AG3647" s="35"/>
      <c r="AH3647" s="35"/>
      <c r="AI3647" s="35"/>
      <c r="AJ3647" s="35"/>
      <c r="AK3647" s="35"/>
      <c r="AL3647" s="35"/>
      <c r="AM3647" s="35"/>
      <c r="AN3647" s="35"/>
      <c r="AO3647" s="35"/>
      <c r="AP3647" s="35"/>
      <c r="AQ3647" s="35"/>
      <c r="AR3647" s="35"/>
      <c r="AS3647" s="35"/>
      <c r="AT3647" s="35"/>
      <c r="AU3647" s="35"/>
      <c r="AV3647" s="35"/>
      <c r="AW3647" s="35"/>
      <c r="AX3647" s="35"/>
      <c r="AY3647" s="35"/>
      <c r="AZ3647" s="35"/>
      <c r="BA3647" s="35"/>
      <c r="BB3647" s="22">
        <f t="shared" si="1089"/>
        <v>0</v>
      </c>
      <c r="BC3647" s="23">
        <v>0</v>
      </c>
      <c r="BD3647" s="130">
        <f t="shared" si="1090"/>
        <v>10</v>
      </c>
      <c r="BE3647" s="130">
        <f t="shared" si="1086"/>
        <v>19</v>
      </c>
      <c r="BF3647" s="195">
        <f t="shared" si="1091"/>
        <v>52.631578947368418</v>
      </c>
      <c r="BG3647" s="373">
        <f>BE3647-BD3647</f>
        <v>9</v>
      </c>
    </row>
    <row r="3648" spans="1:59" s="46" customFormat="1" ht="15.95" customHeight="1">
      <c r="A3648" s="176">
        <v>33</v>
      </c>
      <c r="B3648" s="31" t="s">
        <v>860</v>
      </c>
      <c r="C3648" s="34" t="s">
        <v>861</v>
      </c>
      <c r="D3648" s="577"/>
      <c r="E3648" s="577"/>
      <c r="F3648" s="577"/>
      <c r="G3648" s="577"/>
      <c r="H3648" s="577">
        <v>6</v>
      </c>
      <c r="I3648" s="577"/>
      <c r="J3648" s="577"/>
      <c r="K3648" s="577"/>
      <c r="L3648" s="577">
        <v>11</v>
      </c>
      <c r="M3648" s="577"/>
      <c r="N3648" s="577"/>
      <c r="O3648" s="577"/>
      <c r="P3648" s="577">
        <v>9</v>
      </c>
      <c r="Q3648" s="577"/>
      <c r="R3648" s="577"/>
      <c r="S3648" s="577"/>
      <c r="T3648" s="577"/>
      <c r="U3648" s="577"/>
      <c r="V3648" s="577"/>
      <c r="W3648" s="577"/>
      <c r="X3648" s="577"/>
      <c r="Y3648" s="577"/>
      <c r="Z3648" s="577"/>
      <c r="AA3648" s="577"/>
      <c r="AB3648" s="22">
        <f t="shared" si="1088"/>
        <v>26</v>
      </c>
      <c r="AC3648" s="23">
        <v>39</v>
      </c>
      <c r="AD3648" s="35"/>
      <c r="AE3648" s="35"/>
      <c r="AF3648" s="35"/>
      <c r="AG3648" s="35"/>
      <c r="AH3648" s="35"/>
      <c r="AI3648" s="35"/>
      <c r="AJ3648" s="35"/>
      <c r="AK3648" s="35"/>
      <c r="AL3648" s="35"/>
      <c r="AM3648" s="35"/>
      <c r="AN3648" s="35"/>
      <c r="AO3648" s="35"/>
      <c r="AP3648" s="35"/>
      <c r="AQ3648" s="35"/>
      <c r="AR3648" s="35"/>
      <c r="AS3648" s="35"/>
      <c r="AT3648" s="35"/>
      <c r="AU3648" s="35"/>
      <c r="AV3648" s="35"/>
      <c r="AW3648" s="35"/>
      <c r="AX3648" s="35"/>
      <c r="AY3648" s="35"/>
      <c r="AZ3648" s="35"/>
      <c r="BA3648" s="35"/>
      <c r="BB3648" s="22">
        <f t="shared" si="1089"/>
        <v>0</v>
      </c>
      <c r="BC3648" s="23">
        <v>0</v>
      </c>
      <c r="BD3648" s="130">
        <f t="shared" si="1090"/>
        <v>26</v>
      </c>
      <c r="BE3648" s="130">
        <f t="shared" si="1086"/>
        <v>39</v>
      </c>
      <c r="BF3648" s="195">
        <f t="shared" si="1091"/>
        <v>66.666666666666657</v>
      </c>
      <c r="BG3648" s="373">
        <f>BE3648-BD3648</f>
        <v>13</v>
      </c>
    </row>
    <row r="3649" spans="1:61" s="46" customFormat="1" ht="15.95" customHeight="1">
      <c r="A3649" s="176">
        <v>34</v>
      </c>
      <c r="B3649" s="31" t="s">
        <v>1654</v>
      </c>
      <c r="C3649" s="32" t="s">
        <v>1983</v>
      </c>
      <c r="D3649" s="231"/>
      <c r="E3649" s="231"/>
      <c r="F3649" s="231"/>
      <c r="G3649" s="231"/>
      <c r="H3649" s="231"/>
      <c r="I3649" s="231"/>
      <c r="J3649" s="231"/>
      <c r="K3649" s="231"/>
      <c r="L3649" s="231"/>
      <c r="M3649" s="231"/>
      <c r="N3649" s="231"/>
      <c r="O3649" s="231"/>
      <c r="P3649" s="231">
        <v>1</v>
      </c>
      <c r="Q3649" s="231"/>
      <c r="R3649" s="231"/>
      <c r="S3649" s="231"/>
      <c r="T3649" s="231"/>
      <c r="U3649" s="231"/>
      <c r="V3649" s="231"/>
      <c r="W3649" s="231"/>
      <c r="X3649" s="231"/>
      <c r="Y3649" s="231"/>
      <c r="Z3649" s="231"/>
      <c r="AA3649" s="231"/>
      <c r="AB3649" s="22">
        <f t="shared" si="1088"/>
        <v>1</v>
      </c>
      <c r="AC3649" s="23">
        <v>0</v>
      </c>
      <c r="AD3649" s="35"/>
      <c r="AE3649" s="35"/>
      <c r="AF3649" s="35"/>
      <c r="AG3649" s="35"/>
      <c r="AH3649" s="35"/>
      <c r="AI3649" s="35"/>
      <c r="AJ3649" s="35"/>
      <c r="AK3649" s="35"/>
      <c r="AL3649" s="35"/>
      <c r="AM3649" s="35"/>
      <c r="AN3649" s="35"/>
      <c r="AO3649" s="35"/>
      <c r="AP3649" s="35"/>
      <c r="AQ3649" s="35"/>
      <c r="AR3649" s="35"/>
      <c r="AS3649" s="35"/>
      <c r="AT3649" s="35"/>
      <c r="AU3649" s="35"/>
      <c r="AV3649" s="35"/>
      <c r="AW3649" s="35"/>
      <c r="AX3649" s="35"/>
      <c r="AY3649" s="35"/>
      <c r="AZ3649" s="35"/>
      <c r="BA3649" s="35"/>
      <c r="BB3649" s="22">
        <f t="shared" si="1089"/>
        <v>0</v>
      </c>
      <c r="BC3649" s="23">
        <v>0</v>
      </c>
      <c r="BD3649" s="130">
        <f t="shared" si="1090"/>
        <v>1</v>
      </c>
      <c r="BE3649" s="130">
        <f t="shared" si="1086"/>
        <v>0</v>
      </c>
      <c r="BF3649" s="195" t="e">
        <f t="shared" si="1091"/>
        <v>#DIV/0!</v>
      </c>
      <c r="BG3649" s="373"/>
    </row>
    <row r="3650" spans="1:61" s="46" customFormat="1" ht="15.75" customHeight="1">
      <c r="A3650" s="176">
        <v>35</v>
      </c>
      <c r="B3650" s="31"/>
      <c r="C3650" s="34"/>
      <c r="D3650" s="231"/>
      <c r="E3650" s="231"/>
      <c r="F3650" s="231"/>
      <c r="G3650" s="231"/>
      <c r="H3650" s="231"/>
      <c r="I3650" s="231"/>
      <c r="J3650" s="231"/>
      <c r="K3650" s="231"/>
      <c r="L3650" s="231"/>
      <c r="M3650" s="231"/>
      <c r="N3650" s="231"/>
      <c r="O3650" s="231"/>
      <c r="P3650" s="231"/>
      <c r="Q3650" s="231"/>
      <c r="R3650" s="231"/>
      <c r="S3650" s="231"/>
      <c r="T3650" s="231"/>
      <c r="U3650" s="231"/>
      <c r="V3650" s="231"/>
      <c r="W3650" s="231"/>
      <c r="X3650" s="231"/>
      <c r="Y3650" s="231"/>
      <c r="Z3650" s="231"/>
      <c r="AA3650" s="231"/>
      <c r="AB3650" s="22">
        <f t="shared" si="1088"/>
        <v>0</v>
      </c>
      <c r="AC3650" s="23">
        <v>0</v>
      </c>
      <c r="AD3650" s="35"/>
      <c r="AE3650" s="35"/>
      <c r="AF3650" s="35"/>
      <c r="AG3650" s="35"/>
      <c r="AH3650" s="35"/>
      <c r="AI3650" s="35"/>
      <c r="AJ3650" s="35"/>
      <c r="AK3650" s="35"/>
      <c r="AL3650" s="35"/>
      <c r="AM3650" s="35"/>
      <c r="AN3650" s="35"/>
      <c r="AO3650" s="35"/>
      <c r="AP3650" s="35"/>
      <c r="AQ3650" s="35"/>
      <c r="AR3650" s="35"/>
      <c r="AS3650" s="35"/>
      <c r="AT3650" s="35"/>
      <c r="AU3650" s="35"/>
      <c r="AV3650" s="35"/>
      <c r="AW3650" s="35"/>
      <c r="AX3650" s="35"/>
      <c r="AY3650" s="35"/>
      <c r="AZ3650" s="35"/>
      <c r="BA3650" s="35"/>
      <c r="BB3650" s="22">
        <f t="shared" si="1089"/>
        <v>0</v>
      </c>
      <c r="BC3650" s="23">
        <v>0</v>
      </c>
      <c r="BD3650" s="130">
        <f t="shared" si="1090"/>
        <v>0</v>
      </c>
      <c r="BE3650" s="130">
        <f t="shared" si="1086"/>
        <v>0</v>
      </c>
      <c r="BF3650" s="195" t="e">
        <f t="shared" si="1091"/>
        <v>#DIV/0!</v>
      </c>
      <c r="BG3650" s="373">
        <f>BE3650-BD3650</f>
        <v>0</v>
      </c>
    </row>
    <row r="3651" spans="1:61" s="46" customFormat="1" ht="15.95" customHeight="1">
      <c r="A3651" s="644" t="s">
        <v>723</v>
      </c>
      <c r="B3651" s="645"/>
      <c r="C3651" s="645"/>
      <c r="D3651" s="28">
        <f t="shared" ref="D3651:AI3651" si="1093">SUM(D3652:D3698)</f>
        <v>0</v>
      </c>
      <c r="E3651" s="28">
        <f t="shared" si="1093"/>
        <v>0</v>
      </c>
      <c r="F3651" s="28">
        <f t="shared" si="1093"/>
        <v>0</v>
      </c>
      <c r="G3651" s="28">
        <f t="shared" si="1093"/>
        <v>0</v>
      </c>
      <c r="H3651" s="28">
        <f t="shared" si="1093"/>
        <v>136</v>
      </c>
      <c r="I3651" s="28">
        <f t="shared" si="1093"/>
        <v>0</v>
      </c>
      <c r="J3651" s="28">
        <f t="shared" si="1093"/>
        <v>0</v>
      </c>
      <c r="K3651" s="28">
        <f t="shared" si="1093"/>
        <v>2</v>
      </c>
      <c r="L3651" s="28">
        <f t="shared" si="1093"/>
        <v>371</v>
      </c>
      <c r="M3651" s="28">
        <f t="shared" si="1093"/>
        <v>0</v>
      </c>
      <c r="N3651" s="28">
        <f t="shared" si="1093"/>
        <v>0</v>
      </c>
      <c r="O3651" s="28">
        <f t="shared" si="1093"/>
        <v>5</v>
      </c>
      <c r="P3651" s="28">
        <f t="shared" si="1093"/>
        <v>516</v>
      </c>
      <c r="Q3651" s="28">
        <f t="shared" si="1093"/>
        <v>0</v>
      </c>
      <c r="R3651" s="28">
        <f t="shared" si="1093"/>
        <v>0</v>
      </c>
      <c r="S3651" s="28">
        <f t="shared" si="1093"/>
        <v>345</v>
      </c>
      <c r="T3651" s="28">
        <f t="shared" si="1093"/>
        <v>0</v>
      </c>
      <c r="U3651" s="28">
        <f t="shared" si="1093"/>
        <v>0</v>
      </c>
      <c r="V3651" s="28">
        <f t="shared" si="1093"/>
        <v>0</v>
      </c>
      <c r="W3651" s="28">
        <f t="shared" si="1093"/>
        <v>0</v>
      </c>
      <c r="X3651" s="28">
        <f t="shared" si="1093"/>
        <v>0</v>
      </c>
      <c r="Y3651" s="28">
        <f t="shared" si="1093"/>
        <v>0</v>
      </c>
      <c r="Z3651" s="28">
        <f t="shared" si="1093"/>
        <v>0</v>
      </c>
      <c r="AA3651" s="28">
        <f t="shared" si="1093"/>
        <v>0</v>
      </c>
      <c r="AB3651" s="28">
        <f t="shared" si="1093"/>
        <v>1375</v>
      </c>
      <c r="AC3651" s="127">
        <f t="shared" si="1093"/>
        <v>1541</v>
      </c>
      <c r="AD3651" s="28">
        <f t="shared" si="1093"/>
        <v>0</v>
      </c>
      <c r="AE3651" s="28">
        <f t="shared" si="1093"/>
        <v>0</v>
      </c>
      <c r="AF3651" s="28">
        <f t="shared" si="1093"/>
        <v>0</v>
      </c>
      <c r="AG3651" s="28">
        <f t="shared" si="1093"/>
        <v>0</v>
      </c>
      <c r="AH3651" s="28">
        <f t="shared" si="1093"/>
        <v>0</v>
      </c>
      <c r="AI3651" s="28">
        <f t="shared" si="1093"/>
        <v>0</v>
      </c>
      <c r="AJ3651" s="28">
        <f t="shared" ref="AJ3651:BB3651" si="1094">SUM(AJ3652:AJ3698)</f>
        <v>0</v>
      </c>
      <c r="AK3651" s="28">
        <f t="shared" si="1094"/>
        <v>0</v>
      </c>
      <c r="AL3651" s="28">
        <f t="shared" si="1094"/>
        <v>0</v>
      </c>
      <c r="AM3651" s="28">
        <f t="shared" si="1094"/>
        <v>0</v>
      </c>
      <c r="AN3651" s="28">
        <f t="shared" si="1094"/>
        <v>0</v>
      </c>
      <c r="AO3651" s="28">
        <f t="shared" si="1094"/>
        <v>0</v>
      </c>
      <c r="AP3651" s="28">
        <f t="shared" si="1094"/>
        <v>0</v>
      </c>
      <c r="AQ3651" s="28">
        <f t="shared" si="1094"/>
        <v>0</v>
      </c>
      <c r="AR3651" s="28">
        <f t="shared" si="1094"/>
        <v>0</v>
      </c>
      <c r="AS3651" s="28">
        <f t="shared" si="1094"/>
        <v>0</v>
      </c>
      <c r="AT3651" s="28">
        <f t="shared" si="1094"/>
        <v>0</v>
      </c>
      <c r="AU3651" s="28">
        <f t="shared" si="1094"/>
        <v>0</v>
      </c>
      <c r="AV3651" s="28">
        <f t="shared" si="1094"/>
        <v>0</v>
      </c>
      <c r="AW3651" s="28">
        <f t="shared" si="1094"/>
        <v>0</v>
      </c>
      <c r="AX3651" s="28">
        <f t="shared" si="1094"/>
        <v>0</v>
      </c>
      <c r="AY3651" s="28">
        <f t="shared" si="1094"/>
        <v>0</v>
      </c>
      <c r="AZ3651" s="28">
        <f t="shared" si="1094"/>
        <v>0</v>
      </c>
      <c r="BA3651" s="28">
        <f t="shared" si="1094"/>
        <v>0</v>
      </c>
      <c r="BB3651" s="28">
        <f t="shared" si="1094"/>
        <v>0</v>
      </c>
      <c r="BC3651" s="23">
        <v>0</v>
      </c>
      <c r="BD3651" s="130">
        <f t="shared" si="1085"/>
        <v>1375</v>
      </c>
      <c r="BE3651" s="130">
        <f t="shared" si="1086"/>
        <v>1541</v>
      </c>
      <c r="BF3651" s="195">
        <f t="shared" si="1087"/>
        <v>89.227774172615185</v>
      </c>
      <c r="BG3651" s="374">
        <f t="shared" si="1074"/>
        <v>166</v>
      </c>
    </row>
    <row r="3652" spans="1:61" s="46" customFormat="1" ht="21" customHeight="1">
      <c r="A3652" s="417">
        <v>1</v>
      </c>
      <c r="B3652" s="418" t="s">
        <v>731</v>
      </c>
      <c r="C3652" s="419" t="s">
        <v>2050</v>
      </c>
      <c r="D3652" s="231"/>
      <c r="E3652" s="231"/>
      <c r="F3652" s="231"/>
      <c r="G3652" s="231"/>
      <c r="H3652" s="231">
        <v>3</v>
      </c>
      <c r="I3652" s="231"/>
      <c r="J3652" s="231"/>
      <c r="K3652" s="231"/>
      <c r="L3652" s="231">
        <v>3</v>
      </c>
      <c r="M3652" s="231"/>
      <c r="N3652" s="231"/>
      <c r="O3652" s="231"/>
      <c r="P3652" s="231"/>
      <c r="Q3652" s="231"/>
      <c r="R3652" s="231"/>
      <c r="S3652" s="231"/>
      <c r="T3652" s="231"/>
      <c r="U3652" s="231"/>
      <c r="V3652" s="231"/>
      <c r="W3652" s="231"/>
      <c r="X3652" s="231"/>
      <c r="Y3652" s="231"/>
      <c r="Z3652" s="231"/>
      <c r="AA3652" s="231"/>
      <c r="AB3652" s="22">
        <f t="shared" ref="AB3652:AB3698" si="1095">SUM(D3652:AA3652)</f>
        <v>6</v>
      </c>
      <c r="AC3652" s="23">
        <v>37</v>
      </c>
      <c r="AD3652" s="35"/>
      <c r="AE3652" s="35"/>
      <c r="AF3652" s="35"/>
      <c r="AG3652" s="35"/>
      <c r="AH3652" s="35"/>
      <c r="AI3652" s="35"/>
      <c r="AJ3652" s="35"/>
      <c r="AK3652" s="35"/>
      <c r="AL3652" s="35"/>
      <c r="AM3652" s="35"/>
      <c r="AN3652" s="35"/>
      <c r="AO3652" s="35"/>
      <c r="AP3652" s="35"/>
      <c r="AQ3652" s="35"/>
      <c r="AR3652" s="35"/>
      <c r="AS3652" s="35"/>
      <c r="AT3652" s="35"/>
      <c r="AU3652" s="35"/>
      <c r="AV3652" s="35"/>
      <c r="AW3652" s="35"/>
      <c r="AX3652" s="35"/>
      <c r="AY3652" s="35"/>
      <c r="AZ3652" s="35"/>
      <c r="BA3652" s="35"/>
      <c r="BB3652" s="22">
        <f t="shared" ref="BB3652:BB3698" si="1096">SUM(AD3652:BA3652)</f>
        <v>0</v>
      </c>
      <c r="BC3652" s="23">
        <v>0</v>
      </c>
      <c r="BD3652" s="130">
        <f t="shared" ref="BD3652:BD3698" si="1097">AB3652+BB3652</f>
        <v>6</v>
      </c>
      <c r="BE3652" s="130">
        <f t="shared" ref="BE3652:BE3698" si="1098">AC3652+BC3652</f>
        <v>37</v>
      </c>
      <c r="BF3652" s="195">
        <f t="shared" ref="BF3652:BF3698" si="1099">BD3652/BE3652*100</f>
        <v>16.216216216216218</v>
      </c>
      <c r="BG3652" s="373">
        <f>BE3652-BD3652</f>
        <v>31</v>
      </c>
      <c r="BH3652" s="426" t="s">
        <v>3675</v>
      </c>
      <c r="BI3652" s="420"/>
    </row>
    <row r="3653" spans="1:61" s="46" customFormat="1" ht="21" customHeight="1">
      <c r="A3653" s="417">
        <v>2</v>
      </c>
      <c r="B3653" s="418" t="s">
        <v>926</v>
      </c>
      <c r="C3653" s="423" t="s">
        <v>927</v>
      </c>
      <c r="D3653" s="231"/>
      <c r="E3653" s="231"/>
      <c r="F3653" s="231"/>
      <c r="G3653" s="231"/>
      <c r="H3653" s="231"/>
      <c r="I3653" s="231"/>
      <c r="J3653" s="231"/>
      <c r="K3653" s="231">
        <v>2</v>
      </c>
      <c r="L3653" s="231"/>
      <c r="M3653" s="231"/>
      <c r="N3653" s="231"/>
      <c r="O3653" s="231">
        <v>1</v>
      </c>
      <c r="P3653" s="231"/>
      <c r="Q3653" s="231"/>
      <c r="R3653" s="231"/>
      <c r="S3653" s="231"/>
      <c r="T3653" s="231"/>
      <c r="U3653" s="231"/>
      <c r="V3653" s="231"/>
      <c r="W3653" s="231"/>
      <c r="X3653" s="231"/>
      <c r="Y3653" s="231"/>
      <c r="Z3653" s="231"/>
      <c r="AA3653" s="231"/>
      <c r="AB3653" s="22">
        <f t="shared" si="1095"/>
        <v>3</v>
      </c>
      <c r="AC3653" s="23">
        <v>5</v>
      </c>
      <c r="AD3653" s="35"/>
      <c r="AE3653" s="35"/>
      <c r="AF3653" s="35"/>
      <c r="AG3653" s="35"/>
      <c r="AH3653" s="35"/>
      <c r="AI3653" s="35"/>
      <c r="AJ3653" s="35"/>
      <c r="AK3653" s="35"/>
      <c r="AL3653" s="35"/>
      <c r="AM3653" s="35"/>
      <c r="AN3653" s="35"/>
      <c r="AO3653" s="35"/>
      <c r="AP3653" s="35"/>
      <c r="AQ3653" s="35"/>
      <c r="AR3653" s="35"/>
      <c r="AS3653" s="35"/>
      <c r="AT3653" s="35"/>
      <c r="AU3653" s="35"/>
      <c r="AV3653" s="35"/>
      <c r="AW3653" s="35"/>
      <c r="AX3653" s="35"/>
      <c r="AY3653" s="35"/>
      <c r="AZ3653" s="35"/>
      <c r="BA3653" s="35"/>
      <c r="BB3653" s="22">
        <f t="shared" si="1096"/>
        <v>0</v>
      </c>
      <c r="BC3653" s="23">
        <v>0</v>
      </c>
      <c r="BD3653" s="130">
        <f t="shared" si="1097"/>
        <v>3</v>
      </c>
      <c r="BE3653" s="130">
        <f t="shared" si="1098"/>
        <v>5</v>
      </c>
      <c r="BF3653" s="195">
        <f t="shared" si="1099"/>
        <v>60</v>
      </c>
      <c r="BG3653" s="373">
        <f>BE3653-BD3653</f>
        <v>2</v>
      </c>
      <c r="BH3653" s="426" t="s">
        <v>3675</v>
      </c>
      <c r="BI3653" s="426"/>
    </row>
    <row r="3654" spans="1:61" s="46" customFormat="1" ht="21" customHeight="1">
      <c r="A3654" s="417">
        <v>5</v>
      </c>
      <c r="B3654" s="418" t="s">
        <v>1266</v>
      </c>
      <c r="C3654" s="423" t="s">
        <v>1267</v>
      </c>
      <c r="D3654" s="553"/>
      <c r="E3654" s="553"/>
      <c r="F3654" s="553"/>
      <c r="G3654" s="553"/>
      <c r="H3654" s="553"/>
      <c r="I3654" s="553"/>
      <c r="J3654" s="553"/>
      <c r="K3654" s="553"/>
      <c r="L3654" s="553"/>
      <c r="M3654" s="553"/>
      <c r="N3654" s="553"/>
      <c r="O3654" s="553">
        <v>2</v>
      </c>
      <c r="P3654" s="553"/>
      <c r="Q3654" s="553"/>
      <c r="R3654" s="553"/>
      <c r="S3654" s="553">
        <v>2</v>
      </c>
      <c r="T3654" s="553"/>
      <c r="U3654" s="553"/>
      <c r="V3654" s="553"/>
      <c r="W3654" s="553"/>
      <c r="X3654" s="553"/>
      <c r="Y3654" s="553"/>
      <c r="Z3654" s="553"/>
      <c r="AA3654" s="553"/>
      <c r="AB3654" s="22">
        <f t="shared" si="1095"/>
        <v>4</v>
      </c>
      <c r="AC3654" s="23">
        <v>3</v>
      </c>
      <c r="AD3654" s="35"/>
      <c r="AE3654" s="35"/>
      <c r="AF3654" s="35"/>
      <c r="AG3654" s="35"/>
      <c r="AH3654" s="35"/>
      <c r="AI3654" s="35"/>
      <c r="AJ3654" s="35"/>
      <c r="AK3654" s="35"/>
      <c r="AL3654" s="35"/>
      <c r="AM3654" s="35"/>
      <c r="AN3654" s="35"/>
      <c r="AO3654" s="35"/>
      <c r="AP3654" s="35"/>
      <c r="AQ3654" s="35"/>
      <c r="AR3654" s="35"/>
      <c r="AS3654" s="35"/>
      <c r="AT3654" s="35"/>
      <c r="AU3654" s="35"/>
      <c r="AV3654" s="35"/>
      <c r="AW3654" s="35"/>
      <c r="AX3654" s="35"/>
      <c r="AY3654" s="35"/>
      <c r="AZ3654" s="35"/>
      <c r="BA3654" s="35"/>
      <c r="BB3654" s="22">
        <f t="shared" si="1096"/>
        <v>0</v>
      </c>
      <c r="BC3654" s="23">
        <v>0</v>
      </c>
      <c r="BD3654" s="130">
        <f t="shared" si="1097"/>
        <v>4</v>
      </c>
      <c r="BE3654" s="130">
        <f t="shared" si="1098"/>
        <v>3</v>
      </c>
      <c r="BF3654" s="195">
        <f t="shared" si="1099"/>
        <v>133.33333333333331</v>
      </c>
      <c r="BG3654" s="373">
        <f>BE3654-BD3654</f>
        <v>-1</v>
      </c>
      <c r="BH3654" s="426" t="s">
        <v>3675</v>
      </c>
      <c r="BI3654" s="421"/>
    </row>
    <row r="3655" spans="1:61" s="46" customFormat="1" ht="21" customHeight="1">
      <c r="A3655" s="417">
        <v>3</v>
      </c>
      <c r="B3655" s="418" t="s">
        <v>2218</v>
      </c>
      <c r="C3655" s="423" t="s">
        <v>2222</v>
      </c>
      <c r="D3655" s="553"/>
      <c r="E3655" s="553"/>
      <c r="F3655" s="553"/>
      <c r="G3655" s="553"/>
      <c r="H3655" s="553"/>
      <c r="I3655" s="553"/>
      <c r="J3655" s="553"/>
      <c r="K3655" s="553"/>
      <c r="L3655" s="553"/>
      <c r="M3655" s="553"/>
      <c r="N3655" s="553"/>
      <c r="O3655" s="553">
        <v>1</v>
      </c>
      <c r="P3655" s="553"/>
      <c r="Q3655" s="553"/>
      <c r="R3655" s="553"/>
      <c r="S3655" s="553"/>
      <c r="T3655" s="553"/>
      <c r="U3655" s="553"/>
      <c r="V3655" s="553"/>
      <c r="W3655" s="553"/>
      <c r="X3655" s="553"/>
      <c r="Y3655" s="553"/>
      <c r="Z3655" s="553"/>
      <c r="AA3655" s="553"/>
      <c r="AB3655" s="22">
        <f t="shared" si="1095"/>
        <v>1</v>
      </c>
      <c r="AC3655" s="23">
        <v>0</v>
      </c>
      <c r="AD3655" s="35"/>
      <c r="AE3655" s="35"/>
      <c r="AF3655" s="35"/>
      <c r="AG3655" s="35"/>
      <c r="AH3655" s="35"/>
      <c r="AI3655" s="35"/>
      <c r="AJ3655" s="35"/>
      <c r="AK3655" s="35"/>
      <c r="AL3655" s="35"/>
      <c r="AM3655" s="35"/>
      <c r="AN3655" s="35"/>
      <c r="AO3655" s="35"/>
      <c r="AP3655" s="35"/>
      <c r="AQ3655" s="35"/>
      <c r="AR3655" s="35"/>
      <c r="AS3655" s="35"/>
      <c r="AT3655" s="35"/>
      <c r="AU3655" s="35"/>
      <c r="AV3655" s="35"/>
      <c r="AW3655" s="35"/>
      <c r="AX3655" s="35"/>
      <c r="AY3655" s="35"/>
      <c r="AZ3655" s="35"/>
      <c r="BA3655" s="35"/>
      <c r="BB3655" s="22">
        <f t="shared" si="1096"/>
        <v>0</v>
      </c>
      <c r="BC3655" s="23">
        <v>0</v>
      </c>
      <c r="BD3655" s="130">
        <f t="shared" si="1097"/>
        <v>1</v>
      </c>
      <c r="BE3655" s="130">
        <f t="shared" si="1098"/>
        <v>0</v>
      </c>
      <c r="BF3655" s="195" t="e">
        <f t="shared" si="1099"/>
        <v>#DIV/0!</v>
      </c>
      <c r="BG3655" s="373"/>
      <c r="BH3655" s="426" t="s">
        <v>3675</v>
      </c>
      <c r="BI3655" s="426"/>
    </row>
    <row r="3656" spans="1:61" s="46" customFormat="1" ht="21" customHeight="1">
      <c r="A3656" s="417">
        <v>4</v>
      </c>
      <c r="B3656" s="418" t="s">
        <v>2246</v>
      </c>
      <c r="C3656" s="419" t="s">
        <v>2247</v>
      </c>
      <c r="D3656" s="231"/>
      <c r="E3656" s="231"/>
      <c r="F3656" s="231"/>
      <c r="G3656" s="231"/>
      <c r="H3656" s="231"/>
      <c r="I3656" s="231"/>
      <c r="J3656" s="231"/>
      <c r="K3656" s="231"/>
      <c r="L3656" s="231"/>
      <c r="M3656" s="231"/>
      <c r="N3656" s="231"/>
      <c r="O3656" s="231">
        <v>1</v>
      </c>
      <c r="P3656" s="231"/>
      <c r="Q3656" s="231"/>
      <c r="R3656" s="231"/>
      <c r="S3656" s="231">
        <v>343</v>
      </c>
      <c r="T3656" s="231"/>
      <c r="U3656" s="231"/>
      <c r="V3656" s="231"/>
      <c r="W3656" s="231"/>
      <c r="X3656" s="231"/>
      <c r="Y3656" s="231"/>
      <c r="Z3656" s="231"/>
      <c r="AA3656" s="231"/>
      <c r="AB3656" s="22">
        <f t="shared" si="1095"/>
        <v>344</v>
      </c>
      <c r="AC3656" s="23">
        <v>0</v>
      </c>
      <c r="AD3656" s="35"/>
      <c r="AE3656" s="35"/>
      <c r="AF3656" s="35"/>
      <c r="AG3656" s="35"/>
      <c r="AH3656" s="35"/>
      <c r="AI3656" s="35"/>
      <c r="AJ3656" s="35"/>
      <c r="AK3656" s="35"/>
      <c r="AL3656" s="35"/>
      <c r="AM3656" s="35"/>
      <c r="AN3656" s="35"/>
      <c r="AO3656" s="35"/>
      <c r="AP3656" s="35"/>
      <c r="AQ3656" s="35"/>
      <c r="AR3656" s="35"/>
      <c r="AS3656" s="35"/>
      <c r="AT3656" s="35"/>
      <c r="AU3656" s="35"/>
      <c r="AV3656" s="35"/>
      <c r="AW3656" s="35"/>
      <c r="AX3656" s="35"/>
      <c r="AY3656" s="35"/>
      <c r="AZ3656" s="35"/>
      <c r="BA3656" s="35"/>
      <c r="BB3656" s="22">
        <f t="shared" si="1096"/>
        <v>0</v>
      </c>
      <c r="BC3656" s="23">
        <v>0</v>
      </c>
      <c r="BD3656" s="130">
        <f t="shared" si="1097"/>
        <v>344</v>
      </c>
      <c r="BE3656" s="130">
        <f t="shared" si="1098"/>
        <v>0</v>
      </c>
      <c r="BF3656" s="195" t="e">
        <f t="shared" si="1099"/>
        <v>#DIV/0!</v>
      </c>
      <c r="BG3656" s="373"/>
      <c r="BH3656" s="426" t="s">
        <v>3675</v>
      </c>
      <c r="BI3656" s="426"/>
    </row>
    <row r="3657" spans="1:61" s="46" customFormat="1" ht="15.95" customHeight="1">
      <c r="A3657" s="176">
        <v>6</v>
      </c>
      <c r="B3657" s="31" t="s">
        <v>1675</v>
      </c>
      <c r="C3657" s="34" t="s">
        <v>1676</v>
      </c>
      <c r="D3657" s="231"/>
      <c r="E3657" s="231"/>
      <c r="F3657" s="231"/>
      <c r="G3657" s="231"/>
      <c r="H3657" s="231">
        <v>6</v>
      </c>
      <c r="I3657" s="231"/>
      <c r="J3657" s="231"/>
      <c r="K3657" s="231"/>
      <c r="L3657" s="231">
        <v>14</v>
      </c>
      <c r="M3657" s="231"/>
      <c r="N3657" s="231"/>
      <c r="O3657" s="231"/>
      <c r="P3657" s="231">
        <v>37</v>
      </c>
      <c r="Q3657" s="231"/>
      <c r="R3657" s="231"/>
      <c r="S3657" s="231"/>
      <c r="T3657" s="231"/>
      <c r="U3657" s="231"/>
      <c r="V3657" s="231"/>
      <c r="W3657" s="231"/>
      <c r="X3657" s="231"/>
      <c r="Y3657" s="231"/>
      <c r="Z3657" s="231"/>
      <c r="AA3657" s="231"/>
      <c r="AB3657" s="22">
        <f t="shared" si="1095"/>
        <v>57</v>
      </c>
      <c r="AC3657" s="23">
        <v>38</v>
      </c>
      <c r="AD3657" s="35"/>
      <c r="AE3657" s="35"/>
      <c r="AF3657" s="35"/>
      <c r="AG3657" s="35"/>
      <c r="AH3657" s="35"/>
      <c r="AI3657" s="35"/>
      <c r="AJ3657" s="35"/>
      <c r="AK3657" s="35"/>
      <c r="AL3657" s="35"/>
      <c r="AM3657" s="35"/>
      <c r="AN3657" s="35"/>
      <c r="AO3657" s="35"/>
      <c r="AP3657" s="35"/>
      <c r="AQ3657" s="35"/>
      <c r="AR3657" s="35"/>
      <c r="AS3657" s="35"/>
      <c r="AT3657" s="35"/>
      <c r="AU3657" s="35"/>
      <c r="AV3657" s="35"/>
      <c r="AW3657" s="35"/>
      <c r="AX3657" s="35"/>
      <c r="AY3657" s="35"/>
      <c r="AZ3657" s="35"/>
      <c r="BA3657" s="35"/>
      <c r="BB3657" s="22">
        <f t="shared" si="1096"/>
        <v>0</v>
      </c>
      <c r="BC3657" s="23">
        <v>0</v>
      </c>
      <c r="BD3657" s="130">
        <f t="shared" si="1097"/>
        <v>57</v>
      </c>
      <c r="BE3657" s="130">
        <f t="shared" si="1098"/>
        <v>38</v>
      </c>
      <c r="BF3657" s="195">
        <f t="shared" si="1099"/>
        <v>150</v>
      </c>
      <c r="BG3657" s="373">
        <f t="shared" ref="BG3657:BG3668" si="1100">BE3657-BD3657</f>
        <v>-19</v>
      </c>
    </row>
    <row r="3658" spans="1:61" s="46" customFormat="1" ht="15.95" customHeight="1">
      <c r="A3658" s="176">
        <v>7</v>
      </c>
      <c r="B3658" s="37" t="s">
        <v>754</v>
      </c>
      <c r="C3658" s="38" t="s">
        <v>889</v>
      </c>
      <c r="D3658" s="231"/>
      <c r="E3658" s="231"/>
      <c r="F3658" s="231"/>
      <c r="G3658" s="231"/>
      <c r="H3658" s="231"/>
      <c r="I3658" s="231"/>
      <c r="J3658" s="231"/>
      <c r="K3658" s="231"/>
      <c r="L3658" s="231"/>
      <c r="M3658" s="231"/>
      <c r="N3658" s="231"/>
      <c r="O3658" s="231"/>
      <c r="P3658" s="231"/>
      <c r="Q3658" s="231"/>
      <c r="R3658" s="231"/>
      <c r="S3658" s="231"/>
      <c r="T3658" s="231"/>
      <c r="U3658" s="231"/>
      <c r="V3658" s="231"/>
      <c r="W3658" s="231"/>
      <c r="X3658" s="231"/>
      <c r="Y3658" s="231"/>
      <c r="Z3658" s="231"/>
      <c r="AA3658" s="231"/>
      <c r="AB3658" s="22">
        <f t="shared" si="1095"/>
        <v>0</v>
      </c>
      <c r="AC3658" s="23">
        <v>0</v>
      </c>
      <c r="AD3658" s="35"/>
      <c r="AE3658" s="35"/>
      <c r="AF3658" s="35"/>
      <c r="AG3658" s="35"/>
      <c r="AH3658" s="35"/>
      <c r="AI3658" s="35"/>
      <c r="AJ3658" s="35"/>
      <c r="AK3658" s="35"/>
      <c r="AL3658" s="35"/>
      <c r="AM3658" s="35"/>
      <c r="AN3658" s="35"/>
      <c r="AO3658" s="35"/>
      <c r="AP3658" s="35"/>
      <c r="AQ3658" s="35"/>
      <c r="AR3658" s="35"/>
      <c r="AS3658" s="35"/>
      <c r="AT3658" s="35"/>
      <c r="AU3658" s="35"/>
      <c r="AV3658" s="35"/>
      <c r="AW3658" s="35"/>
      <c r="AX3658" s="35"/>
      <c r="AY3658" s="35"/>
      <c r="AZ3658" s="35"/>
      <c r="BA3658" s="35"/>
      <c r="BB3658" s="22">
        <f t="shared" si="1096"/>
        <v>0</v>
      </c>
      <c r="BC3658" s="23">
        <v>0</v>
      </c>
      <c r="BD3658" s="130">
        <f t="shared" si="1097"/>
        <v>0</v>
      </c>
      <c r="BE3658" s="130">
        <f t="shared" si="1098"/>
        <v>0</v>
      </c>
      <c r="BF3658" s="195" t="e">
        <f t="shared" si="1099"/>
        <v>#DIV/0!</v>
      </c>
      <c r="BG3658" s="373">
        <f t="shared" si="1100"/>
        <v>0</v>
      </c>
    </row>
    <row r="3659" spans="1:61" s="46" customFormat="1" ht="15.95" customHeight="1">
      <c r="A3659" s="176">
        <v>8</v>
      </c>
      <c r="B3659" s="31" t="s">
        <v>756</v>
      </c>
      <c r="C3659" s="34" t="s">
        <v>757</v>
      </c>
      <c r="D3659" s="231"/>
      <c r="E3659" s="231"/>
      <c r="F3659" s="231"/>
      <c r="G3659" s="231"/>
      <c r="H3659" s="231">
        <v>36</v>
      </c>
      <c r="I3659" s="231"/>
      <c r="J3659" s="231"/>
      <c r="K3659" s="231"/>
      <c r="L3659" s="231">
        <v>67</v>
      </c>
      <c r="M3659" s="231"/>
      <c r="N3659" s="231"/>
      <c r="O3659" s="231"/>
      <c r="P3659" s="231">
        <v>142</v>
      </c>
      <c r="Q3659" s="231"/>
      <c r="R3659" s="231"/>
      <c r="S3659" s="231"/>
      <c r="T3659" s="231"/>
      <c r="U3659" s="231"/>
      <c r="V3659" s="231"/>
      <c r="W3659" s="231"/>
      <c r="X3659" s="231"/>
      <c r="Y3659" s="231"/>
      <c r="Z3659" s="231"/>
      <c r="AA3659" s="231"/>
      <c r="AB3659" s="22">
        <f t="shared" si="1095"/>
        <v>245</v>
      </c>
      <c r="AC3659" s="23">
        <v>164</v>
      </c>
      <c r="AD3659" s="35"/>
      <c r="AE3659" s="35"/>
      <c r="AF3659" s="35"/>
      <c r="AG3659" s="35"/>
      <c r="AH3659" s="35"/>
      <c r="AI3659" s="35"/>
      <c r="AJ3659" s="35"/>
      <c r="AK3659" s="35"/>
      <c r="AL3659" s="35"/>
      <c r="AM3659" s="35"/>
      <c r="AN3659" s="35"/>
      <c r="AO3659" s="35"/>
      <c r="AP3659" s="35"/>
      <c r="AQ3659" s="35"/>
      <c r="AR3659" s="35"/>
      <c r="AS3659" s="35"/>
      <c r="AT3659" s="35"/>
      <c r="AU3659" s="35"/>
      <c r="AV3659" s="35"/>
      <c r="AW3659" s="35"/>
      <c r="AX3659" s="35"/>
      <c r="AY3659" s="35"/>
      <c r="AZ3659" s="35"/>
      <c r="BA3659" s="35"/>
      <c r="BB3659" s="22">
        <f t="shared" si="1096"/>
        <v>0</v>
      </c>
      <c r="BC3659" s="23">
        <v>0</v>
      </c>
      <c r="BD3659" s="130">
        <f t="shared" si="1097"/>
        <v>245</v>
      </c>
      <c r="BE3659" s="130">
        <f t="shared" si="1098"/>
        <v>164</v>
      </c>
      <c r="BF3659" s="195">
        <f t="shared" si="1099"/>
        <v>149.39024390243901</v>
      </c>
      <c r="BG3659" s="373">
        <f t="shared" si="1100"/>
        <v>-81</v>
      </c>
    </row>
    <row r="3660" spans="1:61" s="46" customFormat="1" ht="15.95" customHeight="1">
      <c r="A3660" s="176">
        <v>9</v>
      </c>
      <c r="B3660" s="31" t="s">
        <v>1140</v>
      </c>
      <c r="C3660" s="34" t="s">
        <v>639</v>
      </c>
      <c r="D3660" s="231"/>
      <c r="E3660" s="231"/>
      <c r="F3660" s="231"/>
      <c r="G3660" s="231"/>
      <c r="H3660" s="231">
        <v>20</v>
      </c>
      <c r="I3660" s="231"/>
      <c r="J3660" s="231"/>
      <c r="K3660" s="231"/>
      <c r="L3660" s="231">
        <v>81</v>
      </c>
      <c r="M3660" s="231"/>
      <c r="N3660" s="231"/>
      <c r="O3660" s="231"/>
      <c r="P3660" s="231">
        <v>114</v>
      </c>
      <c r="Q3660" s="231"/>
      <c r="R3660" s="231"/>
      <c r="S3660" s="231"/>
      <c r="T3660" s="231"/>
      <c r="U3660" s="231"/>
      <c r="V3660" s="231"/>
      <c r="W3660" s="231"/>
      <c r="X3660" s="231"/>
      <c r="Y3660" s="231"/>
      <c r="Z3660" s="231"/>
      <c r="AA3660" s="231"/>
      <c r="AB3660" s="22">
        <f t="shared" si="1095"/>
        <v>215</v>
      </c>
      <c r="AC3660" s="23">
        <v>257</v>
      </c>
      <c r="AD3660" s="35"/>
      <c r="AE3660" s="35"/>
      <c r="AF3660" s="35"/>
      <c r="AG3660" s="35"/>
      <c r="AH3660" s="35"/>
      <c r="AI3660" s="35"/>
      <c r="AJ3660" s="35"/>
      <c r="AK3660" s="35"/>
      <c r="AL3660" s="35"/>
      <c r="AM3660" s="35"/>
      <c r="AN3660" s="35"/>
      <c r="AO3660" s="35"/>
      <c r="AP3660" s="35"/>
      <c r="AQ3660" s="35"/>
      <c r="AR3660" s="35"/>
      <c r="AS3660" s="35"/>
      <c r="AT3660" s="35"/>
      <c r="AU3660" s="35"/>
      <c r="AV3660" s="35"/>
      <c r="AW3660" s="35"/>
      <c r="AX3660" s="35"/>
      <c r="AY3660" s="35"/>
      <c r="AZ3660" s="35"/>
      <c r="BA3660" s="35"/>
      <c r="BB3660" s="22">
        <f t="shared" si="1096"/>
        <v>0</v>
      </c>
      <c r="BC3660" s="23">
        <v>0</v>
      </c>
      <c r="BD3660" s="130">
        <f t="shared" si="1097"/>
        <v>215</v>
      </c>
      <c r="BE3660" s="130">
        <f t="shared" si="1098"/>
        <v>257</v>
      </c>
      <c r="BF3660" s="195">
        <f t="shared" si="1099"/>
        <v>83.657587548638134</v>
      </c>
      <c r="BG3660" s="373">
        <f t="shared" si="1100"/>
        <v>42</v>
      </c>
    </row>
    <row r="3661" spans="1:61" s="46" customFormat="1" ht="15.95" customHeight="1">
      <c r="A3661" s="176">
        <v>10</v>
      </c>
      <c r="B3661" s="31" t="s">
        <v>1523</v>
      </c>
      <c r="C3661" s="34" t="s">
        <v>1668</v>
      </c>
      <c r="D3661" s="231"/>
      <c r="E3661" s="231"/>
      <c r="F3661" s="231"/>
      <c r="G3661" s="231"/>
      <c r="H3661" s="231"/>
      <c r="I3661" s="231"/>
      <c r="J3661" s="231"/>
      <c r="K3661" s="231"/>
      <c r="L3661" s="231"/>
      <c r="M3661" s="231"/>
      <c r="N3661" s="231"/>
      <c r="O3661" s="231"/>
      <c r="P3661" s="231"/>
      <c r="Q3661" s="231"/>
      <c r="R3661" s="231"/>
      <c r="S3661" s="231"/>
      <c r="T3661" s="231"/>
      <c r="U3661" s="231"/>
      <c r="V3661" s="231"/>
      <c r="W3661" s="231"/>
      <c r="X3661" s="231"/>
      <c r="Y3661" s="231"/>
      <c r="Z3661" s="231"/>
      <c r="AA3661" s="231"/>
      <c r="AB3661" s="22">
        <f t="shared" si="1095"/>
        <v>0</v>
      </c>
      <c r="AC3661" s="23">
        <v>95</v>
      </c>
      <c r="AD3661" s="35"/>
      <c r="AE3661" s="35"/>
      <c r="AF3661" s="35"/>
      <c r="AG3661" s="35"/>
      <c r="AH3661" s="35"/>
      <c r="AI3661" s="35"/>
      <c r="AJ3661" s="35"/>
      <c r="AK3661" s="35"/>
      <c r="AL3661" s="35"/>
      <c r="AM3661" s="35"/>
      <c r="AN3661" s="35"/>
      <c r="AO3661" s="35"/>
      <c r="AP3661" s="35"/>
      <c r="AQ3661" s="35"/>
      <c r="AR3661" s="35"/>
      <c r="AS3661" s="35"/>
      <c r="AT3661" s="35"/>
      <c r="AU3661" s="35"/>
      <c r="AV3661" s="35"/>
      <c r="AW3661" s="35"/>
      <c r="AX3661" s="35"/>
      <c r="AY3661" s="35"/>
      <c r="AZ3661" s="35"/>
      <c r="BA3661" s="35"/>
      <c r="BB3661" s="22">
        <f t="shared" si="1096"/>
        <v>0</v>
      </c>
      <c r="BC3661" s="23">
        <v>0</v>
      </c>
      <c r="BD3661" s="130">
        <f t="shared" si="1097"/>
        <v>0</v>
      </c>
      <c r="BE3661" s="130">
        <f t="shared" si="1098"/>
        <v>95</v>
      </c>
      <c r="BF3661" s="195">
        <f t="shared" si="1099"/>
        <v>0</v>
      </c>
      <c r="BG3661" s="373">
        <f t="shared" si="1100"/>
        <v>95</v>
      </c>
    </row>
    <row r="3662" spans="1:61" s="46" customFormat="1" ht="15.95" customHeight="1">
      <c r="A3662" s="176">
        <v>11</v>
      </c>
      <c r="B3662" s="31" t="s">
        <v>772</v>
      </c>
      <c r="C3662" s="34" t="s">
        <v>773</v>
      </c>
      <c r="D3662" s="231"/>
      <c r="E3662" s="231"/>
      <c r="F3662" s="231"/>
      <c r="G3662" s="231"/>
      <c r="H3662" s="231">
        <v>48</v>
      </c>
      <c r="I3662" s="231"/>
      <c r="J3662" s="231"/>
      <c r="K3662" s="231"/>
      <c r="L3662" s="231">
        <v>137</v>
      </c>
      <c r="M3662" s="231"/>
      <c r="N3662" s="231"/>
      <c r="O3662" s="231"/>
      <c r="P3662" s="231">
        <v>162</v>
      </c>
      <c r="Q3662" s="231"/>
      <c r="R3662" s="231"/>
      <c r="S3662" s="231"/>
      <c r="T3662" s="231"/>
      <c r="U3662" s="231"/>
      <c r="V3662" s="231"/>
      <c r="W3662" s="231"/>
      <c r="X3662" s="231"/>
      <c r="Y3662" s="231"/>
      <c r="Z3662" s="231"/>
      <c r="AA3662" s="231"/>
      <c r="AB3662" s="22">
        <f t="shared" si="1095"/>
        <v>347</v>
      </c>
      <c r="AC3662" s="23">
        <v>628</v>
      </c>
      <c r="AD3662" s="35"/>
      <c r="AE3662" s="35"/>
      <c r="AF3662" s="35"/>
      <c r="AG3662" s="35"/>
      <c r="AH3662" s="35"/>
      <c r="AI3662" s="35"/>
      <c r="AJ3662" s="35"/>
      <c r="AK3662" s="35"/>
      <c r="AL3662" s="35"/>
      <c r="AM3662" s="35"/>
      <c r="AN3662" s="35"/>
      <c r="AO3662" s="35"/>
      <c r="AP3662" s="35"/>
      <c r="AQ3662" s="35"/>
      <c r="AR3662" s="35"/>
      <c r="AS3662" s="35"/>
      <c r="AT3662" s="35"/>
      <c r="AU3662" s="35"/>
      <c r="AV3662" s="35"/>
      <c r="AW3662" s="35"/>
      <c r="AX3662" s="35"/>
      <c r="AY3662" s="35"/>
      <c r="AZ3662" s="35"/>
      <c r="BA3662" s="35"/>
      <c r="BB3662" s="22">
        <f t="shared" si="1096"/>
        <v>0</v>
      </c>
      <c r="BC3662" s="23">
        <v>0</v>
      </c>
      <c r="BD3662" s="130">
        <f t="shared" si="1097"/>
        <v>347</v>
      </c>
      <c r="BE3662" s="130">
        <f t="shared" si="1098"/>
        <v>628</v>
      </c>
      <c r="BF3662" s="195">
        <f t="shared" si="1099"/>
        <v>55.254777070063696</v>
      </c>
      <c r="BG3662" s="373">
        <f t="shared" si="1100"/>
        <v>281</v>
      </c>
    </row>
    <row r="3663" spans="1:61" s="46" customFormat="1" ht="15.95" customHeight="1">
      <c r="A3663" s="176">
        <v>12</v>
      </c>
      <c r="B3663" s="31" t="s">
        <v>783</v>
      </c>
      <c r="C3663" s="34" t="s">
        <v>1626</v>
      </c>
      <c r="D3663" s="390"/>
      <c r="E3663" s="390"/>
      <c r="F3663" s="390"/>
      <c r="G3663" s="390"/>
      <c r="H3663" s="390">
        <v>1</v>
      </c>
      <c r="I3663" s="390"/>
      <c r="J3663" s="390"/>
      <c r="K3663" s="390"/>
      <c r="L3663" s="390">
        <v>5</v>
      </c>
      <c r="M3663" s="390"/>
      <c r="N3663" s="390"/>
      <c r="O3663" s="390"/>
      <c r="P3663" s="390">
        <v>4</v>
      </c>
      <c r="Q3663" s="390"/>
      <c r="R3663" s="390"/>
      <c r="S3663" s="390"/>
      <c r="T3663" s="390"/>
      <c r="U3663" s="390"/>
      <c r="V3663" s="390"/>
      <c r="W3663" s="390"/>
      <c r="X3663" s="390"/>
      <c r="Y3663" s="390"/>
      <c r="Z3663" s="390"/>
      <c r="AA3663" s="390"/>
      <c r="AB3663" s="22">
        <f t="shared" si="1095"/>
        <v>10</v>
      </c>
      <c r="AC3663" s="23">
        <v>1</v>
      </c>
      <c r="AD3663" s="35"/>
      <c r="AE3663" s="35"/>
      <c r="AF3663" s="35"/>
      <c r="AG3663" s="35"/>
      <c r="AH3663" s="35"/>
      <c r="AI3663" s="35"/>
      <c r="AJ3663" s="35"/>
      <c r="AK3663" s="35"/>
      <c r="AL3663" s="35"/>
      <c r="AM3663" s="35"/>
      <c r="AN3663" s="35"/>
      <c r="AO3663" s="35"/>
      <c r="AP3663" s="35"/>
      <c r="AQ3663" s="35"/>
      <c r="AR3663" s="35"/>
      <c r="AS3663" s="35"/>
      <c r="AT3663" s="35"/>
      <c r="AU3663" s="35"/>
      <c r="AV3663" s="35"/>
      <c r="AW3663" s="35"/>
      <c r="AX3663" s="35"/>
      <c r="AY3663" s="35"/>
      <c r="AZ3663" s="35"/>
      <c r="BA3663" s="35"/>
      <c r="BB3663" s="22">
        <f t="shared" si="1096"/>
        <v>0</v>
      </c>
      <c r="BC3663" s="23">
        <v>0</v>
      </c>
      <c r="BD3663" s="130">
        <f t="shared" si="1097"/>
        <v>10</v>
      </c>
      <c r="BE3663" s="130">
        <f t="shared" si="1098"/>
        <v>1</v>
      </c>
      <c r="BF3663" s="195">
        <f t="shared" si="1099"/>
        <v>1000</v>
      </c>
      <c r="BG3663" s="373">
        <f t="shared" si="1100"/>
        <v>-9</v>
      </c>
    </row>
    <row r="3664" spans="1:61" s="46" customFormat="1" ht="15.95" customHeight="1">
      <c r="A3664" s="176">
        <v>13</v>
      </c>
      <c r="B3664" s="37" t="s">
        <v>995</v>
      </c>
      <c r="C3664" s="39" t="s">
        <v>996</v>
      </c>
      <c r="D3664" s="390"/>
      <c r="E3664" s="390"/>
      <c r="F3664" s="390"/>
      <c r="G3664" s="390"/>
      <c r="H3664" s="390"/>
      <c r="I3664" s="390"/>
      <c r="J3664" s="390"/>
      <c r="K3664" s="390"/>
      <c r="L3664" s="390"/>
      <c r="M3664" s="390"/>
      <c r="N3664" s="390"/>
      <c r="O3664" s="390"/>
      <c r="P3664" s="390"/>
      <c r="Q3664" s="390"/>
      <c r="R3664" s="390"/>
      <c r="S3664" s="390"/>
      <c r="T3664" s="390"/>
      <c r="U3664" s="390"/>
      <c r="V3664" s="390"/>
      <c r="W3664" s="390"/>
      <c r="X3664" s="390"/>
      <c r="Y3664" s="390"/>
      <c r="Z3664" s="390"/>
      <c r="AA3664" s="390"/>
      <c r="AB3664" s="22">
        <f t="shared" si="1095"/>
        <v>0</v>
      </c>
      <c r="AC3664" s="23">
        <v>2</v>
      </c>
      <c r="AD3664" s="35"/>
      <c r="AE3664" s="35"/>
      <c r="AF3664" s="35"/>
      <c r="AG3664" s="35"/>
      <c r="AH3664" s="35"/>
      <c r="AI3664" s="35"/>
      <c r="AJ3664" s="35"/>
      <c r="AK3664" s="35"/>
      <c r="AL3664" s="35"/>
      <c r="AM3664" s="35"/>
      <c r="AN3664" s="35"/>
      <c r="AO3664" s="35"/>
      <c r="AP3664" s="35"/>
      <c r="AQ3664" s="35"/>
      <c r="AR3664" s="35"/>
      <c r="AS3664" s="35"/>
      <c r="AT3664" s="35"/>
      <c r="AU3664" s="35"/>
      <c r="AV3664" s="35"/>
      <c r="AW3664" s="35"/>
      <c r="AX3664" s="35"/>
      <c r="AY3664" s="35"/>
      <c r="AZ3664" s="35"/>
      <c r="BA3664" s="35"/>
      <c r="BB3664" s="22">
        <f t="shared" si="1096"/>
        <v>0</v>
      </c>
      <c r="BC3664" s="23">
        <v>0</v>
      </c>
      <c r="BD3664" s="130">
        <f t="shared" si="1097"/>
        <v>0</v>
      </c>
      <c r="BE3664" s="130">
        <f t="shared" si="1098"/>
        <v>2</v>
      </c>
      <c r="BF3664" s="195">
        <f t="shared" si="1099"/>
        <v>0</v>
      </c>
      <c r="BG3664" s="373">
        <f t="shared" si="1100"/>
        <v>2</v>
      </c>
    </row>
    <row r="3665" spans="1:59" s="46" customFormat="1" ht="15.95" customHeight="1">
      <c r="A3665" s="176">
        <v>14</v>
      </c>
      <c r="B3665" s="31" t="s">
        <v>999</v>
      </c>
      <c r="C3665" s="34" t="s">
        <v>2251</v>
      </c>
      <c r="D3665" s="390"/>
      <c r="E3665" s="390"/>
      <c r="F3665" s="390"/>
      <c r="G3665" s="390"/>
      <c r="H3665" s="390"/>
      <c r="I3665" s="390"/>
      <c r="J3665" s="390"/>
      <c r="K3665" s="390"/>
      <c r="L3665" s="390"/>
      <c r="M3665" s="390"/>
      <c r="N3665" s="390"/>
      <c r="O3665" s="390"/>
      <c r="P3665" s="390"/>
      <c r="Q3665" s="390"/>
      <c r="R3665" s="390"/>
      <c r="S3665" s="390"/>
      <c r="T3665" s="390"/>
      <c r="U3665" s="390"/>
      <c r="V3665" s="390"/>
      <c r="W3665" s="390"/>
      <c r="X3665" s="390"/>
      <c r="Y3665" s="390"/>
      <c r="Z3665" s="390"/>
      <c r="AA3665" s="390"/>
      <c r="AB3665" s="22">
        <f t="shared" si="1095"/>
        <v>0</v>
      </c>
      <c r="AC3665" s="23">
        <v>1</v>
      </c>
      <c r="AD3665" s="35"/>
      <c r="AE3665" s="35"/>
      <c r="AF3665" s="35"/>
      <c r="AG3665" s="35"/>
      <c r="AH3665" s="35"/>
      <c r="AI3665" s="35"/>
      <c r="AJ3665" s="35"/>
      <c r="AK3665" s="35"/>
      <c r="AL3665" s="35"/>
      <c r="AM3665" s="35"/>
      <c r="AN3665" s="35"/>
      <c r="AO3665" s="35"/>
      <c r="AP3665" s="35"/>
      <c r="AQ3665" s="35"/>
      <c r="AR3665" s="35"/>
      <c r="AS3665" s="35"/>
      <c r="AT3665" s="35"/>
      <c r="AU3665" s="35"/>
      <c r="AV3665" s="35"/>
      <c r="AW3665" s="35"/>
      <c r="AX3665" s="35"/>
      <c r="AY3665" s="35"/>
      <c r="AZ3665" s="35"/>
      <c r="BA3665" s="35"/>
      <c r="BB3665" s="22">
        <f t="shared" si="1096"/>
        <v>0</v>
      </c>
      <c r="BC3665" s="23">
        <v>0</v>
      </c>
      <c r="BD3665" s="130">
        <f t="shared" si="1097"/>
        <v>0</v>
      </c>
      <c r="BE3665" s="130">
        <f t="shared" si="1098"/>
        <v>1</v>
      </c>
      <c r="BF3665" s="195">
        <f t="shared" si="1099"/>
        <v>0</v>
      </c>
      <c r="BG3665" s="373">
        <f t="shared" si="1100"/>
        <v>1</v>
      </c>
    </row>
    <row r="3666" spans="1:59" s="46" customFormat="1" ht="15.95" customHeight="1">
      <c r="A3666" s="176">
        <v>15</v>
      </c>
      <c r="B3666" s="31" t="s">
        <v>1373</v>
      </c>
      <c r="C3666" s="34" t="s">
        <v>1467</v>
      </c>
      <c r="D3666" s="390"/>
      <c r="E3666" s="390"/>
      <c r="F3666" s="390"/>
      <c r="G3666" s="390"/>
      <c r="H3666" s="390"/>
      <c r="I3666" s="390"/>
      <c r="J3666" s="390"/>
      <c r="K3666" s="390"/>
      <c r="L3666" s="390">
        <v>1</v>
      </c>
      <c r="M3666" s="390"/>
      <c r="N3666" s="390"/>
      <c r="O3666" s="390"/>
      <c r="P3666" s="390">
        <v>2</v>
      </c>
      <c r="Q3666" s="390"/>
      <c r="R3666" s="390"/>
      <c r="S3666" s="390"/>
      <c r="T3666" s="390"/>
      <c r="U3666" s="390"/>
      <c r="V3666" s="390"/>
      <c r="W3666" s="390"/>
      <c r="X3666" s="390"/>
      <c r="Y3666" s="390"/>
      <c r="Z3666" s="390"/>
      <c r="AA3666" s="390"/>
      <c r="AB3666" s="22">
        <f t="shared" si="1095"/>
        <v>3</v>
      </c>
      <c r="AC3666" s="23">
        <v>1</v>
      </c>
      <c r="AD3666" s="35"/>
      <c r="AE3666" s="35"/>
      <c r="AF3666" s="35"/>
      <c r="AG3666" s="35"/>
      <c r="AH3666" s="35"/>
      <c r="AI3666" s="35"/>
      <c r="AJ3666" s="35"/>
      <c r="AK3666" s="35"/>
      <c r="AL3666" s="35"/>
      <c r="AM3666" s="35"/>
      <c r="AN3666" s="35"/>
      <c r="AO3666" s="35"/>
      <c r="AP3666" s="35"/>
      <c r="AQ3666" s="35"/>
      <c r="AR3666" s="35"/>
      <c r="AS3666" s="35"/>
      <c r="AT3666" s="35"/>
      <c r="AU3666" s="35"/>
      <c r="AV3666" s="35"/>
      <c r="AW3666" s="35"/>
      <c r="AX3666" s="35"/>
      <c r="AY3666" s="35"/>
      <c r="AZ3666" s="35"/>
      <c r="BA3666" s="35"/>
      <c r="BB3666" s="22">
        <f t="shared" si="1096"/>
        <v>0</v>
      </c>
      <c r="BC3666" s="23">
        <v>0</v>
      </c>
      <c r="BD3666" s="130">
        <f t="shared" si="1097"/>
        <v>3</v>
      </c>
      <c r="BE3666" s="130">
        <f t="shared" si="1098"/>
        <v>1</v>
      </c>
      <c r="BF3666" s="195">
        <f t="shared" si="1099"/>
        <v>300</v>
      </c>
      <c r="BG3666" s="373">
        <f t="shared" si="1100"/>
        <v>-2</v>
      </c>
    </row>
    <row r="3667" spans="1:59" s="46" customFormat="1" ht="15.95" customHeight="1">
      <c r="A3667" s="176">
        <v>16</v>
      </c>
      <c r="B3667" s="31" t="s">
        <v>1474</v>
      </c>
      <c r="C3667" s="34" t="s">
        <v>1686</v>
      </c>
      <c r="D3667" s="577"/>
      <c r="E3667" s="577"/>
      <c r="F3667" s="577"/>
      <c r="G3667" s="577"/>
      <c r="H3667" s="577"/>
      <c r="I3667" s="577"/>
      <c r="J3667" s="577"/>
      <c r="K3667" s="577"/>
      <c r="L3667" s="577"/>
      <c r="M3667" s="577"/>
      <c r="N3667" s="577"/>
      <c r="O3667" s="577"/>
      <c r="P3667" s="577"/>
      <c r="Q3667" s="577"/>
      <c r="R3667" s="577"/>
      <c r="S3667" s="577"/>
      <c r="T3667" s="577"/>
      <c r="U3667" s="577"/>
      <c r="V3667" s="577"/>
      <c r="W3667" s="577"/>
      <c r="X3667" s="577"/>
      <c r="Y3667" s="577"/>
      <c r="Z3667" s="577"/>
      <c r="AA3667" s="577"/>
      <c r="AB3667" s="22">
        <f t="shared" si="1095"/>
        <v>0</v>
      </c>
      <c r="AC3667" s="23">
        <v>1</v>
      </c>
      <c r="AD3667" s="35"/>
      <c r="AE3667" s="35"/>
      <c r="AF3667" s="35"/>
      <c r="AG3667" s="35"/>
      <c r="AH3667" s="35"/>
      <c r="AI3667" s="35"/>
      <c r="AJ3667" s="35"/>
      <c r="AK3667" s="35"/>
      <c r="AL3667" s="35"/>
      <c r="AM3667" s="35"/>
      <c r="AN3667" s="35"/>
      <c r="AO3667" s="35"/>
      <c r="AP3667" s="35"/>
      <c r="AQ3667" s="35"/>
      <c r="AR3667" s="35"/>
      <c r="AS3667" s="35"/>
      <c r="AT3667" s="35"/>
      <c r="AU3667" s="35"/>
      <c r="AV3667" s="35"/>
      <c r="AW3667" s="35"/>
      <c r="AX3667" s="35"/>
      <c r="AY3667" s="35"/>
      <c r="AZ3667" s="35"/>
      <c r="BA3667" s="35"/>
      <c r="BB3667" s="22">
        <f t="shared" si="1096"/>
        <v>0</v>
      </c>
      <c r="BC3667" s="23">
        <v>0</v>
      </c>
      <c r="BD3667" s="130">
        <f t="shared" si="1097"/>
        <v>0</v>
      </c>
      <c r="BE3667" s="130">
        <f t="shared" si="1098"/>
        <v>1</v>
      </c>
      <c r="BF3667" s="195">
        <f t="shared" si="1099"/>
        <v>0</v>
      </c>
      <c r="BG3667" s="373">
        <f t="shared" si="1100"/>
        <v>1</v>
      </c>
    </row>
    <row r="3668" spans="1:59" s="46" customFormat="1" ht="15.95" customHeight="1">
      <c r="A3668" s="176">
        <v>17</v>
      </c>
      <c r="B3668" s="31" t="s">
        <v>1475</v>
      </c>
      <c r="C3668" s="34" t="s">
        <v>1476</v>
      </c>
      <c r="D3668" s="390"/>
      <c r="E3668" s="390"/>
      <c r="F3668" s="390"/>
      <c r="G3668" s="390"/>
      <c r="H3668" s="390"/>
      <c r="I3668" s="390"/>
      <c r="J3668" s="390"/>
      <c r="K3668" s="390"/>
      <c r="L3668" s="390"/>
      <c r="M3668" s="390"/>
      <c r="N3668" s="390"/>
      <c r="O3668" s="390"/>
      <c r="P3668" s="390"/>
      <c r="Q3668" s="390"/>
      <c r="R3668" s="390"/>
      <c r="S3668" s="390"/>
      <c r="T3668" s="390"/>
      <c r="U3668" s="390"/>
      <c r="V3668" s="390"/>
      <c r="W3668" s="390"/>
      <c r="X3668" s="390"/>
      <c r="Y3668" s="390"/>
      <c r="Z3668" s="390"/>
      <c r="AA3668" s="390"/>
      <c r="AB3668" s="22">
        <f t="shared" si="1095"/>
        <v>0</v>
      </c>
      <c r="AC3668" s="23">
        <v>10</v>
      </c>
      <c r="AD3668" s="35"/>
      <c r="AE3668" s="35"/>
      <c r="AF3668" s="35"/>
      <c r="AG3668" s="35"/>
      <c r="AH3668" s="35"/>
      <c r="AI3668" s="35"/>
      <c r="AJ3668" s="35"/>
      <c r="AK3668" s="35"/>
      <c r="AL3668" s="35"/>
      <c r="AM3668" s="35"/>
      <c r="AN3668" s="35"/>
      <c r="AO3668" s="35"/>
      <c r="AP3668" s="35"/>
      <c r="AQ3668" s="35"/>
      <c r="AR3668" s="35"/>
      <c r="AS3668" s="35"/>
      <c r="AT3668" s="35"/>
      <c r="AU3668" s="35"/>
      <c r="AV3668" s="35"/>
      <c r="AW3668" s="35"/>
      <c r="AX3668" s="35"/>
      <c r="AY3668" s="35"/>
      <c r="AZ3668" s="35"/>
      <c r="BA3668" s="35"/>
      <c r="BB3668" s="22">
        <f t="shared" si="1096"/>
        <v>0</v>
      </c>
      <c r="BC3668" s="23">
        <v>0</v>
      </c>
      <c r="BD3668" s="130">
        <f t="shared" si="1097"/>
        <v>0</v>
      </c>
      <c r="BE3668" s="130">
        <f t="shared" si="1098"/>
        <v>10</v>
      </c>
      <c r="BF3668" s="195">
        <f t="shared" si="1099"/>
        <v>0</v>
      </c>
      <c r="BG3668" s="373">
        <f t="shared" si="1100"/>
        <v>10</v>
      </c>
    </row>
    <row r="3669" spans="1:59" s="46" customFormat="1" ht="15.95" customHeight="1">
      <c r="A3669" s="176">
        <v>18</v>
      </c>
      <c r="B3669" s="31" t="s">
        <v>4015</v>
      </c>
      <c r="C3669" s="34" t="s">
        <v>4191</v>
      </c>
      <c r="D3669" s="390"/>
      <c r="E3669" s="390"/>
      <c r="F3669" s="390"/>
      <c r="G3669" s="390"/>
      <c r="H3669" s="390"/>
      <c r="I3669" s="390"/>
      <c r="J3669" s="390"/>
      <c r="K3669" s="390"/>
      <c r="L3669" s="390"/>
      <c r="M3669" s="390"/>
      <c r="N3669" s="390"/>
      <c r="O3669" s="390"/>
      <c r="P3669" s="390">
        <v>3</v>
      </c>
      <c r="Q3669" s="390"/>
      <c r="R3669" s="390"/>
      <c r="S3669" s="390"/>
      <c r="T3669" s="390"/>
      <c r="U3669" s="390"/>
      <c r="V3669" s="390"/>
      <c r="W3669" s="390"/>
      <c r="X3669" s="390"/>
      <c r="Y3669" s="390"/>
      <c r="Z3669" s="390"/>
      <c r="AA3669" s="390"/>
      <c r="AB3669" s="22">
        <f t="shared" si="1095"/>
        <v>3</v>
      </c>
      <c r="AC3669" s="23">
        <v>0</v>
      </c>
      <c r="AD3669" s="35"/>
      <c r="AE3669" s="35"/>
      <c r="AF3669" s="35"/>
      <c r="AG3669" s="35"/>
      <c r="AH3669" s="35"/>
      <c r="AI3669" s="35"/>
      <c r="AJ3669" s="35"/>
      <c r="AK3669" s="35"/>
      <c r="AL3669" s="35"/>
      <c r="AM3669" s="35"/>
      <c r="AN3669" s="35"/>
      <c r="AO3669" s="35"/>
      <c r="AP3669" s="35"/>
      <c r="AQ3669" s="35"/>
      <c r="AR3669" s="35"/>
      <c r="AS3669" s="35"/>
      <c r="AT3669" s="35"/>
      <c r="AU3669" s="35"/>
      <c r="AV3669" s="35"/>
      <c r="AW3669" s="35"/>
      <c r="AX3669" s="35"/>
      <c r="AY3669" s="35"/>
      <c r="AZ3669" s="35"/>
      <c r="BA3669" s="35"/>
      <c r="BB3669" s="22">
        <f t="shared" si="1096"/>
        <v>0</v>
      </c>
      <c r="BC3669" s="23">
        <v>0</v>
      </c>
      <c r="BD3669" s="130">
        <f t="shared" si="1097"/>
        <v>3</v>
      </c>
      <c r="BE3669" s="130">
        <f t="shared" si="1098"/>
        <v>0</v>
      </c>
      <c r="BF3669" s="195" t="e">
        <f t="shared" si="1099"/>
        <v>#DIV/0!</v>
      </c>
      <c r="BG3669" s="373"/>
    </row>
    <row r="3670" spans="1:59" s="46" customFormat="1" ht="15.95" customHeight="1">
      <c r="A3670" s="176">
        <v>19</v>
      </c>
      <c r="B3670" s="31" t="s">
        <v>1482</v>
      </c>
      <c r="C3670" s="34" t="s">
        <v>3210</v>
      </c>
      <c r="D3670" s="336"/>
      <c r="E3670" s="336"/>
      <c r="F3670" s="336"/>
      <c r="G3670" s="336"/>
      <c r="H3670" s="336"/>
      <c r="I3670" s="336"/>
      <c r="J3670" s="336"/>
      <c r="K3670" s="336"/>
      <c r="L3670" s="336"/>
      <c r="M3670" s="336"/>
      <c r="N3670" s="336"/>
      <c r="O3670" s="336"/>
      <c r="P3670" s="336"/>
      <c r="Q3670" s="336"/>
      <c r="R3670" s="336"/>
      <c r="S3670" s="336"/>
      <c r="T3670" s="336"/>
      <c r="U3670" s="336"/>
      <c r="V3670" s="336"/>
      <c r="W3670" s="336"/>
      <c r="X3670" s="336"/>
      <c r="Y3670" s="336"/>
      <c r="Z3670" s="336"/>
      <c r="AA3670" s="336"/>
      <c r="AB3670" s="22">
        <f t="shared" si="1095"/>
        <v>0</v>
      </c>
      <c r="AC3670" s="23">
        <v>1</v>
      </c>
      <c r="AD3670" s="35"/>
      <c r="AE3670" s="35"/>
      <c r="AF3670" s="35"/>
      <c r="AG3670" s="35"/>
      <c r="AH3670" s="35"/>
      <c r="AI3670" s="35"/>
      <c r="AJ3670" s="35"/>
      <c r="AK3670" s="35"/>
      <c r="AL3670" s="35"/>
      <c r="AM3670" s="35"/>
      <c r="AN3670" s="35"/>
      <c r="AO3670" s="35"/>
      <c r="AP3670" s="35"/>
      <c r="AQ3670" s="35"/>
      <c r="AR3670" s="35"/>
      <c r="AS3670" s="35"/>
      <c r="AT3670" s="35"/>
      <c r="AU3670" s="35"/>
      <c r="AV3670" s="35"/>
      <c r="AW3670" s="35"/>
      <c r="AX3670" s="35"/>
      <c r="AY3670" s="35"/>
      <c r="AZ3670" s="35"/>
      <c r="BA3670" s="35"/>
      <c r="BB3670" s="22">
        <f t="shared" si="1096"/>
        <v>0</v>
      </c>
      <c r="BC3670" s="23">
        <v>0</v>
      </c>
      <c r="BD3670" s="130">
        <f t="shared" si="1097"/>
        <v>0</v>
      </c>
      <c r="BE3670" s="130">
        <f t="shared" si="1098"/>
        <v>1</v>
      </c>
      <c r="BF3670" s="195">
        <f t="shared" si="1099"/>
        <v>0</v>
      </c>
      <c r="BG3670" s="373">
        <f>BE3670-BD3670</f>
        <v>1</v>
      </c>
    </row>
    <row r="3671" spans="1:59" s="46" customFormat="1" ht="15.95" customHeight="1">
      <c r="A3671" s="176">
        <v>20</v>
      </c>
      <c r="B3671" s="31" t="s">
        <v>1311</v>
      </c>
      <c r="C3671" s="34" t="s">
        <v>3825</v>
      </c>
      <c r="D3671" s="552"/>
      <c r="E3671" s="552"/>
      <c r="F3671" s="552"/>
      <c r="G3671" s="552"/>
      <c r="H3671" s="552"/>
      <c r="I3671" s="552"/>
      <c r="J3671" s="552"/>
      <c r="K3671" s="552"/>
      <c r="L3671" s="552">
        <v>1</v>
      </c>
      <c r="M3671" s="552"/>
      <c r="N3671" s="552"/>
      <c r="O3671" s="552"/>
      <c r="P3671" s="552">
        <v>2</v>
      </c>
      <c r="Q3671" s="552"/>
      <c r="R3671" s="552"/>
      <c r="S3671" s="552"/>
      <c r="T3671" s="552"/>
      <c r="U3671" s="552"/>
      <c r="V3671" s="552"/>
      <c r="W3671" s="552"/>
      <c r="X3671" s="552"/>
      <c r="Y3671" s="552"/>
      <c r="Z3671" s="552"/>
      <c r="AA3671" s="552"/>
      <c r="AB3671" s="22">
        <f t="shared" si="1095"/>
        <v>3</v>
      </c>
      <c r="AC3671" s="23">
        <v>0</v>
      </c>
      <c r="AD3671" s="35"/>
      <c r="AE3671" s="35"/>
      <c r="AF3671" s="35"/>
      <c r="AG3671" s="35"/>
      <c r="AH3671" s="35"/>
      <c r="AI3671" s="35"/>
      <c r="AJ3671" s="35"/>
      <c r="AK3671" s="35"/>
      <c r="AL3671" s="35"/>
      <c r="AM3671" s="35"/>
      <c r="AN3671" s="35"/>
      <c r="AO3671" s="35"/>
      <c r="AP3671" s="35"/>
      <c r="AQ3671" s="35"/>
      <c r="AR3671" s="35"/>
      <c r="AS3671" s="35"/>
      <c r="AT3671" s="35"/>
      <c r="AU3671" s="35"/>
      <c r="AV3671" s="35"/>
      <c r="AW3671" s="35"/>
      <c r="AX3671" s="35"/>
      <c r="AY3671" s="35"/>
      <c r="AZ3671" s="35"/>
      <c r="BA3671" s="35"/>
      <c r="BB3671" s="22">
        <f t="shared" si="1096"/>
        <v>0</v>
      </c>
      <c r="BC3671" s="23">
        <v>0</v>
      </c>
      <c r="BD3671" s="130">
        <f t="shared" si="1097"/>
        <v>3</v>
      </c>
      <c r="BE3671" s="130">
        <f t="shared" si="1098"/>
        <v>0</v>
      </c>
      <c r="BF3671" s="195" t="e">
        <f t="shared" si="1099"/>
        <v>#DIV/0!</v>
      </c>
      <c r="BG3671" s="373"/>
    </row>
    <row r="3672" spans="1:59" s="46" customFormat="1" ht="15.95" customHeight="1">
      <c r="A3672" s="176">
        <v>21</v>
      </c>
      <c r="B3672" s="31" t="s">
        <v>1485</v>
      </c>
      <c r="C3672" s="34" t="s">
        <v>1486</v>
      </c>
      <c r="D3672" s="231"/>
      <c r="E3672" s="231"/>
      <c r="F3672" s="231"/>
      <c r="G3672" s="231"/>
      <c r="H3672" s="231"/>
      <c r="I3672" s="231"/>
      <c r="J3672" s="231"/>
      <c r="K3672" s="231"/>
      <c r="L3672" s="231"/>
      <c r="M3672" s="231"/>
      <c r="N3672" s="231"/>
      <c r="O3672" s="231"/>
      <c r="P3672" s="231"/>
      <c r="Q3672" s="231"/>
      <c r="R3672" s="231"/>
      <c r="S3672" s="231"/>
      <c r="T3672" s="231"/>
      <c r="U3672" s="231"/>
      <c r="V3672" s="231"/>
      <c r="W3672" s="231"/>
      <c r="X3672" s="231"/>
      <c r="Y3672" s="231"/>
      <c r="Z3672" s="231"/>
      <c r="AA3672" s="231"/>
      <c r="AB3672" s="22">
        <f t="shared" si="1095"/>
        <v>0</v>
      </c>
      <c r="AC3672" s="23">
        <v>3</v>
      </c>
      <c r="AD3672" s="35"/>
      <c r="AE3672" s="35"/>
      <c r="AF3672" s="35"/>
      <c r="AG3672" s="35"/>
      <c r="AH3672" s="35"/>
      <c r="AI3672" s="35"/>
      <c r="AJ3672" s="35"/>
      <c r="AK3672" s="35"/>
      <c r="AL3672" s="35"/>
      <c r="AM3672" s="35"/>
      <c r="AN3672" s="35"/>
      <c r="AO3672" s="35"/>
      <c r="AP3672" s="35"/>
      <c r="AQ3672" s="35"/>
      <c r="AR3672" s="35"/>
      <c r="AS3672" s="35"/>
      <c r="AT3672" s="35"/>
      <c r="AU3672" s="35"/>
      <c r="AV3672" s="35"/>
      <c r="AW3672" s="35"/>
      <c r="AX3672" s="35"/>
      <c r="AY3672" s="35"/>
      <c r="AZ3672" s="35"/>
      <c r="BA3672" s="35"/>
      <c r="BB3672" s="22">
        <f t="shared" si="1096"/>
        <v>0</v>
      </c>
      <c r="BC3672" s="23">
        <v>0</v>
      </c>
      <c r="BD3672" s="130">
        <f t="shared" si="1097"/>
        <v>0</v>
      </c>
      <c r="BE3672" s="130">
        <f t="shared" si="1098"/>
        <v>3</v>
      </c>
      <c r="BF3672" s="195">
        <f t="shared" si="1099"/>
        <v>0</v>
      </c>
      <c r="BG3672" s="373">
        <f t="shared" ref="BG3672:BG3684" si="1101">BE3672-BD3672</f>
        <v>3</v>
      </c>
    </row>
    <row r="3673" spans="1:59" s="46" customFormat="1" ht="15.95" customHeight="1">
      <c r="A3673" s="176">
        <v>22</v>
      </c>
      <c r="B3673" s="31" t="s">
        <v>1428</v>
      </c>
      <c r="C3673" s="34" t="s">
        <v>1429</v>
      </c>
      <c r="D3673" s="231"/>
      <c r="E3673" s="231"/>
      <c r="F3673" s="231"/>
      <c r="G3673" s="231"/>
      <c r="H3673" s="231"/>
      <c r="I3673" s="231"/>
      <c r="J3673" s="231"/>
      <c r="K3673" s="231"/>
      <c r="L3673" s="231">
        <v>1</v>
      </c>
      <c r="M3673" s="231"/>
      <c r="N3673" s="231"/>
      <c r="O3673" s="231"/>
      <c r="P3673" s="231">
        <v>1</v>
      </c>
      <c r="Q3673" s="231"/>
      <c r="R3673" s="231"/>
      <c r="S3673" s="231"/>
      <c r="T3673" s="231"/>
      <c r="U3673" s="231"/>
      <c r="V3673" s="231"/>
      <c r="W3673" s="231"/>
      <c r="X3673" s="231"/>
      <c r="Y3673" s="231"/>
      <c r="Z3673" s="231"/>
      <c r="AA3673" s="231"/>
      <c r="AB3673" s="22">
        <f t="shared" si="1095"/>
        <v>2</v>
      </c>
      <c r="AC3673" s="23">
        <v>3</v>
      </c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22">
        <f t="shared" si="1096"/>
        <v>0</v>
      </c>
      <c r="BC3673" s="23">
        <v>0</v>
      </c>
      <c r="BD3673" s="130">
        <f t="shared" si="1097"/>
        <v>2</v>
      </c>
      <c r="BE3673" s="130">
        <f t="shared" si="1098"/>
        <v>3</v>
      </c>
      <c r="BF3673" s="195">
        <f t="shared" si="1099"/>
        <v>66.666666666666657</v>
      </c>
      <c r="BG3673" s="373">
        <f t="shared" si="1101"/>
        <v>1</v>
      </c>
    </row>
    <row r="3674" spans="1:59" s="46" customFormat="1" ht="15.95" customHeight="1">
      <c r="A3674" s="176">
        <v>23</v>
      </c>
      <c r="B3674" s="31" t="s">
        <v>1312</v>
      </c>
      <c r="C3674" s="32" t="s">
        <v>1685</v>
      </c>
      <c r="D3674" s="256"/>
      <c r="E3674" s="256"/>
      <c r="F3674" s="256"/>
      <c r="G3674" s="256"/>
      <c r="H3674" s="256"/>
      <c r="I3674" s="256"/>
      <c r="J3674" s="256"/>
      <c r="K3674" s="256"/>
      <c r="L3674" s="256"/>
      <c r="M3674" s="256"/>
      <c r="N3674" s="256"/>
      <c r="O3674" s="256"/>
      <c r="P3674" s="256">
        <v>1</v>
      </c>
      <c r="Q3674" s="256"/>
      <c r="R3674" s="256"/>
      <c r="S3674" s="256"/>
      <c r="T3674" s="256"/>
      <c r="U3674" s="256"/>
      <c r="V3674" s="256"/>
      <c r="W3674" s="256"/>
      <c r="X3674" s="256"/>
      <c r="Y3674" s="256"/>
      <c r="Z3674" s="256"/>
      <c r="AA3674" s="256"/>
      <c r="AB3674" s="22">
        <f t="shared" si="1095"/>
        <v>1</v>
      </c>
      <c r="AC3674" s="23">
        <v>2</v>
      </c>
      <c r="AD3674" s="35"/>
      <c r="AE3674" s="35"/>
      <c r="AF3674" s="35"/>
      <c r="AG3674" s="35"/>
      <c r="AH3674" s="35"/>
      <c r="AI3674" s="35"/>
      <c r="AJ3674" s="35"/>
      <c r="AK3674" s="35"/>
      <c r="AL3674" s="35"/>
      <c r="AM3674" s="35"/>
      <c r="AN3674" s="35"/>
      <c r="AO3674" s="35"/>
      <c r="AP3674" s="35"/>
      <c r="AQ3674" s="35"/>
      <c r="AR3674" s="35"/>
      <c r="AS3674" s="35"/>
      <c r="AT3674" s="35"/>
      <c r="AU3674" s="35"/>
      <c r="AV3674" s="35"/>
      <c r="AW3674" s="35"/>
      <c r="AX3674" s="35"/>
      <c r="AY3674" s="35"/>
      <c r="AZ3674" s="35"/>
      <c r="BA3674" s="35"/>
      <c r="BB3674" s="22">
        <f t="shared" si="1096"/>
        <v>0</v>
      </c>
      <c r="BC3674" s="23">
        <v>0</v>
      </c>
      <c r="BD3674" s="130">
        <f t="shared" si="1097"/>
        <v>1</v>
      </c>
      <c r="BE3674" s="130">
        <f t="shared" si="1098"/>
        <v>2</v>
      </c>
      <c r="BF3674" s="195">
        <f t="shared" si="1099"/>
        <v>50</v>
      </c>
      <c r="BG3674" s="373">
        <f t="shared" si="1101"/>
        <v>1</v>
      </c>
    </row>
    <row r="3675" spans="1:59" s="46" customFormat="1" ht="15.95" customHeight="1">
      <c r="A3675" s="176">
        <v>24</v>
      </c>
      <c r="B3675" s="31" t="s">
        <v>1072</v>
      </c>
      <c r="C3675" s="32" t="s">
        <v>1073</v>
      </c>
      <c r="D3675" s="231"/>
      <c r="E3675" s="231"/>
      <c r="F3675" s="231"/>
      <c r="G3675" s="231"/>
      <c r="H3675" s="231"/>
      <c r="I3675" s="231"/>
      <c r="J3675" s="231"/>
      <c r="K3675" s="231"/>
      <c r="L3675" s="231"/>
      <c r="M3675" s="231"/>
      <c r="N3675" s="231"/>
      <c r="O3675" s="231"/>
      <c r="P3675" s="231"/>
      <c r="Q3675" s="231"/>
      <c r="R3675" s="231"/>
      <c r="S3675" s="231"/>
      <c r="T3675" s="231"/>
      <c r="U3675" s="231"/>
      <c r="V3675" s="231"/>
      <c r="W3675" s="231"/>
      <c r="X3675" s="231"/>
      <c r="Y3675" s="231"/>
      <c r="Z3675" s="231"/>
      <c r="AA3675" s="231"/>
      <c r="AB3675" s="22">
        <f t="shared" si="1095"/>
        <v>0</v>
      </c>
      <c r="AC3675" s="23">
        <v>1</v>
      </c>
      <c r="AD3675" s="35"/>
      <c r="AE3675" s="35"/>
      <c r="AF3675" s="35"/>
      <c r="AG3675" s="35"/>
      <c r="AH3675" s="35"/>
      <c r="AI3675" s="35"/>
      <c r="AJ3675" s="35"/>
      <c r="AK3675" s="35"/>
      <c r="AL3675" s="35"/>
      <c r="AM3675" s="35"/>
      <c r="AN3675" s="35"/>
      <c r="AO3675" s="35"/>
      <c r="AP3675" s="35"/>
      <c r="AQ3675" s="35"/>
      <c r="AR3675" s="35"/>
      <c r="AS3675" s="35"/>
      <c r="AT3675" s="35"/>
      <c r="AU3675" s="35"/>
      <c r="AV3675" s="35"/>
      <c r="AW3675" s="35"/>
      <c r="AX3675" s="35"/>
      <c r="AY3675" s="35"/>
      <c r="AZ3675" s="35"/>
      <c r="BA3675" s="35"/>
      <c r="BB3675" s="22">
        <f t="shared" si="1096"/>
        <v>0</v>
      </c>
      <c r="BC3675" s="23">
        <v>0</v>
      </c>
      <c r="BD3675" s="130">
        <f t="shared" si="1097"/>
        <v>0</v>
      </c>
      <c r="BE3675" s="130">
        <f t="shared" si="1098"/>
        <v>1</v>
      </c>
      <c r="BF3675" s="195">
        <f t="shared" si="1099"/>
        <v>0</v>
      </c>
      <c r="BG3675" s="373">
        <f t="shared" si="1101"/>
        <v>1</v>
      </c>
    </row>
    <row r="3676" spans="1:59" s="46" customFormat="1" ht="15.95" customHeight="1">
      <c r="A3676" s="176">
        <v>25</v>
      </c>
      <c r="B3676" s="31" t="s">
        <v>819</v>
      </c>
      <c r="C3676" s="32" t="s">
        <v>1074</v>
      </c>
      <c r="D3676" s="327"/>
      <c r="E3676" s="327"/>
      <c r="F3676" s="327"/>
      <c r="G3676" s="327"/>
      <c r="H3676" s="327"/>
      <c r="I3676" s="327"/>
      <c r="J3676" s="327"/>
      <c r="K3676" s="327"/>
      <c r="L3676" s="327"/>
      <c r="M3676" s="327"/>
      <c r="N3676" s="327"/>
      <c r="O3676" s="327"/>
      <c r="P3676" s="327"/>
      <c r="Q3676" s="327"/>
      <c r="R3676" s="327"/>
      <c r="S3676" s="327"/>
      <c r="T3676" s="327"/>
      <c r="U3676" s="327"/>
      <c r="V3676" s="327"/>
      <c r="W3676" s="327"/>
      <c r="X3676" s="327"/>
      <c r="Y3676" s="327"/>
      <c r="Z3676" s="327"/>
      <c r="AA3676" s="327"/>
      <c r="AB3676" s="22">
        <f t="shared" si="1095"/>
        <v>0</v>
      </c>
      <c r="AC3676" s="23">
        <v>3</v>
      </c>
      <c r="AD3676" s="35"/>
      <c r="AE3676" s="35"/>
      <c r="AF3676" s="35"/>
      <c r="AG3676" s="35"/>
      <c r="AH3676" s="35"/>
      <c r="AI3676" s="35"/>
      <c r="AJ3676" s="35"/>
      <c r="AK3676" s="35"/>
      <c r="AL3676" s="35"/>
      <c r="AM3676" s="35"/>
      <c r="AN3676" s="35"/>
      <c r="AO3676" s="35"/>
      <c r="AP3676" s="35"/>
      <c r="AQ3676" s="35"/>
      <c r="AR3676" s="35"/>
      <c r="AS3676" s="35"/>
      <c r="AT3676" s="35"/>
      <c r="AU3676" s="35"/>
      <c r="AV3676" s="35"/>
      <c r="AW3676" s="35"/>
      <c r="AX3676" s="35"/>
      <c r="AY3676" s="35"/>
      <c r="AZ3676" s="35"/>
      <c r="BA3676" s="35"/>
      <c r="BB3676" s="22">
        <f t="shared" si="1096"/>
        <v>0</v>
      </c>
      <c r="BC3676" s="23">
        <v>0</v>
      </c>
      <c r="BD3676" s="130">
        <f t="shared" si="1097"/>
        <v>0</v>
      </c>
      <c r="BE3676" s="130">
        <f t="shared" si="1098"/>
        <v>3</v>
      </c>
      <c r="BF3676" s="195">
        <f t="shared" si="1099"/>
        <v>0</v>
      </c>
      <c r="BG3676" s="373">
        <f t="shared" si="1101"/>
        <v>3</v>
      </c>
    </row>
    <row r="3677" spans="1:59" s="46" customFormat="1" ht="15.95" customHeight="1">
      <c r="A3677" s="176">
        <v>26</v>
      </c>
      <c r="B3677" s="31" t="s">
        <v>821</v>
      </c>
      <c r="C3677" s="32" t="s">
        <v>1594</v>
      </c>
      <c r="D3677" s="231"/>
      <c r="E3677" s="231"/>
      <c r="F3677" s="231"/>
      <c r="G3677" s="231"/>
      <c r="H3677" s="231"/>
      <c r="I3677" s="231"/>
      <c r="J3677" s="231"/>
      <c r="K3677" s="231"/>
      <c r="L3677" s="231"/>
      <c r="M3677" s="231"/>
      <c r="N3677" s="231"/>
      <c r="O3677" s="231"/>
      <c r="P3677" s="231"/>
      <c r="Q3677" s="231"/>
      <c r="R3677" s="231"/>
      <c r="S3677" s="231"/>
      <c r="T3677" s="231"/>
      <c r="U3677" s="231"/>
      <c r="V3677" s="231"/>
      <c r="W3677" s="231"/>
      <c r="X3677" s="231"/>
      <c r="Y3677" s="231"/>
      <c r="Z3677" s="231"/>
      <c r="AA3677" s="231"/>
      <c r="AB3677" s="22">
        <f t="shared" si="1095"/>
        <v>0</v>
      </c>
      <c r="AC3677" s="23">
        <v>1</v>
      </c>
      <c r="AD3677" s="35"/>
      <c r="AE3677" s="35"/>
      <c r="AF3677" s="35"/>
      <c r="AG3677" s="35"/>
      <c r="AH3677" s="35"/>
      <c r="AI3677" s="35"/>
      <c r="AJ3677" s="35"/>
      <c r="AK3677" s="35"/>
      <c r="AL3677" s="35"/>
      <c r="AM3677" s="35"/>
      <c r="AN3677" s="35"/>
      <c r="AO3677" s="35"/>
      <c r="AP3677" s="35"/>
      <c r="AQ3677" s="35"/>
      <c r="AR3677" s="35"/>
      <c r="AS3677" s="35"/>
      <c r="AT3677" s="35"/>
      <c r="AU3677" s="35"/>
      <c r="AV3677" s="35"/>
      <c r="AW3677" s="35"/>
      <c r="AX3677" s="35"/>
      <c r="AY3677" s="35"/>
      <c r="AZ3677" s="35"/>
      <c r="BA3677" s="35"/>
      <c r="BB3677" s="22">
        <f t="shared" si="1096"/>
        <v>0</v>
      </c>
      <c r="BC3677" s="23">
        <v>0</v>
      </c>
      <c r="BD3677" s="130">
        <f t="shared" si="1097"/>
        <v>0</v>
      </c>
      <c r="BE3677" s="130">
        <f t="shared" si="1098"/>
        <v>1</v>
      </c>
      <c r="BF3677" s="195">
        <f t="shared" si="1099"/>
        <v>0</v>
      </c>
      <c r="BG3677" s="373">
        <f t="shared" si="1101"/>
        <v>1</v>
      </c>
    </row>
    <row r="3678" spans="1:59" s="46" customFormat="1" ht="15.95" customHeight="1">
      <c r="A3678" s="176">
        <v>27</v>
      </c>
      <c r="B3678" s="31" t="s">
        <v>1010</v>
      </c>
      <c r="C3678" s="32" t="s">
        <v>2418</v>
      </c>
      <c r="D3678" s="231"/>
      <c r="E3678" s="231"/>
      <c r="F3678" s="231"/>
      <c r="G3678" s="231"/>
      <c r="H3678" s="231"/>
      <c r="I3678" s="231"/>
      <c r="J3678" s="231"/>
      <c r="K3678" s="231"/>
      <c r="L3678" s="231"/>
      <c r="M3678" s="231"/>
      <c r="N3678" s="231"/>
      <c r="O3678" s="231"/>
      <c r="P3678" s="231"/>
      <c r="Q3678" s="231"/>
      <c r="R3678" s="231"/>
      <c r="S3678" s="231"/>
      <c r="T3678" s="231"/>
      <c r="U3678" s="231"/>
      <c r="V3678" s="231"/>
      <c r="W3678" s="231"/>
      <c r="X3678" s="231"/>
      <c r="Y3678" s="231"/>
      <c r="Z3678" s="231"/>
      <c r="AA3678" s="231"/>
      <c r="AB3678" s="22">
        <f t="shared" si="1095"/>
        <v>0</v>
      </c>
      <c r="AC3678" s="23">
        <v>1</v>
      </c>
      <c r="AD3678" s="35"/>
      <c r="AE3678" s="35"/>
      <c r="AF3678" s="35"/>
      <c r="AG3678" s="35"/>
      <c r="AH3678" s="35"/>
      <c r="AI3678" s="35"/>
      <c r="AJ3678" s="35"/>
      <c r="AK3678" s="35"/>
      <c r="AL3678" s="35"/>
      <c r="AM3678" s="35"/>
      <c r="AN3678" s="35"/>
      <c r="AO3678" s="35"/>
      <c r="AP3678" s="35"/>
      <c r="AQ3678" s="35"/>
      <c r="AR3678" s="35"/>
      <c r="AS3678" s="35"/>
      <c r="AT3678" s="35"/>
      <c r="AU3678" s="35"/>
      <c r="AV3678" s="35"/>
      <c r="AW3678" s="35"/>
      <c r="AX3678" s="35"/>
      <c r="AY3678" s="35"/>
      <c r="AZ3678" s="35"/>
      <c r="BA3678" s="35"/>
      <c r="BB3678" s="22">
        <f t="shared" si="1096"/>
        <v>0</v>
      </c>
      <c r="BC3678" s="23">
        <v>0</v>
      </c>
      <c r="BD3678" s="130">
        <f t="shared" si="1097"/>
        <v>0</v>
      </c>
      <c r="BE3678" s="130">
        <f t="shared" si="1098"/>
        <v>1</v>
      </c>
      <c r="BF3678" s="195">
        <f t="shared" si="1099"/>
        <v>0</v>
      </c>
      <c r="BG3678" s="373">
        <f t="shared" si="1101"/>
        <v>1</v>
      </c>
    </row>
    <row r="3679" spans="1:59" s="46" customFormat="1" ht="15.95" customHeight="1">
      <c r="A3679" s="176">
        <v>28</v>
      </c>
      <c r="B3679" s="31" t="s">
        <v>825</v>
      </c>
      <c r="C3679" s="32" t="s">
        <v>907</v>
      </c>
      <c r="D3679" s="231"/>
      <c r="E3679" s="231"/>
      <c r="F3679" s="231"/>
      <c r="G3679" s="231"/>
      <c r="H3679" s="231"/>
      <c r="I3679" s="231"/>
      <c r="J3679" s="231"/>
      <c r="K3679" s="231"/>
      <c r="L3679" s="231"/>
      <c r="M3679" s="231"/>
      <c r="N3679" s="231"/>
      <c r="O3679" s="231"/>
      <c r="P3679" s="231"/>
      <c r="Q3679" s="231"/>
      <c r="R3679" s="231"/>
      <c r="S3679" s="231"/>
      <c r="T3679" s="231"/>
      <c r="U3679" s="231"/>
      <c r="V3679" s="231"/>
      <c r="W3679" s="231"/>
      <c r="X3679" s="231"/>
      <c r="Y3679" s="231"/>
      <c r="Z3679" s="231"/>
      <c r="AA3679" s="231"/>
      <c r="AB3679" s="22">
        <f t="shared" si="1095"/>
        <v>0</v>
      </c>
      <c r="AC3679" s="23">
        <v>1</v>
      </c>
      <c r="AD3679" s="35"/>
      <c r="AE3679" s="35"/>
      <c r="AF3679" s="35"/>
      <c r="AG3679" s="35"/>
      <c r="AH3679" s="35"/>
      <c r="AI3679" s="35"/>
      <c r="AJ3679" s="35"/>
      <c r="AK3679" s="35"/>
      <c r="AL3679" s="35"/>
      <c r="AM3679" s="35"/>
      <c r="AN3679" s="35"/>
      <c r="AO3679" s="35"/>
      <c r="AP3679" s="35"/>
      <c r="AQ3679" s="35"/>
      <c r="AR3679" s="35"/>
      <c r="AS3679" s="35"/>
      <c r="AT3679" s="35"/>
      <c r="AU3679" s="35"/>
      <c r="AV3679" s="35"/>
      <c r="AW3679" s="35"/>
      <c r="AX3679" s="35"/>
      <c r="AY3679" s="35"/>
      <c r="AZ3679" s="35"/>
      <c r="BA3679" s="35"/>
      <c r="BB3679" s="22">
        <f t="shared" si="1096"/>
        <v>0</v>
      </c>
      <c r="BC3679" s="23">
        <v>0</v>
      </c>
      <c r="BD3679" s="130">
        <f t="shared" si="1097"/>
        <v>0</v>
      </c>
      <c r="BE3679" s="130">
        <f t="shared" si="1098"/>
        <v>1</v>
      </c>
      <c r="BF3679" s="195">
        <f t="shared" si="1099"/>
        <v>0</v>
      </c>
      <c r="BG3679" s="373">
        <f t="shared" si="1101"/>
        <v>1</v>
      </c>
    </row>
    <row r="3680" spans="1:59" s="46" customFormat="1" ht="15.95" customHeight="1">
      <c r="A3680" s="176">
        <v>29</v>
      </c>
      <c r="B3680" s="31" t="s">
        <v>1332</v>
      </c>
      <c r="C3680" s="32" t="s">
        <v>1333</v>
      </c>
      <c r="D3680" s="231"/>
      <c r="E3680" s="231"/>
      <c r="F3680" s="231"/>
      <c r="G3680" s="231"/>
      <c r="H3680" s="231">
        <v>2</v>
      </c>
      <c r="I3680" s="231"/>
      <c r="J3680" s="231"/>
      <c r="K3680" s="231"/>
      <c r="L3680" s="231">
        <v>8</v>
      </c>
      <c r="M3680" s="231"/>
      <c r="N3680" s="231"/>
      <c r="O3680" s="231"/>
      <c r="P3680" s="231">
        <v>2</v>
      </c>
      <c r="Q3680" s="231"/>
      <c r="R3680" s="231"/>
      <c r="S3680" s="231"/>
      <c r="T3680" s="231"/>
      <c r="U3680" s="231"/>
      <c r="V3680" s="231"/>
      <c r="W3680" s="231"/>
      <c r="X3680" s="231"/>
      <c r="Y3680" s="231"/>
      <c r="Z3680" s="231"/>
      <c r="AA3680" s="231"/>
      <c r="AB3680" s="22">
        <f t="shared" si="1095"/>
        <v>12</v>
      </c>
      <c r="AC3680" s="23">
        <f>7+26</f>
        <v>33</v>
      </c>
      <c r="AD3680" s="35"/>
      <c r="AE3680" s="35"/>
      <c r="AF3680" s="35"/>
      <c r="AG3680" s="35"/>
      <c r="AH3680" s="35"/>
      <c r="AI3680" s="35"/>
      <c r="AJ3680" s="35"/>
      <c r="AK3680" s="35"/>
      <c r="AL3680" s="35"/>
      <c r="AM3680" s="35"/>
      <c r="AN3680" s="35"/>
      <c r="AO3680" s="35"/>
      <c r="AP3680" s="35"/>
      <c r="AQ3680" s="35"/>
      <c r="AR3680" s="35"/>
      <c r="AS3680" s="35"/>
      <c r="AT3680" s="35"/>
      <c r="AU3680" s="35"/>
      <c r="AV3680" s="35"/>
      <c r="AW3680" s="35"/>
      <c r="AX3680" s="35"/>
      <c r="AY3680" s="35"/>
      <c r="AZ3680" s="35"/>
      <c r="BA3680" s="35"/>
      <c r="BB3680" s="22">
        <f t="shared" si="1096"/>
        <v>0</v>
      </c>
      <c r="BC3680" s="23">
        <v>0</v>
      </c>
      <c r="BD3680" s="130">
        <f t="shared" si="1097"/>
        <v>12</v>
      </c>
      <c r="BE3680" s="130">
        <f t="shared" si="1098"/>
        <v>33</v>
      </c>
      <c r="BF3680" s="195">
        <f t="shared" si="1099"/>
        <v>36.363636363636367</v>
      </c>
      <c r="BG3680" s="373">
        <f t="shared" si="1101"/>
        <v>21</v>
      </c>
    </row>
    <row r="3681" spans="1:59" s="46" customFormat="1" ht="15.95" customHeight="1">
      <c r="A3681" s="176">
        <v>30</v>
      </c>
      <c r="B3681" s="31" t="s">
        <v>1187</v>
      </c>
      <c r="C3681" s="32" t="s">
        <v>1188</v>
      </c>
      <c r="D3681" s="327"/>
      <c r="E3681" s="327"/>
      <c r="F3681" s="327"/>
      <c r="G3681" s="327"/>
      <c r="H3681" s="327">
        <v>1</v>
      </c>
      <c r="I3681" s="327"/>
      <c r="J3681" s="327"/>
      <c r="K3681" s="327"/>
      <c r="L3681" s="327">
        <v>1</v>
      </c>
      <c r="M3681" s="327"/>
      <c r="N3681" s="327"/>
      <c r="O3681" s="327"/>
      <c r="P3681" s="327"/>
      <c r="Q3681" s="327"/>
      <c r="R3681" s="327"/>
      <c r="S3681" s="327"/>
      <c r="T3681" s="327"/>
      <c r="U3681" s="327"/>
      <c r="V3681" s="327"/>
      <c r="W3681" s="327"/>
      <c r="X3681" s="327"/>
      <c r="Y3681" s="327"/>
      <c r="Z3681" s="327"/>
      <c r="AA3681" s="327"/>
      <c r="AB3681" s="22">
        <f t="shared" si="1095"/>
        <v>2</v>
      </c>
      <c r="AC3681" s="23">
        <v>2</v>
      </c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22">
        <f t="shared" si="1096"/>
        <v>0</v>
      </c>
      <c r="BC3681" s="23">
        <v>0</v>
      </c>
      <c r="BD3681" s="130">
        <f t="shared" si="1097"/>
        <v>2</v>
      </c>
      <c r="BE3681" s="130">
        <f t="shared" si="1098"/>
        <v>2</v>
      </c>
      <c r="BF3681" s="195">
        <f t="shared" si="1099"/>
        <v>100</v>
      </c>
      <c r="BG3681" s="373">
        <f t="shared" si="1101"/>
        <v>0</v>
      </c>
    </row>
    <row r="3682" spans="1:59" s="46" customFormat="1" ht="15.95" customHeight="1">
      <c r="A3682" s="176">
        <v>31</v>
      </c>
      <c r="B3682" s="31" t="s">
        <v>845</v>
      </c>
      <c r="C3682" s="32" t="s">
        <v>948</v>
      </c>
      <c r="D3682" s="327"/>
      <c r="E3682" s="327"/>
      <c r="F3682" s="327"/>
      <c r="G3682" s="327"/>
      <c r="H3682" s="327"/>
      <c r="I3682" s="327"/>
      <c r="J3682" s="327"/>
      <c r="K3682" s="327"/>
      <c r="L3682" s="327"/>
      <c r="M3682" s="327"/>
      <c r="N3682" s="327"/>
      <c r="O3682" s="327"/>
      <c r="P3682" s="327"/>
      <c r="Q3682" s="327"/>
      <c r="R3682" s="327"/>
      <c r="S3682" s="327"/>
      <c r="T3682" s="327"/>
      <c r="U3682" s="327"/>
      <c r="V3682" s="327"/>
      <c r="W3682" s="327"/>
      <c r="X3682" s="327"/>
      <c r="Y3682" s="327"/>
      <c r="Z3682" s="327"/>
      <c r="AA3682" s="327"/>
      <c r="AB3682" s="22">
        <f t="shared" si="1095"/>
        <v>0</v>
      </c>
      <c r="AC3682" s="23">
        <v>1</v>
      </c>
      <c r="AD3682" s="35"/>
      <c r="AE3682" s="35"/>
      <c r="AF3682" s="35"/>
      <c r="AG3682" s="35"/>
      <c r="AH3682" s="35"/>
      <c r="AI3682" s="35"/>
      <c r="AJ3682" s="35"/>
      <c r="AK3682" s="35"/>
      <c r="AL3682" s="35"/>
      <c r="AM3682" s="35"/>
      <c r="AN3682" s="35"/>
      <c r="AO3682" s="35"/>
      <c r="AP3682" s="35"/>
      <c r="AQ3682" s="35"/>
      <c r="AR3682" s="35"/>
      <c r="AS3682" s="35"/>
      <c r="AT3682" s="35"/>
      <c r="AU3682" s="35"/>
      <c r="AV3682" s="35"/>
      <c r="AW3682" s="35"/>
      <c r="AX3682" s="35"/>
      <c r="AY3682" s="35"/>
      <c r="AZ3682" s="35"/>
      <c r="BA3682" s="35"/>
      <c r="BB3682" s="22">
        <f t="shared" si="1096"/>
        <v>0</v>
      </c>
      <c r="BC3682" s="23">
        <v>0</v>
      </c>
      <c r="BD3682" s="130">
        <f t="shared" si="1097"/>
        <v>0</v>
      </c>
      <c r="BE3682" s="130">
        <f t="shared" si="1098"/>
        <v>1</v>
      </c>
      <c r="BF3682" s="195">
        <f t="shared" si="1099"/>
        <v>0</v>
      </c>
      <c r="BG3682" s="373">
        <f t="shared" si="1101"/>
        <v>1</v>
      </c>
    </row>
    <row r="3683" spans="1:59" s="46" customFormat="1" ht="15.95" customHeight="1">
      <c r="A3683" s="176">
        <v>32</v>
      </c>
      <c r="B3683" s="31" t="s">
        <v>1075</v>
      </c>
      <c r="C3683" s="32" t="s">
        <v>1076</v>
      </c>
      <c r="D3683" s="231"/>
      <c r="E3683" s="231"/>
      <c r="F3683" s="231"/>
      <c r="G3683" s="231"/>
      <c r="H3683" s="231"/>
      <c r="I3683" s="231"/>
      <c r="J3683" s="231"/>
      <c r="K3683" s="231"/>
      <c r="L3683" s="231"/>
      <c r="M3683" s="231"/>
      <c r="N3683" s="231"/>
      <c r="O3683" s="231"/>
      <c r="P3683" s="231"/>
      <c r="Q3683" s="231"/>
      <c r="R3683" s="231"/>
      <c r="S3683" s="231"/>
      <c r="T3683" s="231"/>
      <c r="U3683" s="231"/>
      <c r="V3683" s="231"/>
      <c r="W3683" s="231"/>
      <c r="X3683" s="231"/>
      <c r="Y3683" s="231"/>
      <c r="Z3683" s="231"/>
      <c r="AA3683" s="231"/>
      <c r="AB3683" s="22">
        <f t="shared" si="1095"/>
        <v>0</v>
      </c>
      <c r="AC3683" s="23">
        <v>1</v>
      </c>
      <c r="AD3683" s="35"/>
      <c r="AE3683" s="35"/>
      <c r="AF3683" s="35"/>
      <c r="AG3683" s="35"/>
      <c r="AH3683" s="35"/>
      <c r="AI3683" s="35"/>
      <c r="AJ3683" s="35"/>
      <c r="AK3683" s="35"/>
      <c r="AL3683" s="35"/>
      <c r="AM3683" s="35"/>
      <c r="AN3683" s="35"/>
      <c r="AO3683" s="35"/>
      <c r="AP3683" s="35"/>
      <c r="AQ3683" s="35"/>
      <c r="AR3683" s="35"/>
      <c r="AS3683" s="35"/>
      <c r="AT3683" s="35"/>
      <c r="AU3683" s="35"/>
      <c r="AV3683" s="35"/>
      <c r="AW3683" s="35"/>
      <c r="AX3683" s="35"/>
      <c r="AY3683" s="35"/>
      <c r="AZ3683" s="35"/>
      <c r="BA3683" s="35"/>
      <c r="BB3683" s="22">
        <f t="shared" si="1096"/>
        <v>0</v>
      </c>
      <c r="BC3683" s="23">
        <v>0</v>
      </c>
      <c r="BD3683" s="130">
        <f t="shared" si="1097"/>
        <v>0</v>
      </c>
      <c r="BE3683" s="130">
        <f t="shared" si="1098"/>
        <v>1</v>
      </c>
      <c r="BF3683" s="195">
        <f t="shared" si="1099"/>
        <v>0</v>
      </c>
      <c r="BG3683" s="373">
        <f t="shared" si="1101"/>
        <v>1</v>
      </c>
    </row>
    <row r="3684" spans="1:59" s="46" customFormat="1" ht="15.95" customHeight="1">
      <c r="A3684" s="176">
        <v>33</v>
      </c>
      <c r="B3684" s="31" t="s">
        <v>915</v>
      </c>
      <c r="C3684" s="32" t="s">
        <v>1015</v>
      </c>
      <c r="D3684" s="290"/>
      <c r="E3684" s="290"/>
      <c r="F3684" s="290"/>
      <c r="G3684" s="290"/>
      <c r="H3684" s="290">
        <v>3</v>
      </c>
      <c r="I3684" s="290"/>
      <c r="J3684" s="290"/>
      <c r="K3684" s="290"/>
      <c r="L3684" s="290">
        <v>7</v>
      </c>
      <c r="M3684" s="290"/>
      <c r="N3684" s="290"/>
      <c r="O3684" s="290"/>
      <c r="P3684" s="290"/>
      <c r="Q3684" s="290"/>
      <c r="R3684" s="290"/>
      <c r="S3684" s="290"/>
      <c r="T3684" s="290"/>
      <c r="U3684" s="290"/>
      <c r="V3684" s="290"/>
      <c r="W3684" s="290"/>
      <c r="X3684" s="290"/>
      <c r="Y3684" s="290"/>
      <c r="Z3684" s="290"/>
      <c r="AA3684" s="290"/>
      <c r="AB3684" s="22">
        <f t="shared" si="1095"/>
        <v>10</v>
      </c>
      <c r="AC3684" s="23">
        <v>5</v>
      </c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22">
        <f t="shared" si="1096"/>
        <v>0</v>
      </c>
      <c r="BC3684" s="23">
        <v>0</v>
      </c>
      <c r="BD3684" s="130">
        <f t="shared" si="1097"/>
        <v>10</v>
      </c>
      <c r="BE3684" s="130">
        <f t="shared" si="1098"/>
        <v>5</v>
      </c>
      <c r="BF3684" s="195">
        <f t="shared" si="1099"/>
        <v>200</v>
      </c>
      <c r="BG3684" s="373">
        <f t="shared" si="1101"/>
        <v>-5</v>
      </c>
    </row>
    <row r="3685" spans="1:59" s="46" customFormat="1" ht="15.95" customHeight="1">
      <c r="A3685" s="176">
        <v>34</v>
      </c>
      <c r="B3685" s="31" t="s">
        <v>1191</v>
      </c>
      <c r="C3685" s="32" t="s">
        <v>1345</v>
      </c>
      <c r="D3685" s="552"/>
      <c r="E3685" s="552"/>
      <c r="F3685" s="552"/>
      <c r="G3685" s="552"/>
      <c r="H3685" s="552"/>
      <c r="I3685" s="552"/>
      <c r="J3685" s="552"/>
      <c r="K3685" s="552"/>
      <c r="L3685" s="552">
        <v>4</v>
      </c>
      <c r="M3685" s="552"/>
      <c r="N3685" s="552"/>
      <c r="O3685" s="552"/>
      <c r="P3685" s="552">
        <v>11</v>
      </c>
      <c r="Q3685" s="552"/>
      <c r="R3685" s="552"/>
      <c r="S3685" s="552"/>
      <c r="T3685" s="552"/>
      <c r="U3685" s="552"/>
      <c r="V3685" s="552"/>
      <c r="W3685" s="552"/>
      <c r="X3685" s="552"/>
      <c r="Y3685" s="552"/>
      <c r="Z3685" s="552"/>
      <c r="AA3685" s="552"/>
      <c r="AB3685" s="22">
        <f t="shared" si="1095"/>
        <v>15</v>
      </c>
      <c r="AC3685" s="23">
        <v>0</v>
      </c>
      <c r="AD3685" s="35"/>
      <c r="AE3685" s="35"/>
      <c r="AF3685" s="35"/>
      <c r="AG3685" s="35"/>
      <c r="AH3685" s="35"/>
      <c r="AI3685" s="35"/>
      <c r="AJ3685" s="35"/>
      <c r="AK3685" s="35"/>
      <c r="AL3685" s="35"/>
      <c r="AM3685" s="35"/>
      <c r="AN3685" s="35"/>
      <c r="AO3685" s="35"/>
      <c r="AP3685" s="35"/>
      <c r="AQ3685" s="35"/>
      <c r="AR3685" s="35"/>
      <c r="AS3685" s="35"/>
      <c r="AT3685" s="35"/>
      <c r="AU3685" s="35"/>
      <c r="AV3685" s="35"/>
      <c r="AW3685" s="35"/>
      <c r="AX3685" s="35"/>
      <c r="AY3685" s="35"/>
      <c r="AZ3685" s="35"/>
      <c r="BA3685" s="35"/>
      <c r="BB3685" s="22">
        <f t="shared" si="1096"/>
        <v>0</v>
      </c>
      <c r="BC3685" s="23">
        <v>0</v>
      </c>
      <c r="BD3685" s="130">
        <f t="shared" si="1097"/>
        <v>15</v>
      </c>
      <c r="BE3685" s="130">
        <f t="shared" si="1098"/>
        <v>0</v>
      </c>
      <c r="BF3685" s="195" t="e">
        <f t="shared" si="1099"/>
        <v>#DIV/0!</v>
      </c>
      <c r="BG3685" s="373"/>
    </row>
    <row r="3686" spans="1:59" s="46" customFormat="1" ht="15.95" customHeight="1">
      <c r="A3686" s="176">
        <v>35</v>
      </c>
      <c r="B3686" s="31" t="s">
        <v>961</v>
      </c>
      <c r="C3686" s="32" t="s">
        <v>1599</v>
      </c>
      <c r="D3686" s="231"/>
      <c r="E3686" s="231"/>
      <c r="F3686" s="231"/>
      <c r="G3686" s="231"/>
      <c r="H3686" s="231"/>
      <c r="I3686" s="231"/>
      <c r="J3686" s="231"/>
      <c r="K3686" s="231"/>
      <c r="L3686" s="231"/>
      <c r="M3686" s="231"/>
      <c r="N3686" s="231"/>
      <c r="O3686" s="231"/>
      <c r="P3686" s="231"/>
      <c r="Q3686" s="231"/>
      <c r="R3686" s="231"/>
      <c r="S3686" s="231"/>
      <c r="T3686" s="231"/>
      <c r="U3686" s="231"/>
      <c r="V3686" s="231"/>
      <c r="W3686" s="231"/>
      <c r="X3686" s="231"/>
      <c r="Y3686" s="231"/>
      <c r="Z3686" s="231"/>
      <c r="AA3686" s="231"/>
      <c r="AB3686" s="22">
        <f t="shared" si="1095"/>
        <v>0</v>
      </c>
      <c r="AC3686" s="23">
        <v>1</v>
      </c>
      <c r="AD3686" s="35"/>
      <c r="AE3686" s="35"/>
      <c r="AF3686" s="35"/>
      <c r="AG3686" s="35"/>
      <c r="AH3686" s="35"/>
      <c r="AI3686" s="35"/>
      <c r="AJ3686" s="35"/>
      <c r="AK3686" s="35"/>
      <c r="AL3686" s="35"/>
      <c r="AM3686" s="35"/>
      <c r="AN3686" s="35"/>
      <c r="AO3686" s="35"/>
      <c r="AP3686" s="35"/>
      <c r="AQ3686" s="35"/>
      <c r="AR3686" s="35"/>
      <c r="AS3686" s="35"/>
      <c r="AT3686" s="35"/>
      <c r="AU3686" s="35"/>
      <c r="AV3686" s="35"/>
      <c r="AW3686" s="35"/>
      <c r="AX3686" s="35"/>
      <c r="AY3686" s="35"/>
      <c r="AZ3686" s="35"/>
      <c r="BA3686" s="35"/>
      <c r="BB3686" s="22">
        <f t="shared" si="1096"/>
        <v>0</v>
      </c>
      <c r="BC3686" s="23">
        <v>0</v>
      </c>
      <c r="BD3686" s="130">
        <f t="shared" si="1097"/>
        <v>0</v>
      </c>
      <c r="BE3686" s="130">
        <f t="shared" si="1098"/>
        <v>1</v>
      </c>
      <c r="BF3686" s="195">
        <f t="shared" si="1099"/>
        <v>0</v>
      </c>
      <c r="BG3686" s="373">
        <f t="shared" ref="BG3686:BG3693" si="1102">BE3686-BD3686</f>
        <v>1</v>
      </c>
    </row>
    <row r="3687" spans="1:59" s="46" customFormat="1" ht="15.95" customHeight="1">
      <c r="A3687" s="176">
        <v>36</v>
      </c>
      <c r="B3687" s="31" t="s">
        <v>1088</v>
      </c>
      <c r="C3687" s="34" t="s">
        <v>1089</v>
      </c>
      <c r="D3687" s="231"/>
      <c r="E3687" s="231"/>
      <c r="F3687" s="231"/>
      <c r="G3687" s="231"/>
      <c r="H3687" s="231"/>
      <c r="I3687" s="231"/>
      <c r="J3687" s="231"/>
      <c r="K3687" s="231"/>
      <c r="L3687" s="231"/>
      <c r="M3687" s="231"/>
      <c r="N3687" s="231"/>
      <c r="O3687" s="231"/>
      <c r="P3687" s="231"/>
      <c r="Q3687" s="231"/>
      <c r="R3687" s="231"/>
      <c r="S3687" s="231"/>
      <c r="T3687" s="231"/>
      <c r="U3687" s="231"/>
      <c r="V3687" s="231"/>
      <c r="W3687" s="231"/>
      <c r="X3687" s="231"/>
      <c r="Y3687" s="231"/>
      <c r="Z3687" s="231"/>
      <c r="AA3687" s="231"/>
      <c r="AB3687" s="22">
        <f t="shared" si="1095"/>
        <v>0</v>
      </c>
      <c r="AC3687" s="23">
        <v>1</v>
      </c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22">
        <f t="shared" si="1096"/>
        <v>0</v>
      </c>
      <c r="BC3687" s="23">
        <v>0</v>
      </c>
      <c r="BD3687" s="130">
        <f t="shared" si="1097"/>
        <v>0</v>
      </c>
      <c r="BE3687" s="130">
        <f t="shared" si="1098"/>
        <v>1</v>
      </c>
      <c r="BF3687" s="195">
        <f t="shared" si="1099"/>
        <v>0</v>
      </c>
      <c r="BG3687" s="373">
        <f t="shared" si="1102"/>
        <v>1</v>
      </c>
    </row>
    <row r="3688" spans="1:59" s="46" customFormat="1" ht="15.95" customHeight="1">
      <c r="A3688" s="176">
        <v>37</v>
      </c>
      <c r="B3688" s="31" t="s">
        <v>1018</v>
      </c>
      <c r="C3688" s="34" t="s">
        <v>1402</v>
      </c>
      <c r="D3688" s="231"/>
      <c r="E3688" s="231"/>
      <c r="F3688" s="231"/>
      <c r="G3688" s="231"/>
      <c r="H3688" s="231"/>
      <c r="I3688" s="231"/>
      <c r="J3688" s="231"/>
      <c r="K3688" s="231"/>
      <c r="L3688" s="231"/>
      <c r="M3688" s="231"/>
      <c r="N3688" s="231"/>
      <c r="O3688" s="231"/>
      <c r="P3688" s="231"/>
      <c r="Q3688" s="231"/>
      <c r="R3688" s="231"/>
      <c r="S3688" s="231"/>
      <c r="T3688" s="231"/>
      <c r="U3688" s="231"/>
      <c r="V3688" s="231"/>
      <c r="W3688" s="231"/>
      <c r="X3688" s="231"/>
      <c r="Y3688" s="231"/>
      <c r="Z3688" s="231"/>
      <c r="AA3688" s="231"/>
      <c r="AB3688" s="22">
        <f t="shared" si="1095"/>
        <v>0</v>
      </c>
      <c r="AC3688" s="23">
        <v>1</v>
      </c>
      <c r="AD3688" s="35"/>
      <c r="AE3688" s="35"/>
      <c r="AF3688" s="35"/>
      <c r="AG3688" s="35"/>
      <c r="AH3688" s="35"/>
      <c r="AI3688" s="35"/>
      <c r="AJ3688" s="35"/>
      <c r="AK3688" s="35"/>
      <c r="AL3688" s="35"/>
      <c r="AM3688" s="35"/>
      <c r="AN3688" s="35"/>
      <c r="AO3688" s="35"/>
      <c r="AP3688" s="35"/>
      <c r="AQ3688" s="35"/>
      <c r="AR3688" s="35"/>
      <c r="AS3688" s="35"/>
      <c r="AT3688" s="35"/>
      <c r="AU3688" s="35"/>
      <c r="AV3688" s="35"/>
      <c r="AW3688" s="35"/>
      <c r="AX3688" s="35"/>
      <c r="AY3688" s="35"/>
      <c r="AZ3688" s="35"/>
      <c r="BA3688" s="35"/>
      <c r="BB3688" s="22">
        <f t="shared" si="1096"/>
        <v>0</v>
      </c>
      <c r="BC3688" s="23">
        <v>0</v>
      </c>
      <c r="BD3688" s="130">
        <f t="shared" si="1097"/>
        <v>0</v>
      </c>
      <c r="BE3688" s="130">
        <f t="shared" si="1098"/>
        <v>1</v>
      </c>
      <c r="BF3688" s="195">
        <f t="shared" si="1099"/>
        <v>0</v>
      </c>
      <c r="BG3688" s="373">
        <f t="shared" si="1102"/>
        <v>1</v>
      </c>
    </row>
    <row r="3689" spans="1:59" s="46" customFormat="1" ht="15.95" customHeight="1">
      <c r="A3689" s="176">
        <v>38</v>
      </c>
      <c r="B3689" s="31" t="s">
        <v>1120</v>
      </c>
      <c r="C3689" s="32" t="s">
        <v>3600</v>
      </c>
      <c r="D3689" s="231"/>
      <c r="E3689" s="231"/>
      <c r="F3689" s="231"/>
      <c r="G3689" s="231"/>
      <c r="H3689" s="231">
        <v>3</v>
      </c>
      <c r="I3689" s="231"/>
      <c r="J3689" s="231"/>
      <c r="K3689" s="231"/>
      <c r="L3689" s="231">
        <v>10</v>
      </c>
      <c r="M3689" s="231"/>
      <c r="N3689" s="231"/>
      <c r="O3689" s="231"/>
      <c r="P3689" s="231">
        <v>4</v>
      </c>
      <c r="Q3689" s="231"/>
      <c r="R3689" s="231"/>
      <c r="S3689" s="231"/>
      <c r="T3689" s="231"/>
      <c r="U3689" s="231"/>
      <c r="V3689" s="231"/>
      <c r="W3689" s="231"/>
      <c r="X3689" s="231"/>
      <c r="Y3689" s="231"/>
      <c r="Z3689" s="231"/>
      <c r="AA3689" s="231"/>
      <c r="AB3689" s="22">
        <f t="shared" si="1095"/>
        <v>17</v>
      </c>
      <c r="AC3689" s="23">
        <v>2</v>
      </c>
      <c r="AD3689" s="35"/>
      <c r="AE3689" s="35"/>
      <c r="AF3689" s="35"/>
      <c r="AG3689" s="35"/>
      <c r="AH3689" s="35"/>
      <c r="AI3689" s="35"/>
      <c r="AJ3689" s="35"/>
      <c r="AK3689" s="35"/>
      <c r="AL3689" s="35"/>
      <c r="AM3689" s="35"/>
      <c r="AN3689" s="35"/>
      <c r="AO3689" s="35"/>
      <c r="AP3689" s="35"/>
      <c r="AQ3689" s="35"/>
      <c r="AR3689" s="35"/>
      <c r="AS3689" s="35"/>
      <c r="AT3689" s="35"/>
      <c r="AU3689" s="35"/>
      <c r="AV3689" s="35"/>
      <c r="AW3689" s="35"/>
      <c r="AX3689" s="35"/>
      <c r="AY3689" s="35"/>
      <c r="AZ3689" s="35"/>
      <c r="BA3689" s="35"/>
      <c r="BB3689" s="22">
        <f t="shared" si="1096"/>
        <v>0</v>
      </c>
      <c r="BC3689" s="23">
        <v>0</v>
      </c>
      <c r="BD3689" s="130">
        <f t="shared" si="1097"/>
        <v>17</v>
      </c>
      <c r="BE3689" s="130">
        <f t="shared" si="1098"/>
        <v>2</v>
      </c>
      <c r="BF3689" s="195">
        <f t="shared" si="1099"/>
        <v>850</v>
      </c>
      <c r="BG3689" s="373">
        <f t="shared" si="1102"/>
        <v>-15</v>
      </c>
    </row>
    <row r="3690" spans="1:59" s="46" customFormat="1" ht="15.95" customHeight="1">
      <c r="A3690" s="176">
        <v>39</v>
      </c>
      <c r="B3690" s="31" t="s">
        <v>854</v>
      </c>
      <c r="C3690" s="32" t="s">
        <v>1090</v>
      </c>
      <c r="D3690" s="231"/>
      <c r="E3690" s="231"/>
      <c r="F3690" s="231"/>
      <c r="G3690" s="231"/>
      <c r="H3690" s="231">
        <v>9</v>
      </c>
      <c r="I3690" s="231"/>
      <c r="J3690" s="231"/>
      <c r="K3690" s="231"/>
      <c r="L3690" s="231">
        <v>19</v>
      </c>
      <c r="M3690" s="231"/>
      <c r="N3690" s="231"/>
      <c r="O3690" s="231"/>
      <c r="P3690" s="231">
        <v>17</v>
      </c>
      <c r="Q3690" s="231"/>
      <c r="R3690" s="231"/>
      <c r="S3690" s="231"/>
      <c r="T3690" s="231"/>
      <c r="U3690" s="231"/>
      <c r="V3690" s="231"/>
      <c r="W3690" s="231"/>
      <c r="X3690" s="231"/>
      <c r="Y3690" s="231"/>
      <c r="Z3690" s="231"/>
      <c r="AA3690" s="231"/>
      <c r="AB3690" s="22">
        <f t="shared" si="1095"/>
        <v>45</v>
      </c>
      <c r="AC3690" s="23">
        <v>148</v>
      </c>
      <c r="AD3690" s="35"/>
      <c r="AE3690" s="35"/>
      <c r="AF3690" s="35"/>
      <c r="AG3690" s="35"/>
      <c r="AH3690" s="35"/>
      <c r="AI3690" s="35"/>
      <c r="AJ3690" s="35"/>
      <c r="AK3690" s="35"/>
      <c r="AL3690" s="35"/>
      <c r="AM3690" s="35"/>
      <c r="AN3690" s="35"/>
      <c r="AO3690" s="35"/>
      <c r="AP3690" s="35"/>
      <c r="AQ3690" s="35"/>
      <c r="AR3690" s="35"/>
      <c r="AS3690" s="35"/>
      <c r="AT3690" s="35"/>
      <c r="AU3690" s="35"/>
      <c r="AV3690" s="35"/>
      <c r="AW3690" s="35"/>
      <c r="AX3690" s="35"/>
      <c r="AY3690" s="35"/>
      <c r="AZ3690" s="35"/>
      <c r="BA3690" s="35"/>
      <c r="BB3690" s="22">
        <f t="shared" si="1096"/>
        <v>0</v>
      </c>
      <c r="BC3690" s="23">
        <v>0</v>
      </c>
      <c r="BD3690" s="130">
        <f t="shared" si="1097"/>
        <v>45</v>
      </c>
      <c r="BE3690" s="130">
        <f t="shared" si="1098"/>
        <v>148</v>
      </c>
      <c r="BF3690" s="195">
        <f t="shared" si="1099"/>
        <v>30.405405405405407</v>
      </c>
      <c r="BG3690" s="373">
        <f t="shared" si="1102"/>
        <v>103</v>
      </c>
    </row>
    <row r="3691" spans="1:59" s="46" customFormat="1" ht="15.95" customHeight="1">
      <c r="A3691" s="176">
        <v>40</v>
      </c>
      <c r="B3691" s="31" t="s">
        <v>1022</v>
      </c>
      <c r="C3691" s="32" t="s">
        <v>1023</v>
      </c>
      <c r="D3691" s="231"/>
      <c r="E3691" s="231"/>
      <c r="F3691" s="231"/>
      <c r="G3691" s="231"/>
      <c r="H3691" s="231"/>
      <c r="I3691" s="231"/>
      <c r="J3691" s="231"/>
      <c r="K3691" s="231"/>
      <c r="L3691" s="231"/>
      <c r="M3691" s="231"/>
      <c r="N3691" s="231"/>
      <c r="O3691" s="231"/>
      <c r="P3691" s="231"/>
      <c r="Q3691" s="231"/>
      <c r="R3691" s="231"/>
      <c r="S3691" s="231"/>
      <c r="T3691" s="231"/>
      <c r="U3691" s="231"/>
      <c r="V3691" s="231"/>
      <c r="W3691" s="231"/>
      <c r="X3691" s="231"/>
      <c r="Y3691" s="231"/>
      <c r="Z3691" s="231"/>
      <c r="AA3691" s="231"/>
      <c r="AB3691" s="22">
        <f t="shared" si="1095"/>
        <v>0</v>
      </c>
      <c r="AC3691" s="23">
        <v>5</v>
      </c>
      <c r="AD3691" s="35"/>
      <c r="AE3691" s="35"/>
      <c r="AF3691" s="35"/>
      <c r="AG3691" s="35"/>
      <c r="AH3691" s="35"/>
      <c r="AI3691" s="35"/>
      <c r="AJ3691" s="35"/>
      <c r="AK3691" s="35"/>
      <c r="AL3691" s="35"/>
      <c r="AM3691" s="35"/>
      <c r="AN3691" s="35"/>
      <c r="AO3691" s="35"/>
      <c r="AP3691" s="35"/>
      <c r="AQ3691" s="35"/>
      <c r="AR3691" s="35"/>
      <c r="AS3691" s="35"/>
      <c r="AT3691" s="35"/>
      <c r="AU3691" s="35"/>
      <c r="AV3691" s="35"/>
      <c r="AW3691" s="35"/>
      <c r="AX3691" s="35"/>
      <c r="AY3691" s="35"/>
      <c r="AZ3691" s="35"/>
      <c r="BA3691" s="35"/>
      <c r="BB3691" s="22">
        <f t="shared" si="1096"/>
        <v>0</v>
      </c>
      <c r="BC3691" s="23">
        <v>0</v>
      </c>
      <c r="BD3691" s="130">
        <f t="shared" si="1097"/>
        <v>0</v>
      </c>
      <c r="BE3691" s="130">
        <f t="shared" si="1098"/>
        <v>5</v>
      </c>
      <c r="BF3691" s="195">
        <f t="shared" si="1099"/>
        <v>0</v>
      </c>
      <c r="BG3691" s="373">
        <f t="shared" si="1102"/>
        <v>5</v>
      </c>
    </row>
    <row r="3692" spans="1:59" s="46" customFormat="1" ht="15.95" customHeight="1">
      <c r="A3692" s="176">
        <v>41</v>
      </c>
      <c r="B3692" s="31" t="s">
        <v>1024</v>
      </c>
      <c r="C3692" s="32" t="s">
        <v>3211</v>
      </c>
      <c r="D3692" s="327"/>
      <c r="E3692" s="327"/>
      <c r="F3692" s="327"/>
      <c r="G3692" s="327"/>
      <c r="H3692" s="327"/>
      <c r="I3692" s="327"/>
      <c r="J3692" s="327"/>
      <c r="K3692" s="327"/>
      <c r="L3692" s="327"/>
      <c r="M3692" s="327"/>
      <c r="N3692" s="327"/>
      <c r="O3692" s="327"/>
      <c r="P3692" s="327"/>
      <c r="Q3692" s="327"/>
      <c r="R3692" s="327"/>
      <c r="S3692" s="327"/>
      <c r="T3692" s="327"/>
      <c r="U3692" s="327"/>
      <c r="V3692" s="327"/>
      <c r="W3692" s="327"/>
      <c r="X3692" s="327"/>
      <c r="Y3692" s="327"/>
      <c r="Z3692" s="327"/>
      <c r="AA3692" s="327"/>
      <c r="AB3692" s="22">
        <f t="shared" si="1095"/>
        <v>0</v>
      </c>
      <c r="AC3692" s="23">
        <v>1</v>
      </c>
      <c r="AD3692" s="35"/>
      <c r="AE3692" s="35"/>
      <c r="AF3692" s="35"/>
      <c r="AG3692" s="35"/>
      <c r="AH3692" s="35"/>
      <c r="AI3692" s="35"/>
      <c r="AJ3692" s="35"/>
      <c r="AK3692" s="35"/>
      <c r="AL3692" s="35"/>
      <c r="AM3692" s="35"/>
      <c r="AN3692" s="35"/>
      <c r="AO3692" s="35"/>
      <c r="AP3692" s="35"/>
      <c r="AQ3692" s="35"/>
      <c r="AR3692" s="35"/>
      <c r="AS3692" s="35"/>
      <c r="AT3692" s="35"/>
      <c r="AU3692" s="35"/>
      <c r="AV3692" s="35"/>
      <c r="AW3692" s="35"/>
      <c r="AX3692" s="35"/>
      <c r="AY3692" s="35"/>
      <c r="AZ3692" s="35"/>
      <c r="BA3692" s="35"/>
      <c r="BB3692" s="22">
        <f t="shared" si="1096"/>
        <v>0</v>
      </c>
      <c r="BC3692" s="23">
        <v>0</v>
      </c>
      <c r="BD3692" s="130">
        <f t="shared" si="1097"/>
        <v>0</v>
      </c>
      <c r="BE3692" s="130">
        <f t="shared" si="1098"/>
        <v>1</v>
      </c>
      <c r="BF3692" s="195">
        <f t="shared" si="1099"/>
        <v>0</v>
      </c>
      <c r="BG3692" s="373">
        <f t="shared" si="1102"/>
        <v>1</v>
      </c>
    </row>
    <row r="3693" spans="1:59" s="46" customFormat="1" ht="15.95" customHeight="1">
      <c r="A3693" s="176">
        <v>42</v>
      </c>
      <c r="B3693" s="31" t="s">
        <v>1059</v>
      </c>
      <c r="C3693" s="32" t="s">
        <v>2753</v>
      </c>
      <c r="D3693" s="256"/>
      <c r="E3693" s="256"/>
      <c r="F3693" s="256"/>
      <c r="G3693" s="256"/>
      <c r="H3693" s="256"/>
      <c r="I3693" s="256"/>
      <c r="J3693" s="256"/>
      <c r="K3693" s="256"/>
      <c r="L3693" s="256"/>
      <c r="M3693" s="256"/>
      <c r="N3693" s="256"/>
      <c r="O3693" s="256"/>
      <c r="P3693" s="256"/>
      <c r="Q3693" s="256"/>
      <c r="R3693" s="256"/>
      <c r="S3693" s="256"/>
      <c r="T3693" s="256"/>
      <c r="U3693" s="256"/>
      <c r="V3693" s="256"/>
      <c r="W3693" s="256"/>
      <c r="X3693" s="256"/>
      <c r="Y3693" s="256"/>
      <c r="Z3693" s="256"/>
      <c r="AA3693" s="256"/>
      <c r="AB3693" s="22">
        <f t="shared" si="1095"/>
        <v>0</v>
      </c>
      <c r="AC3693" s="23">
        <v>1</v>
      </c>
      <c r="AD3693" s="35"/>
      <c r="AE3693" s="35"/>
      <c r="AF3693" s="35"/>
      <c r="AG3693" s="35"/>
      <c r="AH3693" s="35"/>
      <c r="AI3693" s="35"/>
      <c r="AJ3693" s="35"/>
      <c r="AK3693" s="35"/>
      <c r="AL3693" s="35"/>
      <c r="AM3693" s="35"/>
      <c r="AN3693" s="35"/>
      <c r="AO3693" s="35"/>
      <c r="AP3693" s="35"/>
      <c r="AQ3693" s="35"/>
      <c r="AR3693" s="35"/>
      <c r="AS3693" s="35"/>
      <c r="AT3693" s="35"/>
      <c r="AU3693" s="35"/>
      <c r="AV3693" s="35"/>
      <c r="AW3693" s="35"/>
      <c r="AX3693" s="35"/>
      <c r="AY3693" s="35"/>
      <c r="AZ3693" s="35"/>
      <c r="BA3693" s="35"/>
      <c r="BB3693" s="22">
        <f t="shared" si="1096"/>
        <v>0</v>
      </c>
      <c r="BC3693" s="23">
        <v>0</v>
      </c>
      <c r="BD3693" s="130">
        <f t="shared" si="1097"/>
        <v>0</v>
      </c>
      <c r="BE3693" s="130">
        <f t="shared" si="1098"/>
        <v>1</v>
      </c>
      <c r="BF3693" s="195">
        <f t="shared" si="1099"/>
        <v>0</v>
      </c>
      <c r="BG3693" s="373">
        <f t="shared" si="1102"/>
        <v>1</v>
      </c>
    </row>
    <row r="3694" spans="1:59" s="46" customFormat="1" ht="15.95" customHeight="1">
      <c r="A3694" s="176">
        <v>43</v>
      </c>
      <c r="B3694" s="31" t="s">
        <v>1209</v>
      </c>
      <c r="C3694" s="32" t="s">
        <v>4014</v>
      </c>
      <c r="D3694" s="552"/>
      <c r="E3694" s="552"/>
      <c r="F3694" s="552"/>
      <c r="G3694" s="552"/>
      <c r="H3694" s="552"/>
      <c r="I3694" s="552"/>
      <c r="J3694" s="552"/>
      <c r="K3694" s="552"/>
      <c r="L3694" s="552">
        <v>7</v>
      </c>
      <c r="M3694" s="552"/>
      <c r="N3694" s="552"/>
      <c r="O3694" s="552"/>
      <c r="P3694" s="552">
        <v>6</v>
      </c>
      <c r="Q3694" s="552"/>
      <c r="R3694" s="552"/>
      <c r="S3694" s="552"/>
      <c r="T3694" s="552"/>
      <c r="U3694" s="552"/>
      <c r="V3694" s="552"/>
      <c r="W3694" s="552"/>
      <c r="X3694" s="552"/>
      <c r="Y3694" s="552"/>
      <c r="Z3694" s="552"/>
      <c r="AA3694" s="552"/>
      <c r="AB3694" s="22">
        <f t="shared" si="1095"/>
        <v>13</v>
      </c>
      <c r="AC3694" s="23">
        <v>0</v>
      </c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22">
        <f t="shared" si="1096"/>
        <v>0</v>
      </c>
      <c r="BC3694" s="23">
        <v>0</v>
      </c>
      <c r="BD3694" s="130">
        <f t="shared" si="1097"/>
        <v>13</v>
      </c>
      <c r="BE3694" s="130">
        <f t="shared" si="1098"/>
        <v>0</v>
      </c>
      <c r="BF3694" s="195" t="e">
        <f t="shared" si="1099"/>
        <v>#DIV/0!</v>
      </c>
      <c r="BG3694" s="373"/>
    </row>
    <row r="3695" spans="1:59" s="46" customFormat="1" ht="15.95" customHeight="1">
      <c r="A3695" s="176">
        <v>44</v>
      </c>
      <c r="B3695" s="31" t="s">
        <v>858</v>
      </c>
      <c r="C3695" s="32" t="s">
        <v>859</v>
      </c>
      <c r="D3695" s="231"/>
      <c r="E3695" s="231"/>
      <c r="F3695" s="231"/>
      <c r="G3695" s="231"/>
      <c r="H3695" s="231">
        <v>1</v>
      </c>
      <c r="I3695" s="231"/>
      <c r="J3695" s="231"/>
      <c r="K3695" s="231"/>
      <c r="L3695" s="231"/>
      <c r="M3695" s="231"/>
      <c r="N3695" s="231"/>
      <c r="O3695" s="231"/>
      <c r="P3695" s="231">
        <v>4</v>
      </c>
      <c r="Q3695" s="231"/>
      <c r="R3695" s="231"/>
      <c r="S3695" s="231"/>
      <c r="T3695" s="231"/>
      <c r="U3695" s="231"/>
      <c r="V3695" s="231"/>
      <c r="W3695" s="231"/>
      <c r="X3695" s="231"/>
      <c r="Y3695" s="231"/>
      <c r="Z3695" s="231"/>
      <c r="AA3695" s="231"/>
      <c r="AB3695" s="22">
        <f t="shared" si="1095"/>
        <v>5</v>
      </c>
      <c r="AC3695" s="23">
        <v>5</v>
      </c>
      <c r="AD3695" s="35"/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22">
        <f t="shared" si="1096"/>
        <v>0</v>
      </c>
      <c r="BC3695" s="23">
        <v>0</v>
      </c>
      <c r="BD3695" s="130">
        <f t="shared" si="1097"/>
        <v>5</v>
      </c>
      <c r="BE3695" s="130">
        <f t="shared" si="1098"/>
        <v>5</v>
      </c>
      <c r="BF3695" s="195">
        <f t="shared" si="1099"/>
        <v>100</v>
      </c>
      <c r="BG3695" s="373">
        <f>BE3695-BD3695</f>
        <v>0</v>
      </c>
    </row>
    <row r="3696" spans="1:59" s="46" customFormat="1" ht="15.95" customHeight="1">
      <c r="A3696" s="176">
        <v>45</v>
      </c>
      <c r="B3696" s="31" t="s">
        <v>860</v>
      </c>
      <c r="C3696" s="34" t="s">
        <v>921</v>
      </c>
      <c r="D3696" s="231"/>
      <c r="E3696" s="231"/>
      <c r="F3696" s="231"/>
      <c r="G3696" s="231"/>
      <c r="H3696" s="231">
        <v>3</v>
      </c>
      <c r="I3696" s="231"/>
      <c r="J3696" s="231"/>
      <c r="K3696" s="231"/>
      <c r="L3696" s="231">
        <v>4</v>
      </c>
      <c r="M3696" s="231"/>
      <c r="N3696" s="231"/>
      <c r="O3696" s="231"/>
      <c r="P3696" s="231">
        <v>4</v>
      </c>
      <c r="Q3696" s="231"/>
      <c r="R3696" s="231"/>
      <c r="S3696" s="231"/>
      <c r="T3696" s="231"/>
      <c r="U3696" s="231"/>
      <c r="V3696" s="231"/>
      <c r="W3696" s="231"/>
      <c r="X3696" s="231"/>
      <c r="Y3696" s="231"/>
      <c r="Z3696" s="231"/>
      <c r="AA3696" s="231"/>
      <c r="AB3696" s="22">
        <f t="shared" si="1095"/>
        <v>11</v>
      </c>
      <c r="AC3696" s="23">
        <v>74</v>
      </c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22">
        <f t="shared" si="1096"/>
        <v>0</v>
      </c>
      <c r="BC3696" s="23">
        <v>0</v>
      </c>
      <c r="BD3696" s="130">
        <f t="shared" si="1097"/>
        <v>11</v>
      </c>
      <c r="BE3696" s="130">
        <f t="shared" si="1098"/>
        <v>74</v>
      </c>
      <c r="BF3696" s="195">
        <f t="shared" si="1099"/>
        <v>14.864864864864865</v>
      </c>
      <c r="BG3696" s="373">
        <f>BE3696-BD3696</f>
        <v>63</v>
      </c>
    </row>
    <row r="3697" spans="1:61" s="46" customFormat="1" ht="15.95" customHeight="1">
      <c r="A3697" s="176">
        <v>46</v>
      </c>
      <c r="B3697" s="31" t="s">
        <v>1654</v>
      </c>
      <c r="C3697" s="34" t="s">
        <v>1983</v>
      </c>
      <c r="D3697" s="552"/>
      <c r="E3697" s="552"/>
      <c r="F3697" s="552"/>
      <c r="G3697" s="552"/>
      <c r="H3697" s="552"/>
      <c r="I3697" s="552"/>
      <c r="J3697" s="552"/>
      <c r="K3697" s="552"/>
      <c r="L3697" s="552">
        <v>1</v>
      </c>
      <c r="M3697" s="552"/>
      <c r="N3697" s="552"/>
      <c r="O3697" s="552"/>
      <c r="P3697" s="552"/>
      <c r="Q3697" s="552"/>
      <c r="R3697" s="552"/>
      <c r="S3697" s="552"/>
      <c r="T3697" s="552"/>
      <c r="U3697" s="552"/>
      <c r="V3697" s="552"/>
      <c r="W3697" s="552"/>
      <c r="X3697" s="552"/>
      <c r="Y3697" s="552"/>
      <c r="Z3697" s="552"/>
      <c r="AA3697" s="552"/>
      <c r="AB3697" s="22">
        <f t="shared" si="1095"/>
        <v>1</v>
      </c>
      <c r="AC3697" s="23">
        <v>0</v>
      </c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22">
        <f t="shared" si="1096"/>
        <v>0</v>
      </c>
      <c r="BC3697" s="23">
        <v>0</v>
      </c>
      <c r="BD3697" s="130">
        <f t="shared" si="1097"/>
        <v>1</v>
      </c>
      <c r="BE3697" s="130">
        <f t="shared" si="1098"/>
        <v>0</v>
      </c>
      <c r="BF3697" s="195" t="e">
        <f t="shared" si="1099"/>
        <v>#DIV/0!</v>
      </c>
      <c r="BG3697" s="373"/>
    </row>
    <row r="3698" spans="1:61" s="46" customFormat="1" ht="15.95" customHeight="1">
      <c r="A3698" s="176">
        <v>47</v>
      </c>
      <c r="B3698" s="31" t="s">
        <v>1361</v>
      </c>
      <c r="C3698" s="34" t="s">
        <v>1362</v>
      </c>
      <c r="D3698" s="231"/>
      <c r="E3698" s="231"/>
      <c r="F3698" s="231"/>
      <c r="G3698" s="231"/>
      <c r="H3698" s="231"/>
      <c r="I3698" s="231"/>
      <c r="J3698" s="231"/>
      <c r="K3698" s="231"/>
      <c r="L3698" s="231"/>
      <c r="M3698" s="231"/>
      <c r="N3698" s="231"/>
      <c r="O3698" s="231"/>
      <c r="P3698" s="231"/>
      <c r="Q3698" s="231"/>
      <c r="R3698" s="231"/>
      <c r="S3698" s="231"/>
      <c r="T3698" s="231"/>
      <c r="U3698" s="231"/>
      <c r="V3698" s="231"/>
      <c r="W3698" s="231"/>
      <c r="X3698" s="231"/>
      <c r="Y3698" s="231"/>
      <c r="Z3698" s="231"/>
      <c r="AA3698" s="231"/>
      <c r="AB3698" s="22">
        <f t="shared" si="1095"/>
        <v>0</v>
      </c>
      <c r="AC3698" s="23">
        <v>1</v>
      </c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22">
        <f t="shared" si="1096"/>
        <v>0</v>
      </c>
      <c r="BC3698" s="23">
        <v>0</v>
      </c>
      <c r="BD3698" s="130">
        <f t="shared" si="1097"/>
        <v>0</v>
      </c>
      <c r="BE3698" s="130">
        <f t="shared" si="1098"/>
        <v>1</v>
      </c>
      <c r="BF3698" s="195">
        <f t="shared" si="1099"/>
        <v>0</v>
      </c>
      <c r="BG3698" s="373">
        <f>BE3698-BD3698</f>
        <v>1</v>
      </c>
    </row>
    <row r="3699" spans="1:61" s="46" customFormat="1" ht="15.95" customHeight="1">
      <c r="A3699" s="644" t="s">
        <v>724</v>
      </c>
      <c r="B3699" s="645"/>
      <c r="C3699" s="645"/>
      <c r="D3699" s="28">
        <f t="shared" ref="D3699:AI3699" si="1103">SUM(D3700:D3748)</f>
        <v>0</v>
      </c>
      <c r="E3699" s="28">
        <f t="shared" si="1103"/>
        <v>0</v>
      </c>
      <c r="F3699" s="28">
        <f t="shared" si="1103"/>
        <v>0</v>
      </c>
      <c r="G3699" s="28">
        <f t="shared" si="1103"/>
        <v>0</v>
      </c>
      <c r="H3699" s="28">
        <f t="shared" si="1103"/>
        <v>433</v>
      </c>
      <c r="I3699" s="28">
        <f t="shared" si="1103"/>
        <v>0</v>
      </c>
      <c r="J3699" s="28">
        <f t="shared" si="1103"/>
        <v>0</v>
      </c>
      <c r="K3699" s="28">
        <f t="shared" si="1103"/>
        <v>10</v>
      </c>
      <c r="L3699" s="28">
        <f t="shared" si="1103"/>
        <v>1805</v>
      </c>
      <c r="M3699" s="28">
        <f t="shared" si="1103"/>
        <v>0</v>
      </c>
      <c r="N3699" s="28">
        <f t="shared" si="1103"/>
        <v>0</v>
      </c>
      <c r="O3699" s="28">
        <f t="shared" si="1103"/>
        <v>481</v>
      </c>
      <c r="P3699" s="28">
        <f t="shared" si="1103"/>
        <v>2128</v>
      </c>
      <c r="Q3699" s="28">
        <f t="shared" si="1103"/>
        <v>0</v>
      </c>
      <c r="R3699" s="28">
        <f t="shared" si="1103"/>
        <v>0</v>
      </c>
      <c r="S3699" s="28">
        <f t="shared" si="1103"/>
        <v>6</v>
      </c>
      <c r="T3699" s="28">
        <f t="shared" si="1103"/>
        <v>0</v>
      </c>
      <c r="U3699" s="28">
        <f t="shared" si="1103"/>
        <v>0</v>
      </c>
      <c r="V3699" s="28">
        <f t="shared" si="1103"/>
        <v>0</v>
      </c>
      <c r="W3699" s="28">
        <f t="shared" si="1103"/>
        <v>0</v>
      </c>
      <c r="X3699" s="28">
        <f t="shared" si="1103"/>
        <v>0</v>
      </c>
      <c r="Y3699" s="28">
        <f t="shared" si="1103"/>
        <v>0</v>
      </c>
      <c r="Z3699" s="28">
        <f t="shared" si="1103"/>
        <v>0</v>
      </c>
      <c r="AA3699" s="28">
        <f t="shared" si="1103"/>
        <v>0</v>
      </c>
      <c r="AB3699" s="28">
        <f t="shared" si="1103"/>
        <v>4863</v>
      </c>
      <c r="AC3699" s="127">
        <f t="shared" si="1103"/>
        <v>8235</v>
      </c>
      <c r="AD3699" s="28">
        <f t="shared" si="1103"/>
        <v>0</v>
      </c>
      <c r="AE3699" s="28">
        <f t="shared" si="1103"/>
        <v>0</v>
      </c>
      <c r="AF3699" s="28">
        <f t="shared" si="1103"/>
        <v>0</v>
      </c>
      <c r="AG3699" s="28">
        <f t="shared" si="1103"/>
        <v>0</v>
      </c>
      <c r="AH3699" s="28">
        <f t="shared" si="1103"/>
        <v>0</v>
      </c>
      <c r="AI3699" s="28">
        <f t="shared" si="1103"/>
        <v>0</v>
      </c>
      <c r="AJ3699" s="28">
        <f t="shared" ref="AJ3699:BC3699" si="1104">SUM(AJ3700:AJ3748)</f>
        <v>0</v>
      </c>
      <c r="AK3699" s="28">
        <f t="shared" si="1104"/>
        <v>0</v>
      </c>
      <c r="AL3699" s="28">
        <f t="shared" si="1104"/>
        <v>0</v>
      </c>
      <c r="AM3699" s="28">
        <f t="shared" si="1104"/>
        <v>0</v>
      </c>
      <c r="AN3699" s="28">
        <f t="shared" si="1104"/>
        <v>0</v>
      </c>
      <c r="AO3699" s="28">
        <f t="shared" si="1104"/>
        <v>0</v>
      </c>
      <c r="AP3699" s="28">
        <f t="shared" si="1104"/>
        <v>0</v>
      </c>
      <c r="AQ3699" s="28">
        <f t="shared" si="1104"/>
        <v>0</v>
      </c>
      <c r="AR3699" s="28">
        <f t="shared" si="1104"/>
        <v>0</v>
      </c>
      <c r="AS3699" s="28">
        <f t="shared" si="1104"/>
        <v>0</v>
      </c>
      <c r="AT3699" s="28">
        <f t="shared" si="1104"/>
        <v>0</v>
      </c>
      <c r="AU3699" s="28">
        <f t="shared" si="1104"/>
        <v>0</v>
      </c>
      <c r="AV3699" s="28">
        <f t="shared" si="1104"/>
        <v>0</v>
      </c>
      <c r="AW3699" s="28">
        <f t="shared" si="1104"/>
        <v>0</v>
      </c>
      <c r="AX3699" s="28">
        <f t="shared" si="1104"/>
        <v>0</v>
      </c>
      <c r="AY3699" s="28">
        <f t="shared" si="1104"/>
        <v>0</v>
      </c>
      <c r="AZ3699" s="28">
        <f t="shared" si="1104"/>
        <v>0</v>
      </c>
      <c r="BA3699" s="28">
        <f t="shared" si="1104"/>
        <v>0</v>
      </c>
      <c r="BB3699" s="28">
        <f t="shared" si="1104"/>
        <v>0</v>
      </c>
      <c r="BC3699" s="127">
        <f t="shared" si="1104"/>
        <v>0</v>
      </c>
      <c r="BD3699" s="130">
        <f t="shared" ref="BD3699" si="1105">AB3699+BB3699</f>
        <v>4863</v>
      </c>
      <c r="BE3699" s="130">
        <f t="shared" ref="BE3699" si="1106">AC3699+BC3699</f>
        <v>8235</v>
      </c>
      <c r="BF3699" s="195">
        <f t="shared" ref="BF3699" si="1107">BD3699/BE3699*100</f>
        <v>59.052823315118395</v>
      </c>
      <c r="BG3699" s="374">
        <f t="shared" ref="BG3699" si="1108">BE3699-BD3699</f>
        <v>3372</v>
      </c>
    </row>
    <row r="3700" spans="1:61" s="46" customFormat="1" ht="21" customHeight="1">
      <c r="A3700" s="417">
        <v>1</v>
      </c>
      <c r="B3700" s="418" t="s">
        <v>731</v>
      </c>
      <c r="C3700" s="419" t="s">
        <v>2050</v>
      </c>
      <c r="D3700" s="231"/>
      <c r="E3700" s="231"/>
      <c r="F3700" s="231"/>
      <c r="G3700" s="231"/>
      <c r="H3700" s="231">
        <v>1</v>
      </c>
      <c r="I3700" s="231"/>
      <c r="J3700" s="231"/>
      <c r="K3700" s="231"/>
      <c r="L3700" s="231">
        <v>2</v>
      </c>
      <c r="M3700" s="231"/>
      <c r="N3700" s="231"/>
      <c r="O3700" s="231"/>
      <c r="P3700" s="231"/>
      <c r="Q3700" s="231"/>
      <c r="R3700" s="231"/>
      <c r="S3700" s="231"/>
      <c r="T3700" s="231"/>
      <c r="U3700" s="231"/>
      <c r="V3700" s="231"/>
      <c r="W3700" s="231"/>
      <c r="X3700" s="231"/>
      <c r="Y3700" s="231"/>
      <c r="Z3700" s="231"/>
      <c r="AA3700" s="231"/>
      <c r="AB3700" s="22">
        <f t="shared" ref="AB3700:AB3731" si="1109">SUM(D3700:AA3700)</f>
        <v>3</v>
      </c>
      <c r="AC3700" s="23">
        <v>2</v>
      </c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22">
        <f t="shared" ref="BB3700:BB3731" si="1110">SUM(AD3700:BA3700)</f>
        <v>0</v>
      </c>
      <c r="BC3700" s="23">
        <v>0</v>
      </c>
      <c r="BD3700" s="130">
        <f t="shared" ref="BD3700:BD3731" si="1111">AB3700+BB3700</f>
        <v>3</v>
      </c>
      <c r="BE3700" s="130">
        <f t="shared" ref="BE3700:BE3731" si="1112">AC3700+BC3700</f>
        <v>2</v>
      </c>
      <c r="BF3700" s="195">
        <f t="shared" ref="BF3700:BF3731" si="1113">BD3700/BE3700*100</f>
        <v>150</v>
      </c>
      <c r="BG3700" s="373">
        <f>BE3700-BD3700</f>
        <v>-1</v>
      </c>
      <c r="BH3700" s="426" t="s">
        <v>3675</v>
      </c>
      <c r="BI3700" s="420"/>
    </row>
    <row r="3701" spans="1:61" s="46" customFormat="1" ht="21" customHeight="1">
      <c r="A3701" s="417">
        <v>2</v>
      </c>
      <c r="B3701" s="418" t="s">
        <v>926</v>
      </c>
      <c r="C3701" s="423" t="s">
        <v>927</v>
      </c>
      <c r="D3701" s="553"/>
      <c r="E3701" s="553"/>
      <c r="F3701" s="553"/>
      <c r="G3701" s="553"/>
      <c r="H3701" s="553"/>
      <c r="I3701" s="553"/>
      <c r="J3701" s="553"/>
      <c r="K3701" s="553">
        <v>10</v>
      </c>
      <c r="L3701" s="553"/>
      <c r="M3701" s="553"/>
      <c r="N3701" s="553"/>
      <c r="O3701" s="553">
        <f>3+6</f>
        <v>9</v>
      </c>
      <c r="P3701" s="553"/>
      <c r="Q3701" s="553"/>
      <c r="R3701" s="553"/>
      <c r="S3701" s="553">
        <v>5</v>
      </c>
      <c r="T3701" s="553"/>
      <c r="U3701" s="553"/>
      <c r="V3701" s="553"/>
      <c r="W3701" s="553"/>
      <c r="X3701" s="553"/>
      <c r="Y3701" s="553"/>
      <c r="Z3701" s="553"/>
      <c r="AA3701" s="553"/>
      <c r="AB3701" s="22">
        <f t="shared" si="1109"/>
        <v>24</v>
      </c>
      <c r="AC3701" s="23">
        <v>8</v>
      </c>
      <c r="AD3701" s="35"/>
      <c r="AE3701" s="35"/>
      <c r="AF3701" s="35"/>
      <c r="AG3701" s="35"/>
      <c r="AH3701" s="35"/>
      <c r="AI3701" s="35"/>
      <c r="AJ3701" s="35"/>
      <c r="AK3701" s="35"/>
      <c r="AL3701" s="35"/>
      <c r="AM3701" s="35"/>
      <c r="AN3701" s="35"/>
      <c r="AO3701" s="35"/>
      <c r="AP3701" s="35"/>
      <c r="AQ3701" s="35"/>
      <c r="AR3701" s="35"/>
      <c r="AS3701" s="35"/>
      <c r="AT3701" s="35"/>
      <c r="AU3701" s="35"/>
      <c r="AV3701" s="35"/>
      <c r="AW3701" s="35"/>
      <c r="AX3701" s="35"/>
      <c r="AY3701" s="35"/>
      <c r="AZ3701" s="35"/>
      <c r="BA3701" s="35"/>
      <c r="BB3701" s="22">
        <f t="shared" si="1110"/>
        <v>0</v>
      </c>
      <c r="BC3701" s="23">
        <v>0</v>
      </c>
      <c r="BD3701" s="130">
        <f t="shared" si="1111"/>
        <v>24</v>
      </c>
      <c r="BE3701" s="130">
        <f t="shared" si="1112"/>
        <v>8</v>
      </c>
      <c r="BF3701" s="195">
        <f t="shared" si="1113"/>
        <v>300</v>
      </c>
      <c r="BG3701" s="373">
        <f>BE3701-BD3701</f>
        <v>-16</v>
      </c>
      <c r="BH3701" s="426" t="s">
        <v>3675</v>
      </c>
      <c r="BI3701" s="426"/>
    </row>
    <row r="3702" spans="1:61" s="46" customFormat="1" ht="21" customHeight="1">
      <c r="A3702" s="417">
        <v>3</v>
      </c>
      <c r="B3702" s="418" t="s">
        <v>1266</v>
      </c>
      <c r="C3702" s="419" t="s">
        <v>1267</v>
      </c>
      <c r="D3702" s="553"/>
      <c r="E3702" s="553"/>
      <c r="F3702" s="553"/>
      <c r="G3702" s="553"/>
      <c r="H3702" s="553"/>
      <c r="I3702" s="553"/>
      <c r="J3702" s="553"/>
      <c r="K3702" s="553"/>
      <c r="L3702" s="553"/>
      <c r="M3702" s="553"/>
      <c r="N3702" s="553"/>
      <c r="O3702" s="553">
        <f>1+466</f>
        <v>467</v>
      </c>
      <c r="P3702" s="553"/>
      <c r="Q3702" s="553"/>
      <c r="R3702" s="553"/>
      <c r="S3702" s="553">
        <v>1</v>
      </c>
      <c r="T3702" s="553"/>
      <c r="U3702" s="553"/>
      <c r="V3702" s="553"/>
      <c r="W3702" s="553"/>
      <c r="X3702" s="553"/>
      <c r="Y3702" s="553"/>
      <c r="Z3702" s="553"/>
      <c r="AA3702" s="553"/>
      <c r="AB3702" s="22">
        <f t="shared" si="1109"/>
        <v>468</v>
      </c>
      <c r="AC3702" s="23">
        <v>0</v>
      </c>
      <c r="AD3702" s="35"/>
      <c r="AE3702" s="35"/>
      <c r="AF3702" s="35"/>
      <c r="AG3702" s="35"/>
      <c r="AH3702" s="35"/>
      <c r="AI3702" s="35"/>
      <c r="AJ3702" s="35"/>
      <c r="AK3702" s="35"/>
      <c r="AL3702" s="35"/>
      <c r="AM3702" s="35"/>
      <c r="AN3702" s="35"/>
      <c r="AO3702" s="35"/>
      <c r="AP3702" s="35"/>
      <c r="AQ3702" s="35"/>
      <c r="AR3702" s="35"/>
      <c r="AS3702" s="35"/>
      <c r="AT3702" s="35"/>
      <c r="AU3702" s="35"/>
      <c r="AV3702" s="35"/>
      <c r="AW3702" s="35"/>
      <c r="AX3702" s="35"/>
      <c r="AY3702" s="35"/>
      <c r="AZ3702" s="35"/>
      <c r="BA3702" s="35"/>
      <c r="BB3702" s="22">
        <f t="shared" si="1110"/>
        <v>0</v>
      </c>
      <c r="BC3702" s="23">
        <v>0</v>
      </c>
      <c r="BD3702" s="130">
        <f t="shared" si="1111"/>
        <v>468</v>
      </c>
      <c r="BE3702" s="130">
        <f t="shared" si="1112"/>
        <v>0</v>
      </c>
      <c r="BF3702" s="195" t="e">
        <f t="shared" si="1113"/>
        <v>#DIV/0!</v>
      </c>
      <c r="BG3702" s="373"/>
      <c r="BH3702" s="426"/>
      <c r="BI3702" s="420"/>
    </row>
    <row r="3703" spans="1:61" s="46" customFormat="1" ht="21" customHeight="1">
      <c r="A3703" s="417">
        <v>4</v>
      </c>
      <c r="B3703" s="418" t="s">
        <v>2246</v>
      </c>
      <c r="C3703" s="419" t="s">
        <v>2247</v>
      </c>
      <c r="D3703" s="231"/>
      <c r="E3703" s="231"/>
      <c r="F3703" s="231"/>
      <c r="G3703" s="231"/>
      <c r="H3703" s="231"/>
      <c r="I3703" s="231"/>
      <c r="J3703" s="231"/>
      <c r="K3703" s="231"/>
      <c r="L3703" s="231"/>
      <c r="M3703" s="231"/>
      <c r="N3703" s="231"/>
      <c r="O3703" s="231">
        <v>5</v>
      </c>
      <c r="P3703" s="231"/>
      <c r="Q3703" s="231"/>
      <c r="R3703" s="231"/>
      <c r="S3703" s="231"/>
      <c r="T3703" s="231"/>
      <c r="U3703" s="231"/>
      <c r="V3703" s="231"/>
      <c r="W3703" s="231"/>
      <c r="X3703" s="231"/>
      <c r="Y3703" s="231"/>
      <c r="Z3703" s="231"/>
      <c r="AA3703" s="231"/>
      <c r="AB3703" s="22">
        <f t="shared" si="1109"/>
        <v>5</v>
      </c>
      <c r="AC3703" s="23">
        <v>0</v>
      </c>
      <c r="AD3703" s="35"/>
      <c r="AE3703" s="35"/>
      <c r="AF3703" s="35"/>
      <c r="AG3703" s="35"/>
      <c r="AH3703" s="35"/>
      <c r="AI3703" s="35"/>
      <c r="AJ3703" s="35"/>
      <c r="AK3703" s="35"/>
      <c r="AL3703" s="35"/>
      <c r="AM3703" s="35"/>
      <c r="AN3703" s="35"/>
      <c r="AO3703" s="35"/>
      <c r="AP3703" s="35"/>
      <c r="AQ3703" s="35"/>
      <c r="AR3703" s="35"/>
      <c r="AS3703" s="35"/>
      <c r="AT3703" s="35"/>
      <c r="AU3703" s="35"/>
      <c r="AV3703" s="35"/>
      <c r="AW3703" s="35"/>
      <c r="AX3703" s="35"/>
      <c r="AY3703" s="35"/>
      <c r="AZ3703" s="35"/>
      <c r="BA3703" s="35"/>
      <c r="BB3703" s="22">
        <f t="shared" si="1110"/>
        <v>0</v>
      </c>
      <c r="BC3703" s="23">
        <v>0</v>
      </c>
      <c r="BD3703" s="130">
        <f t="shared" si="1111"/>
        <v>5</v>
      </c>
      <c r="BE3703" s="130">
        <f t="shared" si="1112"/>
        <v>0</v>
      </c>
      <c r="BF3703" s="195" t="e">
        <f t="shared" si="1113"/>
        <v>#DIV/0!</v>
      </c>
      <c r="BG3703" s="373"/>
      <c r="BH3703" s="426"/>
      <c r="BI3703" s="420"/>
    </row>
    <row r="3704" spans="1:61" s="46" customFormat="1" ht="15.95" customHeight="1">
      <c r="A3704" s="176">
        <v>5</v>
      </c>
      <c r="B3704" s="31" t="s">
        <v>1675</v>
      </c>
      <c r="C3704" s="32" t="s">
        <v>1676</v>
      </c>
      <c r="D3704" s="231"/>
      <c r="E3704" s="231"/>
      <c r="F3704" s="231"/>
      <c r="G3704" s="231"/>
      <c r="H3704" s="231">
        <v>3</v>
      </c>
      <c r="I3704" s="231"/>
      <c r="J3704" s="231"/>
      <c r="K3704" s="231"/>
      <c r="L3704" s="231">
        <v>9</v>
      </c>
      <c r="M3704" s="231"/>
      <c r="N3704" s="231"/>
      <c r="O3704" s="231"/>
      <c r="P3704" s="231">
        <v>17</v>
      </c>
      <c r="Q3704" s="231"/>
      <c r="R3704" s="231"/>
      <c r="S3704" s="231"/>
      <c r="T3704" s="231"/>
      <c r="U3704" s="231"/>
      <c r="V3704" s="231"/>
      <c r="W3704" s="231"/>
      <c r="X3704" s="231"/>
      <c r="Y3704" s="231"/>
      <c r="Z3704" s="231"/>
      <c r="AA3704" s="231"/>
      <c r="AB3704" s="22">
        <f t="shared" si="1109"/>
        <v>29</v>
      </c>
      <c r="AC3704" s="23">
        <v>14</v>
      </c>
      <c r="AD3704" s="35"/>
      <c r="AE3704" s="35"/>
      <c r="AF3704" s="35"/>
      <c r="AG3704" s="35"/>
      <c r="AH3704" s="35"/>
      <c r="AI3704" s="35"/>
      <c r="AJ3704" s="35"/>
      <c r="AK3704" s="35"/>
      <c r="AL3704" s="35"/>
      <c r="AM3704" s="35"/>
      <c r="AN3704" s="35"/>
      <c r="AO3704" s="35"/>
      <c r="AP3704" s="35"/>
      <c r="AQ3704" s="35"/>
      <c r="AR3704" s="35"/>
      <c r="AS3704" s="35"/>
      <c r="AT3704" s="35"/>
      <c r="AU3704" s="35"/>
      <c r="AV3704" s="35"/>
      <c r="AW3704" s="35"/>
      <c r="AX3704" s="35"/>
      <c r="AY3704" s="35"/>
      <c r="AZ3704" s="35"/>
      <c r="BA3704" s="35"/>
      <c r="BB3704" s="22">
        <f t="shared" si="1110"/>
        <v>0</v>
      </c>
      <c r="BC3704" s="23">
        <v>0</v>
      </c>
      <c r="BD3704" s="130">
        <f t="shared" si="1111"/>
        <v>29</v>
      </c>
      <c r="BE3704" s="130">
        <f t="shared" si="1112"/>
        <v>14</v>
      </c>
      <c r="BF3704" s="195">
        <f t="shared" si="1113"/>
        <v>207.14285714285717</v>
      </c>
      <c r="BG3704" s="373">
        <f t="shared" ref="BG3704:BG3709" si="1114">BE3704-BD3704</f>
        <v>-15</v>
      </c>
    </row>
    <row r="3705" spans="1:61" s="46" customFormat="1" ht="15.95" customHeight="1">
      <c r="A3705" s="176">
        <v>6</v>
      </c>
      <c r="B3705" s="31" t="s">
        <v>756</v>
      </c>
      <c r="C3705" s="32" t="s">
        <v>757</v>
      </c>
      <c r="D3705" s="231"/>
      <c r="E3705" s="231"/>
      <c r="F3705" s="231"/>
      <c r="G3705" s="231"/>
      <c r="H3705" s="231">
        <v>28</v>
      </c>
      <c r="I3705" s="231"/>
      <c r="J3705" s="231"/>
      <c r="K3705" s="231"/>
      <c r="L3705" s="231">
        <v>37</v>
      </c>
      <c r="M3705" s="231"/>
      <c r="N3705" s="231"/>
      <c r="O3705" s="231"/>
      <c r="P3705" s="231">
        <v>67</v>
      </c>
      <c r="Q3705" s="231"/>
      <c r="R3705" s="231"/>
      <c r="S3705" s="231"/>
      <c r="T3705" s="231"/>
      <c r="U3705" s="231"/>
      <c r="V3705" s="231"/>
      <c r="W3705" s="231"/>
      <c r="X3705" s="231"/>
      <c r="Y3705" s="231"/>
      <c r="Z3705" s="231"/>
      <c r="AA3705" s="231"/>
      <c r="AB3705" s="22">
        <f t="shared" si="1109"/>
        <v>132</v>
      </c>
      <c r="AC3705" s="23">
        <v>57</v>
      </c>
      <c r="AD3705" s="35"/>
      <c r="AE3705" s="35"/>
      <c r="AF3705" s="35"/>
      <c r="AG3705" s="35"/>
      <c r="AH3705" s="35"/>
      <c r="AI3705" s="35"/>
      <c r="AJ3705" s="35"/>
      <c r="AK3705" s="35"/>
      <c r="AL3705" s="35"/>
      <c r="AM3705" s="35"/>
      <c r="AN3705" s="35"/>
      <c r="AO3705" s="35"/>
      <c r="AP3705" s="35"/>
      <c r="AQ3705" s="35"/>
      <c r="AR3705" s="35"/>
      <c r="AS3705" s="35"/>
      <c r="AT3705" s="35"/>
      <c r="AU3705" s="35"/>
      <c r="AV3705" s="35"/>
      <c r="AW3705" s="35"/>
      <c r="AX3705" s="35"/>
      <c r="AY3705" s="35"/>
      <c r="AZ3705" s="35"/>
      <c r="BA3705" s="35"/>
      <c r="BB3705" s="22">
        <f t="shared" si="1110"/>
        <v>0</v>
      </c>
      <c r="BC3705" s="23">
        <v>0</v>
      </c>
      <c r="BD3705" s="130">
        <f t="shared" si="1111"/>
        <v>132</v>
      </c>
      <c r="BE3705" s="130">
        <f t="shared" si="1112"/>
        <v>57</v>
      </c>
      <c r="BF3705" s="195">
        <f t="shared" si="1113"/>
        <v>231.57894736842107</v>
      </c>
      <c r="BG3705" s="373">
        <f t="shared" si="1114"/>
        <v>-75</v>
      </c>
    </row>
    <row r="3706" spans="1:61" s="46" customFormat="1" ht="15.95" customHeight="1">
      <c r="A3706" s="176">
        <v>7</v>
      </c>
      <c r="B3706" s="31" t="s">
        <v>1140</v>
      </c>
      <c r="C3706" s="32" t="s">
        <v>639</v>
      </c>
      <c r="D3706" s="231"/>
      <c r="E3706" s="231"/>
      <c r="F3706" s="231"/>
      <c r="G3706" s="231"/>
      <c r="H3706" s="231">
        <v>57</v>
      </c>
      <c r="I3706" s="231"/>
      <c r="J3706" s="231"/>
      <c r="K3706" s="231"/>
      <c r="L3706" s="231">
        <v>242</v>
      </c>
      <c r="M3706" s="231"/>
      <c r="N3706" s="231"/>
      <c r="O3706" s="231"/>
      <c r="P3706" s="231">
        <v>284</v>
      </c>
      <c r="Q3706" s="231"/>
      <c r="R3706" s="231"/>
      <c r="S3706" s="231"/>
      <c r="T3706" s="231"/>
      <c r="U3706" s="231"/>
      <c r="V3706" s="231"/>
      <c r="W3706" s="231"/>
      <c r="X3706" s="231"/>
      <c r="Y3706" s="231"/>
      <c r="Z3706" s="231"/>
      <c r="AA3706" s="231"/>
      <c r="AB3706" s="22">
        <f t="shared" si="1109"/>
        <v>583</v>
      </c>
      <c r="AC3706" s="23">
        <v>403</v>
      </c>
      <c r="AD3706" s="35"/>
      <c r="AE3706" s="35"/>
      <c r="AF3706" s="35"/>
      <c r="AG3706" s="35"/>
      <c r="AH3706" s="35"/>
      <c r="AI3706" s="35"/>
      <c r="AJ3706" s="35"/>
      <c r="AK3706" s="35"/>
      <c r="AL3706" s="35"/>
      <c r="AM3706" s="35"/>
      <c r="AN3706" s="35"/>
      <c r="AO3706" s="35"/>
      <c r="AP3706" s="35"/>
      <c r="AQ3706" s="35"/>
      <c r="AR3706" s="35"/>
      <c r="AS3706" s="35"/>
      <c r="AT3706" s="35"/>
      <c r="AU3706" s="35"/>
      <c r="AV3706" s="35"/>
      <c r="AW3706" s="35"/>
      <c r="AX3706" s="35"/>
      <c r="AY3706" s="35"/>
      <c r="AZ3706" s="35"/>
      <c r="BA3706" s="35"/>
      <c r="BB3706" s="22">
        <f t="shared" si="1110"/>
        <v>0</v>
      </c>
      <c r="BC3706" s="23">
        <v>0</v>
      </c>
      <c r="BD3706" s="130">
        <f t="shared" si="1111"/>
        <v>583</v>
      </c>
      <c r="BE3706" s="130">
        <f t="shared" si="1112"/>
        <v>403</v>
      </c>
      <c r="BF3706" s="195">
        <f t="shared" si="1113"/>
        <v>144.66501240694788</v>
      </c>
      <c r="BG3706" s="373">
        <f t="shared" si="1114"/>
        <v>-180</v>
      </c>
    </row>
    <row r="3707" spans="1:61" s="46" customFormat="1" ht="15.95" customHeight="1">
      <c r="A3707" s="176">
        <v>8</v>
      </c>
      <c r="B3707" s="31" t="s">
        <v>1523</v>
      </c>
      <c r="C3707" s="32" t="s">
        <v>1668</v>
      </c>
      <c r="D3707" s="231"/>
      <c r="E3707" s="231"/>
      <c r="F3707" s="231"/>
      <c r="G3707" s="231"/>
      <c r="H3707" s="231"/>
      <c r="I3707" s="231"/>
      <c r="J3707" s="231"/>
      <c r="K3707" s="231"/>
      <c r="L3707" s="231"/>
      <c r="M3707" s="231"/>
      <c r="N3707" s="231"/>
      <c r="O3707" s="231"/>
      <c r="P3707" s="231"/>
      <c r="Q3707" s="231"/>
      <c r="R3707" s="231"/>
      <c r="S3707" s="231"/>
      <c r="T3707" s="231"/>
      <c r="U3707" s="231"/>
      <c r="V3707" s="231"/>
      <c r="W3707" s="231"/>
      <c r="X3707" s="231"/>
      <c r="Y3707" s="231"/>
      <c r="Z3707" s="231"/>
      <c r="AA3707" s="231"/>
      <c r="AB3707" s="22">
        <f t="shared" si="1109"/>
        <v>0</v>
      </c>
      <c r="AC3707" s="23">
        <v>194</v>
      </c>
      <c r="AD3707" s="35"/>
      <c r="AE3707" s="35"/>
      <c r="AF3707" s="35"/>
      <c r="AG3707" s="35"/>
      <c r="AH3707" s="35"/>
      <c r="AI3707" s="35"/>
      <c r="AJ3707" s="35"/>
      <c r="AK3707" s="35"/>
      <c r="AL3707" s="35"/>
      <c r="AM3707" s="35"/>
      <c r="AN3707" s="35"/>
      <c r="AO3707" s="35"/>
      <c r="AP3707" s="35"/>
      <c r="AQ3707" s="35"/>
      <c r="AR3707" s="35"/>
      <c r="AS3707" s="35"/>
      <c r="AT3707" s="35"/>
      <c r="AU3707" s="35"/>
      <c r="AV3707" s="35"/>
      <c r="AW3707" s="35"/>
      <c r="AX3707" s="35"/>
      <c r="AY3707" s="35"/>
      <c r="AZ3707" s="35"/>
      <c r="BA3707" s="35"/>
      <c r="BB3707" s="22">
        <f t="shared" si="1110"/>
        <v>0</v>
      </c>
      <c r="BC3707" s="23">
        <v>0</v>
      </c>
      <c r="BD3707" s="130">
        <f t="shared" si="1111"/>
        <v>0</v>
      </c>
      <c r="BE3707" s="130">
        <f t="shared" si="1112"/>
        <v>194</v>
      </c>
      <c r="BF3707" s="195">
        <f t="shared" si="1113"/>
        <v>0</v>
      </c>
      <c r="BG3707" s="373">
        <f t="shared" si="1114"/>
        <v>194</v>
      </c>
    </row>
    <row r="3708" spans="1:61" s="46" customFormat="1" ht="15.95" customHeight="1">
      <c r="A3708" s="176">
        <v>9</v>
      </c>
      <c r="B3708" s="31" t="s">
        <v>772</v>
      </c>
      <c r="C3708" s="32" t="s">
        <v>773</v>
      </c>
      <c r="D3708" s="231"/>
      <c r="E3708" s="231"/>
      <c r="F3708" s="231"/>
      <c r="G3708" s="231"/>
      <c r="H3708" s="231">
        <v>181</v>
      </c>
      <c r="I3708" s="231"/>
      <c r="J3708" s="231"/>
      <c r="K3708" s="231"/>
      <c r="L3708" s="231">
        <v>806</v>
      </c>
      <c r="M3708" s="231"/>
      <c r="N3708" s="231"/>
      <c r="O3708" s="231"/>
      <c r="P3708" s="231">
        <v>923</v>
      </c>
      <c r="Q3708" s="231"/>
      <c r="R3708" s="231"/>
      <c r="S3708" s="231"/>
      <c r="T3708" s="231"/>
      <c r="U3708" s="231"/>
      <c r="V3708" s="231"/>
      <c r="W3708" s="231"/>
      <c r="X3708" s="231"/>
      <c r="Y3708" s="231"/>
      <c r="Z3708" s="231"/>
      <c r="AA3708" s="231"/>
      <c r="AB3708" s="22">
        <f t="shared" si="1109"/>
        <v>1910</v>
      </c>
      <c r="AC3708" s="23">
        <v>4812</v>
      </c>
      <c r="AD3708" s="35"/>
      <c r="AE3708" s="35"/>
      <c r="AF3708" s="35"/>
      <c r="AG3708" s="35"/>
      <c r="AH3708" s="35"/>
      <c r="AI3708" s="35"/>
      <c r="AJ3708" s="35"/>
      <c r="AK3708" s="35"/>
      <c r="AL3708" s="35"/>
      <c r="AM3708" s="35"/>
      <c r="AN3708" s="35"/>
      <c r="AO3708" s="35"/>
      <c r="AP3708" s="35"/>
      <c r="AQ3708" s="35"/>
      <c r="AR3708" s="35"/>
      <c r="AS3708" s="35"/>
      <c r="AT3708" s="35"/>
      <c r="AU3708" s="35"/>
      <c r="AV3708" s="35"/>
      <c r="AW3708" s="35"/>
      <c r="AX3708" s="35"/>
      <c r="AY3708" s="35"/>
      <c r="AZ3708" s="35"/>
      <c r="BA3708" s="35"/>
      <c r="BB3708" s="22">
        <f t="shared" si="1110"/>
        <v>0</v>
      </c>
      <c r="BC3708" s="23">
        <v>0</v>
      </c>
      <c r="BD3708" s="130">
        <f t="shared" si="1111"/>
        <v>1910</v>
      </c>
      <c r="BE3708" s="130">
        <f t="shared" si="1112"/>
        <v>4812</v>
      </c>
      <c r="BF3708" s="195">
        <f t="shared" si="1113"/>
        <v>39.692435577722364</v>
      </c>
      <c r="BG3708" s="373">
        <f t="shared" si="1114"/>
        <v>2902</v>
      </c>
    </row>
    <row r="3709" spans="1:61" s="46" customFormat="1" ht="15.95" customHeight="1">
      <c r="A3709" s="176">
        <v>10</v>
      </c>
      <c r="B3709" s="31" t="s">
        <v>1284</v>
      </c>
      <c r="C3709" s="32" t="s">
        <v>1285</v>
      </c>
      <c r="D3709" s="276"/>
      <c r="E3709" s="276"/>
      <c r="F3709" s="276"/>
      <c r="G3709" s="276"/>
      <c r="H3709" s="276"/>
      <c r="I3709" s="276"/>
      <c r="J3709" s="276"/>
      <c r="K3709" s="276"/>
      <c r="L3709" s="276"/>
      <c r="M3709" s="276"/>
      <c r="N3709" s="276"/>
      <c r="O3709" s="276"/>
      <c r="P3709" s="276"/>
      <c r="Q3709" s="276"/>
      <c r="R3709" s="276"/>
      <c r="S3709" s="276"/>
      <c r="T3709" s="276"/>
      <c r="U3709" s="276"/>
      <c r="V3709" s="276"/>
      <c r="W3709" s="276"/>
      <c r="X3709" s="276"/>
      <c r="Y3709" s="276"/>
      <c r="Z3709" s="276"/>
      <c r="AA3709" s="276"/>
      <c r="AB3709" s="22">
        <f t="shared" si="1109"/>
        <v>0</v>
      </c>
      <c r="AC3709" s="23">
        <v>4</v>
      </c>
      <c r="AD3709" s="35"/>
      <c r="AE3709" s="35"/>
      <c r="AF3709" s="35"/>
      <c r="AG3709" s="35"/>
      <c r="AH3709" s="35"/>
      <c r="AI3709" s="35"/>
      <c r="AJ3709" s="35"/>
      <c r="AK3709" s="35"/>
      <c r="AL3709" s="35"/>
      <c r="AM3709" s="35"/>
      <c r="AN3709" s="35"/>
      <c r="AO3709" s="35"/>
      <c r="AP3709" s="35"/>
      <c r="AQ3709" s="35"/>
      <c r="AR3709" s="35"/>
      <c r="AS3709" s="35"/>
      <c r="AT3709" s="35"/>
      <c r="AU3709" s="35"/>
      <c r="AV3709" s="35"/>
      <c r="AW3709" s="35"/>
      <c r="AX3709" s="35"/>
      <c r="AY3709" s="35"/>
      <c r="AZ3709" s="35"/>
      <c r="BA3709" s="35"/>
      <c r="BB3709" s="22">
        <f t="shared" si="1110"/>
        <v>0</v>
      </c>
      <c r="BC3709" s="23">
        <v>0</v>
      </c>
      <c r="BD3709" s="130">
        <f t="shared" si="1111"/>
        <v>0</v>
      </c>
      <c r="BE3709" s="130">
        <f t="shared" si="1112"/>
        <v>4</v>
      </c>
      <c r="BF3709" s="195">
        <f t="shared" si="1113"/>
        <v>0</v>
      </c>
      <c r="BG3709" s="373">
        <f t="shared" si="1114"/>
        <v>4</v>
      </c>
    </row>
    <row r="3710" spans="1:61" s="46" customFormat="1" ht="15.95" customHeight="1">
      <c r="A3710" s="176">
        <v>11</v>
      </c>
      <c r="B3710" s="31" t="s">
        <v>780</v>
      </c>
      <c r="C3710" s="32" t="s">
        <v>1683</v>
      </c>
      <c r="D3710" s="526"/>
      <c r="E3710" s="526"/>
      <c r="F3710" s="526"/>
      <c r="G3710" s="526"/>
      <c r="H3710" s="526">
        <v>1</v>
      </c>
      <c r="I3710" s="526"/>
      <c r="J3710" s="526"/>
      <c r="K3710" s="526"/>
      <c r="L3710" s="526"/>
      <c r="M3710" s="526"/>
      <c r="N3710" s="526"/>
      <c r="O3710" s="526"/>
      <c r="P3710" s="526">
        <v>1</v>
      </c>
      <c r="Q3710" s="526"/>
      <c r="R3710" s="526"/>
      <c r="S3710" s="526"/>
      <c r="T3710" s="526"/>
      <c r="U3710" s="526"/>
      <c r="V3710" s="526"/>
      <c r="W3710" s="526"/>
      <c r="X3710" s="526"/>
      <c r="Y3710" s="526"/>
      <c r="Z3710" s="526"/>
      <c r="AA3710" s="526"/>
      <c r="AB3710" s="22">
        <f t="shared" si="1109"/>
        <v>2</v>
      </c>
      <c r="AC3710" s="23">
        <v>0</v>
      </c>
      <c r="AD3710" s="35"/>
      <c r="AE3710" s="35"/>
      <c r="AF3710" s="35"/>
      <c r="AG3710" s="35"/>
      <c r="AH3710" s="35"/>
      <c r="AI3710" s="35"/>
      <c r="AJ3710" s="35"/>
      <c r="AK3710" s="35"/>
      <c r="AL3710" s="35"/>
      <c r="AM3710" s="35"/>
      <c r="AN3710" s="35"/>
      <c r="AO3710" s="35"/>
      <c r="AP3710" s="35"/>
      <c r="AQ3710" s="35"/>
      <c r="AR3710" s="35"/>
      <c r="AS3710" s="35"/>
      <c r="AT3710" s="35"/>
      <c r="AU3710" s="35"/>
      <c r="AV3710" s="35"/>
      <c r="AW3710" s="35"/>
      <c r="AX3710" s="35"/>
      <c r="AY3710" s="35"/>
      <c r="AZ3710" s="35"/>
      <c r="BA3710" s="35"/>
      <c r="BB3710" s="22">
        <f t="shared" si="1110"/>
        <v>0</v>
      </c>
      <c r="BC3710" s="23">
        <v>0</v>
      </c>
      <c r="BD3710" s="130">
        <f t="shared" si="1111"/>
        <v>2</v>
      </c>
      <c r="BE3710" s="130">
        <f t="shared" si="1112"/>
        <v>0</v>
      </c>
      <c r="BF3710" s="195" t="e">
        <f t="shared" si="1113"/>
        <v>#DIV/0!</v>
      </c>
      <c r="BG3710" s="373"/>
    </row>
    <row r="3711" spans="1:61" s="46" customFormat="1" ht="15.95" customHeight="1">
      <c r="A3711" s="176">
        <v>12</v>
      </c>
      <c r="B3711" s="31" t="s">
        <v>783</v>
      </c>
      <c r="C3711" s="32" t="s">
        <v>1684</v>
      </c>
      <c r="D3711" s="231"/>
      <c r="E3711" s="231"/>
      <c r="F3711" s="231"/>
      <c r="G3711" s="231"/>
      <c r="H3711" s="231"/>
      <c r="I3711" s="231"/>
      <c r="J3711" s="231"/>
      <c r="K3711" s="231"/>
      <c r="L3711" s="231">
        <v>1</v>
      </c>
      <c r="M3711" s="231"/>
      <c r="N3711" s="231"/>
      <c r="O3711" s="231"/>
      <c r="P3711" s="231">
        <v>2</v>
      </c>
      <c r="Q3711" s="231"/>
      <c r="R3711" s="231"/>
      <c r="S3711" s="231"/>
      <c r="T3711" s="231"/>
      <c r="U3711" s="231"/>
      <c r="V3711" s="231"/>
      <c r="W3711" s="231"/>
      <c r="X3711" s="231"/>
      <c r="Y3711" s="231"/>
      <c r="Z3711" s="231"/>
      <c r="AA3711" s="231"/>
      <c r="AB3711" s="22">
        <f t="shared" si="1109"/>
        <v>3</v>
      </c>
      <c r="AC3711" s="23">
        <v>3</v>
      </c>
      <c r="AD3711" s="35"/>
      <c r="AE3711" s="35"/>
      <c r="AF3711" s="35"/>
      <c r="AG3711" s="35"/>
      <c r="AH3711" s="35"/>
      <c r="AI3711" s="35"/>
      <c r="AJ3711" s="35"/>
      <c r="AK3711" s="35"/>
      <c r="AL3711" s="35"/>
      <c r="AM3711" s="35"/>
      <c r="AN3711" s="35"/>
      <c r="AO3711" s="35"/>
      <c r="AP3711" s="35"/>
      <c r="AQ3711" s="35"/>
      <c r="AR3711" s="35"/>
      <c r="AS3711" s="35"/>
      <c r="AT3711" s="35"/>
      <c r="AU3711" s="35"/>
      <c r="AV3711" s="35"/>
      <c r="AW3711" s="35"/>
      <c r="AX3711" s="35"/>
      <c r="AY3711" s="35"/>
      <c r="AZ3711" s="35"/>
      <c r="BA3711" s="35"/>
      <c r="BB3711" s="22">
        <f t="shared" si="1110"/>
        <v>0</v>
      </c>
      <c r="BC3711" s="23">
        <v>0</v>
      </c>
      <c r="BD3711" s="130">
        <f t="shared" si="1111"/>
        <v>3</v>
      </c>
      <c r="BE3711" s="130">
        <f t="shared" si="1112"/>
        <v>3</v>
      </c>
      <c r="BF3711" s="195">
        <f t="shared" si="1113"/>
        <v>100</v>
      </c>
      <c r="BG3711" s="373">
        <f t="shared" ref="BG3711:BG3719" si="1115">BE3711-BD3711</f>
        <v>0</v>
      </c>
    </row>
    <row r="3712" spans="1:61" s="46" customFormat="1" ht="15.95" customHeight="1">
      <c r="A3712" s="176">
        <v>13</v>
      </c>
      <c r="B3712" s="31" t="s">
        <v>1373</v>
      </c>
      <c r="C3712" s="32" t="s">
        <v>1467</v>
      </c>
      <c r="D3712" s="231"/>
      <c r="E3712" s="231"/>
      <c r="F3712" s="231"/>
      <c r="G3712" s="231"/>
      <c r="H3712" s="231">
        <v>16</v>
      </c>
      <c r="I3712" s="231"/>
      <c r="J3712" s="231"/>
      <c r="K3712" s="231"/>
      <c r="L3712" s="231">
        <v>55</v>
      </c>
      <c r="M3712" s="231"/>
      <c r="N3712" s="231"/>
      <c r="O3712" s="231"/>
      <c r="P3712" s="231">
        <v>77</v>
      </c>
      <c r="Q3712" s="231"/>
      <c r="R3712" s="231"/>
      <c r="S3712" s="231"/>
      <c r="T3712" s="231"/>
      <c r="U3712" s="231"/>
      <c r="V3712" s="231"/>
      <c r="W3712" s="231"/>
      <c r="X3712" s="231"/>
      <c r="Y3712" s="231"/>
      <c r="Z3712" s="231"/>
      <c r="AA3712" s="231"/>
      <c r="AB3712" s="22">
        <f t="shared" si="1109"/>
        <v>148</v>
      </c>
      <c r="AC3712" s="23">
        <v>102</v>
      </c>
      <c r="AD3712" s="35"/>
      <c r="AE3712" s="35"/>
      <c r="AF3712" s="35"/>
      <c r="AG3712" s="35"/>
      <c r="AH3712" s="35"/>
      <c r="AI3712" s="35"/>
      <c r="AJ3712" s="35"/>
      <c r="AK3712" s="35"/>
      <c r="AL3712" s="35"/>
      <c r="AM3712" s="35"/>
      <c r="AN3712" s="35"/>
      <c r="AO3712" s="35"/>
      <c r="AP3712" s="35"/>
      <c r="AQ3712" s="35"/>
      <c r="AR3712" s="35"/>
      <c r="AS3712" s="35"/>
      <c r="AT3712" s="35"/>
      <c r="AU3712" s="35"/>
      <c r="AV3712" s="35"/>
      <c r="AW3712" s="35"/>
      <c r="AX3712" s="35"/>
      <c r="AY3712" s="35"/>
      <c r="AZ3712" s="35"/>
      <c r="BA3712" s="35"/>
      <c r="BB3712" s="22">
        <f t="shared" si="1110"/>
        <v>0</v>
      </c>
      <c r="BC3712" s="23">
        <v>0</v>
      </c>
      <c r="BD3712" s="130">
        <f t="shared" si="1111"/>
        <v>148</v>
      </c>
      <c r="BE3712" s="130">
        <f t="shared" si="1112"/>
        <v>102</v>
      </c>
      <c r="BF3712" s="195">
        <f t="shared" si="1113"/>
        <v>145.09803921568627</v>
      </c>
      <c r="BG3712" s="373">
        <f t="shared" si="1115"/>
        <v>-46</v>
      </c>
    </row>
    <row r="3713" spans="1:59" s="46" customFormat="1" ht="15.95" customHeight="1">
      <c r="A3713" s="176">
        <v>14</v>
      </c>
      <c r="B3713" s="31" t="s">
        <v>1468</v>
      </c>
      <c r="C3713" s="32" t="s">
        <v>1469</v>
      </c>
      <c r="D3713" s="231"/>
      <c r="E3713" s="231"/>
      <c r="F3713" s="231"/>
      <c r="G3713" s="231"/>
      <c r="H3713" s="231"/>
      <c r="I3713" s="231"/>
      <c r="J3713" s="231"/>
      <c r="K3713" s="231"/>
      <c r="L3713" s="231">
        <v>4</v>
      </c>
      <c r="M3713" s="231"/>
      <c r="N3713" s="231"/>
      <c r="O3713" s="231"/>
      <c r="P3713" s="231">
        <v>13</v>
      </c>
      <c r="Q3713" s="231"/>
      <c r="R3713" s="231"/>
      <c r="S3713" s="231"/>
      <c r="T3713" s="231"/>
      <c r="U3713" s="231"/>
      <c r="V3713" s="231"/>
      <c r="W3713" s="231"/>
      <c r="X3713" s="231"/>
      <c r="Y3713" s="231"/>
      <c r="Z3713" s="231"/>
      <c r="AA3713" s="231"/>
      <c r="AB3713" s="22">
        <f t="shared" si="1109"/>
        <v>17</v>
      </c>
      <c r="AC3713" s="23">
        <v>50</v>
      </c>
      <c r="AD3713" s="35"/>
      <c r="AE3713" s="35"/>
      <c r="AF3713" s="35"/>
      <c r="AG3713" s="35"/>
      <c r="AH3713" s="35"/>
      <c r="AI3713" s="35"/>
      <c r="AJ3713" s="35"/>
      <c r="AK3713" s="35"/>
      <c r="AL3713" s="35"/>
      <c r="AM3713" s="35"/>
      <c r="AN3713" s="35"/>
      <c r="AO3713" s="35"/>
      <c r="AP3713" s="35"/>
      <c r="AQ3713" s="35"/>
      <c r="AR3713" s="35"/>
      <c r="AS3713" s="35"/>
      <c r="AT3713" s="35"/>
      <c r="AU3713" s="35"/>
      <c r="AV3713" s="35"/>
      <c r="AW3713" s="35"/>
      <c r="AX3713" s="35"/>
      <c r="AY3713" s="35"/>
      <c r="AZ3713" s="35"/>
      <c r="BA3713" s="35"/>
      <c r="BB3713" s="22">
        <f t="shared" si="1110"/>
        <v>0</v>
      </c>
      <c r="BC3713" s="23">
        <v>0</v>
      </c>
      <c r="BD3713" s="130">
        <f t="shared" si="1111"/>
        <v>17</v>
      </c>
      <c r="BE3713" s="130">
        <f t="shared" si="1112"/>
        <v>50</v>
      </c>
      <c r="BF3713" s="195">
        <f t="shared" si="1113"/>
        <v>34</v>
      </c>
      <c r="BG3713" s="373">
        <f t="shared" si="1115"/>
        <v>33</v>
      </c>
    </row>
    <row r="3714" spans="1:59" s="46" customFormat="1" ht="15.95" customHeight="1">
      <c r="A3714" s="176">
        <v>15</v>
      </c>
      <c r="B3714" s="31" t="s">
        <v>1470</v>
      </c>
      <c r="C3714" s="32" t="s">
        <v>2113</v>
      </c>
      <c r="D3714" s="231"/>
      <c r="E3714" s="231"/>
      <c r="F3714" s="231"/>
      <c r="G3714" s="231"/>
      <c r="H3714" s="231"/>
      <c r="I3714" s="231"/>
      <c r="J3714" s="231"/>
      <c r="K3714" s="231"/>
      <c r="L3714" s="231"/>
      <c r="M3714" s="231"/>
      <c r="N3714" s="231"/>
      <c r="O3714" s="231"/>
      <c r="P3714" s="231"/>
      <c r="Q3714" s="231"/>
      <c r="R3714" s="231"/>
      <c r="S3714" s="231"/>
      <c r="T3714" s="231"/>
      <c r="U3714" s="231"/>
      <c r="V3714" s="231"/>
      <c r="W3714" s="231"/>
      <c r="X3714" s="231"/>
      <c r="Y3714" s="231"/>
      <c r="Z3714" s="231"/>
      <c r="AA3714" s="231"/>
      <c r="AB3714" s="22">
        <f t="shared" si="1109"/>
        <v>0</v>
      </c>
      <c r="AC3714" s="23">
        <v>1</v>
      </c>
      <c r="AD3714" s="35"/>
      <c r="AE3714" s="35"/>
      <c r="AF3714" s="35"/>
      <c r="AG3714" s="35"/>
      <c r="AH3714" s="35"/>
      <c r="AI3714" s="35"/>
      <c r="AJ3714" s="35"/>
      <c r="AK3714" s="35"/>
      <c r="AL3714" s="35"/>
      <c r="AM3714" s="35"/>
      <c r="AN3714" s="35"/>
      <c r="AO3714" s="35"/>
      <c r="AP3714" s="35"/>
      <c r="AQ3714" s="35"/>
      <c r="AR3714" s="35"/>
      <c r="AS3714" s="35"/>
      <c r="AT3714" s="35"/>
      <c r="AU3714" s="35"/>
      <c r="AV3714" s="35"/>
      <c r="AW3714" s="35"/>
      <c r="AX3714" s="35"/>
      <c r="AY3714" s="35"/>
      <c r="AZ3714" s="35"/>
      <c r="BA3714" s="35"/>
      <c r="BB3714" s="22">
        <f t="shared" si="1110"/>
        <v>0</v>
      </c>
      <c r="BC3714" s="23">
        <v>0</v>
      </c>
      <c r="BD3714" s="130">
        <f t="shared" si="1111"/>
        <v>0</v>
      </c>
      <c r="BE3714" s="130">
        <f t="shared" si="1112"/>
        <v>1</v>
      </c>
      <c r="BF3714" s="195">
        <f t="shared" si="1113"/>
        <v>0</v>
      </c>
      <c r="BG3714" s="373">
        <f t="shared" si="1115"/>
        <v>1</v>
      </c>
    </row>
    <row r="3715" spans="1:59" s="46" customFormat="1" ht="15.95" customHeight="1">
      <c r="A3715" s="176">
        <v>16</v>
      </c>
      <c r="B3715" s="31" t="s">
        <v>1471</v>
      </c>
      <c r="C3715" s="32" t="s">
        <v>2754</v>
      </c>
      <c r="D3715" s="257"/>
      <c r="E3715" s="257"/>
      <c r="F3715" s="257"/>
      <c r="G3715" s="257"/>
      <c r="H3715" s="257"/>
      <c r="I3715" s="257"/>
      <c r="J3715" s="257"/>
      <c r="K3715" s="257"/>
      <c r="L3715" s="257"/>
      <c r="M3715" s="257"/>
      <c r="N3715" s="257"/>
      <c r="O3715" s="257"/>
      <c r="P3715" s="257"/>
      <c r="Q3715" s="257"/>
      <c r="R3715" s="257"/>
      <c r="S3715" s="257"/>
      <c r="T3715" s="257"/>
      <c r="U3715" s="257"/>
      <c r="V3715" s="257"/>
      <c r="W3715" s="257"/>
      <c r="X3715" s="257"/>
      <c r="Y3715" s="257"/>
      <c r="Z3715" s="257"/>
      <c r="AA3715" s="257"/>
      <c r="AB3715" s="22">
        <f t="shared" si="1109"/>
        <v>0</v>
      </c>
      <c r="AC3715" s="23">
        <v>2</v>
      </c>
      <c r="AD3715" s="35"/>
      <c r="AE3715" s="35"/>
      <c r="AF3715" s="35"/>
      <c r="AG3715" s="35"/>
      <c r="AH3715" s="35"/>
      <c r="AI3715" s="35"/>
      <c r="AJ3715" s="35"/>
      <c r="AK3715" s="35"/>
      <c r="AL3715" s="35"/>
      <c r="AM3715" s="35"/>
      <c r="AN3715" s="35"/>
      <c r="AO3715" s="35"/>
      <c r="AP3715" s="35"/>
      <c r="AQ3715" s="35"/>
      <c r="AR3715" s="35"/>
      <c r="AS3715" s="35"/>
      <c r="AT3715" s="35"/>
      <c r="AU3715" s="35"/>
      <c r="AV3715" s="35"/>
      <c r="AW3715" s="35"/>
      <c r="AX3715" s="35"/>
      <c r="AY3715" s="35"/>
      <c r="AZ3715" s="35"/>
      <c r="BA3715" s="35"/>
      <c r="BB3715" s="22">
        <f t="shared" si="1110"/>
        <v>0</v>
      </c>
      <c r="BC3715" s="23">
        <v>0</v>
      </c>
      <c r="BD3715" s="130">
        <f t="shared" si="1111"/>
        <v>0</v>
      </c>
      <c r="BE3715" s="130">
        <f t="shared" si="1112"/>
        <v>2</v>
      </c>
      <c r="BF3715" s="195">
        <f t="shared" si="1113"/>
        <v>0</v>
      </c>
      <c r="BG3715" s="373">
        <f t="shared" si="1115"/>
        <v>2</v>
      </c>
    </row>
    <row r="3716" spans="1:59" s="46" customFormat="1" ht="15.95" customHeight="1">
      <c r="A3716" s="176">
        <v>17</v>
      </c>
      <c r="B3716" s="31" t="s">
        <v>1472</v>
      </c>
      <c r="C3716" s="32" t="s">
        <v>1473</v>
      </c>
      <c r="D3716" s="231"/>
      <c r="E3716" s="231"/>
      <c r="F3716" s="231"/>
      <c r="G3716" s="231"/>
      <c r="H3716" s="231">
        <v>6</v>
      </c>
      <c r="I3716" s="231"/>
      <c r="J3716" s="231"/>
      <c r="K3716" s="231"/>
      <c r="L3716" s="231">
        <v>15</v>
      </c>
      <c r="M3716" s="231"/>
      <c r="N3716" s="231"/>
      <c r="O3716" s="231"/>
      <c r="P3716" s="231">
        <v>12</v>
      </c>
      <c r="Q3716" s="231"/>
      <c r="R3716" s="231"/>
      <c r="S3716" s="231"/>
      <c r="T3716" s="231"/>
      <c r="U3716" s="231"/>
      <c r="V3716" s="231"/>
      <c r="W3716" s="231"/>
      <c r="X3716" s="231"/>
      <c r="Y3716" s="231"/>
      <c r="Z3716" s="231"/>
      <c r="AA3716" s="231"/>
      <c r="AB3716" s="22">
        <f t="shared" si="1109"/>
        <v>33</v>
      </c>
      <c r="AC3716" s="23">
        <v>26</v>
      </c>
      <c r="AD3716" s="35"/>
      <c r="AE3716" s="35"/>
      <c r="AF3716" s="35"/>
      <c r="AG3716" s="35"/>
      <c r="AH3716" s="35"/>
      <c r="AI3716" s="35"/>
      <c r="AJ3716" s="35"/>
      <c r="AK3716" s="35"/>
      <c r="AL3716" s="35"/>
      <c r="AM3716" s="35"/>
      <c r="AN3716" s="35"/>
      <c r="AO3716" s="35"/>
      <c r="AP3716" s="35"/>
      <c r="AQ3716" s="35"/>
      <c r="AR3716" s="35"/>
      <c r="AS3716" s="35"/>
      <c r="AT3716" s="35"/>
      <c r="AU3716" s="35"/>
      <c r="AV3716" s="35"/>
      <c r="AW3716" s="35"/>
      <c r="AX3716" s="35"/>
      <c r="AY3716" s="35"/>
      <c r="AZ3716" s="35"/>
      <c r="BA3716" s="35"/>
      <c r="BB3716" s="22">
        <f t="shared" si="1110"/>
        <v>0</v>
      </c>
      <c r="BC3716" s="23">
        <v>0</v>
      </c>
      <c r="BD3716" s="130">
        <f t="shared" si="1111"/>
        <v>33</v>
      </c>
      <c r="BE3716" s="130">
        <f t="shared" si="1112"/>
        <v>26</v>
      </c>
      <c r="BF3716" s="195">
        <f t="shared" si="1113"/>
        <v>126.92307692307692</v>
      </c>
      <c r="BG3716" s="373">
        <f t="shared" si="1115"/>
        <v>-7</v>
      </c>
    </row>
    <row r="3717" spans="1:59" s="46" customFormat="1" ht="15.95" customHeight="1">
      <c r="A3717" s="176">
        <v>18</v>
      </c>
      <c r="B3717" s="31" t="s">
        <v>1474</v>
      </c>
      <c r="C3717" s="32" t="s">
        <v>1686</v>
      </c>
      <c r="D3717" s="231"/>
      <c r="E3717" s="231"/>
      <c r="F3717" s="231"/>
      <c r="G3717" s="231"/>
      <c r="H3717" s="231">
        <v>14</v>
      </c>
      <c r="I3717" s="231"/>
      <c r="J3717" s="231"/>
      <c r="K3717" s="231"/>
      <c r="L3717" s="231">
        <v>32</v>
      </c>
      <c r="M3717" s="231"/>
      <c r="N3717" s="231"/>
      <c r="O3717" s="231"/>
      <c r="P3717" s="231">
        <v>36</v>
      </c>
      <c r="Q3717" s="231"/>
      <c r="R3717" s="231"/>
      <c r="S3717" s="231"/>
      <c r="T3717" s="231"/>
      <c r="U3717" s="231"/>
      <c r="V3717" s="231"/>
      <c r="W3717" s="231"/>
      <c r="X3717" s="231"/>
      <c r="Y3717" s="231"/>
      <c r="Z3717" s="231"/>
      <c r="AA3717" s="231"/>
      <c r="AB3717" s="22">
        <f t="shared" si="1109"/>
        <v>82</v>
      </c>
      <c r="AC3717" s="23">
        <v>61</v>
      </c>
      <c r="AD3717" s="35"/>
      <c r="AE3717" s="35"/>
      <c r="AF3717" s="35"/>
      <c r="AG3717" s="35"/>
      <c r="AH3717" s="35"/>
      <c r="AI3717" s="35"/>
      <c r="AJ3717" s="35"/>
      <c r="AK3717" s="35"/>
      <c r="AL3717" s="35"/>
      <c r="AM3717" s="35"/>
      <c r="AN3717" s="35"/>
      <c r="AO3717" s="35"/>
      <c r="AP3717" s="35"/>
      <c r="AQ3717" s="35"/>
      <c r="AR3717" s="35"/>
      <c r="AS3717" s="35"/>
      <c r="AT3717" s="35"/>
      <c r="AU3717" s="35"/>
      <c r="AV3717" s="35"/>
      <c r="AW3717" s="35"/>
      <c r="AX3717" s="35"/>
      <c r="AY3717" s="35"/>
      <c r="AZ3717" s="35"/>
      <c r="BA3717" s="35"/>
      <c r="BB3717" s="22">
        <f t="shared" si="1110"/>
        <v>0</v>
      </c>
      <c r="BC3717" s="23">
        <v>0</v>
      </c>
      <c r="BD3717" s="130">
        <f t="shared" si="1111"/>
        <v>82</v>
      </c>
      <c r="BE3717" s="130">
        <f t="shared" si="1112"/>
        <v>61</v>
      </c>
      <c r="BF3717" s="195">
        <f t="shared" si="1113"/>
        <v>134.42622950819671</v>
      </c>
      <c r="BG3717" s="373">
        <f t="shared" si="1115"/>
        <v>-21</v>
      </c>
    </row>
    <row r="3718" spans="1:59" s="46" customFormat="1" ht="15.95" customHeight="1">
      <c r="A3718" s="176">
        <v>19</v>
      </c>
      <c r="B3718" s="31" t="s">
        <v>1475</v>
      </c>
      <c r="C3718" s="32" t="s">
        <v>1476</v>
      </c>
      <c r="D3718" s="231"/>
      <c r="E3718" s="231"/>
      <c r="F3718" s="231"/>
      <c r="G3718" s="231"/>
      <c r="H3718" s="231"/>
      <c r="I3718" s="231"/>
      <c r="J3718" s="231"/>
      <c r="K3718" s="231"/>
      <c r="L3718" s="231"/>
      <c r="M3718" s="231"/>
      <c r="N3718" s="231"/>
      <c r="O3718" s="231"/>
      <c r="P3718" s="231"/>
      <c r="Q3718" s="231"/>
      <c r="R3718" s="231"/>
      <c r="S3718" s="231"/>
      <c r="T3718" s="231"/>
      <c r="U3718" s="231"/>
      <c r="V3718" s="231"/>
      <c r="W3718" s="231"/>
      <c r="X3718" s="231"/>
      <c r="Y3718" s="231"/>
      <c r="Z3718" s="231"/>
      <c r="AA3718" s="231"/>
      <c r="AB3718" s="22">
        <f t="shared" si="1109"/>
        <v>0</v>
      </c>
      <c r="AC3718" s="23">
        <v>654</v>
      </c>
      <c r="AD3718" s="35"/>
      <c r="AE3718" s="35"/>
      <c r="AF3718" s="35"/>
      <c r="AG3718" s="35"/>
      <c r="AH3718" s="35"/>
      <c r="AI3718" s="35"/>
      <c r="AJ3718" s="35"/>
      <c r="AK3718" s="35"/>
      <c r="AL3718" s="35"/>
      <c r="AM3718" s="35"/>
      <c r="AN3718" s="35"/>
      <c r="AO3718" s="35"/>
      <c r="AP3718" s="35"/>
      <c r="AQ3718" s="35"/>
      <c r="AR3718" s="35"/>
      <c r="AS3718" s="35"/>
      <c r="AT3718" s="35"/>
      <c r="AU3718" s="35"/>
      <c r="AV3718" s="35"/>
      <c r="AW3718" s="35"/>
      <c r="AX3718" s="35"/>
      <c r="AY3718" s="35"/>
      <c r="AZ3718" s="35"/>
      <c r="BA3718" s="35"/>
      <c r="BB3718" s="22">
        <f t="shared" si="1110"/>
        <v>0</v>
      </c>
      <c r="BC3718" s="23">
        <v>0</v>
      </c>
      <c r="BD3718" s="130">
        <f t="shared" si="1111"/>
        <v>0</v>
      </c>
      <c r="BE3718" s="130">
        <f t="shared" si="1112"/>
        <v>654</v>
      </c>
      <c r="BF3718" s="195">
        <f t="shared" si="1113"/>
        <v>0</v>
      </c>
      <c r="BG3718" s="373">
        <f t="shared" si="1115"/>
        <v>654</v>
      </c>
    </row>
    <row r="3719" spans="1:59" s="46" customFormat="1" ht="15.95" customHeight="1">
      <c r="A3719" s="176">
        <v>20</v>
      </c>
      <c r="B3719" s="31" t="s">
        <v>1477</v>
      </c>
      <c r="C3719" s="32" t="s">
        <v>1478</v>
      </c>
      <c r="D3719" s="231"/>
      <c r="E3719" s="231"/>
      <c r="F3719" s="231"/>
      <c r="G3719" s="231"/>
      <c r="H3719" s="231">
        <v>19</v>
      </c>
      <c r="I3719" s="231"/>
      <c r="J3719" s="231"/>
      <c r="K3719" s="231"/>
      <c r="L3719" s="231">
        <v>39</v>
      </c>
      <c r="M3719" s="231"/>
      <c r="N3719" s="231"/>
      <c r="O3719" s="231"/>
      <c r="P3719" s="231">
        <v>33</v>
      </c>
      <c r="Q3719" s="231"/>
      <c r="R3719" s="231"/>
      <c r="S3719" s="231"/>
      <c r="T3719" s="231"/>
      <c r="U3719" s="231"/>
      <c r="V3719" s="231"/>
      <c r="W3719" s="231"/>
      <c r="X3719" s="231"/>
      <c r="Y3719" s="231"/>
      <c r="Z3719" s="231"/>
      <c r="AA3719" s="231"/>
      <c r="AB3719" s="22">
        <f t="shared" si="1109"/>
        <v>91</v>
      </c>
      <c r="AC3719" s="23">
        <v>118</v>
      </c>
      <c r="AD3719" s="35"/>
      <c r="AE3719" s="35"/>
      <c r="AF3719" s="35"/>
      <c r="AG3719" s="35"/>
      <c r="AH3719" s="35"/>
      <c r="AI3719" s="35"/>
      <c r="AJ3719" s="35"/>
      <c r="AK3719" s="35"/>
      <c r="AL3719" s="35"/>
      <c r="AM3719" s="35"/>
      <c r="AN3719" s="35"/>
      <c r="AO3719" s="35"/>
      <c r="AP3719" s="35"/>
      <c r="AQ3719" s="35"/>
      <c r="AR3719" s="35"/>
      <c r="AS3719" s="35"/>
      <c r="AT3719" s="35"/>
      <c r="AU3719" s="35"/>
      <c r="AV3719" s="35"/>
      <c r="AW3719" s="35"/>
      <c r="AX3719" s="35"/>
      <c r="AY3719" s="35"/>
      <c r="AZ3719" s="35"/>
      <c r="BA3719" s="35"/>
      <c r="BB3719" s="22">
        <f t="shared" si="1110"/>
        <v>0</v>
      </c>
      <c r="BC3719" s="23">
        <v>0</v>
      </c>
      <c r="BD3719" s="130">
        <f t="shared" si="1111"/>
        <v>91</v>
      </c>
      <c r="BE3719" s="130">
        <f t="shared" si="1112"/>
        <v>118</v>
      </c>
      <c r="BF3719" s="195">
        <f t="shared" si="1113"/>
        <v>77.118644067796609</v>
      </c>
      <c r="BG3719" s="373">
        <f t="shared" si="1115"/>
        <v>27</v>
      </c>
    </row>
    <row r="3720" spans="1:59" s="46" customFormat="1" ht="15.95" customHeight="1">
      <c r="A3720" s="176">
        <v>21</v>
      </c>
      <c r="B3720" s="31" t="s">
        <v>4015</v>
      </c>
      <c r="C3720" s="32" t="s">
        <v>4016</v>
      </c>
      <c r="D3720" s="552"/>
      <c r="E3720" s="552"/>
      <c r="F3720" s="552"/>
      <c r="G3720" s="552"/>
      <c r="H3720" s="552"/>
      <c r="I3720" s="552"/>
      <c r="J3720" s="552"/>
      <c r="K3720" s="552"/>
      <c r="L3720" s="552">
        <v>111</v>
      </c>
      <c r="M3720" s="552"/>
      <c r="N3720" s="552"/>
      <c r="O3720" s="552"/>
      <c r="P3720" s="552">
        <v>161</v>
      </c>
      <c r="Q3720" s="552"/>
      <c r="R3720" s="552"/>
      <c r="S3720" s="552"/>
      <c r="T3720" s="552"/>
      <c r="U3720" s="552"/>
      <c r="V3720" s="552"/>
      <c r="W3720" s="552"/>
      <c r="X3720" s="552"/>
      <c r="Y3720" s="552"/>
      <c r="Z3720" s="552"/>
      <c r="AA3720" s="552"/>
      <c r="AB3720" s="22">
        <f t="shared" si="1109"/>
        <v>272</v>
      </c>
      <c r="AC3720" s="23">
        <v>0</v>
      </c>
      <c r="AD3720" s="35"/>
      <c r="AE3720" s="35"/>
      <c r="AF3720" s="35"/>
      <c r="AG3720" s="35"/>
      <c r="AH3720" s="35"/>
      <c r="AI3720" s="35"/>
      <c r="AJ3720" s="35"/>
      <c r="AK3720" s="35"/>
      <c r="AL3720" s="35"/>
      <c r="AM3720" s="35"/>
      <c r="AN3720" s="35"/>
      <c r="AO3720" s="35"/>
      <c r="AP3720" s="35"/>
      <c r="AQ3720" s="35"/>
      <c r="AR3720" s="35"/>
      <c r="AS3720" s="35"/>
      <c r="AT3720" s="35"/>
      <c r="AU3720" s="35"/>
      <c r="AV3720" s="35"/>
      <c r="AW3720" s="35"/>
      <c r="AX3720" s="35"/>
      <c r="AY3720" s="35"/>
      <c r="AZ3720" s="35"/>
      <c r="BA3720" s="35"/>
      <c r="BB3720" s="22">
        <f t="shared" si="1110"/>
        <v>0</v>
      </c>
      <c r="BC3720" s="23">
        <v>0</v>
      </c>
      <c r="BD3720" s="130">
        <f t="shared" si="1111"/>
        <v>272</v>
      </c>
      <c r="BE3720" s="130">
        <f t="shared" si="1112"/>
        <v>0</v>
      </c>
      <c r="BF3720" s="195" t="e">
        <f t="shared" si="1113"/>
        <v>#DIV/0!</v>
      </c>
      <c r="BG3720" s="373"/>
    </row>
    <row r="3721" spans="1:59" s="46" customFormat="1" ht="15.95" customHeight="1">
      <c r="A3721" s="176">
        <v>22</v>
      </c>
      <c r="B3721" s="31" t="s">
        <v>1479</v>
      </c>
      <c r="C3721" s="32" t="s">
        <v>2263</v>
      </c>
      <c r="D3721" s="231"/>
      <c r="E3721" s="231"/>
      <c r="F3721" s="231"/>
      <c r="G3721" s="231"/>
      <c r="H3721" s="231"/>
      <c r="I3721" s="231"/>
      <c r="J3721" s="231"/>
      <c r="K3721" s="231"/>
      <c r="L3721" s="231">
        <v>14</v>
      </c>
      <c r="M3721" s="231"/>
      <c r="N3721" s="231"/>
      <c r="O3721" s="231"/>
      <c r="P3721" s="231">
        <v>28</v>
      </c>
      <c r="Q3721" s="231"/>
      <c r="R3721" s="231"/>
      <c r="S3721" s="231"/>
      <c r="T3721" s="231"/>
      <c r="U3721" s="231"/>
      <c r="V3721" s="231"/>
      <c r="W3721" s="231"/>
      <c r="X3721" s="231"/>
      <c r="Y3721" s="231"/>
      <c r="Z3721" s="231"/>
      <c r="AA3721" s="231"/>
      <c r="AB3721" s="22">
        <f t="shared" si="1109"/>
        <v>42</v>
      </c>
      <c r="AC3721" s="23">
        <v>102</v>
      </c>
      <c r="AD3721" s="35"/>
      <c r="AE3721" s="35"/>
      <c r="AF3721" s="35"/>
      <c r="AG3721" s="35"/>
      <c r="AH3721" s="35"/>
      <c r="AI3721" s="35"/>
      <c r="AJ3721" s="35"/>
      <c r="AK3721" s="35"/>
      <c r="AL3721" s="35"/>
      <c r="AM3721" s="35"/>
      <c r="AN3721" s="35"/>
      <c r="AO3721" s="35"/>
      <c r="AP3721" s="35"/>
      <c r="AQ3721" s="35"/>
      <c r="AR3721" s="35"/>
      <c r="AS3721" s="35"/>
      <c r="AT3721" s="35"/>
      <c r="AU3721" s="35"/>
      <c r="AV3721" s="35"/>
      <c r="AW3721" s="35"/>
      <c r="AX3721" s="35"/>
      <c r="AY3721" s="35"/>
      <c r="AZ3721" s="35"/>
      <c r="BA3721" s="35"/>
      <c r="BB3721" s="22">
        <f t="shared" si="1110"/>
        <v>0</v>
      </c>
      <c r="BC3721" s="23">
        <v>0</v>
      </c>
      <c r="BD3721" s="130">
        <f t="shared" si="1111"/>
        <v>42</v>
      </c>
      <c r="BE3721" s="130">
        <f t="shared" si="1112"/>
        <v>102</v>
      </c>
      <c r="BF3721" s="195">
        <f t="shared" si="1113"/>
        <v>41.17647058823529</v>
      </c>
      <c r="BG3721" s="373">
        <f>BE3721-BD3721</f>
        <v>60</v>
      </c>
    </row>
    <row r="3722" spans="1:59" s="46" customFormat="1" ht="15.95" customHeight="1">
      <c r="A3722" s="176">
        <v>23</v>
      </c>
      <c r="B3722" s="31" t="s">
        <v>1480</v>
      </c>
      <c r="C3722" s="32" t="s">
        <v>1481</v>
      </c>
      <c r="D3722" s="231"/>
      <c r="E3722" s="231"/>
      <c r="F3722" s="231"/>
      <c r="G3722" s="231"/>
      <c r="H3722" s="231">
        <v>2</v>
      </c>
      <c r="I3722" s="231"/>
      <c r="J3722" s="231"/>
      <c r="K3722" s="231"/>
      <c r="L3722" s="231">
        <v>3</v>
      </c>
      <c r="M3722" s="231"/>
      <c r="N3722" s="231"/>
      <c r="O3722" s="231"/>
      <c r="P3722" s="231">
        <v>3</v>
      </c>
      <c r="Q3722" s="231"/>
      <c r="R3722" s="231"/>
      <c r="S3722" s="231"/>
      <c r="T3722" s="231"/>
      <c r="U3722" s="231"/>
      <c r="V3722" s="231"/>
      <c r="W3722" s="231"/>
      <c r="X3722" s="231"/>
      <c r="Y3722" s="231"/>
      <c r="Z3722" s="231"/>
      <c r="AA3722" s="231"/>
      <c r="AB3722" s="22">
        <f t="shared" si="1109"/>
        <v>8</v>
      </c>
      <c r="AC3722" s="23">
        <v>27</v>
      </c>
      <c r="AD3722" s="35"/>
      <c r="AE3722" s="35"/>
      <c r="AF3722" s="35"/>
      <c r="AG3722" s="35"/>
      <c r="AH3722" s="35"/>
      <c r="AI3722" s="35"/>
      <c r="AJ3722" s="35"/>
      <c r="AK3722" s="35"/>
      <c r="AL3722" s="35"/>
      <c r="AM3722" s="35"/>
      <c r="AN3722" s="35"/>
      <c r="AO3722" s="35"/>
      <c r="AP3722" s="35"/>
      <c r="AQ3722" s="35"/>
      <c r="AR3722" s="35"/>
      <c r="AS3722" s="35"/>
      <c r="AT3722" s="35"/>
      <c r="AU3722" s="35"/>
      <c r="AV3722" s="35"/>
      <c r="AW3722" s="35"/>
      <c r="AX3722" s="35"/>
      <c r="AY3722" s="35"/>
      <c r="AZ3722" s="35"/>
      <c r="BA3722" s="35"/>
      <c r="BB3722" s="22">
        <f t="shared" si="1110"/>
        <v>0</v>
      </c>
      <c r="BC3722" s="23">
        <v>0</v>
      </c>
      <c r="BD3722" s="130">
        <f t="shared" si="1111"/>
        <v>8</v>
      </c>
      <c r="BE3722" s="130">
        <f t="shared" si="1112"/>
        <v>27</v>
      </c>
      <c r="BF3722" s="195">
        <f t="shared" si="1113"/>
        <v>29.629629629629626</v>
      </c>
      <c r="BG3722" s="373">
        <f>BE3722-BD3722</f>
        <v>19</v>
      </c>
    </row>
    <row r="3723" spans="1:59" s="46" customFormat="1" ht="15.95" customHeight="1">
      <c r="A3723" s="176">
        <v>24</v>
      </c>
      <c r="B3723" s="31" t="s">
        <v>1482</v>
      </c>
      <c r="C3723" s="32" t="s">
        <v>2308</v>
      </c>
      <c r="D3723" s="231"/>
      <c r="E3723" s="231"/>
      <c r="F3723" s="231"/>
      <c r="G3723" s="231"/>
      <c r="H3723" s="231">
        <v>1</v>
      </c>
      <c r="I3723" s="231"/>
      <c r="J3723" s="231"/>
      <c r="K3723" s="231"/>
      <c r="L3723" s="231">
        <v>4</v>
      </c>
      <c r="M3723" s="231"/>
      <c r="N3723" s="231"/>
      <c r="O3723" s="231"/>
      <c r="P3723" s="231">
        <v>2</v>
      </c>
      <c r="Q3723" s="231"/>
      <c r="R3723" s="231"/>
      <c r="S3723" s="231"/>
      <c r="T3723" s="231"/>
      <c r="U3723" s="231"/>
      <c r="V3723" s="231"/>
      <c r="W3723" s="231"/>
      <c r="X3723" s="231"/>
      <c r="Y3723" s="231"/>
      <c r="Z3723" s="231"/>
      <c r="AA3723" s="231"/>
      <c r="AB3723" s="22">
        <f t="shared" si="1109"/>
        <v>7</v>
      </c>
      <c r="AC3723" s="23">
        <v>31</v>
      </c>
      <c r="AD3723" s="35"/>
      <c r="AE3723" s="35"/>
      <c r="AF3723" s="35"/>
      <c r="AG3723" s="35"/>
      <c r="AH3723" s="35"/>
      <c r="AI3723" s="35"/>
      <c r="AJ3723" s="35"/>
      <c r="AK3723" s="35"/>
      <c r="AL3723" s="35"/>
      <c r="AM3723" s="35"/>
      <c r="AN3723" s="35"/>
      <c r="AO3723" s="35"/>
      <c r="AP3723" s="35"/>
      <c r="AQ3723" s="35"/>
      <c r="AR3723" s="35"/>
      <c r="AS3723" s="35"/>
      <c r="AT3723" s="35"/>
      <c r="AU3723" s="35"/>
      <c r="AV3723" s="35"/>
      <c r="AW3723" s="35"/>
      <c r="AX3723" s="35"/>
      <c r="AY3723" s="35"/>
      <c r="AZ3723" s="35"/>
      <c r="BA3723" s="35"/>
      <c r="BB3723" s="22">
        <f t="shared" si="1110"/>
        <v>0</v>
      </c>
      <c r="BC3723" s="23">
        <v>0</v>
      </c>
      <c r="BD3723" s="130">
        <f t="shared" si="1111"/>
        <v>7</v>
      </c>
      <c r="BE3723" s="130">
        <f t="shared" si="1112"/>
        <v>31</v>
      </c>
      <c r="BF3723" s="195">
        <f t="shared" si="1113"/>
        <v>22.58064516129032</v>
      </c>
      <c r="BG3723" s="373">
        <f>BE3723-BD3723</f>
        <v>24</v>
      </c>
    </row>
    <row r="3724" spans="1:59" s="46" customFormat="1" ht="15.95" customHeight="1">
      <c r="A3724" s="176">
        <v>25</v>
      </c>
      <c r="B3724" s="31" t="s">
        <v>1311</v>
      </c>
      <c r="C3724" s="32" t="s">
        <v>3825</v>
      </c>
      <c r="D3724" s="526"/>
      <c r="E3724" s="526"/>
      <c r="F3724" s="526"/>
      <c r="G3724" s="526"/>
      <c r="H3724" s="526">
        <v>10</v>
      </c>
      <c r="I3724" s="526"/>
      <c r="J3724" s="526"/>
      <c r="K3724" s="526"/>
      <c r="L3724" s="526">
        <v>29</v>
      </c>
      <c r="M3724" s="526"/>
      <c r="N3724" s="526"/>
      <c r="O3724" s="526"/>
      <c r="P3724" s="526">
        <v>44</v>
      </c>
      <c r="Q3724" s="526"/>
      <c r="R3724" s="526"/>
      <c r="S3724" s="526"/>
      <c r="T3724" s="526"/>
      <c r="U3724" s="526"/>
      <c r="V3724" s="526"/>
      <c r="W3724" s="526"/>
      <c r="X3724" s="526"/>
      <c r="Y3724" s="526"/>
      <c r="Z3724" s="526"/>
      <c r="AA3724" s="526"/>
      <c r="AB3724" s="22">
        <f t="shared" si="1109"/>
        <v>83</v>
      </c>
      <c r="AC3724" s="23">
        <v>0</v>
      </c>
      <c r="AD3724" s="35"/>
      <c r="AE3724" s="35"/>
      <c r="AF3724" s="35"/>
      <c r="AG3724" s="35"/>
      <c r="AH3724" s="35"/>
      <c r="AI3724" s="35"/>
      <c r="AJ3724" s="35"/>
      <c r="AK3724" s="35"/>
      <c r="AL3724" s="35"/>
      <c r="AM3724" s="35"/>
      <c r="AN3724" s="35"/>
      <c r="AO3724" s="35"/>
      <c r="AP3724" s="35"/>
      <c r="AQ3724" s="35"/>
      <c r="AR3724" s="35"/>
      <c r="AS3724" s="35"/>
      <c r="AT3724" s="35"/>
      <c r="AU3724" s="35"/>
      <c r="AV3724" s="35"/>
      <c r="AW3724" s="35"/>
      <c r="AX3724" s="35"/>
      <c r="AY3724" s="35"/>
      <c r="AZ3724" s="35"/>
      <c r="BA3724" s="35"/>
      <c r="BB3724" s="22">
        <f t="shared" si="1110"/>
        <v>0</v>
      </c>
      <c r="BC3724" s="23">
        <v>0</v>
      </c>
      <c r="BD3724" s="130">
        <f t="shared" si="1111"/>
        <v>83</v>
      </c>
      <c r="BE3724" s="130">
        <f t="shared" si="1112"/>
        <v>0</v>
      </c>
      <c r="BF3724" s="195" t="e">
        <f t="shared" si="1113"/>
        <v>#DIV/0!</v>
      </c>
      <c r="BG3724" s="373"/>
    </row>
    <row r="3725" spans="1:59" s="46" customFormat="1" ht="15.95" customHeight="1">
      <c r="A3725" s="176">
        <v>26</v>
      </c>
      <c r="B3725" s="31" t="s">
        <v>1485</v>
      </c>
      <c r="C3725" s="32" t="s">
        <v>1486</v>
      </c>
      <c r="D3725" s="231"/>
      <c r="E3725" s="231"/>
      <c r="F3725" s="231"/>
      <c r="G3725" s="231"/>
      <c r="H3725" s="231"/>
      <c r="I3725" s="231"/>
      <c r="J3725" s="231"/>
      <c r="K3725" s="231"/>
      <c r="L3725" s="231"/>
      <c r="M3725" s="231"/>
      <c r="N3725" s="231"/>
      <c r="O3725" s="231"/>
      <c r="P3725" s="231"/>
      <c r="Q3725" s="231"/>
      <c r="R3725" s="231"/>
      <c r="S3725" s="231"/>
      <c r="T3725" s="231"/>
      <c r="U3725" s="231"/>
      <c r="V3725" s="231"/>
      <c r="W3725" s="231"/>
      <c r="X3725" s="231"/>
      <c r="Y3725" s="231"/>
      <c r="Z3725" s="231"/>
      <c r="AA3725" s="231"/>
      <c r="AB3725" s="22">
        <f t="shared" si="1109"/>
        <v>0</v>
      </c>
      <c r="AC3725" s="23">
        <v>104</v>
      </c>
      <c r="AD3725" s="35"/>
      <c r="AE3725" s="35"/>
      <c r="AF3725" s="35"/>
      <c r="AG3725" s="35"/>
      <c r="AH3725" s="35"/>
      <c r="AI3725" s="35"/>
      <c r="AJ3725" s="35"/>
      <c r="AK3725" s="35"/>
      <c r="AL3725" s="35"/>
      <c r="AM3725" s="35"/>
      <c r="AN3725" s="35"/>
      <c r="AO3725" s="35"/>
      <c r="AP3725" s="35"/>
      <c r="AQ3725" s="35"/>
      <c r="AR3725" s="35"/>
      <c r="AS3725" s="35"/>
      <c r="AT3725" s="35"/>
      <c r="AU3725" s="35"/>
      <c r="AV3725" s="35"/>
      <c r="AW3725" s="35"/>
      <c r="AX3725" s="35"/>
      <c r="AY3725" s="35"/>
      <c r="AZ3725" s="35"/>
      <c r="BA3725" s="35"/>
      <c r="BB3725" s="22">
        <f t="shared" si="1110"/>
        <v>0</v>
      </c>
      <c r="BC3725" s="23">
        <v>0</v>
      </c>
      <c r="BD3725" s="130">
        <f t="shared" si="1111"/>
        <v>0</v>
      </c>
      <c r="BE3725" s="130">
        <f t="shared" si="1112"/>
        <v>104</v>
      </c>
      <c r="BF3725" s="195">
        <f t="shared" si="1113"/>
        <v>0</v>
      </c>
      <c r="BG3725" s="373">
        <f>BE3725-BD3725</f>
        <v>104</v>
      </c>
    </row>
    <row r="3726" spans="1:59" s="46" customFormat="1" ht="15.95" customHeight="1">
      <c r="A3726" s="176">
        <v>27</v>
      </c>
      <c r="B3726" s="31" t="s">
        <v>1428</v>
      </c>
      <c r="C3726" s="32" t="s">
        <v>1429</v>
      </c>
      <c r="D3726" s="231"/>
      <c r="E3726" s="231"/>
      <c r="F3726" s="231"/>
      <c r="G3726" s="231"/>
      <c r="H3726" s="231">
        <v>13</v>
      </c>
      <c r="I3726" s="231"/>
      <c r="J3726" s="231"/>
      <c r="K3726" s="231"/>
      <c r="L3726" s="231">
        <v>61</v>
      </c>
      <c r="M3726" s="231"/>
      <c r="N3726" s="231"/>
      <c r="O3726" s="231"/>
      <c r="P3726" s="231">
        <v>55</v>
      </c>
      <c r="Q3726" s="231"/>
      <c r="R3726" s="231"/>
      <c r="S3726" s="231"/>
      <c r="T3726" s="231"/>
      <c r="U3726" s="231"/>
      <c r="V3726" s="231"/>
      <c r="W3726" s="231"/>
      <c r="X3726" s="231"/>
      <c r="Y3726" s="231"/>
      <c r="Z3726" s="231"/>
      <c r="AA3726" s="231"/>
      <c r="AB3726" s="22">
        <f t="shared" si="1109"/>
        <v>129</v>
      </c>
      <c r="AC3726" s="23">
        <v>234</v>
      </c>
      <c r="AD3726" s="35"/>
      <c r="AE3726" s="35"/>
      <c r="AF3726" s="35"/>
      <c r="AG3726" s="35"/>
      <c r="AH3726" s="35"/>
      <c r="AI3726" s="35"/>
      <c r="AJ3726" s="35"/>
      <c r="AK3726" s="35"/>
      <c r="AL3726" s="35"/>
      <c r="AM3726" s="35"/>
      <c r="AN3726" s="35"/>
      <c r="AO3726" s="35"/>
      <c r="AP3726" s="35"/>
      <c r="AQ3726" s="35"/>
      <c r="AR3726" s="35"/>
      <c r="AS3726" s="35"/>
      <c r="AT3726" s="35"/>
      <c r="AU3726" s="35"/>
      <c r="AV3726" s="35"/>
      <c r="AW3726" s="35"/>
      <c r="AX3726" s="35"/>
      <c r="AY3726" s="35"/>
      <c r="AZ3726" s="35"/>
      <c r="BA3726" s="35"/>
      <c r="BB3726" s="22">
        <f t="shared" si="1110"/>
        <v>0</v>
      </c>
      <c r="BC3726" s="23">
        <v>0</v>
      </c>
      <c r="BD3726" s="130">
        <f t="shared" si="1111"/>
        <v>129</v>
      </c>
      <c r="BE3726" s="130">
        <f t="shared" si="1112"/>
        <v>234</v>
      </c>
      <c r="BF3726" s="195">
        <f t="shared" si="1113"/>
        <v>55.128205128205131</v>
      </c>
      <c r="BG3726" s="373">
        <f>BE3726-BD3726</f>
        <v>105</v>
      </c>
    </row>
    <row r="3727" spans="1:59" s="46" customFormat="1" ht="15.95" customHeight="1">
      <c r="A3727" s="176">
        <v>28</v>
      </c>
      <c r="B3727" s="31" t="s">
        <v>2110</v>
      </c>
      <c r="C3727" s="32" t="s">
        <v>3601</v>
      </c>
      <c r="D3727" s="390"/>
      <c r="E3727" s="390"/>
      <c r="F3727" s="390"/>
      <c r="G3727" s="390"/>
      <c r="H3727" s="390"/>
      <c r="I3727" s="390"/>
      <c r="J3727" s="390"/>
      <c r="K3727" s="390"/>
      <c r="L3727" s="390"/>
      <c r="M3727" s="390"/>
      <c r="N3727" s="390"/>
      <c r="O3727" s="390"/>
      <c r="P3727" s="390"/>
      <c r="Q3727" s="390"/>
      <c r="R3727" s="390"/>
      <c r="S3727" s="390"/>
      <c r="T3727" s="390"/>
      <c r="U3727" s="390"/>
      <c r="V3727" s="390"/>
      <c r="W3727" s="390"/>
      <c r="X3727" s="390"/>
      <c r="Y3727" s="390"/>
      <c r="Z3727" s="390"/>
      <c r="AA3727" s="390"/>
      <c r="AB3727" s="22">
        <f t="shared" si="1109"/>
        <v>0</v>
      </c>
      <c r="AC3727" s="23">
        <v>1</v>
      </c>
      <c r="AD3727" s="35"/>
      <c r="AE3727" s="35"/>
      <c r="AF3727" s="35"/>
      <c r="AG3727" s="35"/>
      <c r="AH3727" s="35"/>
      <c r="AI3727" s="35"/>
      <c r="AJ3727" s="35"/>
      <c r="AK3727" s="35"/>
      <c r="AL3727" s="35"/>
      <c r="AM3727" s="35"/>
      <c r="AN3727" s="35"/>
      <c r="AO3727" s="35"/>
      <c r="AP3727" s="35"/>
      <c r="AQ3727" s="35"/>
      <c r="AR3727" s="35"/>
      <c r="AS3727" s="35"/>
      <c r="AT3727" s="35"/>
      <c r="AU3727" s="35"/>
      <c r="AV3727" s="35"/>
      <c r="AW3727" s="35"/>
      <c r="AX3727" s="35"/>
      <c r="AY3727" s="35"/>
      <c r="AZ3727" s="35"/>
      <c r="BA3727" s="35"/>
      <c r="BB3727" s="22">
        <f t="shared" si="1110"/>
        <v>0</v>
      </c>
      <c r="BC3727" s="23">
        <v>0</v>
      </c>
      <c r="BD3727" s="130">
        <f t="shared" si="1111"/>
        <v>0</v>
      </c>
      <c r="BE3727" s="130">
        <f t="shared" si="1112"/>
        <v>1</v>
      </c>
      <c r="BF3727" s="195">
        <f t="shared" si="1113"/>
        <v>0</v>
      </c>
      <c r="BG3727" s="373">
        <f>BE3727-BD3727</f>
        <v>1</v>
      </c>
    </row>
    <row r="3728" spans="1:59" s="46" customFormat="1" ht="15.95" customHeight="1">
      <c r="A3728" s="176">
        <v>29</v>
      </c>
      <c r="B3728" s="31" t="s">
        <v>1312</v>
      </c>
      <c r="C3728" s="32" t="s">
        <v>1687</v>
      </c>
      <c r="D3728" s="231"/>
      <c r="E3728" s="231"/>
      <c r="F3728" s="231"/>
      <c r="G3728" s="231"/>
      <c r="H3728" s="231">
        <v>52</v>
      </c>
      <c r="I3728" s="231"/>
      <c r="J3728" s="231"/>
      <c r="K3728" s="231"/>
      <c r="L3728" s="231">
        <v>188</v>
      </c>
      <c r="M3728" s="231"/>
      <c r="N3728" s="231"/>
      <c r="O3728" s="231"/>
      <c r="P3728" s="231">
        <v>205</v>
      </c>
      <c r="Q3728" s="231"/>
      <c r="R3728" s="231"/>
      <c r="S3728" s="231"/>
      <c r="T3728" s="231"/>
      <c r="U3728" s="231"/>
      <c r="V3728" s="231"/>
      <c r="W3728" s="231"/>
      <c r="X3728" s="231"/>
      <c r="Y3728" s="231"/>
      <c r="Z3728" s="231"/>
      <c r="AA3728" s="231"/>
      <c r="AB3728" s="22">
        <f t="shared" si="1109"/>
        <v>445</v>
      </c>
      <c r="AC3728" s="23">
        <v>631</v>
      </c>
      <c r="AD3728" s="35"/>
      <c r="AE3728" s="35"/>
      <c r="AF3728" s="35"/>
      <c r="AG3728" s="35"/>
      <c r="AH3728" s="35"/>
      <c r="AI3728" s="35"/>
      <c r="AJ3728" s="35"/>
      <c r="AK3728" s="35"/>
      <c r="AL3728" s="35"/>
      <c r="AM3728" s="35"/>
      <c r="AN3728" s="35"/>
      <c r="AO3728" s="35"/>
      <c r="AP3728" s="35"/>
      <c r="AQ3728" s="35"/>
      <c r="AR3728" s="35"/>
      <c r="AS3728" s="35"/>
      <c r="AT3728" s="35"/>
      <c r="AU3728" s="35"/>
      <c r="AV3728" s="35"/>
      <c r="AW3728" s="35"/>
      <c r="AX3728" s="35"/>
      <c r="AY3728" s="35"/>
      <c r="AZ3728" s="35"/>
      <c r="BA3728" s="35"/>
      <c r="BB3728" s="22">
        <f t="shared" si="1110"/>
        <v>0</v>
      </c>
      <c r="BC3728" s="23">
        <v>0</v>
      </c>
      <c r="BD3728" s="130">
        <f t="shared" si="1111"/>
        <v>445</v>
      </c>
      <c r="BE3728" s="130">
        <f t="shared" si="1112"/>
        <v>631</v>
      </c>
      <c r="BF3728" s="195">
        <f t="shared" si="1113"/>
        <v>70.522979397781299</v>
      </c>
      <c r="BG3728" s="373">
        <f>BE3728-BD3728</f>
        <v>186</v>
      </c>
    </row>
    <row r="3729" spans="1:59" s="46" customFormat="1" ht="15.95" customHeight="1">
      <c r="A3729" s="176">
        <v>30</v>
      </c>
      <c r="B3729" s="31" t="s">
        <v>337</v>
      </c>
      <c r="C3729" s="32" t="s">
        <v>338</v>
      </c>
      <c r="D3729" s="552"/>
      <c r="E3729" s="552"/>
      <c r="F3729" s="552"/>
      <c r="G3729" s="552"/>
      <c r="H3729" s="552"/>
      <c r="I3729" s="552"/>
      <c r="J3729" s="552"/>
      <c r="K3729" s="552"/>
      <c r="L3729" s="552">
        <v>1</v>
      </c>
      <c r="M3729" s="552"/>
      <c r="N3729" s="552"/>
      <c r="O3729" s="552"/>
      <c r="P3729" s="552">
        <v>1</v>
      </c>
      <c r="Q3729" s="552"/>
      <c r="R3729" s="552"/>
      <c r="S3729" s="552"/>
      <c r="T3729" s="552"/>
      <c r="U3729" s="552"/>
      <c r="V3729" s="552"/>
      <c r="W3729" s="552"/>
      <c r="X3729" s="552"/>
      <c r="Y3729" s="552"/>
      <c r="Z3729" s="552"/>
      <c r="AA3729" s="552"/>
      <c r="AB3729" s="22">
        <f t="shared" si="1109"/>
        <v>2</v>
      </c>
      <c r="AC3729" s="23">
        <v>0</v>
      </c>
      <c r="AD3729" s="35"/>
      <c r="AE3729" s="35"/>
      <c r="AF3729" s="35"/>
      <c r="AG3729" s="35"/>
      <c r="AH3729" s="35"/>
      <c r="AI3729" s="35"/>
      <c r="AJ3729" s="35"/>
      <c r="AK3729" s="35"/>
      <c r="AL3729" s="35"/>
      <c r="AM3729" s="35"/>
      <c r="AN3729" s="35"/>
      <c r="AO3729" s="35"/>
      <c r="AP3729" s="35"/>
      <c r="AQ3729" s="35"/>
      <c r="AR3729" s="35"/>
      <c r="AS3729" s="35"/>
      <c r="AT3729" s="35"/>
      <c r="AU3729" s="35"/>
      <c r="AV3729" s="35"/>
      <c r="AW3729" s="35"/>
      <c r="AX3729" s="35"/>
      <c r="AY3729" s="35"/>
      <c r="AZ3729" s="35"/>
      <c r="BA3729" s="35"/>
      <c r="BB3729" s="22">
        <f t="shared" si="1110"/>
        <v>0</v>
      </c>
      <c r="BC3729" s="23">
        <v>0</v>
      </c>
      <c r="BD3729" s="130">
        <f t="shared" si="1111"/>
        <v>2</v>
      </c>
      <c r="BE3729" s="130">
        <f t="shared" si="1112"/>
        <v>0</v>
      </c>
      <c r="BF3729" s="195" t="e">
        <f t="shared" si="1113"/>
        <v>#DIV/0!</v>
      </c>
      <c r="BG3729" s="373"/>
    </row>
    <row r="3730" spans="1:59" s="46" customFormat="1" ht="15.95" customHeight="1">
      <c r="A3730" s="176">
        <v>31</v>
      </c>
      <c r="B3730" s="31" t="s">
        <v>1314</v>
      </c>
      <c r="C3730" s="32" t="s">
        <v>1315</v>
      </c>
      <c r="D3730" s="231"/>
      <c r="E3730" s="231"/>
      <c r="F3730" s="231"/>
      <c r="G3730" s="231"/>
      <c r="H3730" s="231"/>
      <c r="I3730" s="231"/>
      <c r="J3730" s="231"/>
      <c r="K3730" s="231"/>
      <c r="L3730" s="231">
        <v>1</v>
      </c>
      <c r="M3730" s="231"/>
      <c r="N3730" s="231"/>
      <c r="O3730" s="231"/>
      <c r="P3730" s="231">
        <v>2</v>
      </c>
      <c r="Q3730" s="231"/>
      <c r="R3730" s="231"/>
      <c r="S3730" s="231"/>
      <c r="T3730" s="231"/>
      <c r="U3730" s="231"/>
      <c r="V3730" s="231"/>
      <c r="W3730" s="231"/>
      <c r="X3730" s="231"/>
      <c r="Y3730" s="231"/>
      <c r="Z3730" s="231"/>
      <c r="AA3730" s="231"/>
      <c r="AB3730" s="22">
        <f t="shared" si="1109"/>
        <v>3</v>
      </c>
      <c r="AC3730" s="23">
        <v>16</v>
      </c>
      <c r="AD3730" s="35"/>
      <c r="AE3730" s="35"/>
      <c r="AF3730" s="35"/>
      <c r="AG3730" s="35"/>
      <c r="AH3730" s="35"/>
      <c r="AI3730" s="35"/>
      <c r="AJ3730" s="35"/>
      <c r="AK3730" s="35"/>
      <c r="AL3730" s="35"/>
      <c r="AM3730" s="35"/>
      <c r="AN3730" s="35"/>
      <c r="AO3730" s="35"/>
      <c r="AP3730" s="35"/>
      <c r="AQ3730" s="35"/>
      <c r="AR3730" s="35"/>
      <c r="AS3730" s="35"/>
      <c r="AT3730" s="35"/>
      <c r="AU3730" s="35"/>
      <c r="AV3730" s="35"/>
      <c r="AW3730" s="35"/>
      <c r="AX3730" s="35"/>
      <c r="AY3730" s="35"/>
      <c r="AZ3730" s="35"/>
      <c r="BA3730" s="35"/>
      <c r="BB3730" s="22">
        <f t="shared" si="1110"/>
        <v>0</v>
      </c>
      <c r="BC3730" s="23">
        <v>0</v>
      </c>
      <c r="BD3730" s="130">
        <f t="shared" si="1111"/>
        <v>3</v>
      </c>
      <c r="BE3730" s="130">
        <f t="shared" si="1112"/>
        <v>16</v>
      </c>
      <c r="BF3730" s="195">
        <f t="shared" si="1113"/>
        <v>18.75</v>
      </c>
      <c r="BG3730" s="373">
        <f>BE3730-BD3730</f>
        <v>13</v>
      </c>
    </row>
    <row r="3731" spans="1:59" s="46" customFormat="1" ht="15.95" customHeight="1">
      <c r="A3731" s="176">
        <v>32</v>
      </c>
      <c r="B3731" s="31" t="s">
        <v>1494</v>
      </c>
      <c r="C3731" s="32" t="s">
        <v>1679</v>
      </c>
      <c r="D3731" s="231"/>
      <c r="E3731" s="231"/>
      <c r="F3731" s="231"/>
      <c r="G3731" s="231"/>
      <c r="H3731" s="231">
        <v>2</v>
      </c>
      <c r="I3731" s="231"/>
      <c r="J3731" s="231"/>
      <c r="K3731" s="231"/>
      <c r="L3731" s="231">
        <v>13</v>
      </c>
      <c r="M3731" s="231"/>
      <c r="N3731" s="231"/>
      <c r="O3731" s="231"/>
      <c r="P3731" s="231">
        <v>12</v>
      </c>
      <c r="Q3731" s="231"/>
      <c r="R3731" s="231"/>
      <c r="S3731" s="231"/>
      <c r="T3731" s="231"/>
      <c r="U3731" s="231"/>
      <c r="V3731" s="231"/>
      <c r="W3731" s="231"/>
      <c r="X3731" s="231"/>
      <c r="Y3731" s="231"/>
      <c r="Z3731" s="231"/>
      <c r="AA3731" s="231"/>
      <c r="AB3731" s="22">
        <f t="shared" si="1109"/>
        <v>27</v>
      </c>
      <c r="AC3731" s="23">
        <v>42</v>
      </c>
      <c r="AD3731" s="35"/>
      <c r="AE3731" s="35"/>
      <c r="AF3731" s="35"/>
      <c r="AG3731" s="35"/>
      <c r="AH3731" s="35"/>
      <c r="AI3731" s="35"/>
      <c r="AJ3731" s="35"/>
      <c r="AK3731" s="35"/>
      <c r="AL3731" s="35"/>
      <c r="AM3731" s="35"/>
      <c r="AN3731" s="35"/>
      <c r="AO3731" s="35"/>
      <c r="AP3731" s="35"/>
      <c r="AQ3731" s="35"/>
      <c r="AR3731" s="35"/>
      <c r="AS3731" s="35"/>
      <c r="AT3731" s="35"/>
      <c r="AU3731" s="35"/>
      <c r="AV3731" s="35"/>
      <c r="AW3731" s="35"/>
      <c r="AX3731" s="35"/>
      <c r="AY3731" s="35"/>
      <c r="AZ3731" s="35"/>
      <c r="BA3731" s="35"/>
      <c r="BB3731" s="22">
        <f t="shared" si="1110"/>
        <v>0</v>
      </c>
      <c r="BC3731" s="23">
        <v>0</v>
      </c>
      <c r="BD3731" s="130">
        <f t="shared" si="1111"/>
        <v>27</v>
      </c>
      <c r="BE3731" s="130">
        <f t="shared" si="1112"/>
        <v>42</v>
      </c>
      <c r="BF3731" s="195">
        <f t="shared" si="1113"/>
        <v>64.285714285714292</v>
      </c>
      <c r="BG3731" s="373">
        <f>BE3731-BD3731</f>
        <v>15</v>
      </c>
    </row>
    <row r="3732" spans="1:59" s="46" customFormat="1" ht="15.95" customHeight="1">
      <c r="A3732" s="176">
        <v>33</v>
      </c>
      <c r="B3732" s="314" t="s">
        <v>1495</v>
      </c>
      <c r="C3732" s="315" t="s">
        <v>1496</v>
      </c>
      <c r="D3732" s="311"/>
      <c r="E3732" s="311"/>
      <c r="F3732" s="311"/>
      <c r="G3732" s="311"/>
      <c r="H3732" s="311"/>
      <c r="I3732" s="311"/>
      <c r="J3732" s="311"/>
      <c r="K3732" s="311"/>
      <c r="L3732" s="311">
        <v>1</v>
      </c>
      <c r="M3732" s="311"/>
      <c r="N3732" s="311"/>
      <c r="O3732" s="311"/>
      <c r="P3732" s="311">
        <v>1</v>
      </c>
      <c r="Q3732" s="311"/>
      <c r="R3732" s="311"/>
      <c r="S3732" s="311"/>
      <c r="T3732" s="311"/>
      <c r="U3732" s="311"/>
      <c r="V3732" s="311"/>
      <c r="W3732" s="311"/>
      <c r="X3732" s="311"/>
      <c r="Y3732" s="311"/>
      <c r="Z3732" s="311"/>
      <c r="AA3732" s="311"/>
      <c r="AB3732" s="300">
        <f t="shared" ref="AB3732:AB3748" si="1116">SUM(D3732:AA3732)</f>
        <v>2</v>
      </c>
      <c r="AC3732" s="303">
        <v>1</v>
      </c>
      <c r="AD3732" s="316"/>
      <c r="AE3732" s="316"/>
      <c r="AF3732" s="316"/>
      <c r="AG3732" s="316"/>
      <c r="AH3732" s="316"/>
      <c r="AI3732" s="316"/>
      <c r="AJ3732" s="316"/>
      <c r="AK3732" s="316"/>
      <c r="AL3732" s="316"/>
      <c r="AM3732" s="316"/>
      <c r="AN3732" s="316"/>
      <c r="AO3732" s="316"/>
      <c r="AP3732" s="316"/>
      <c r="AQ3732" s="316"/>
      <c r="AR3732" s="316"/>
      <c r="AS3732" s="316"/>
      <c r="AT3732" s="316"/>
      <c r="AU3732" s="316"/>
      <c r="AV3732" s="316"/>
      <c r="AW3732" s="316"/>
      <c r="AX3732" s="316"/>
      <c r="AY3732" s="316"/>
      <c r="AZ3732" s="316"/>
      <c r="BA3732" s="316"/>
      <c r="BB3732" s="300">
        <f t="shared" ref="BB3732:BB3748" si="1117">SUM(AD3732:BA3732)</f>
        <v>0</v>
      </c>
      <c r="BC3732" s="303">
        <v>0</v>
      </c>
      <c r="BD3732" s="304">
        <f t="shared" ref="BD3732:BD3748" si="1118">AB3732+BB3732</f>
        <v>2</v>
      </c>
      <c r="BE3732" s="304">
        <f t="shared" ref="BE3732:BE3748" si="1119">AC3732+BC3732</f>
        <v>1</v>
      </c>
      <c r="BF3732" s="195">
        <f t="shared" ref="BF3732:BF3748" si="1120">BD3732/BE3732*100</f>
        <v>200</v>
      </c>
      <c r="BG3732" s="373">
        <f>BE3732-BD3732</f>
        <v>-1</v>
      </c>
    </row>
    <row r="3733" spans="1:59" s="46" customFormat="1" ht="15.95" customHeight="1">
      <c r="A3733" s="176">
        <v>34</v>
      </c>
      <c r="B3733" s="31" t="s">
        <v>1324</v>
      </c>
      <c r="C3733" s="32" t="s">
        <v>2582</v>
      </c>
      <c r="D3733" s="231"/>
      <c r="E3733" s="231"/>
      <c r="F3733" s="231"/>
      <c r="G3733" s="231"/>
      <c r="H3733" s="231"/>
      <c r="I3733" s="231"/>
      <c r="J3733" s="231"/>
      <c r="K3733" s="231"/>
      <c r="L3733" s="231"/>
      <c r="M3733" s="231"/>
      <c r="N3733" s="231"/>
      <c r="O3733" s="231"/>
      <c r="P3733" s="231"/>
      <c r="Q3733" s="231"/>
      <c r="R3733" s="231"/>
      <c r="S3733" s="231"/>
      <c r="T3733" s="231"/>
      <c r="U3733" s="231"/>
      <c r="V3733" s="231"/>
      <c r="W3733" s="231"/>
      <c r="X3733" s="231"/>
      <c r="Y3733" s="231"/>
      <c r="Z3733" s="231"/>
      <c r="AA3733" s="231"/>
      <c r="AB3733" s="22">
        <f t="shared" si="1116"/>
        <v>0</v>
      </c>
      <c r="AC3733" s="23">
        <v>4</v>
      </c>
      <c r="AD3733" s="35"/>
      <c r="AE3733" s="35"/>
      <c r="AF3733" s="35"/>
      <c r="AG3733" s="35"/>
      <c r="AH3733" s="35"/>
      <c r="AI3733" s="35"/>
      <c r="AJ3733" s="35"/>
      <c r="AK3733" s="35"/>
      <c r="AL3733" s="35"/>
      <c r="AM3733" s="35"/>
      <c r="AN3733" s="35"/>
      <c r="AO3733" s="35"/>
      <c r="AP3733" s="35"/>
      <c r="AQ3733" s="35"/>
      <c r="AR3733" s="35"/>
      <c r="AS3733" s="35"/>
      <c r="AT3733" s="35"/>
      <c r="AU3733" s="35"/>
      <c r="AV3733" s="35"/>
      <c r="AW3733" s="35"/>
      <c r="AX3733" s="35"/>
      <c r="AY3733" s="35"/>
      <c r="AZ3733" s="35"/>
      <c r="BA3733" s="35"/>
      <c r="BB3733" s="22">
        <f t="shared" si="1117"/>
        <v>0</v>
      </c>
      <c r="BC3733" s="23">
        <v>0</v>
      </c>
      <c r="BD3733" s="130">
        <f t="shared" si="1118"/>
        <v>0</v>
      </c>
      <c r="BE3733" s="130">
        <f t="shared" si="1119"/>
        <v>4</v>
      </c>
      <c r="BF3733" s="195">
        <f t="shared" si="1120"/>
        <v>0</v>
      </c>
      <c r="BG3733" s="373">
        <f>BE3733-BD3733</f>
        <v>4</v>
      </c>
    </row>
    <row r="3734" spans="1:59" s="46" customFormat="1" ht="15.95" customHeight="1">
      <c r="A3734" s="176">
        <v>35</v>
      </c>
      <c r="B3734" s="31" t="s">
        <v>1047</v>
      </c>
      <c r="C3734" s="32" t="s">
        <v>1326</v>
      </c>
      <c r="D3734" s="552"/>
      <c r="E3734" s="552"/>
      <c r="F3734" s="552"/>
      <c r="G3734" s="552"/>
      <c r="H3734" s="552"/>
      <c r="I3734" s="552"/>
      <c r="J3734" s="552"/>
      <c r="K3734" s="552"/>
      <c r="L3734" s="552">
        <v>1</v>
      </c>
      <c r="M3734" s="552"/>
      <c r="N3734" s="552"/>
      <c r="O3734" s="552"/>
      <c r="P3734" s="552">
        <v>1</v>
      </c>
      <c r="Q3734" s="552"/>
      <c r="R3734" s="552"/>
      <c r="S3734" s="552"/>
      <c r="T3734" s="552"/>
      <c r="U3734" s="552"/>
      <c r="V3734" s="552"/>
      <c r="W3734" s="552"/>
      <c r="X3734" s="552"/>
      <c r="Y3734" s="552"/>
      <c r="Z3734" s="552"/>
      <c r="AA3734" s="552"/>
      <c r="AB3734" s="22">
        <f t="shared" si="1116"/>
        <v>2</v>
      </c>
      <c r="AC3734" s="23">
        <v>0</v>
      </c>
      <c r="AD3734" s="35"/>
      <c r="AE3734" s="35"/>
      <c r="AF3734" s="35"/>
      <c r="AG3734" s="35"/>
      <c r="AH3734" s="35"/>
      <c r="AI3734" s="35"/>
      <c r="AJ3734" s="35"/>
      <c r="AK3734" s="35"/>
      <c r="AL3734" s="35"/>
      <c r="AM3734" s="35"/>
      <c r="AN3734" s="35"/>
      <c r="AO3734" s="35"/>
      <c r="AP3734" s="35"/>
      <c r="AQ3734" s="35"/>
      <c r="AR3734" s="35"/>
      <c r="AS3734" s="35"/>
      <c r="AT3734" s="35"/>
      <c r="AU3734" s="35"/>
      <c r="AV3734" s="35"/>
      <c r="AW3734" s="35"/>
      <c r="AX3734" s="35"/>
      <c r="AY3734" s="35"/>
      <c r="AZ3734" s="35"/>
      <c r="BA3734" s="35"/>
      <c r="BB3734" s="22">
        <f t="shared" si="1117"/>
        <v>0</v>
      </c>
      <c r="BC3734" s="23">
        <v>0</v>
      </c>
      <c r="BD3734" s="130">
        <f t="shared" si="1118"/>
        <v>2</v>
      </c>
      <c r="BE3734" s="130">
        <f t="shared" si="1119"/>
        <v>0</v>
      </c>
      <c r="BF3734" s="195" t="e">
        <f t="shared" si="1120"/>
        <v>#DIV/0!</v>
      </c>
      <c r="BG3734" s="373"/>
    </row>
    <row r="3735" spans="1:59" s="46" customFormat="1" ht="15.95" customHeight="1">
      <c r="A3735" s="176">
        <v>36</v>
      </c>
      <c r="B3735" s="31" t="s">
        <v>1332</v>
      </c>
      <c r="C3735" s="32" t="s">
        <v>1333</v>
      </c>
      <c r="D3735" s="231"/>
      <c r="E3735" s="231"/>
      <c r="F3735" s="231"/>
      <c r="G3735" s="231"/>
      <c r="H3735" s="231">
        <v>2</v>
      </c>
      <c r="I3735" s="231"/>
      <c r="J3735" s="231"/>
      <c r="K3735" s="231"/>
      <c r="L3735" s="231">
        <v>39</v>
      </c>
      <c r="M3735" s="231"/>
      <c r="N3735" s="231"/>
      <c r="O3735" s="231"/>
      <c r="P3735" s="231">
        <v>36</v>
      </c>
      <c r="Q3735" s="231"/>
      <c r="R3735" s="231"/>
      <c r="S3735" s="231"/>
      <c r="T3735" s="231"/>
      <c r="U3735" s="231"/>
      <c r="V3735" s="231"/>
      <c r="W3735" s="231"/>
      <c r="X3735" s="231"/>
      <c r="Y3735" s="231"/>
      <c r="Z3735" s="231"/>
      <c r="AA3735" s="231"/>
      <c r="AB3735" s="22">
        <f t="shared" si="1116"/>
        <v>77</v>
      </c>
      <c r="AC3735" s="23">
        <v>177</v>
      </c>
      <c r="AD3735" s="35"/>
      <c r="AE3735" s="35"/>
      <c r="AF3735" s="35"/>
      <c r="AG3735" s="35"/>
      <c r="AH3735" s="35"/>
      <c r="AI3735" s="35"/>
      <c r="AJ3735" s="35"/>
      <c r="AK3735" s="35"/>
      <c r="AL3735" s="35"/>
      <c r="AM3735" s="35"/>
      <c r="AN3735" s="35"/>
      <c r="AO3735" s="35"/>
      <c r="AP3735" s="35"/>
      <c r="AQ3735" s="35"/>
      <c r="AR3735" s="35"/>
      <c r="AS3735" s="35"/>
      <c r="AT3735" s="35"/>
      <c r="AU3735" s="35"/>
      <c r="AV3735" s="35"/>
      <c r="AW3735" s="35"/>
      <c r="AX3735" s="35"/>
      <c r="AY3735" s="35"/>
      <c r="AZ3735" s="35"/>
      <c r="BA3735" s="35"/>
      <c r="BB3735" s="22">
        <f t="shared" si="1117"/>
        <v>0</v>
      </c>
      <c r="BC3735" s="23">
        <v>0</v>
      </c>
      <c r="BD3735" s="130">
        <f t="shared" si="1118"/>
        <v>77</v>
      </c>
      <c r="BE3735" s="130">
        <f t="shared" si="1119"/>
        <v>177</v>
      </c>
      <c r="BF3735" s="195">
        <f t="shared" si="1120"/>
        <v>43.502824858757059</v>
      </c>
      <c r="BG3735" s="373">
        <f t="shared" ref="BG3735:BG3741" si="1121">BE3735-BD3735</f>
        <v>100</v>
      </c>
    </row>
    <row r="3736" spans="1:59" s="46" customFormat="1" ht="15.95" customHeight="1">
      <c r="A3736" s="176">
        <v>37</v>
      </c>
      <c r="B3736" s="31" t="s">
        <v>1187</v>
      </c>
      <c r="C3736" s="32" t="s">
        <v>1188</v>
      </c>
      <c r="D3736" s="258"/>
      <c r="E3736" s="258"/>
      <c r="F3736" s="258"/>
      <c r="G3736" s="258"/>
      <c r="H3736" s="258"/>
      <c r="I3736" s="258"/>
      <c r="J3736" s="258"/>
      <c r="K3736" s="258"/>
      <c r="L3736" s="258"/>
      <c r="M3736" s="258"/>
      <c r="N3736" s="258"/>
      <c r="O3736" s="258"/>
      <c r="P3736" s="258">
        <v>1</v>
      </c>
      <c r="Q3736" s="258"/>
      <c r="R3736" s="258"/>
      <c r="S3736" s="258"/>
      <c r="T3736" s="258"/>
      <c r="U3736" s="258"/>
      <c r="V3736" s="258"/>
      <c r="W3736" s="258"/>
      <c r="X3736" s="258"/>
      <c r="Y3736" s="258"/>
      <c r="Z3736" s="258"/>
      <c r="AA3736" s="258"/>
      <c r="AB3736" s="22">
        <f t="shared" si="1116"/>
        <v>1</v>
      </c>
      <c r="AC3736" s="23">
        <v>8</v>
      </c>
      <c r="AD3736" s="35"/>
      <c r="AE3736" s="35"/>
      <c r="AF3736" s="35"/>
      <c r="AG3736" s="35"/>
      <c r="AH3736" s="35"/>
      <c r="AI3736" s="35"/>
      <c r="AJ3736" s="35"/>
      <c r="AK3736" s="35"/>
      <c r="AL3736" s="35"/>
      <c r="AM3736" s="35"/>
      <c r="AN3736" s="35"/>
      <c r="AO3736" s="35"/>
      <c r="AP3736" s="35"/>
      <c r="AQ3736" s="35"/>
      <c r="AR3736" s="35"/>
      <c r="AS3736" s="35"/>
      <c r="AT3736" s="35"/>
      <c r="AU3736" s="35"/>
      <c r="AV3736" s="35"/>
      <c r="AW3736" s="35"/>
      <c r="AX3736" s="35"/>
      <c r="AY3736" s="35"/>
      <c r="AZ3736" s="35"/>
      <c r="BA3736" s="35"/>
      <c r="BB3736" s="22">
        <f t="shared" si="1117"/>
        <v>0</v>
      </c>
      <c r="BC3736" s="23">
        <v>0</v>
      </c>
      <c r="BD3736" s="130">
        <f t="shared" si="1118"/>
        <v>1</v>
      </c>
      <c r="BE3736" s="130">
        <f t="shared" si="1119"/>
        <v>8</v>
      </c>
      <c r="BF3736" s="195">
        <f t="shared" si="1120"/>
        <v>12.5</v>
      </c>
      <c r="BG3736" s="373">
        <f t="shared" si="1121"/>
        <v>7</v>
      </c>
    </row>
    <row r="3737" spans="1:59" s="46" customFormat="1" ht="15.95" customHeight="1">
      <c r="A3737" s="176">
        <v>38</v>
      </c>
      <c r="B3737" s="31" t="s">
        <v>915</v>
      </c>
      <c r="C3737" s="32" t="s">
        <v>1015</v>
      </c>
      <c r="D3737" s="231"/>
      <c r="E3737" s="231"/>
      <c r="F3737" s="231"/>
      <c r="G3737" s="231"/>
      <c r="H3737" s="231">
        <v>7</v>
      </c>
      <c r="I3737" s="231"/>
      <c r="J3737" s="231"/>
      <c r="K3737" s="231"/>
      <c r="L3737" s="231">
        <v>34</v>
      </c>
      <c r="M3737" s="231"/>
      <c r="N3737" s="231"/>
      <c r="O3737" s="231"/>
      <c r="P3737" s="231">
        <v>48</v>
      </c>
      <c r="Q3737" s="231"/>
      <c r="R3737" s="231"/>
      <c r="S3737" s="231"/>
      <c r="T3737" s="231"/>
      <c r="U3737" s="231"/>
      <c r="V3737" s="231"/>
      <c r="W3737" s="231"/>
      <c r="X3737" s="231"/>
      <c r="Y3737" s="231"/>
      <c r="Z3737" s="231"/>
      <c r="AA3737" s="231"/>
      <c r="AB3737" s="22">
        <f t="shared" si="1116"/>
        <v>89</v>
      </c>
      <c r="AC3737" s="23">
        <v>154</v>
      </c>
      <c r="AD3737" s="35"/>
      <c r="AE3737" s="35"/>
      <c r="AF3737" s="35"/>
      <c r="AG3737" s="35"/>
      <c r="AH3737" s="35"/>
      <c r="AI3737" s="35"/>
      <c r="AJ3737" s="35"/>
      <c r="AK3737" s="35"/>
      <c r="AL3737" s="35"/>
      <c r="AM3737" s="35"/>
      <c r="AN3737" s="35"/>
      <c r="AO3737" s="35"/>
      <c r="AP3737" s="35"/>
      <c r="AQ3737" s="35"/>
      <c r="AR3737" s="35"/>
      <c r="AS3737" s="35"/>
      <c r="AT3737" s="35"/>
      <c r="AU3737" s="35"/>
      <c r="AV3737" s="35"/>
      <c r="AW3737" s="35"/>
      <c r="AX3737" s="35"/>
      <c r="AY3737" s="35"/>
      <c r="AZ3737" s="35"/>
      <c r="BA3737" s="35"/>
      <c r="BB3737" s="22">
        <f t="shared" si="1117"/>
        <v>0</v>
      </c>
      <c r="BC3737" s="23">
        <v>0</v>
      </c>
      <c r="BD3737" s="130">
        <f t="shared" si="1118"/>
        <v>89</v>
      </c>
      <c r="BE3737" s="130">
        <f t="shared" si="1119"/>
        <v>154</v>
      </c>
      <c r="BF3737" s="195">
        <f t="shared" si="1120"/>
        <v>57.792207792207797</v>
      </c>
      <c r="BG3737" s="373">
        <f t="shared" si="1121"/>
        <v>65</v>
      </c>
    </row>
    <row r="3738" spans="1:59" s="46" customFormat="1" ht="15.95" customHeight="1">
      <c r="A3738" s="176">
        <v>39</v>
      </c>
      <c r="B3738" s="31" t="s">
        <v>1191</v>
      </c>
      <c r="C3738" s="32" t="s">
        <v>1345</v>
      </c>
      <c r="D3738" s="231"/>
      <c r="E3738" s="231"/>
      <c r="F3738" s="231"/>
      <c r="G3738" s="231"/>
      <c r="H3738" s="231">
        <v>1</v>
      </c>
      <c r="I3738" s="231"/>
      <c r="J3738" s="231"/>
      <c r="K3738" s="231"/>
      <c r="L3738" s="231">
        <v>27</v>
      </c>
      <c r="M3738" s="231"/>
      <c r="N3738" s="231"/>
      <c r="O3738" s="231"/>
      <c r="P3738" s="231">
        <v>28</v>
      </c>
      <c r="Q3738" s="231"/>
      <c r="R3738" s="231"/>
      <c r="S3738" s="231"/>
      <c r="T3738" s="231"/>
      <c r="U3738" s="231"/>
      <c r="V3738" s="231"/>
      <c r="W3738" s="231"/>
      <c r="X3738" s="231"/>
      <c r="Y3738" s="231"/>
      <c r="Z3738" s="231"/>
      <c r="AA3738" s="231"/>
      <c r="AB3738" s="22">
        <f t="shared" si="1116"/>
        <v>56</v>
      </c>
      <c r="AC3738" s="23">
        <v>8</v>
      </c>
      <c r="AD3738" s="35"/>
      <c r="AE3738" s="35"/>
      <c r="AF3738" s="35"/>
      <c r="AG3738" s="35"/>
      <c r="AH3738" s="35"/>
      <c r="AI3738" s="35"/>
      <c r="AJ3738" s="35"/>
      <c r="AK3738" s="35"/>
      <c r="AL3738" s="35"/>
      <c r="AM3738" s="35"/>
      <c r="AN3738" s="35"/>
      <c r="AO3738" s="35"/>
      <c r="AP3738" s="35"/>
      <c r="AQ3738" s="35"/>
      <c r="AR3738" s="35"/>
      <c r="AS3738" s="35"/>
      <c r="AT3738" s="35"/>
      <c r="AU3738" s="35"/>
      <c r="AV3738" s="35"/>
      <c r="AW3738" s="35"/>
      <c r="AX3738" s="35"/>
      <c r="AY3738" s="35"/>
      <c r="AZ3738" s="35"/>
      <c r="BA3738" s="35"/>
      <c r="BB3738" s="22">
        <f t="shared" si="1117"/>
        <v>0</v>
      </c>
      <c r="BC3738" s="23">
        <v>0</v>
      </c>
      <c r="BD3738" s="130">
        <f t="shared" si="1118"/>
        <v>56</v>
      </c>
      <c r="BE3738" s="130">
        <f t="shared" si="1119"/>
        <v>8</v>
      </c>
      <c r="BF3738" s="195">
        <f t="shared" si="1120"/>
        <v>700</v>
      </c>
      <c r="BG3738" s="373">
        <f t="shared" si="1121"/>
        <v>-48</v>
      </c>
    </row>
    <row r="3739" spans="1:59" s="46" customFormat="1" ht="15.95" customHeight="1">
      <c r="A3739" s="176">
        <v>40</v>
      </c>
      <c r="B3739" s="31" t="s">
        <v>1120</v>
      </c>
      <c r="C3739" s="32" t="s">
        <v>1642</v>
      </c>
      <c r="D3739" s="231"/>
      <c r="E3739" s="231"/>
      <c r="F3739" s="231"/>
      <c r="G3739" s="231"/>
      <c r="H3739" s="231">
        <v>4</v>
      </c>
      <c r="I3739" s="231"/>
      <c r="J3739" s="231"/>
      <c r="K3739" s="231"/>
      <c r="L3739" s="231">
        <v>11</v>
      </c>
      <c r="M3739" s="231"/>
      <c r="N3739" s="231"/>
      <c r="O3739" s="231"/>
      <c r="P3739" s="231">
        <v>12</v>
      </c>
      <c r="Q3739" s="231"/>
      <c r="R3739" s="231"/>
      <c r="S3739" s="231"/>
      <c r="T3739" s="231"/>
      <c r="U3739" s="231"/>
      <c r="V3739" s="231"/>
      <c r="W3739" s="231"/>
      <c r="X3739" s="231"/>
      <c r="Y3739" s="231"/>
      <c r="Z3739" s="231"/>
      <c r="AA3739" s="231"/>
      <c r="AB3739" s="22">
        <f t="shared" si="1116"/>
        <v>27</v>
      </c>
      <c r="AC3739" s="23">
        <v>15</v>
      </c>
      <c r="AD3739" s="35"/>
      <c r="AE3739" s="35"/>
      <c r="AF3739" s="35"/>
      <c r="AG3739" s="35"/>
      <c r="AH3739" s="35"/>
      <c r="AI3739" s="35"/>
      <c r="AJ3739" s="35"/>
      <c r="AK3739" s="35"/>
      <c r="AL3739" s="35"/>
      <c r="AM3739" s="35"/>
      <c r="AN3739" s="35"/>
      <c r="AO3739" s="35"/>
      <c r="AP3739" s="35"/>
      <c r="AQ3739" s="35"/>
      <c r="AR3739" s="35"/>
      <c r="AS3739" s="35"/>
      <c r="AT3739" s="35"/>
      <c r="AU3739" s="35"/>
      <c r="AV3739" s="35"/>
      <c r="AW3739" s="35"/>
      <c r="AX3739" s="35"/>
      <c r="AY3739" s="35"/>
      <c r="AZ3739" s="35"/>
      <c r="BA3739" s="35"/>
      <c r="BB3739" s="22">
        <f t="shared" si="1117"/>
        <v>0</v>
      </c>
      <c r="BC3739" s="23">
        <v>0</v>
      </c>
      <c r="BD3739" s="130">
        <f t="shared" si="1118"/>
        <v>27</v>
      </c>
      <c r="BE3739" s="130">
        <f t="shared" si="1119"/>
        <v>15</v>
      </c>
      <c r="BF3739" s="195">
        <f t="shared" si="1120"/>
        <v>180</v>
      </c>
      <c r="BG3739" s="373">
        <f t="shared" si="1121"/>
        <v>-12</v>
      </c>
    </row>
    <row r="3740" spans="1:59" s="46" customFormat="1" ht="15.95" customHeight="1">
      <c r="A3740" s="176">
        <v>41</v>
      </c>
      <c r="B3740" s="31" t="s">
        <v>854</v>
      </c>
      <c r="C3740" s="32" t="s">
        <v>855</v>
      </c>
      <c r="D3740" s="231"/>
      <c r="E3740" s="231"/>
      <c r="F3740" s="231"/>
      <c r="G3740" s="231"/>
      <c r="H3740" s="231">
        <v>10</v>
      </c>
      <c r="I3740" s="231"/>
      <c r="J3740" s="231"/>
      <c r="K3740" s="231"/>
      <c r="L3740" s="231">
        <v>21</v>
      </c>
      <c r="M3740" s="231"/>
      <c r="N3740" s="231"/>
      <c r="O3740" s="231"/>
      <c r="P3740" s="231">
        <v>12</v>
      </c>
      <c r="Q3740" s="231"/>
      <c r="R3740" s="231"/>
      <c r="S3740" s="231"/>
      <c r="T3740" s="231"/>
      <c r="U3740" s="231"/>
      <c r="V3740" s="231"/>
      <c r="W3740" s="231"/>
      <c r="X3740" s="231"/>
      <c r="Y3740" s="231"/>
      <c r="Z3740" s="231"/>
      <c r="AA3740" s="231"/>
      <c r="AB3740" s="22">
        <f t="shared" si="1116"/>
        <v>43</v>
      </c>
      <c r="AC3740" s="23">
        <v>120</v>
      </c>
      <c r="AD3740" s="35"/>
      <c r="AE3740" s="35"/>
      <c r="AF3740" s="35"/>
      <c r="AG3740" s="35"/>
      <c r="AH3740" s="35"/>
      <c r="AI3740" s="35"/>
      <c r="AJ3740" s="35"/>
      <c r="AK3740" s="35"/>
      <c r="AL3740" s="35"/>
      <c r="AM3740" s="35"/>
      <c r="AN3740" s="35"/>
      <c r="AO3740" s="35"/>
      <c r="AP3740" s="35"/>
      <c r="AQ3740" s="35"/>
      <c r="AR3740" s="35"/>
      <c r="AS3740" s="35"/>
      <c r="AT3740" s="35"/>
      <c r="AU3740" s="35"/>
      <c r="AV3740" s="35"/>
      <c r="AW3740" s="35"/>
      <c r="AX3740" s="35"/>
      <c r="AY3740" s="35"/>
      <c r="AZ3740" s="35"/>
      <c r="BA3740" s="35"/>
      <c r="BB3740" s="22">
        <f t="shared" si="1117"/>
        <v>0</v>
      </c>
      <c r="BC3740" s="23">
        <v>0</v>
      </c>
      <c r="BD3740" s="130">
        <f t="shared" si="1118"/>
        <v>43</v>
      </c>
      <c r="BE3740" s="130">
        <f t="shared" si="1119"/>
        <v>120</v>
      </c>
      <c r="BF3740" s="195">
        <f t="shared" si="1120"/>
        <v>35.833333333333336</v>
      </c>
      <c r="BG3740" s="373">
        <f t="shared" si="1121"/>
        <v>77</v>
      </c>
    </row>
    <row r="3741" spans="1:59" s="46" customFormat="1" ht="15.95" customHeight="1">
      <c r="A3741" s="176">
        <v>42</v>
      </c>
      <c r="B3741" s="31" t="s">
        <v>1022</v>
      </c>
      <c r="C3741" s="32" t="s">
        <v>1023</v>
      </c>
      <c r="D3741" s="231"/>
      <c r="E3741" s="231"/>
      <c r="F3741" s="231"/>
      <c r="G3741" s="231"/>
      <c r="H3741" s="231"/>
      <c r="I3741" s="231"/>
      <c r="J3741" s="231"/>
      <c r="K3741" s="231"/>
      <c r="L3741" s="231"/>
      <c r="M3741" s="231"/>
      <c r="N3741" s="231"/>
      <c r="O3741" s="231"/>
      <c r="P3741" s="231">
        <v>1</v>
      </c>
      <c r="Q3741" s="231"/>
      <c r="R3741" s="231"/>
      <c r="S3741" s="231"/>
      <c r="T3741" s="231"/>
      <c r="U3741" s="231"/>
      <c r="V3741" s="231"/>
      <c r="W3741" s="231"/>
      <c r="X3741" s="231"/>
      <c r="Y3741" s="231"/>
      <c r="Z3741" s="231"/>
      <c r="AA3741" s="231"/>
      <c r="AB3741" s="22">
        <f t="shared" si="1116"/>
        <v>1</v>
      </c>
      <c r="AC3741" s="23">
        <v>12</v>
      </c>
      <c r="AD3741" s="35"/>
      <c r="AE3741" s="35"/>
      <c r="AF3741" s="35"/>
      <c r="AG3741" s="35"/>
      <c r="AH3741" s="35"/>
      <c r="AI3741" s="35"/>
      <c r="AJ3741" s="35"/>
      <c r="AK3741" s="35"/>
      <c r="AL3741" s="35"/>
      <c r="AM3741" s="35"/>
      <c r="AN3741" s="35"/>
      <c r="AO3741" s="35"/>
      <c r="AP3741" s="35"/>
      <c r="AQ3741" s="35"/>
      <c r="AR3741" s="35"/>
      <c r="AS3741" s="35"/>
      <c r="AT3741" s="35"/>
      <c r="AU3741" s="35"/>
      <c r="AV3741" s="35"/>
      <c r="AW3741" s="35"/>
      <c r="AX3741" s="35"/>
      <c r="AY3741" s="35"/>
      <c r="AZ3741" s="35"/>
      <c r="BA3741" s="35"/>
      <c r="BB3741" s="22">
        <f t="shared" si="1117"/>
        <v>0</v>
      </c>
      <c r="BC3741" s="23">
        <v>0</v>
      </c>
      <c r="BD3741" s="130">
        <f t="shared" si="1118"/>
        <v>1</v>
      </c>
      <c r="BE3741" s="130">
        <f t="shared" si="1119"/>
        <v>12</v>
      </c>
      <c r="BF3741" s="195">
        <f t="shared" si="1120"/>
        <v>8.3333333333333321</v>
      </c>
      <c r="BG3741" s="373">
        <f t="shared" si="1121"/>
        <v>11</v>
      </c>
    </row>
    <row r="3742" spans="1:59" s="46" customFormat="1" ht="15.95" customHeight="1">
      <c r="A3742" s="176">
        <v>43</v>
      </c>
      <c r="B3742" s="31" t="s">
        <v>1209</v>
      </c>
      <c r="C3742" s="32" t="s">
        <v>1645</v>
      </c>
      <c r="D3742" s="552"/>
      <c r="E3742" s="552"/>
      <c r="F3742" s="552"/>
      <c r="G3742" s="552"/>
      <c r="H3742" s="552"/>
      <c r="I3742" s="552"/>
      <c r="J3742" s="552"/>
      <c r="K3742" s="552"/>
      <c r="L3742" s="552">
        <v>4</v>
      </c>
      <c r="M3742" s="552"/>
      <c r="N3742" s="552"/>
      <c r="O3742" s="552"/>
      <c r="P3742" s="552">
        <v>5</v>
      </c>
      <c r="Q3742" s="552"/>
      <c r="R3742" s="552"/>
      <c r="S3742" s="552"/>
      <c r="T3742" s="552"/>
      <c r="U3742" s="552"/>
      <c r="V3742" s="552"/>
      <c r="W3742" s="552"/>
      <c r="X3742" s="552"/>
      <c r="Y3742" s="552"/>
      <c r="Z3742" s="552"/>
      <c r="AA3742" s="552"/>
      <c r="AB3742" s="22">
        <f t="shared" si="1116"/>
        <v>9</v>
      </c>
      <c r="AC3742" s="23">
        <v>0</v>
      </c>
      <c r="AD3742" s="35"/>
      <c r="AE3742" s="35"/>
      <c r="AF3742" s="35"/>
      <c r="AG3742" s="35"/>
      <c r="AH3742" s="35"/>
      <c r="AI3742" s="35"/>
      <c r="AJ3742" s="35"/>
      <c r="AK3742" s="35"/>
      <c r="AL3742" s="35"/>
      <c r="AM3742" s="35"/>
      <c r="AN3742" s="35"/>
      <c r="AO3742" s="35"/>
      <c r="AP3742" s="35"/>
      <c r="AQ3742" s="35"/>
      <c r="AR3742" s="35"/>
      <c r="AS3742" s="35"/>
      <c r="AT3742" s="35"/>
      <c r="AU3742" s="35"/>
      <c r="AV3742" s="35"/>
      <c r="AW3742" s="35"/>
      <c r="AX3742" s="35"/>
      <c r="AY3742" s="35"/>
      <c r="AZ3742" s="35"/>
      <c r="BA3742" s="35"/>
      <c r="BB3742" s="22">
        <f t="shared" si="1117"/>
        <v>0</v>
      </c>
      <c r="BC3742" s="23">
        <v>0</v>
      </c>
      <c r="BD3742" s="130">
        <f t="shared" si="1118"/>
        <v>9</v>
      </c>
      <c r="BE3742" s="130">
        <f t="shared" si="1119"/>
        <v>0</v>
      </c>
      <c r="BF3742" s="195" t="e">
        <f t="shared" si="1120"/>
        <v>#DIV/0!</v>
      </c>
      <c r="BG3742" s="373"/>
    </row>
    <row r="3743" spans="1:59" s="46" customFormat="1" ht="15.95" customHeight="1">
      <c r="A3743" s="176">
        <v>44</v>
      </c>
      <c r="B3743" s="31" t="s">
        <v>858</v>
      </c>
      <c r="C3743" s="32" t="s">
        <v>859</v>
      </c>
      <c r="D3743" s="231"/>
      <c r="E3743" s="231"/>
      <c r="F3743" s="231"/>
      <c r="G3743" s="231"/>
      <c r="H3743" s="231"/>
      <c r="I3743" s="231"/>
      <c r="J3743" s="231"/>
      <c r="K3743" s="231"/>
      <c r="L3743" s="231"/>
      <c r="M3743" s="231"/>
      <c r="N3743" s="231"/>
      <c r="O3743" s="231"/>
      <c r="P3743" s="231">
        <v>1</v>
      </c>
      <c r="Q3743" s="231"/>
      <c r="R3743" s="231"/>
      <c r="S3743" s="231"/>
      <c r="T3743" s="231"/>
      <c r="U3743" s="231"/>
      <c r="V3743" s="231"/>
      <c r="W3743" s="231"/>
      <c r="X3743" s="231"/>
      <c r="Y3743" s="231"/>
      <c r="Z3743" s="231"/>
      <c r="AA3743" s="231"/>
      <c r="AB3743" s="22">
        <f t="shared" si="1116"/>
        <v>1</v>
      </c>
      <c r="AC3743" s="23">
        <v>1</v>
      </c>
      <c r="AD3743" s="35"/>
      <c r="AE3743" s="35"/>
      <c r="AF3743" s="35"/>
      <c r="AG3743" s="35"/>
      <c r="AH3743" s="35"/>
      <c r="AI3743" s="35"/>
      <c r="AJ3743" s="35"/>
      <c r="AK3743" s="35"/>
      <c r="AL3743" s="35"/>
      <c r="AM3743" s="35"/>
      <c r="AN3743" s="35"/>
      <c r="AO3743" s="35"/>
      <c r="AP3743" s="35"/>
      <c r="AQ3743" s="35"/>
      <c r="AR3743" s="35"/>
      <c r="AS3743" s="35"/>
      <c r="AT3743" s="35"/>
      <c r="AU3743" s="35"/>
      <c r="AV3743" s="35"/>
      <c r="AW3743" s="35"/>
      <c r="AX3743" s="35"/>
      <c r="AY3743" s="35"/>
      <c r="AZ3743" s="35"/>
      <c r="BA3743" s="35"/>
      <c r="BB3743" s="22">
        <f t="shared" si="1117"/>
        <v>0</v>
      </c>
      <c r="BC3743" s="23">
        <v>0</v>
      </c>
      <c r="BD3743" s="130">
        <f t="shared" si="1118"/>
        <v>1</v>
      </c>
      <c r="BE3743" s="130">
        <f t="shared" si="1119"/>
        <v>1</v>
      </c>
      <c r="BF3743" s="195">
        <f t="shared" si="1120"/>
        <v>100</v>
      </c>
      <c r="BG3743" s="373">
        <f>BE3743-BD3743</f>
        <v>0</v>
      </c>
    </row>
    <row r="3744" spans="1:59" s="46" customFormat="1" ht="15.95" customHeight="1">
      <c r="A3744" s="176">
        <v>45</v>
      </c>
      <c r="B3744" s="31" t="s">
        <v>860</v>
      </c>
      <c r="C3744" s="32" t="s">
        <v>1688</v>
      </c>
      <c r="D3744" s="231"/>
      <c r="E3744" s="231"/>
      <c r="F3744" s="231"/>
      <c r="G3744" s="231"/>
      <c r="H3744" s="231"/>
      <c r="I3744" s="231"/>
      <c r="J3744" s="231"/>
      <c r="K3744" s="231"/>
      <c r="L3744" s="231"/>
      <c r="M3744" s="231"/>
      <c r="N3744" s="231"/>
      <c r="O3744" s="231"/>
      <c r="P3744" s="231">
        <v>3</v>
      </c>
      <c r="Q3744" s="231"/>
      <c r="R3744" s="231"/>
      <c r="S3744" s="231"/>
      <c r="T3744" s="231"/>
      <c r="U3744" s="231"/>
      <c r="V3744" s="231"/>
      <c r="W3744" s="231"/>
      <c r="X3744" s="231"/>
      <c r="Y3744" s="231"/>
      <c r="Z3744" s="231"/>
      <c r="AA3744" s="231"/>
      <c r="AB3744" s="22">
        <f t="shared" si="1116"/>
        <v>3</v>
      </c>
      <c r="AC3744" s="23">
        <v>34</v>
      </c>
      <c r="AD3744" s="35"/>
      <c r="AE3744" s="35"/>
      <c r="AF3744" s="35"/>
      <c r="AG3744" s="35"/>
      <c r="AH3744" s="35"/>
      <c r="AI3744" s="35"/>
      <c r="AJ3744" s="35"/>
      <c r="AK3744" s="35"/>
      <c r="AL3744" s="35"/>
      <c r="AM3744" s="35"/>
      <c r="AN3744" s="35"/>
      <c r="AO3744" s="35"/>
      <c r="AP3744" s="35"/>
      <c r="AQ3744" s="35"/>
      <c r="AR3744" s="35"/>
      <c r="AS3744" s="35"/>
      <c r="AT3744" s="35"/>
      <c r="AU3744" s="35"/>
      <c r="AV3744" s="35"/>
      <c r="AW3744" s="35"/>
      <c r="AX3744" s="35"/>
      <c r="AY3744" s="35"/>
      <c r="AZ3744" s="35"/>
      <c r="BA3744" s="35"/>
      <c r="BB3744" s="22">
        <f t="shared" si="1117"/>
        <v>0</v>
      </c>
      <c r="BC3744" s="23">
        <v>0</v>
      </c>
      <c r="BD3744" s="130">
        <f t="shared" si="1118"/>
        <v>3</v>
      </c>
      <c r="BE3744" s="130">
        <f t="shared" si="1119"/>
        <v>34</v>
      </c>
      <c r="BF3744" s="195">
        <f t="shared" si="1120"/>
        <v>8.8235294117647065</v>
      </c>
      <c r="BG3744" s="373">
        <f>BE3744-BD3744</f>
        <v>31</v>
      </c>
    </row>
    <row r="3745" spans="1:61" s="46" customFormat="1" ht="15.95" customHeight="1">
      <c r="A3745" s="176">
        <v>46</v>
      </c>
      <c r="B3745" s="31" t="s">
        <v>1654</v>
      </c>
      <c r="C3745" s="32" t="s">
        <v>1983</v>
      </c>
      <c r="D3745" s="526"/>
      <c r="E3745" s="526"/>
      <c r="F3745" s="526"/>
      <c r="G3745" s="526"/>
      <c r="H3745" s="526">
        <v>3</v>
      </c>
      <c r="I3745" s="526"/>
      <c r="J3745" s="526"/>
      <c r="K3745" s="526"/>
      <c r="L3745" s="526"/>
      <c r="M3745" s="526"/>
      <c r="N3745" s="526"/>
      <c r="O3745" s="526"/>
      <c r="P3745" s="526">
        <v>1</v>
      </c>
      <c r="Q3745" s="526"/>
      <c r="R3745" s="526"/>
      <c r="S3745" s="526"/>
      <c r="T3745" s="526"/>
      <c r="U3745" s="526"/>
      <c r="V3745" s="526"/>
      <c r="W3745" s="526"/>
      <c r="X3745" s="526"/>
      <c r="Y3745" s="526"/>
      <c r="Z3745" s="526"/>
      <c r="AA3745" s="526"/>
      <c r="AB3745" s="22">
        <f t="shared" si="1116"/>
        <v>4</v>
      </c>
      <c r="AC3745" s="23">
        <v>0</v>
      </c>
      <c r="AD3745" s="35"/>
      <c r="AE3745" s="35"/>
      <c r="AF3745" s="35"/>
      <c r="AG3745" s="35"/>
      <c r="AH3745" s="35"/>
      <c r="AI3745" s="35"/>
      <c r="AJ3745" s="35"/>
      <c r="AK3745" s="35"/>
      <c r="AL3745" s="35"/>
      <c r="AM3745" s="35"/>
      <c r="AN3745" s="35"/>
      <c r="AO3745" s="35"/>
      <c r="AP3745" s="35"/>
      <c r="AQ3745" s="35"/>
      <c r="AR3745" s="35"/>
      <c r="AS3745" s="35"/>
      <c r="AT3745" s="35"/>
      <c r="AU3745" s="35"/>
      <c r="AV3745" s="35"/>
      <c r="AW3745" s="35"/>
      <c r="AX3745" s="35"/>
      <c r="AY3745" s="35"/>
      <c r="AZ3745" s="35"/>
      <c r="BA3745" s="35"/>
      <c r="BB3745" s="22">
        <f t="shared" si="1117"/>
        <v>0</v>
      </c>
      <c r="BC3745" s="23">
        <v>0</v>
      </c>
      <c r="BD3745" s="130">
        <f t="shared" si="1118"/>
        <v>4</v>
      </c>
      <c r="BE3745" s="130">
        <f t="shared" si="1119"/>
        <v>0</v>
      </c>
      <c r="BF3745" s="195" t="e">
        <f t="shared" si="1120"/>
        <v>#DIV/0!</v>
      </c>
      <c r="BG3745" s="373"/>
    </row>
    <row r="3746" spans="1:61" s="46" customFormat="1" ht="15.95" customHeight="1">
      <c r="A3746" s="176">
        <v>47</v>
      </c>
      <c r="B3746" s="31" t="s">
        <v>977</v>
      </c>
      <c r="C3746" s="32" t="s">
        <v>978</v>
      </c>
      <c r="D3746" s="290"/>
      <c r="E3746" s="290"/>
      <c r="F3746" s="290"/>
      <c r="G3746" s="290"/>
      <c r="H3746" s="290"/>
      <c r="I3746" s="290"/>
      <c r="J3746" s="290"/>
      <c r="K3746" s="290"/>
      <c r="L3746" s="290"/>
      <c r="M3746" s="290"/>
      <c r="N3746" s="290"/>
      <c r="O3746" s="290"/>
      <c r="P3746" s="290"/>
      <c r="Q3746" s="290"/>
      <c r="R3746" s="290"/>
      <c r="S3746" s="290"/>
      <c r="T3746" s="290"/>
      <c r="U3746" s="290"/>
      <c r="V3746" s="290"/>
      <c r="W3746" s="290"/>
      <c r="X3746" s="290"/>
      <c r="Y3746" s="290"/>
      <c r="Z3746" s="290"/>
      <c r="AA3746" s="290"/>
      <c r="AB3746" s="22">
        <f t="shared" si="1116"/>
        <v>0</v>
      </c>
      <c r="AC3746" s="23">
        <v>1</v>
      </c>
      <c r="AD3746" s="35"/>
      <c r="AE3746" s="35"/>
      <c r="AF3746" s="35"/>
      <c r="AG3746" s="35"/>
      <c r="AH3746" s="35"/>
      <c r="AI3746" s="35"/>
      <c r="AJ3746" s="35"/>
      <c r="AK3746" s="35"/>
      <c r="AL3746" s="35"/>
      <c r="AM3746" s="35"/>
      <c r="AN3746" s="35"/>
      <c r="AO3746" s="35"/>
      <c r="AP3746" s="35"/>
      <c r="AQ3746" s="35"/>
      <c r="AR3746" s="35"/>
      <c r="AS3746" s="35"/>
      <c r="AT3746" s="35"/>
      <c r="AU3746" s="35"/>
      <c r="AV3746" s="35"/>
      <c r="AW3746" s="35"/>
      <c r="AX3746" s="35"/>
      <c r="AY3746" s="35"/>
      <c r="AZ3746" s="35"/>
      <c r="BA3746" s="35"/>
      <c r="BB3746" s="22">
        <f t="shared" si="1117"/>
        <v>0</v>
      </c>
      <c r="BC3746" s="23">
        <v>0</v>
      </c>
      <c r="BD3746" s="130">
        <f t="shared" si="1118"/>
        <v>0</v>
      </c>
      <c r="BE3746" s="130">
        <f t="shared" si="1119"/>
        <v>1</v>
      </c>
      <c r="BF3746" s="195">
        <f t="shared" si="1120"/>
        <v>0</v>
      </c>
      <c r="BG3746" s="373">
        <f>BE3746-BD3746</f>
        <v>1</v>
      </c>
    </row>
    <row r="3747" spans="1:61" s="46" customFormat="1" ht="15.95" customHeight="1">
      <c r="A3747" s="176">
        <v>48</v>
      </c>
      <c r="B3747" s="31" t="s">
        <v>1361</v>
      </c>
      <c r="C3747" s="32" t="s">
        <v>1362</v>
      </c>
      <c r="D3747" s="231"/>
      <c r="E3747" s="231"/>
      <c r="F3747" s="231"/>
      <c r="G3747" s="231"/>
      <c r="H3747" s="231"/>
      <c r="I3747" s="231"/>
      <c r="J3747" s="231"/>
      <c r="K3747" s="231"/>
      <c r="L3747" s="231"/>
      <c r="M3747" s="231"/>
      <c r="N3747" s="231"/>
      <c r="O3747" s="231"/>
      <c r="P3747" s="231"/>
      <c r="Q3747" s="231"/>
      <c r="R3747" s="231"/>
      <c r="S3747" s="231"/>
      <c r="T3747" s="231"/>
      <c r="U3747" s="231"/>
      <c r="V3747" s="231"/>
      <c r="W3747" s="231"/>
      <c r="X3747" s="231"/>
      <c r="Y3747" s="231"/>
      <c r="Z3747" s="231"/>
      <c r="AA3747" s="231"/>
      <c r="AB3747" s="22">
        <f t="shared" si="1116"/>
        <v>0</v>
      </c>
      <c r="AC3747" s="23">
        <v>1</v>
      </c>
      <c r="AD3747" s="35"/>
      <c r="AE3747" s="35"/>
      <c r="AF3747" s="35"/>
      <c r="AG3747" s="35"/>
      <c r="AH3747" s="35"/>
      <c r="AI3747" s="35"/>
      <c r="AJ3747" s="35"/>
      <c r="AK3747" s="35"/>
      <c r="AL3747" s="35"/>
      <c r="AM3747" s="35"/>
      <c r="AN3747" s="35"/>
      <c r="AO3747" s="35"/>
      <c r="AP3747" s="35"/>
      <c r="AQ3747" s="35"/>
      <c r="AR3747" s="35"/>
      <c r="AS3747" s="35"/>
      <c r="AT3747" s="35"/>
      <c r="AU3747" s="35"/>
      <c r="AV3747" s="35"/>
      <c r="AW3747" s="35"/>
      <c r="AX3747" s="35"/>
      <c r="AY3747" s="35"/>
      <c r="AZ3747" s="35"/>
      <c r="BA3747" s="35"/>
      <c r="BB3747" s="22">
        <f t="shared" si="1117"/>
        <v>0</v>
      </c>
      <c r="BC3747" s="23">
        <v>0</v>
      </c>
      <c r="BD3747" s="130">
        <f t="shared" si="1118"/>
        <v>0</v>
      </c>
      <c r="BE3747" s="130">
        <f t="shared" si="1119"/>
        <v>1</v>
      </c>
      <c r="BF3747" s="195">
        <f t="shared" si="1120"/>
        <v>0</v>
      </c>
      <c r="BG3747" s="373">
        <f>BE3747-BD3747</f>
        <v>1</v>
      </c>
    </row>
    <row r="3748" spans="1:61" s="46" customFormat="1" ht="15.95" customHeight="1">
      <c r="A3748" s="176">
        <v>49</v>
      </c>
      <c r="B3748" s="31"/>
      <c r="C3748" s="32"/>
      <c r="D3748" s="231"/>
      <c r="E3748" s="231"/>
      <c r="F3748" s="231"/>
      <c r="G3748" s="231"/>
      <c r="H3748" s="231"/>
      <c r="I3748" s="231"/>
      <c r="J3748" s="231"/>
      <c r="K3748" s="231"/>
      <c r="L3748" s="231"/>
      <c r="M3748" s="231"/>
      <c r="N3748" s="231"/>
      <c r="O3748" s="231"/>
      <c r="P3748" s="231"/>
      <c r="Q3748" s="231"/>
      <c r="R3748" s="231"/>
      <c r="S3748" s="231"/>
      <c r="T3748" s="231"/>
      <c r="U3748" s="231"/>
      <c r="V3748" s="231"/>
      <c r="W3748" s="231"/>
      <c r="X3748" s="231"/>
      <c r="Y3748" s="231"/>
      <c r="Z3748" s="231"/>
      <c r="AA3748" s="231"/>
      <c r="AB3748" s="22">
        <f t="shared" si="1116"/>
        <v>0</v>
      </c>
      <c r="AC3748" s="23">
        <v>0</v>
      </c>
      <c r="AD3748" s="35"/>
      <c r="AE3748" s="35"/>
      <c r="AF3748" s="35"/>
      <c r="AG3748" s="35"/>
      <c r="AH3748" s="35"/>
      <c r="AI3748" s="35"/>
      <c r="AJ3748" s="35"/>
      <c r="AK3748" s="35"/>
      <c r="AL3748" s="35"/>
      <c r="AM3748" s="35"/>
      <c r="AN3748" s="35"/>
      <c r="AO3748" s="35"/>
      <c r="AP3748" s="35"/>
      <c r="AQ3748" s="35"/>
      <c r="AR3748" s="35"/>
      <c r="AS3748" s="35"/>
      <c r="AT3748" s="35"/>
      <c r="AU3748" s="35"/>
      <c r="AV3748" s="35"/>
      <c r="AW3748" s="35"/>
      <c r="AX3748" s="35"/>
      <c r="AY3748" s="35"/>
      <c r="AZ3748" s="35"/>
      <c r="BA3748" s="35"/>
      <c r="BB3748" s="22">
        <f t="shared" si="1117"/>
        <v>0</v>
      </c>
      <c r="BC3748" s="23">
        <v>0</v>
      </c>
      <c r="BD3748" s="130">
        <f t="shared" si="1118"/>
        <v>0</v>
      </c>
      <c r="BE3748" s="130">
        <f t="shared" si="1119"/>
        <v>0</v>
      </c>
      <c r="BF3748" s="195" t="e">
        <f t="shared" si="1120"/>
        <v>#DIV/0!</v>
      </c>
      <c r="BG3748" s="373">
        <f>BE3748-BD3748</f>
        <v>0</v>
      </c>
    </row>
    <row r="3749" spans="1:61" s="46" customFormat="1" ht="15.95" customHeight="1">
      <c r="A3749" s="644" t="s">
        <v>725</v>
      </c>
      <c r="B3749" s="645"/>
      <c r="C3749" s="645"/>
      <c r="D3749" s="28">
        <f t="shared" ref="D3749:AI3749" si="1122">SUM(D3750:D3760)</f>
        <v>0</v>
      </c>
      <c r="E3749" s="28">
        <f t="shared" si="1122"/>
        <v>0</v>
      </c>
      <c r="F3749" s="28">
        <f t="shared" si="1122"/>
        <v>0</v>
      </c>
      <c r="G3749" s="28">
        <f t="shared" si="1122"/>
        <v>0</v>
      </c>
      <c r="H3749" s="28">
        <f t="shared" si="1122"/>
        <v>5</v>
      </c>
      <c r="I3749" s="28">
        <f t="shared" si="1122"/>
        <v>0</v>
      </c>
      <c r="J3749" s="28">
        <f t="shared" si="1122"/>
        <v>0</v>
      </c>
      <c r="K3749" s="28">
        <f t="shared" si="1122"/>
        <v>0</v>
      </c>
      <c r="L3749" s="28">
        <f t="shared" si="1122"/>
        <v>15</v>
      </c>
      <c r="M3749" s="28">
        <f t="shared" si="1122"/>
        <v>0</v>
      </c>
      <c r="N3749" s="28">
        <f t="shared" si="1122"/>
        <v>0</v>
      </c>
      <c r="O3749" s="28">
        <f t="shared" si="1122"/>
        <v>0</v>
      </c>
      <c r="P3749" s="28">
        <f t="shared" si="1122"/>
        <v>14</v>
      </c>
      <c r="Q3749" s="28">
        <f t="shared" si="1122"/>
        <v>0</v>
      </c>
      <c r="R3749" s="28">
        <f t="shared" si="1122"/>
        <v>0</v>
      </c>
      <c r="S3749" s="28">
        <f t="shared" si="1122"/>
        <v>2</v>
      </c>
      <c r="T3749" s="28">
        <f t="shared" si="1122"/>
        <v>0</v>
      </c>
      <c r="U3749" s="28">
        <f t="shared" si="1122"/>
        <v>0</v>
      </c>
      <c r="V3749" s="28">
        <f t="shared" si="1122"/>
        <v>0</v>
      </c>
      <c r="W3749" s="28">
        <f t="shared" si="1122"/>
        <v>0</v>
      </c>
      <c r="X3749" s="28">
        <f t="shared" si="1122"/>
        <v>0</v>
      </c>
      <c r="Y3749" s="28">
        <f t="shared" si="1122"/>
        <v>0</v>
      </c>
      <c r="Z3749" s="28">
        <f t="shared" si="1122"/>
        <v>0</v>
      </c>
      <c r="AA3749" s="28">
        <f t="shared" si="1122"/>
        <v>0</v>
      </c>
      <c r="AB3749" s="28">
        <f t="shared" si="1122"/>
        <v>36</v>
      </c>
      <c r="AC3749" s="127">
        <f t="shared" si="1122"/>
        <v>29</v>
      </c>
      <c r="AD3749" s="28">
        <f t="shared" si="1122"/>
        <v>0</v>
      </c>
      <c r="AE3749" s="28">
        <f t="shared" si="1122"/>
        <v>0</v>
      </c>
      <c r="AF3749" s="28">
        <f t="shared" si="1122"/>
        <v>0</v>
      </c>
      <c r="AG3749" s="28">
        <f t="shared" si="1122"/>
        <v>0</v>
      </c>
      <c r="AH3749" s="28">
        <f t="shared" si="1122"/>
        <v>0</v>
      </c>
      <c r="AI3749" s="28">
        <f t="shared" si="1122"/>
        <v>0</v>
      </c>
      <c r="AJ3749" s="28">
        <f t="shared" ref="AJ3749:BB3749" si="1123">SUM(AJ3750:AJ3760)</f>
        <v>0</v>
      </c>
      <c r="AK3749" s="28">
        <f t="shared" si="1123"/>
        <v>0</v>
      </c>
      <c r="AL3749" s="28">
        <f t="shared" si="1123"/>
        <v>0</v>
      </c>
      <c r="AM3749" s="28">
        <f t="shared" si="1123"/>
        <v>0</v>
      </c>
      <c r="AN3749" s="28">
        <f t="shared" si="1123"/>
        <v>0</v>
      </c>
      <c r="AO3749" s="28">
        <f t="shared" si="1123"/>
        <v>0</v>
      </c>
      <c r="AP3749" s="28">
        <f t="shared" si="1123"/>
        <v>0</v>
      </c>
      <c r="AQ3749" s="28">
        <f t="shared" si="1123"/>
        <v>0</v>
      </c>
      <c r="AR3749" s="28">
        <f t="shared" si="1123"/>
        <v>0</v>
      </c>
      <c r="AS3749" s="28">
        <f t="shared" si="1123"/>
        <v>0</v>
      </c>
      <c r="AT3749" s="28">
        <f t="shared" si="1123"/>
        <v>0</v>
      </c>
      <c r="AU3749" s="28">
        <f t="shared" si="1123"/>
        <v>0</v>
      </c>
      <c r="AV3749" s="28">
        <f t="shared" si="1123"/>
        <v>0</v>
      </c>
      <c r="AW3749" s="28">
        <f t="shared" si="1123"/>
        <v>0</v>
      </c>
      <c r="AX3749" s="28">
        <f t="shared" si="1123"/>
        <v>0</v>
      </c>
      <c r="AY3749" s="28">
        <f t="shared" si="1123"/>
        <v>0</v>
      </c>
      <c r="AZ3749" s="28">
        <f t="shared" si="1123"/>
        <v>0</v>
      </c>
      <c r="BA3749" s="28">
        <f t="shared" si="1123"/>
        <v>0</v>
      </c>
      <c r="BB3749" s="28">
        <f t="shared" si="1123"/>
        <v>0</v>
      </c>
      <c r="BC3749" s="23">
        <v>0</v>
      </c>
      <c r="BD3749" s="130">
        <f t="shared" ref="BD3749:BD3761" si="1124">AB3749+BB3749</f>
        <v>36</v>
      </c>
      <c r="BE3749" s="130">
        <f t="shared" ref="BE3749:BE3761" si="1125">AC3749+BC3749</f>
        <v>29</v>
      </c>
      <c r="BF3749" s="195">
        <f t="shared" ref="BF3749:BF3761" si="1126">BD3749/BE3749*100</f>
        <v>124.13793103448276</v>
      </c>
      <c r="BG3749" s="374">
        <f t="shared" ref="BG3749:BG3761" si="1127">BE3749-BD3749</f>
        <v>-7</v>
      </c>
    </row>
    <row r="3750" spans="1:61" s="46" customFormat="1" ht="21" customHeight="1">
      <c r="A3750" s="417">
        <v>1</v>
      </c>
      <c r="B3750" s="418" t="s">
        <v>926</v>
      </c>
      <c r="C3750" s="423" t="s">
        <v>927</v>
      </c>
      <c r="D3750" s="231"/>
      <c r="E3750" s="231"/>
      <c r="F3750" s="231"/>
      <c r="G3750" s="231"/>
      <c r="H3750" s="231"/>
      <c r="I3750" s="231"/>
      <c r="J3750" s="231"/>
      <c r="K3750" s="231"/>
      <c r="L3750" s="231"/>
      <c r="M3750" s="231"/>
      <c r="N3750" s="231"/>
      <c r="O3750" s="231"/>
      <c r="P3750" s="231"/>
      <c r="Q3750" s="231"/>
      <c r="R3750" s="231"/>
      <c r="S3750" s="231">
        <v>1</v>
      </c>
      <c r="T3750" s="231"/>
      <c r="U3750" s="231"/>
      <c r="V3750" s="231"/>
      <c r="W3750" s="231"/>
      <c r="X3750" s="231"/>
      <c r="Y3750" s="231"/>
      <c r="Z3750" s="231"/>
      <c r="AA3750" s="231"/>
      <c r="AB3750" s="22">
        <f t="shared" ref="AB3750:AB3760" si="1128">SUM(D3750:AA3750)</f>
        <v>1</v>
      </c>
      <c r="AC3750" s="23">
        <v>2</v>
      </c>
      <c r="AD3750" s="35"/>
      <c r="AE3750" s="35"/>
      <c r="AF3750" s="35"/>
      <c r="AG3750" s="35"/>
      <c r="AH3750" s="35"/>
      <c r="AI3750" s="35"/>
      <c r="AJ3750" s="35"/>
      <c r="AK3750" s="35"/>
      <c r="AL3750" s="35"/>
      <c r="AM3750" s="35"/>
      <c r="AN3750" s="35"/>
      <c r="AO3750" s="35"/>
      <c r="AP3750" s="35"/>
      <c r="AQ3750" s="35"/>
      <c r="AR3750" s="35"/>
      <c r="AS3750" s="35"/>
      <c r="AT3750" s="35"/>
      <c r="AU3750" s="35"/>
      <c r="AV3750" s="35"/>
      <c r="AW3750" s="35"/>
      <c r="AX3750" s="35"/>
      <c r="AY3750" s="35"/>
      <c r="AZ3750" s="35"/>
      <c r="BA3750" s="35"/>
      <c r="BB3750" s="22">
        <f t="shared" ref="BB3750:BB3760" si="1129">SUM(AD3750:BA3750)</f>
        <v>0</v>
      </c>
      <c r="BC3750" s="23">
        <v>0</v>
      </c>
      <c r="BD3750" s="130">
        <f t="shared" ref="BD3750:BD3760" si="1130">AB3750+BB3750</f>
        <v>1</v>
      </c>
      <c r="BE3750" s="130">
        <f t="shared" si="1125"/>
        <v>2</v>
      </c>
      <c r="BF3750" s="195">
        <f t="shared" ref="BF3750:BF3760" si="1131">BD3750/BE3750*100</f>
        <v>50</v>
      </c>
      <c r="BG3750" s="373">
        <f t="shared" ref="BG3750:BG3760" si="1132">BE3750-BD3750</f>
        <v>1</v>
      </c>
      <c r="BH3750" s="426" t="s">
        <v>3675</v>
      </c>
      <c r="BI3750" s="426"/>
    </row>
    <row r="3751" spans="1:61" s="46" customFormat="1" ht="21" customHeight="1">
      <c r="A3751" s="417">
        <v>2</v>
      </c>
      <c r="B3751" s="418" t="s">
        <v>1266</v>
      </c>
      <c r="C3751" s="419" t="s">
        <v>1267</v>
      </c>
      <c r="D3751" s="267"/>
      <c r="E3751" s="267"/>
      <c r="F3751" s="267"/>
      <c r="G3751" s="267"/>
      <c r="H3751" s="267"/>
      <c r="I3751" s="267"/>
      <c r="J3751" s="267"/>
      <c r="K3751" s="267"/>
      <c r="L3751" s="267"/>
      <c r="M3751" s="267"/>
      <c r="N3751" s="267"/>
      <c r="O3751" s="267"/>
      <c r="P3751" s="267"/>
      <c r="Q3751" s="267"/>
      <c r="R3751" s="267"/>
      <c r="S3751" s="267">
        <v>1</v>
      </c>
      <c r="T3751" s="267"/>
      <c r="U3751" s="267"/>
      <c r="V3751" s="267"/>
      <c r="W3751" s="267"/>
      <c r="X3751" s="267"/>
      <c r="Y3751" s="267"/>
      <c r="Z3751" s="267"/>
      <c r="AA3751" s="267"/>
      <c r="AB3751" s="22">
        <f t="shared" si="1128"/>
        <v>1</v>
      </c>
      <c r="AC3751" s="23">
        <v>1</v>
      </c>
      <c r="AD3751" s="35"/>
      <c r="AE3751" s="35"/>
      <c r="AF3751" s="35"/>
      <c r="AG3751" s="35"/>
      <c r="AH3751" s="35"/>
      <c r="AI3751" s="35"/>
      <c r="AJ3751" s="35"/>
      <c r="AK3751" s="35"/>
      <c r="AL3751" s="35"/>
      <c r="AM3751" s="35"/>
      <c r="AN3751" s="35"/>
      <c r="AO3751" s="35"/>
      <c r="AP3751" s="35"/>
      <c r="AQ3751" s="35"/>
      <c r="AR3751" s="35"/>
      <c r="AS3751" s="35"/>
      <c r="AT3751" s="35"/>
      <c r="AU3751" s="35"/>
      <c r="AV3751" s="35"/>
      <c r="AW3751" s="35"/>
      <c r="AX3751" s="35"/>
      <c r="AY3751" s="35"/>
      <c r="AZ3751" s="35"/>
      <c r="BA3751" s="35"/>
      <c r="BB3751" s="22">
        <f t="shared" si="1129"/>
        <v>0</v>
      </c>
      <c r="BC3751" s="23">
        <v>0</v>
      </c>
      <c r="BD3751" s="130">
        <f t="shared" si="1130"/>
        <v>1</v>
      </c>
      <c r="BE3751" s="130">
        <f t="shared" si="1125"/>
        <v>1</v>
      </c>
      <c r="BF3751" s="195">
        <f t="shared" si="1131"/>
        <v>100</v>
      </c>
      <c r="BG3751" s="373">
        <f t="shared" si="1132"/>
        <v>0</v>
      </c>
      <c r="BH3751" s="426" t="s">
        <v>3675</v>
      </c>
      <c r="BI3751" s="421"/>
    </row>
    <row r="3752" spans="1:61" s="46" customFormat="1" ht="15.95" customHeight="1">
      <c r="A3752" s="176">
        <v>3</v>
      </c>
      <c r="B3752" s="31" t="s">
        <v>1675</v>
      </c>
      <c r="C3752" s="32" t="s">
        <v>1676</v>
      </c>
      <c r="D3752" s="390"/>
      <c r="E3752" s="390"/>
      <c r="F3752" s="390"/>
      <c r="G3752" s="390"/>
      <c r="H3752" s="390"/>
      <c r="I3752" s="390"/>
      <c r="J3752" s="390"/>
      <c r="K3752" s="390"/>
      <c r="L3752" s="390">
        <v>6</v>
      </c>
      <c r="M3752" s="390"/>
      <c r="N3752" s="390"/>
      <c r="O3752" s="390"/>
      <c r="P3752" s="390"/>
      <c r="Q3752" s="390"/>
      <c r="R3752" s="390"/>
      <c r="S3752" s="390"/>
      <c r="T3752" s="390"/>
      <c r="U3752" s="390"/>
      <c r="V3752" s="390"/>
      <c r="W3752" s="390"/>
      <c r="X3752" s="390"/>
      <c r="Y3752" s="390"/>
      <c r="Z3752" s="390"/>
      <c r="AA3752" s="390"/>
      <c r="AB3752" s="22">
        <f t="shared" si="1128"/>
        <v>6</v>
      </c>
      <c r="AC3752" s="23">
        <v>2</v>
      </c>
      <c r="AD3752" s="35"/>
      <c r="AE3752" s="35"/>
      <c r="AF3752" s="35"/>
      <c r="AG3752" s="35"/>
      <c r="AH3752" s="35"/>
      <c r="AI3752" s="35"/>
      <c r="AJ3752" s="35"/>
      <c r="AK3752" s="35"/>
      <c r="AL3752" s="35"/>
      <c r="AM3752" s="35"/>
      <c r="AN3752" s="35"/>
      <c r="AO3752" s="35"/>
      <c r="AP3752" s="35"/>
      <c r="AQ3752" s="35"/>
      <c r="AR3752" s="35"/>
      <c r="AS3752" s="35"/>
      <c r="AT3752" s="35"/>
      <c r="AU3752" s="35"/>
      <c r="AV3752" s="35"/>
      <c r="AW3752" s="35"/>
      <c r="AX3752" s="35"/>
      <c r="AY3752" s="35"/>
      <c r="AZ3752" s="35"/>
      <c r="BA3752" s="35"/>
      <c r="BB3752" s="22">
        <f t="shared" si="1129"/>
        <v>0</v>
      </c>
      <c r="BC3752" s="23">
        <v>0</v>
      </c>
      <c r="BD3752" s="130">
        <f t="shared" si="1130"/>
        <v>6</v>
      </c>
      <c r="BE3752" s="130">
        <f t="shared" si="1125"/>
        <v>2</v>
      </c>
      <c r="BF3752" s="195">
        <f t="shared" si="1131"/>
        <v>300</v>
      </c>
      <c r="BG3752" s="373">
        <f t="shared" si="1132"/>
        <v>-4</v>
      </c>
    </row>
    <row r="3753" spans="1:61" s="46" customFormat="1" ht="15.95" customHeight="1">
      <c r="A3753" s="176">
        <v>4</v>
      </c>
      <c r="B3753" s="31" t="s">
        <v>756</v>
      </c>
      <c r="C3753" s="32" t="s">
        <v>757</v>
      </c>
      <c r="D3753" s="231"/>
      <c r="E3753" s="231"/>
      <c r="F3753" s="231"/>
      <c r="G3753" s="231"/>
      <c r="H3753" s="231">
        <v>1</v>
      </c>
      <c r="I3753" s="231"/>
      <c r="J3753" s="231"/>
      <c r="K3753" s="231"/>
      <c r="L3753" s="231">
        <v>2</v>
      </c>
      <c r="M3753" s="231"/>
      <c r="N3753" s="231"/>
      <c r="O3753" s="231"/>
      <c r="P3753" s="231"/>
      <c r="Q3753" s="231"/>
      <c r="R3753" s="231"/>
      <c r="S3753" s="231"/>
      <c r="T3753" s="231"/>
      <c r="U3753" s="231"/>
      <c r="V3753" s="231"/>
      <c r="W3753" s="231"/>
      <c r="X3753" s="231"/>
      <c r="Y3753" s="231"/>
      <c r="Z3753" s="231"/>
      <c r="AA3753" s="231"/>
      <c r="AB3753" s="22">
        <f t="shared" si="1128"/>
        <v>3</v>
      </c>
      <c r="AC3753" s="23">
        <v>7</v>
      </c>
      <c r="AD3753" s="35"/>
      <c r="AE3753" s="35"/>
      <c r="AF3753" s="35"/>
      <c r="AG3753" s="35"/>
      <c r="AH3753" s="35"/>
      <c r="AI3753" s="35"/>
      <c r="AJ3753" s="35"/>
      <c r="AK3753" s="35"/>
      <c r="AL3753" s="35"/>
      <c r="AM3753" s="35"/>
      <c r="AN3753" s="35"/>
      <c r="AO3753" s="35"/>
      <c r="AP3753" s="35"/>
      <c r="AQ3753" s="35"/>
      <c r="AR3753" s="35"/>
      <c r="AS3753" s="35"/>
      <c r="AT3753" s="35"/>
      <c r="AU3753" s="35"/>
      <c r="AV3753" s="35"/>
      <c r="AW3753" s="35"/>
      <c r="AX3753" s="35"/>
      <c r="AY3753" s="35"/>
      <c r="AZ3753" s="35"/>
      <c r="BA3753" s="35"/>
      <c r="BB3753" s="22">
        <f t="shared" si="1129"/>
        <v>0</v>
      </c>
      <c r="BC3753" s="23">
        <v>0</v>
      </c>
      <c r="BD3753" s="130">
        <f t="shared" si="1130"/>
        <v>3</v>
      </c>
      <c r="BE3753" s="130">
        <f t="shared" si="1125"/>
        <v>7</v>
      </c>
      <c r="BF3753" s="195">
        <f t="shared" si="1131"/>
        <v>42.857142857142854</v>
      </c>
      <c r="BG3753" s="373">
        <f t="shared" si="1132"/>
        <v>4</v>
      </c>
    </row>
    <row r="3754" spans="1:61" s="46" customFormat="1" ht="15.95" customHeight="1">
      <c r="A3754" s="176">
        <v>5</v>
      </c>
      <c r="B3754" s="31" t="s">
        <v>1140</v>
      </c>
      <c r="C3754" s="32" t="s">
        <v>639</v>
      </c>
      <c r="D3754" s="390"/>
      <c r="E3754" s="390"/>
      <c r="F3754" s="390"/>
      <c r="G3754" s="390"/>
      <c r="H3754" s="390"/>
      <c r="I3754" s="390"/>
      <c r="J3754" s="390"/>
      <c r="K3754" s="390"/>
      <c r="L3754" s="390"/>
      <c r="M3754" s="390"/>
      <c r="N3754" s="390"/>
      <c r="O3754" s="390"/>
      <c r="P3754" s="390"/>
      <c r="Q3754" s="390"/>
      <c r="R3754" s="390"/>
      <c r="S3754" s="390"/>
      <c r="T3754" s="390"/>
      <c r="U3754" s="390"/>
      <c r="V3754" s="390"/>
      <c r="W3754" s="390"/>
      <c r="X3754" s="390"/>
      <c r="Y3754" s="390"/>
      <c r="Z3754" s="390"/>
      <c r="AA3754" s="390"/>
      <c r="AB3754" s="22">
        <f t="shared" si="1128"/>
        <v>0</v>
      </c>
      <c r="AC3754" s="23">
        <v>1</v>
      </c>
      <c r="AD3754" s="35"/>
      <c r="AE3754" s="35"/>
      <c r="AF3754" s="35"/>
      <c r="AG3754" s="35"/>
      <c r="AH3754" s="35"/>
      <c r="AI3754" s="35"/>
      <c r="AJ3754" s="35"/>
      <c r="AK3754" s="35"/>
      <c r="AL3754" s="35"/>
      <c r="AM3754" s="35"/>
      <c r="AN3754" s="35"/>
      <c r="AO3754" s="35"/>
      <c r="AP3754" s="35"/>
      <c r="AQ3754" s="35"/>
      <c r="AR3754" s="35"/>
      <c r="AS3754" s="35"/>
      <c r="AT3754" s="35"/>
      <c r="AU3754" s="35"/>
      <c r="AV3754" s="35"/>
      <c r="AW3754" s="35"/>
      <c r="AX3754" s="35"/>
      <c r="AY3754" s="35"/>
      <c r="AZ3754" s="35"/>
      <c r="BA3754" s="35"/>
      <c r="BB3754" s="22">
        <f t="shared" si="1129"/>
        <v>0</v>
      </c>
      <c r="BC3754" s="23">
        <v>0</v>
      </c>
      <c r="BD3754" s="130">
        <f t="shared" si="1130"/>
        <v>0</v>
      </c>
      <c r="BE3754" s="130">
        <f t="shared" si="1125"/>
        <v>1</v>
      </c>
      <c r="BF3754" s="195">
        <f t="shared" si="1131"/>
        <v>0</v>
      </c>
      <c r="BG3754" s="373">
        <f t="shared" si="1132"/>
        <v>1</v>
      </c>
    </row>
    <row r="3755" spans="1:61" s="46" customFormat="1" ht="15.95" customHeight="1">
      <c r="A3755" s="176">
        <v>6</v>
      </c>
      <c r="B3755" s="31" t="s">
        <v>772</v>
      </c>
      <c r="C3755" s="32" t="s">
        <v>773</v>
      </c>
      <c r="D3755" s="390"/>
      <c r="E3755" s="390"/>
      <c r="F3755" s="390"/>
      <c r="G3755" s="390"/>
      <c r="H3755" s="390">
        <v>4</v>
      </c>
      <c r="I3755" s="390"/>
      <c r="J3755" s="390"/>
      <c r="K3755" s="390"/>
      <c r="L3755" s="390">
        <v>7</v>
      </c>
      <c r="M3755" s="390"/>
      <c r="N3755" s="390"/>
      <c r="O3755" s="390"/>
      <c r="P3755" s="390">
        <v>12</v>
      </c>
      <c r="Q3755" s="390"/>
      <c r="R3755" s="390"/>
      <c r="S3755" s="390"/>
      <c r="T3755" s="390"/>
      <c r="U3755" s="390"/>
      <c r="V3755" s="390"/>
      <c r="W3755" s="390"/>
      <c r="X3755" s="390"/>
      <c r="Y3755" s="390"/>
      <c r="Z3755" s="390"/>
      <c r="AA3755" s="390"/>
      <c r="AB3755" s="22">
        <f t="shared" si="1128"/>
        <v>23</v>
      </c>
      <c r="AC3755" s="23">
        <v>12</v>
      </c>
      <c r="AD3755" s="35"/>
      <c r="AE3755" s="35"/>
      <c r="AF3755" s="35"/>
      <c r="AG3755" s="35"/>
      <c r="AH3755" s="35"/>
      <c r="AI3755" s="35"/>
      <c r="AJ3755" s="35"/>
      <c r="AK3755" s="35"/>
      <c r="AL3755" s="35"/>
      <c r="AM3755" s="35"/>
      <c r="AN3755" s="35"/>
      <c r="AO3755" s="35"/>
      <c r="AP3755" s="35"/>
      <c r="AQ3755" s="35"/>
      <c r="AR3755" s="35"/>
      <c r="AS3755" s="35"/>
      <c r="AT3755" s="35"/>
      <c r="AU3755" s="35"/>
      <c r="AV3755" s="35"/>
      <c r="AW3755" s="35"/>
      <c r="AX3755" s="35"/>
      <c r="AY3755" s="35"/>
      <c r="AZ3755" s="35"/>
      <c r="BA3755" s="35"/>
      <c r="BB3755" s="22">
        <f t="shared" si="1129"/>
        <v>0</v>
      </c>
      <c r="BC3755" s="23">
        <v>0</v>
      </c>
      <c r="BD3755" s="130">
        <f t="shared" si="1130"/>
        <v>23</v>
      </c>
      <c r="BE3755" s="130">
        <f t="shared" si="1125"/>
        <v>12</v>
      </c>
      <c r="BF3755" s="195">
        <f t="shared" si="1131"/>
        <v>191.66666666666669</v>
      </c>
      <c r="BG3755" s="373">
        <f t="shared" si="1132"/>
        <v>-11</v>
      </c>
    </row>
    <row r="3756" spans="1:61" s="46" customFormat="1" ht="15.95" customHeight="1">
      <c r="A3756" s="176">
        <v>7</v>
      </c>
      <c r="B3756" s="31" t="s">
        <v>1332</v>
      </c>
      <c r="C3756" s="32" t="s">
        <v>1333</v>
      </c>
      <c r="D3756" s="276"/>
      <c r="E3756" s="276"/>
      <c r="F3756" s="276"/>
      <c r="G3756" s="276"/>
      <c r="H3756" s="276"/>
      <c r="I3756" s="276"/>
      <c r="J3756" s="276"/>
      <c r="K3756" s="276"/>
      <c r="L3756" s="276"/>
      <c r="M3756" s="276"/>
      <c r="N3756" s="276"/>
      <c r="O3756" s="276"/>
      <c r="P3756" s="276">
        <v>1</v>
      </c>
      <c r="Q3756" s="276"/>
      <c r="R3756" s="276"/>
      <c r="S3756" s="276"/>
      <c r="T3756" s="276"/>
      <c r="U3756" s="276"/>
      <c r="V3756" s="276"/>
      <c r="W3756" s="276"/>
      <c r="X3756" s="276"/>
      <c r="Y3756" s="276"/>
      <c r="Z3756" s="276"/>
      <c r="AA3756" s="276"/>
      <c r="AB3756" s="22">
        <f t="shared" si="1128"/>
        <v>1</v>
      </c>
      <c r="AC3756" s="23">
        <v>1</v>
      </c>
      <c r="AD3756" s="35"/>
      <c r="AE3756" s="35"/>
      <c r="AF3756" s="35"/>
      <c r="AG3756" s="35"/>
      <c r="AH3756" s="35"/>
      <c r="AI3756" s="35"/>
      <c r="AJ3756" s="35"/>
      <c r="AK3756" s="35"/>
      <c r="AL3756" s="35"/>
      <c r="AM3756" s="35"/>
      <c r="AN3756" s="35"/>
      <c r="AO3756" s="35"/>
      <c r="AP3756" s="35"/>
      <c r="AQ3756" s="35"/>
      <c r="AR3756" s="35"/>
      <c r="AS3756" s="35"/>
      <c r="AT3756" s="35"/>
      <c r="AU3756" s="35"/>
      <c r="AV3756" s="35"/>
      <c r="AW3756" s="35"/>
      <c r="AX3756" s="35"/>
      <c r="AY3756" s="35"/>
      <c r="AZ3756" s="35"/>
      <c r="BA3756" s="35"/>
      <c r="BB3756" s="22">
        <f t="shared" si="1129"/>
        <v>0</v>
      </c>
      <c r="BC3756" s="23">
        <v>0</v>
      </c>
      <c r="BD3756" s="130">
        <f t="shared" si="1130"/>
        <v>1</v>
      </c>
      <c r="BE3756" s="130">
        <f t="shared" si="1125"/>
        <v>1</v>
      </c>
      <c r="BF3756" s="195">
        <f t="shared" si="1131"/>
        <v>100</v>
      </c>
      <c r="BG3756" s="373">
        <f t="shared" si="1132"/>
        <v>0</v>
      </c>
    </row>
    <row r="3757" spans="1:61" s="46" customFormat="1" ht="15.95" customHeight="1">
      <c r="A3757" s="176">
        <v>8</v>
      </c>
      <c r="B3757" s="31" t="s">
        <v>1187</v>
      </c>
      <c r="C3757" s="32" t="s">
        <v>1188</v>
      </c>
      <c r="D3757" s="327"/>
      <c r="E3757" s="327"/>
      <c r="F3757" s="327"/>
      <c r="G3757" s="327"/>
      <c r="H3757" s="327"/>
      <c r="I3757" s="327"/>
      <c r="J3757" s="327"/>
      <c r="K3757" s="327"/>
      <c r="L3757" s="327"/>
      <c r="M3757" s="327"/>
      <c r="N3757" s="327"/>
      <c r="O3757" s="327"/>
      <c r="P3757" s="327"/>
      <c r="Q3757" s="327"/>
      <c r="R3757" s="327"/>
      <c r="S3757" s="327"/>
      <c r="T3757" s="327"/>
      <c r="U3757" s="327"/>
      <c r="V3757" s="327"/>
      <c r="W3757" s="327"/>
      <c r="X3757" s="327"/>
      <c r="Y3757" s="327"/>
      <c r="Z3757" s="327"/>
      <c r="AA3757" s="327"/>
      <c r="AB3757" s="22">
        <f t="shared" si="1128"/>
        <v>0</v>
      </c>
      <c r="AC3757" s="23">
        <v>1</v>
      </c>
      <c r="AD3757" s="35"/>
      <c r="AE3757" s="35"/>
      <c r="AF3757" s="35"/>
      <c r="AG3757" s="35"/>
      <c r="AH3757" s="35"/>
      <c r="AI3757" s="35"/>
      <c r="AJ3757" s="35"/>
      <c r="AK3757" s="35"/>
      <c r="AL3757" s="35"/>
      <c r="AM3757" s="35"/>
      <c r="AN3757" s="35"/>
      <c r="AO3757" s="35"/>
      <c r="AP3757" s="35"/>
      <c r="AQ3757" s="35"/>
      <c r="AR3757" s="35"/>
      <c r="AS3757" s="35"/>
      <c r="AT3757" s="35"/>
      <c r="AU3757" s="35"/>
      <c r="AV3757" s="35"/>
      <c r="AW3757" s="35"/>
      <c r="AX3757" s="35"/>
      <c r="AY3757" s="35"/>
      <c r="AZ3757" s="35"/>
      <c r="BA3757" s="35"/>
      <c r="BB3757" s="22">
        <f t="shared" si="1129"/>
        <v>0</v>
      </c>
      <c r="BC3757" s="23">
        <v>0</v>
      </c>
      <c r="BD3757" s="130">
        <f t="shared" si="1130"/>
        <v>0</v>
      </c>
      <c r="BE3757" s="130">
        <f t="shared" si="1125"/>
        <v>1</v>
      </c>
      <c r="BF3757" s="195">
        <f t="shared" si="1131"/>
        <v>0</v>
      </c>
      <c r="BG3757" s="373">
        <f t="shared" si="1132"/>
        <v>1</v>
      </c>
    </row>
    <row r="3758" spans="1:61" s="46" customFormat="1" ht="15.95" customHeight="1">
      <c r="A3758" s="176">
        <v>9</v>
      </c>
      <c r="B3758" s="31" t="s">
        <v>915</v>
      </c>
      <c r="C3758" s="32" t="s">
        <v>1015</v>
      </c>
      <c r="D3758" s="327"/>
      <c r="E3758" s="327"/>
      <c r="F3758" s="327"/>
      <c r="G3758" s="327"/>
      <c r="H3758" s="327"/>
      <c r="I3758" s="327"/>
      <c r="J3758" s="327"/>
      <c r="K3758" s="327"/>
      <c r="L3758" s="327"/>
      <c r="M3758" s="327"/>
      <c r="N3758" s="327"/>
      <c r="O3758" s="327"/>
      <c r="P3758" s="327"/>
      <c r="Q3758" s="327"/>
      <c r="R3758" s="327"/>
      <c r="S3758" s="327"/>
      <c r="T3758" s="327"/>
      <c r="U3758" s="327"/>
      <c r="V3758" s="327"/>
      <c r="W3758" s="327"/>
      <c r="X3758" s="327"/>
      <c r="Y3758" s="327"/>
      <c r="Z3758" s="327"/>
      <c r="AA3758" s="327"/>
      <c r="AB3758" s="22">
        <f t="shared" si="1128"/>
        <v>0</v>
      </c>
      <c r="AC3758" s="23">
        <v>1</v>
      </c>
      <c r="AD3758" s="35"/>
      <c r="AE3758" s="35"/>
      <c r="AF3758" s="35"/>
      <c r="AG3758" s="35"/>
      <c r="AH3758" s="35"/>
      <c r="AI3758" s="35"/>
      <c r="AJ3758" s="35"/>
      <c r="AK3758" s="35"/>
      <c r="AL3758" s="35"/>
      <c r="AM3758" s="35"/>
      <c r="AN3758" s="35"/>
      <c r="AO3758" s="35"/>
      <c r="AP3758" s="35"/>
      <c r="AQ3758" s="35"/>
      <c r="AR3758" s="35"/>
      <c r="AS3758" s="35"/>
      <c r="AT3758" s="35"/>
      <c r="AU3758" s="35"/>
      <c r="AV3758" s="35"/>
      <c r="AW3758" s="35"/>
      <c r="AX3758" s="35"/>
      <c r="AY3758" s="35"/>
      <c r="AZ3758" s="35"/>
      <c r="BA3758" s="35"/>
      <c r="BB3758" s="22">
        <f t="shared" si="1129"/>
        <v>0</v>
      </c>
      <c r="BC3758" s="23">
        <v>0</v>
      </c>
      <c r="BD3758" s="130">
        <f t="shared" si="1130"/>
        <v>0</v>
      </c>
      <c r="BE3758" s="130">
        <f t="shared" si="1125"/>
        <v>1</v>
      </c>
      <c r="BF3758" s="195">
        <f t="shared" si="1131"/>
        <v>0</v>
      </c>
      <c r="BG3758" s="373">
        <f t="shared" si="1132"/>
        <v>1</v>
      </c>
    </row>
    <row r="3759" spans="1:61" s="46" customFormat="1" ht="15.95" customHeight="1">
      <c r="A3759" s="176">
        <v>10</v>
      </c>
      <c r="B3759" s="31" t="s">
        <v>854</v>
      </c>
      <c r="C3759" s="32" t="s">
        <v>2078</v>
      </c>
      <c r="D3759" s="231"/>
      <c r="E3759" s="231"/>
      <c r="F3759" s="231"/>
      <c r="G3759" s="231"/>
      <c r="H3759" s="231"/>
      <c r="I3759" s="231"/>
      <c r="J3759" s="231"/>
      <c r="K3759" s="231"/>
      <c r="L3759" s="231"/>
      <c r="M3759" s="231"/>
      <c r="N3759" s="231"/>
      <c r="O3759" s="231"/>
      <c r="P3759" s="231">
        <v>1</v>
      </c>
      <c r="Q3759" s="231"/>
      <c r="R3759" s="231"/>
      <c r="S3759" s="231"/>
      <c r="T3759" s="231"/>
      <c r="U3759" s="231"/>
      <c r="V3759" s="231"/>
      <c r="W3759" s="231"/>
      <c r="X3759" s="231"/>
      <c r="Y3759" s="231"/>
      <c r="Z3759" s="231"/>
      <c r="AA3759" s="231"/>
      <c r="AB3759" s="22">
        <f t="shared" si="1128"/>
        <v>1</v>
      </c>
      <c r="AC3759" s="23">
        <v>1</v>
      </c>
      <c r="AD3759" s="35"/>
      <c r="AE3759" s="35"/>
      <c r="AF3759" s="35"/>
      <c r="AG3759" s="35"/>
      <c r="AH3759" s="35"/>
      <c r="AI3759" s="35"/>
      <c r="AJ3759" s="35"/>
      <c r="AK3759" s="35"/>
      <c r="AL3759" s="35"/>
      <c r="AM3759" s="35"/>
      <c r="AN3759" s="35"/>
      <c r="AO3759" s="35"/>
      <c r="AP3759" s="35"/>
      <c r="AQ3759" s="35"/>
      <c r="AR3759" s="35"/>
      <c r="AS3759" s="35"/>
      <c r="AT3759" s="35"/>
      <c r="AU3759" s="35"/>
      <c r="AV3759" s="35"/>
      <c r="AW3759" s="35"/>
      <c r="AX3759" s="35"/>
      <c r="AY3759" s="35"/>
      <c r="AZ3759" s="35"/>
      <c r="BA3759" s="35"/>
      <c r="BB3759" s="22">
        <f t="shared" si="1129"/>
        <v>0</v>
      </c>
      <c r="BC3759" s="23">
        <v>0</v>
      </c>
      <c r="BD3759" s="130">
        <f t="shared" si="1130"/>
        <v>1</v>
      </c>
      <c r="BE3759" s="130">
        <f t="shared" si="1125"/>
        <v>1</v>
      </c>
      <c r="BF3759" s="195">
        <f t="shared" si="1131"/>
        <v>100</v>
      </c>
      <c r="BG3759" s="373">
        <f t="shared" si="1132"/>
        <v>0</v>
      </c>
    </row>
    <row r="3760" spans="1:61" s="46" customFormat="1" ht="15.95" customHeight="1">
      <c r="A3760" s="176">
        <v>11</v>
      </c>
      <c r="B3760" s="31"/>
      <c r="C3760" s="34"/>
      <c r="D3760" s="231"/>
      <c r="E3760" s="231"/>
      <c r="F3760" s="231"/>
      <c r="G3760" s="231"/>
      <c r="H3760" s="231"/>
      <c r="I3760" s="231"/>
      <c r="J3760" s="231"/>
      <c r="K3760" s="231"/>
      <c r="L3760" s="231"/>
      <c r="M3760" s="231"/>
      <c r="N3760" s="231"/>
      <c r="O3760" s="231"/>
      <c r="P3760" s="231"/>
      <c r="Q3760" s="231"/>
      <c r="R3760" s="231"/>
      <c r="S3760" s="231"/>
      <c r="T3760" s="231"/>
      <c r="U3760" s="231"/>
      <c r="V3760" s="231"/>
      <c r="W3760" s="231"/>
      <c r="X3760" s="231"/>
      <c r="Y3760" s="231"/>
      <c r="Z3760" s="231"/>
      <c r="AA3760" s="231"/>
      <c r="AB3760" s="22">
        <f t="shared" si="1128"/>
        <v>0</v>
      </c>
      <c r="AC3760" s="23">
        <f>AB3760</f>
        <v>0</v>
      </c>
      <c r="AD3760" s="35"/>
      <c r="AE3760" s="35"/>
      <c r="AF3760" s="35"/>
      <c r="AG3760" s="35"/>
      <c r="AH3760" s="35"/>
      <c r="AI3760" s="35"/>
      <c r="AJ3760" s="35"/>
      <c r="AK3760" s="35"/>
      <c r="AL3760" s="35"/>
      <c r="AM3760" s="35"/>
      <c r="AN3760" s="35"/>
      <c r="AO3760" s="35"/>
      <c r="AP3760" s="35"/>
      <c r="AQ3760" s="35"/>
      <c r="AR3760" s="35"/>
      <c r="AS3760" s="35"/>
      <c r="AT3760" s="35"/>
      <c r="AU3760" s="35"/>
      <c r="AV3760" s="35"/>
      <c r="AW3760" s="35"/>
      <c r="AX3760" s="35"/>
      <c r="AY3760" s="35"/>
      <c r="AZ3760" s="35"/>
      <c r="BA3760" s="35"/>
      <c r="BB3760" s="22">
        <f t="shared" si="1129"/>
        <v>0</v>
      </c>
      <c r="BC3760" s="23">
        <v>0</v>
      </c>
      <c r="BD3760" s="130">
        <f t="shared" si="1130"/>
        <v>0</v>
      </c>
      <c r="BE3760" s="130">
        <f t="shared" si="1125"/>
        <v>0</v>
      </c>
      <c r="BF3760" s="195" t="e">
        <f t="shared" si="1131"/>
        <v>#DIV/0!</v>
      </c>
      <c r="BG3760" s="373">
        <f t="shared" si="1132"/>
        <v>0</v>
      </c>
    </row>
    <row r="3761" spans="1:61" s="46" customFormat="1" ht="15.95" customHeight="1">
      <c r="A3761" s="644" t="s">
        <v>726</v>
      </c>
      <c r="B3761" s="645"/>
      <c r="C3761" s="645"/>
      <c r="D3761" s="28">
        <f t="shared" ref="D3761:AI3761" si="1133">SUM(D3762:D3826)</f>
        <v>0</v>
      </c>
      <c r="E3761" s="28">
        <f t="shared" si="1133"/>
        <v>0</v>
      </c>
      <c r="F3761" s="28">
        <f t="shared" si="1133"/>
        <v>0</v>
      </c>
      <c r="G3761" s="28">
        <f t="shared" si="1133"/>
        <v>0</v>
      </c>
      <c r="H3761" s="28">
        <f t="shared" si="1133"/>
        <v>1836</v>
      </c>
      <c r="I3761" s="28">
        <f t="shared" si="1133"/>
        <v>0</v>
      </c>
      <c r="J3761" s="28">
        <f t="shared" si="1133"/>
        <v>0</v>
      </c>
      <c r="K3761" s="28">
        <f t="shared" si="1133"/>
        <v>1</v>
      </c>
      <c r="L3761" s="28">
        <f t="shared" si="1133"/>
        <v>5917</v>
      </c>
      <c r="M3761" s="28">
        <f t="shared" si="1133"/>
        <v>0</v>
      </c>
      <c r="N3761" s="28">
        <f t="shared" si="1133"/>
        <v>0</v>
      </c>
      <c r="O3761" s="28">
        <f t="shared" si="1133"/>
        <v>37</v>
      </c>
      <c r="P3761" s="28">
        <f t="shared" si="1133"/>
        <v>6337</v>
      </c>
      <c r="Q3761" s="28">
        <f t="shared" si="1133"/>
        <v>0</v>
      </c>
      <c r="R3761" s="28">
        <f t="shared" si="1133"/>
        <v>0</v>
      </c>
      <c r="S3761" s="28">
        <f t="shared" si="1133"/>
        <v>5</v>
      </c>
      <c r="T3761" s="28">
        <f t="shared" si="1133"/>
        <v>0</v>
      </c>
      <c r="U3761" s="28">
        <f t="shared" si="1133"/>
        <v>0</v>
      </c>
      <c r="V3761" s="28">
        <f t="shared" si="1133"/>
        <v>0</v>
      </c>
      <c r="W3761" s="28">
        <f t="shared" si="1133"/>
        <v>0</v>
      </c>
      <c r="X3761" s="28">
        <f t="shared" si="1133"/>
        <v>0</v>
      </c>
      <c r="Y3761" s="28">
        <f t="shared" si="1133"/>
        <v>0</v>
      </c>
      <c r="Z3761" s="28">
        <f t="shared" si="1133"/>
        <v>0</v>
      </c>
      <c r="AA3761" s="28">
        <f t="shared" si="1133"/>
        <v>0</v>
      </c>
      <c r="AB3761" s="28">
        <f>SUM(AB3762:AB3826)</f>
        <v>14133</v>
      </c>
      <c r="AC3761" s="127">
        <f>SUM(AC3762:AC3826)</f>
        <v>43588</v>
      </c>
      <c r="AD3761" s="28">
        <f t="shared" si="1133"/>
        <v>0</v>
      </c>
      <c r="AE3761" s="28">
        <f t="shared" si="1133"/>
        <v>0</v>
      </c>
      <c r="AF3761" s="28">
        <f t="shared" si="1133"/>
        <v>0</v>
      </c>
      <c r="AG3761" s="28">
        <f t="shared" si="1133"/>
        <v>0</v>
      </c>
      <c r="AH3761" s="28">
        <f t="shared" si="1133"/>
        <v>0</v>
      </c>
      <c r="AI3761" s="28">
        <f t="shared" si="1133"/>
        <v>0</v>
      </c>
      <c r="AJ3761" s="28">
        <f t="shared" ref="AJ3761:BB3761" si="1134">SUM(AJ3762:AJ3826)</f>
        <v>0</v>
      </c>
      <c r="AK3761" s="28">
        <f t="shared" si="1134"/>
        <v>0</v>
      </c>
      <c r="AL3761" s="28">
        <f t="shared" si="1134"/>
        <v>0</v>
      </c>
      <c r="AM3761" s="28">
        <f t="shared" si="1134"/>
        <v>0</v>
      </c>
      <c r="AN3761" s="28">
        <f t="shared" si="1134"/>
        <v>0</v>
      </c>
      <c r="AO3761" s="28">
        <f t="shared" si="1134"/>
        <v>0</v>
      </c>
      <c r="AP3761" s="28">
        <f t="shared" si="1134"/>
        <v>1</v>
      </c>
      <c r="AQ3761" s="28">
        <f t="shared" si="1134"/>
        <v>0</v>
      </c>
      <c r="AR3761" s="28">
        <f t="shared" si="1134"/>
        <v>0</v>
      </c>
      <c r="AS3761" s="28">
        <f t="shared" si="1134"/>
        <v>0</v>
      </c>
      <c r="AT3761" s="28">
        <f t="shared" si="1134"/>
        <v>0</v>
      </c>
      <c r="AU3761" s="28">
        <f t="shared" si="1134"/>
        <v>0</v>
      </c>
      <c r="AV3761" s="28">
        <f t="shared" si="1134"/>
        <v>0</v>
      </c>
      <c r="AW3761" s="28">
        <f t="shared" si="1134"/>
        <v>0</v>
      </c>
      <c r="AX3761" s="28">
        <f t="shared" si="1134"/>
        <v>0</v>
      </c>
      <c r="AY3761" s="28">
        <f t="shared" si="1134"/>
        <v>0</v>
      </c>
      <c r="AZ3761" s="28">
        <f t="shared" si="1134"/>
        <v>0</v>
      </c>
      <c r="BA3761" s="28">
        <f t="shared" si="1134"/>
        <v>0</v>
      </c>
      <c r="BB3761" s="28">
        <f t="shared" si="1134"/>
        <v>1</v>
      </c>
      <c r="BC3761" s="23">
        <v>0</v>
      </c>
      <c r="BD3761" s="130">
        <f t="shared" si="1124"/>
        <v>14134</v>
      </c>
      <c r="BE3761" s="130">
        <f t="shared" si="1125"/>
        <v>43588</v>
      </c>
      <c r="BF3761" s="195">
        <f t="shared" si="1126"/>
        <v>32.426355877764522</v>
      </c>
      <c r="BG3761" s="374">
        <f t="shared" si="1127"/>
        <v>29454</v>
      </c>
    </row>
    <row r="3762" spans="1:61" s="46" customFormat="1" ht="21" customHeight="1">
      <c r="A3762" s="417">
        <v>1</v>
      </c>
      <c r="B3762" s="418" t="s">
        <v>731</v>
      </c>
      <c r="C3762" s="419" t="s">
        <v>2050</v>
      </c>
      <c r="D3762" s="231"/>
      <c r="E3762" s="231"/>
      <c r="F3762" s="231"/>
      <c r="G3762" s="231"/>
      <c r="H3762" s="231"/>
      <c r="I3762" s="231"/>
      <c r="J3762" s="231"/>
      <c r="K3762" s="231"/>
      <c r="L3762" s="231"/>
      <c r="M3762" s="231"/>
      <c r="N3762" s="231"/>
      <c r="O3762" s="231"/>
      <c r="P3762" s="231"/>
      <c r="Q3762" s="231"/>
      <c r="R3762" s="231"/>
      <c r="S3762" s="231"/>
      <c r="T3762" s="231"/>
      <c r="U3762" s="231"/>
      <c r="V3762" s="231"/>
      <c r="W3762" s="231"/>
      <c r="X3762" s="231"/>
      <c r="Y3762" s="231"/>
      <c r="Z3762" s="231"/>
      <c r="AA3762" s="231"/>
      <c r="AB3762" s="22">
        <f t="shared" ref="AB3762:AB3793" si="1135">SUM(D3762:AA3762)</f>
        <v>0</v>
      </c>
      <c r="AC3762" s="23">
        <v>18</v>
      </c>
      <c r="AD3762" s="35"/>
      <c r="AE3762" s="35"/>
      <c r="AF3762" s="35"/>
      <c r="AG3762" s="35"/>
      <c r="AH3762" s="35"/>
      <c r="AI3762" s="35"/>
      <c r="AJ3762" s="35"/>
      <c r="AK3762" s="35"/>
      <c r="AL3762" s="35"/>
      <c r="AM3762" s="35"/>
      <c r="AN3762" s="35"/>
      <c r="AO3762" s="35"/>
      <c r="AP3762" s="35"/>
      <c r="AQ3762" s="35"/>
      <c r="AR3762" s="35"/>
      <c r="AS3762" s="35"/>
      <c r="AT3762" s="35"/>
      <c r="AU3762" s="35"/>
      <c r="AV3762" s="35"/>
      <c r="AW3762" s="35"/>
      <c r="AX3762" s="35"/>
      <c r="AY3762" s="35"/>
      <c r="AZ3762" s="35"/>
      <c r="BA3762" s="35"/>
      <c r="BB3762" s="22">
        <f t="shared" ref="BB3762:BB3793" si="1136">SUM(AD3762:BA3762)</f>
        <v>0</v>
      </c>
      <c r="BC3762" s="23">
        <v>0</v>
      </c>
      <c r="BD3762" s="130">
        <f t="shared" ref="BD3762:BD3793" si="1137">AB3762+BB3762</f>
        <v>0</v>
      </c>
      <c r="BE3762" s="130">
        <f t="shared" ref="BE3762:BE3793" si="1138">AC3762+BC3762</f>
        <v>18</v>
      </c>
      <c r="BF3762" s="195">
        <f t="shared" ref="BF3762:BF3793" si="1139">BD3762/BE3762*100</f>
        <v>0</v>
      </c>
      <c r="BG3762" s="373">
        <f>BE3762-BD3762</f>
        <v>18</v>
      </c>
      <c r="BH3762" s="426" t="s">
        <v>3675</v>
      </c>
      <c r="BI3762" s="420"/>
    </row>
    <row r="3763" spans="1:61" s="46" customFormat="1" ht="21" customHeight="1">
      <c r="A3763" s="417">
        <v>2</v>
      </c>
      <c r="B3763" s="418" t="s">
        <v>926</v>
      </c>
      <c r="C3763" s="423" t="s">
        <v>927</v>
      </c>
      <c r="D3763" s="533"/>
      <c r="E3763" s="533"/>
      <c r="F3763" s="533"/>
      <c r="G3763" s="533"/>
      <c r="H3763" s="533"/>
      <c r="I3763" s="533"/>
      <c r="J3763" s="533"/>
      <c r="K3763" s="533">
        <v>1</v>
      </c>
      <c r="L3763" s="533"/>
      <c r="M3763" s="533"/>
      <c r="N3763" s="533"/>
      <c r="O3763" s="533">
        <v>37</v>
      </c>
      <c r="P3763" s="533"/>
      <c r="Q3763" s="533"/>
      <c r="R3763" s="533"/>
      <c r="S3763" s="533">
        <v>5</v>
      </c>
      <c r="T3763" s="533"/>
      <c r="U3763" s="533"/>
      <c r="V3763" s="533"/>
      <c r="W3763" s="533"/>
      <c r="X3763" s="533"/>
      <c r="Y3763" s="533"/>
      <c r="Z3763" s="533"/>
      <c r="AA3763" s="533"/>
      <c r="AB3763" s="22">
        <f t="shared" si="1135"/>
        <v>43</v>
      </c>
      <c r="AC3763" s="23">
        <v>0</v>
      </c>
      <c r="AD3763" s="35"/>
      <c r="AE3763" s="35"/>
      <c r="AF3763" s="35"/>
      <c r="AG3763" s="35"/>
      <c r="AH3763" s="35"/>
      <c r="AI3763" s="35"/>
      <c r="AJ3763" s="35"/>
      <c r="AK3763" s="35"/>
      <c r="AL3763" s="35"/>
      <c r="AM3763" s="35"/>
      <c r="AN3763" s="35"/>
      <c r="AO3763" s="35"/>
      <c r="AP3763" s="35"/>
      <c r="AQ3763" s="35"/>
      <c r="AR3763" s="35"/>
      <c r="AS3763" s="35"/>
      <c r="AT3763" s="35"/>
      <c r="AU3763" s="35"/>
      <c r="AV3763" s="35"/>
      <c r="AW3763" s="35"/>
      <c r="AX3763" s="35"/>
      <c r="AY3763" s="35"/>
      <c r="AZ3763" s="35"/>
      <c r="BA3763" s="35"/>
      <c r="BB3763" s="22">
        <f t="shared" si="1136"/>
        <v>0</v>
      </c>
      <c r="BC3763" s="23">
        <v>0</v>
      </c>
      <c r="BD3763" s="130">
        <f t="shared" si="1137"/>
        <v>43</v>
      </c>
      <c r="BE3763" s="130">
        <f t="shared" si="1138"/>
        <v>0</v>
      </c>
      <c r="BF3763" s="195" t="e">
        <f t="shared" si="1139"/>
        <v>#DIV/0!</v>
      </c>
      <c r="BG3763" s="373"/>
      <c r="BH3763" s="426" t="s">
        <v>3675</v>
      </c>
      <c r="BI3763" s="420"/>
    </row>
    <row r="3764" spans="1:61" s="46" customFormat="1" ht="21" customHeight="1">
      <c r="A3764" s="417">
        <v>3</v>
      </c>
      <c r="B3764" s="418" t="s">
        <v>2218</v>
      </c>
      <c r="C3764" s="419" t="s">
        <v>2222</v>
      </c>
      <c r="D3764" s="231"/>
      <c r="E3764" s="231"/>
      <c r="F3764" s="231"/>
      <c r="G3764" s="231"/>
      <c r="H3764" s="231"/>
      <c r="I3764" s="231"/>
      <c r="J3764" s="231"/>
      <c r="K3764" s="231"/>
      <c r="L3764" s="231"/>
      <c r="M3764" s="231"/>
      <c r="N3764" s="231"/>
      <c r="O3764" s="231"/>
      <c r="P3764" s="231"/>
      <c r="Q3764" s="231"/>
      <c r="R3764" s="231"/>
      <c r="S3764" s="231"/>
      <c r="T3764" s="231"/>
      <c r="U3764" s="231"/>
      <c r="V3764" s="231"/>
      <c r="W3764" s="231"/>
      <c r="X3764" s="231"/>
      <c r="Y3764" s="231"/>
      <c r="Z3764" s="231"/>
      <c r="AA3764" s="231"/>
      <c r="AB3764" s="22">
        <f t="shared" si="1135"/>
        <v>0</v>
      </c>
      <c r="AC3764" s="23">
        <v>1</v>
      </c>
      <c r="AD3764" s="35"/>
      <c r="AE3764" s="35"/>
      <c r="AF3764" s="35"/>
      <c r="AG3764" s="35"/>
      <c r="AH3764" s="35"/>
      <c r="AI3764" s="35"/>
      <c r="AJ3764" s="35"/>
      <c r="AK3764" s="35"/>
      <c r="AL3764" s="35"/>
      <c r="AM3764" s="35"/>
      <c r="AN3764" s="35"/>
      <c r="AO3764" s="35"/>
      <c r="AP3764" s="35"/>
      <c r="AQ3764" s="35"/>
      <c r="AR3764" s="35"/>
      <c r="AS3764" s="35"/>
      <c r="AT3764" s="35"/>
      <c r="AU3764" s="35"/>
      <c r="AV3764" s="35"/>
      <c r="AW3764" s="35"/>
      <c r="AX3764" s="35"/>
      <c r="AY3764" s="35"/>
      <c r="AZ3764" s="35"/>
      <c r="BA3764" s="35"/>
      <c r="BB3764" s="22">
        <f t="shared" si="1136"/>
        <v>0</v>
      </c>
      <c r="BC3764" s="23">
        <v>0</v>
      </c>
      <c r="BD3764" s="130">
        <f t="shared" si="1137"/>
        <v>0</v>
      </c>
      <c r="BE3764" s="130">
        <f t="shared" si="1138"/>
        <v>1</v>
      </c>
      <c r="BF3764" s="195">
        <f t="shared" si="1139"/>
        <v>0</v>
      </c>
      <c r="BG3764" s="373">
        <f>BE3764-BD3764</f>
        <v>1</v>
      </c>
      <c r="BH3764" s="426" t="s">
        <v>3675</v>
      </c>
      <c r="BI3764" s="421"/>
    </row>
    <row r="3765" spans="1:61" s="46" customFormat="1" ht="15.95" customHeight="1">
      <c r="A3765" s="176">
        <v>4</v>
      </c>
      <c r="B3765" s="31" t="s">
        <v>1039</v>
      </c>
      <c r="C3765" s="32" t="s">
        <v>1519</v>
      </c>
      <c r="D3765" s="231"/>
      <c r="E3765" s="231"/>
      <c r="F3765" s="231"/>
      <c r="G3765" s="231"/>
      <c r="H3765" s="231"/>
      <c r="I3765" s="231"/>
      <c r="J3765" s="231"/>
      <c r="K3765" s="231"/>
      <c r="L3765" s="231"/>
      <c r="M3765" s="231"/>
      <c r="N3765" s="231"/>
      <c r="O3765" s="231"/>
      <c r="P3765" s="231">
        <v>1</v>
      </c>
      <c r="Q3765" s="231"/>
      <c r="R3765" s="231"/>
      <c r="S3765" s="231"/>
      <c r="T3765" s="231"/>
      <c r="U3765" s="231"/>
      <c r="V3765" s="231"/>
      <c r="W3765" s="231"/>
      <c r="X3765" s="231"/>
      <c r="Y3765" s="231"/>
      <c r="Z3765" s="231"/>
      <c r="AA3765" s="231"/>
      <c r="AB3765" s="22">
        <f t="shared" si="1135"/>
        <v>1</v>
      </c>
      <c r="AC3765" s="23">
        <v>0</v>
      </c>
      <c r="AD3765" s="35"/>
      <c r="AE3765" s="35"/>
      <c r="AF3765" s="35"/>
      <c r="AG3765" s="35"/>
      <c r="AH3765" s="35"/>
      <c r="AI3765" s="35"/>
      <c r="AJ3765" s="35"/>
      <c r="AK3765" s="35"/>
      <c r="AL3765" s="35"/>
      <c r="AM3765" s="35"/>
      <c r="AN3765" s="35"/>
      <c r="AO3765" s="35"/>
      <c r="AP3765" s="35"/>
      <c r="AQ3765" s="35"/>
      <c r="AR3765" s="35"/>
      <c r="AS3765" s="35"/>
      <c r="AT3765" s="35"/>
      <c r="AU3765" s="35"/>
      <c r="AV3765" s="35"/>
      <c r="AW3765" s="35"/>
      <c r="AX3765" s="35"/>
      <c r="AY3765" s="35"/>
      <c r="AZ3765" s="35"/>
      <c r="BA3765" s="35"/>
      <c r="BB3765" s="22">
        <f t="shared" si="1136"/>
        <v>0</v>
      </c>
      <c r="BC3765" s="23">
        <v>0</v>
      </c>
      <c r="BD3765" s="130">
        <f t="shared" si="1137"/>
        <v>1</v>
      </c>
      <c r="BE3765" s="130">
        <f t="shared" si="1138"/>
        <v>0</v>
      </c>
      <c r="BF3765" s="195" t="e">
        <f t="shared" si="1139"/>
        <v>#DIV/0!</v>
      </c>
      <c r="BG3765" s="373"/>
    </row>
    <row r="3766" spans="1:61" s="46" customFormat="1" ht="15.95" customHeight="1">
      <c r="A3766" s="176">
        <v>5</v>
      </c>
      <c r="B3766" s="31" t="s">
        <v>738</v>
      </c>
      <c r="C3766" s="32" t="s">
        <v>739</v>
      </c>
      <c r="D3766" s="577"/>
      <c r="E3766" s="577"/>
      <c r="F3766" s="577"/>
      <c r="G3766" s="577"/>
      <c r="H3766" s="577">
        <v>5</v>
      </c>
      <c r="I3766" s="577"/>
      <c r="J3766" s="577"/>
      <c r="K3766" s="577"/>
      <c r="L3766" s="577">
        <v>23</v>
      </c>
      <c r="M3766" s="577"/>
      <c r="N3766" s="577"/>
      <c r="O3766" s="577"/>
      <c r="P3766" s="577">
        <v>43</v>
      </c>
      <c r="Q3766" s="577"/>
      <c r="R3766" s="577"/>
      <c r="S3766" s="577"/>
      <c r="T3766" s="577"/>
      <c r="U3766" s="577"/>
      <c r="V3766" s="577"/>
      <c r="W3766" s="577"/>
      <c r="X3766" s="577"/>
      <c r="Y3766" s="577"/>
      <c r="Z3766" s="577"/>
      <c r="AA3766" s="577"/>
      <c r="AB3766" s="22">
        <f t="shared" si="1135"/>
        <v>71</v>
      </c>
      <c r="AC3766" s="23">
        <v>108</v>
      </c>
      <c r="AD3766" s="35"/>
      <c r="AE3766" s="35"/>
      <c r="AF3766" s="35"/>
      <c r="AG3766" s="35"/>
      <c r="AH3766" s="35"/>
      <c r="AI3766" s="35"/>
      <c r="AJ3766" s="35"/>
      <c r="AK3766" s="35"/>
      <c r="AL3766" s="35"/>
      <c r="AM3766" s="35"/>
      <c r="AN3766" s="35"/>
      <c r="AO3766" s="35"/>
      <c r="AP3766" s="35"/>
      <c r="AQ3766" s="35"/>
      <c r="AR3766" s="35"/>
      <c r="AS3766" s="35"/>
      <c r="AT3766" s="35"/>
      <c r="AU3766" s="35"/>
      <c r="AV3766" s="35"/>
      <c r="AW3766" s="35"/>
      <c r="AX3766" s="35"/>
      <c r="AY3766" s="35"/>
      <c r="AZ3766" s="35"/>
      <c r="BA3766" s="35"/>
      <c r="BB3766" s="22">
        <f t="shared" si="1136"/>
        <v>0</v>
      </c>
      <c r="BC3766" s="23">
        <v>0</v>
      </c>
      <c r="BD3766" s="130">
        <f t="shared" si="1137"/>
        <v>71</v>
      </c>
      <c r="BE3766" s="130">
        <f t="shared" si="1138"/>
        <v>108</v>
      </c>
      <c r="BF3766" s="195">
        <f t="shared" si="1139"/>
        <v>65.740740740740748</v>
      </c>
      <c r="BG3766" s="373">
        <f t="shared" ref="BG3766:BG3784" si="1140">BE3766-BD3766</f>
        <v>37</v>
      </c>
    </row>
    <row r="3767" spans="1:61" s="46" customFormat="1" ht="15.95" customHeight="1">
      <c r="A3767" s="176">
        <v>6</v>
      </c>
      <c r="B3767" s="31" t="s">
        <v>756</v>
      </c>
      <c r="C3767" s="32" t="s">
        <v>1689</v>
      </c>
      <c r="D3767" s="231"/>
      <c r="E3767" s="231"/>
      <c r="F3767" s="231"/>
      <c r="G3767" s="231"/>
      <c r="H3767" s="231">
        <v>8</v>
      </c>
      <c r="I3767" s="231"/>
      <c r="J3767" s="231"/>
      <c r="K3767" s="231"/>
      <c r="L3767" s="231">
        <v>24</v>
      </c>
      <c r="M3767" s="231"/>
      <c r="N3767" s="231"/>
      <c r="O3767" s="231"/>
      <c r="P3767" s="231">
        <v>46</v>
      </c>
      <c r="Q3767" s="231"/>
      <c r="R3767" s="231"/>
      <c r="S3767" s="231"/>
      <c r="T3767" s="231"/>
      <c r="U3767" s="231"/>
      <c r="V3767" s="231"/>
      <c r="W3767" s="231"/>
      <c r="X3767" s="231"/>
      <c r="Y3767" s="231"/>
      <c r="Z3767" s="231"/>
      <c r="AA3767" s="231"/>
      <c r="AB3767" s="22">
        <f t="shared" si="1135"/>
        <v>78</v>
      </c>
      <c r="AC3767" s="23">
        <v>33</v>
      </c>
      <c r="AD3767" s="35"/>
      <c r="AE3767" s="35"/>
      <c r="AF3767" s="35"/>
      <c r="AG3767" s="35"/>
      <c r="AH3767" s="35"/>
      <c r="AI3767" s="35"/>
      <c r="AJ3767" s="35"/>
      <c r="AK3767" s="35"/>
      <c r="AL3767" s="35"/>
      <c r="AM3767" s="35"/>
      <c r="AN3767" s="35"/>
      <c r="AO3767" s="35"/>
      <c r="AP3767" s="35"/>
      <c r="AQ3767" s="35"/>
      <c r="AR3767" s="35"/>
      <c r="AS3767" s="35"/>
      <c r="AT3767" s="35"/>
      <c r="AU3767" s="35"/>
      <c r="AV3767" s="35"/>
      <c r="AW3767" s="35"/>
      <c r="AX3767" s="35"/>
      <c r="AY3767" s="35"/>
      <c r="AZ3767" s="35"/>
      <c r="BA3767" s="35"/>
      <c r="BB3767" s="22">
        <f t="shared" si="1136"/>
        <v>0</v>
      </c>
      <c r="BC3767" s="23">
        <v>0</v>
      </c>
      <c r="BD3767" s="130">
        <f t="shared" si="1137"/>
        <v>78</v>
      </c>
      <c r="BE3767" s="130">
        <f t="shared" si="1138"/>
        <v>33</v>
      </c>
      <c r="BF3767" s="195">
        <f t="shared" si="1139"/>
        <v>236.36363636363637</v>
      </c>
      <c r="BG3767" s="373">
        <f t="shared" si="1140"/>
        <v>-45</v>
      </c>
    </row>
    <row r="3768" spans="1:61" s="46" customFormat="1" ht="15.95" customHeight="1">
      <c r="A3768" s="176">
        <v>7</v>
      </c>
      <c r="B3768" s="31" t="s">
        <v>1140</v>
      </c>
      <c r="C3768" s="32" t="s">
        <v>1281</v>
      </c>
      <c r="D3768" s="390"/>
      <c r="E3768" s="390"/>
      <c r="F3768" s="390"/>
      <c r="G3768" s="390"/>
      <c r="H3768" s="390"/>
      <c r="I3768" s="390"/>
      <c r="J3768" s="390"/>
      <c r="K3768" s="390"/>
      <c r="L3768" s="390"/>
      <c r="M3768" s="390"/>
      <c r="N3768" s="390"/>
      <c r="O3768" s="390"/>
      <c r="P3768" s="390"/>
      <c r="Q3768" s="390"/>
      <c r="R3768" s="390"/>
      <c r="S3768" s="390"/>
      <c r="T3768" s="390"/>
      <c r="U3768" s="390"/>
      <c r="V3768" s="390"/>
      <c r="W3768" s="390"/>
      <c r="X3768" s="390"/>
      <c r="Y3768" s="390"/>
      <c r="Z3768" s="390"/>
      <c r="AA3768" s="390"/>
      <c r="AB3768" s="22">
        <f t="shared" si="1135"/>
        <v>0</v>
      </c>
      <c r="AC3768" s="23">
        <v>1</v>
      </c>
      <c r="AD3768" s="35"/>
      <c r="AE3768" s="35"/>
      <c r="AF3768" s="35"/>
      <c r="AG3768" s="35"/>
      <c r="AH3768" s="35"/>
      <c r="AI3768" s="35"/>
      <c r="AJ3768" s="35"/>
      <c r="AK3768" s="35"/>
      <c r="AL3768" s="35"/>
      <c r="AM3768" s="35"/>
      <c r="AN3768" s="35"/>
      <c r="AO3768" s="35"/>
      <c r="AP3768" s="35"/>
      <c r="AQ3768" s="35"/>
      <c r="AR3768" s="35"/>
      <c r="AS3768" s="35"/>
      <c r="AT3768" s="35"/>
      <c r="AU3768" s="35"/>
      <c r="AV3768" s="35"/>
      <c r="AW3768" s="35"/>
      <c r="AX3768" s="35"/>
      <c r="AY3768" s="35"/>
      <c r="AZ3768" s="35"/>
      <c r="BA3768" s="35"/>
      <c r="BB3768" s="22">
        <f t="shared" si="1136"/>
        <v>0</v>
      </c>
      <c r="BC3768" s="23">
        <v>0</v>
      </c>
      <c r="BD3768" s="130">
        <f t="shared" si="1137"/>
        <v>0</v>
      </c>
      <c r="BE3768" s="130">
        <f t="shared" si="1138"/>
        <v>1</v>
      </c>
      <c r="BF3768" s="195">
        <f t="shared" si="1139"/>
        <v>0</v>
      </c>
      <c r="BG3768" s="373">
        <f t="shared" si="1140"/>
        <v>1</v>
      </c>
    </row>
    <row r="3769" spans="1:61" s="46" customFormat="1" ht="15.95" customHeight="1">
      <c r="A3769" s="176">
        <v>8</v>
      </c>
      <c r="B3769" s="31" t="s">
        <v>1523</v>
      </c>
      <c r="C3769" s="32" t="s">
        <v>1690</v>
      </c>
      <c r="D3769" s="390"/>
      <c r="E3769" s="390"/>
      <c r="F3769" s="390"/>
      <c r="G3769" s="390"/>
      <c r="H3769" s="390"/>
      <c r="I3769" s="390"/>
      <c r="J3769" s="390"/>
      <c r="K3769" s="390"/>
      <c r="L3769" s="390">
        <v>1</v>
      </c>
      <c r="M3769" s="390"/>
      <c r="N3769" s="390"/>
      <c r="O3769" s="390"/>
      <c r="P3769" s="390">
        <v>1</v>
      </c>
      <c r="Q3769" s="390"/>
      <c r="R3769" s="390"/>
      <c r="S3769" s="390"/>
      <c r="T3769" s="390"/>
      <c r="U3769" s="390"/>
      <c r="V3769" s="390"/>
      <c r="W3769" s="390"/>
      <c r="X3769" s="390"/>
      <c r="Y3769" s="390"/>
      <c r="Z3769" s="390"/>
      <c r="AA3769" s="390"/>
      <c r="AB3769" s="22">
        <f t="shared" si="1135"/>
        <v>2</v>
      </c>
      <c r="AC3769" s="23">
        <v>3</v>
      </c>
      <c r="AD3769" s="35"/>
      <c r="AE3769" s="35"/>
      <c r="AF3769" s="35"/>
      <c r="AG3769" s="35"/>
      <c r="AH3769" s="35"/>
      <c r="AI3769" s="35"/>
      <c r="AJ3769" s="35"/>
      <c r="AK3769" s="35"/>
      <c r="AL3769" s="35"/>
      <c r="AM3769" s="35"/>
      <c r="AN3769" s="35"/>
      <c r="AO3769" s="35"/>
      <c r="AP3769" s="35"/>
      <c r="AQ3769" s="35"/>
      <c r="AR3769" s="35"/>
      <c r="AS3769" s="35"/>
      <c r="AT3769" s="35"/>
      <c r="AU3769" s="35"/>
      <c r="AV3769" s="35"/>
      <c r="AW3769" s="35"/>
      <c r="AX3769" s="35"/>
      <c r="AY3769" s="35"/>
      <c r="AZ3769" s="35"/>
      <c r="BA3769" s="35"/>
      <c r="BB3769" s="22">
        <f t="shared" si="1136"/>
        <v>0</v>
      </c>
      <c r="BC3769" s="23">
        <v>0</v>
      </c>
      <c r="BD3769" s="130">
        <f t="shared" si="1137"/>
        <v>2</v>
      </c>
      <c r="BE3769" s="130">
        <f t="shared" si="1138"/>
        <v>3</v>
      </c>
      <c r="BF3769" s="195">
        <f t="shared" si="1139"/>
        <v>66.666666666666657</v>
      </c>
      <c r="BG3769" s="373">
        <f t="shared" si="1140"/>
        <v>1</v>
      </c>
    </row>
    <row r="3770" spans="1:61" s="46" customFormat="1" ht="15.95" customHeight="1">
      <c r="A3770" s="176">
        <v>9</v>
      </c>
      <c r="B3770" s="31" t="s">
        <v>1461</v>
      </c>
      <c r="C3770" s="32" t="s">
        <v>1462</v>
      </c>
      <c r="D3770" s="390"/>
      <c r="E3770" s="390"/>
      <c r="F3770" s="390"/>
      <c r="G3770" s="390"/>
      <c r="H3770" s="390">
        <v>1</v>
      </c>
      <c r="I3770" s="390"/>
      <c r="J3770" s="390"/>
      <c r="K3770" s="390"/>
      <c r="L3770" s="390"/>
      <c r="M3770" s="390"/>
      <c r="N3770" s="390"/>
      <c r="O3770" s="390"/>
      <c r="P3770" s="390">
        <v>1</v>
      </c>
      <c r="Q3770" s="390"/>
      <c r="R3770" s="390"/>
      <c r="S3770" s="390"/>
      <c r="T3770" s="390"/>
      <c r="U3770" s="390"/>
      <c r="V3770" s="390"/>
      <c r="W3770" s="390"/>
      <c r="X3770" s="390"/>
      <c r="Y3770" s="390"/>
      <c r="Z3770" s="390"/>
      <c r="AA3770" s="390"/>
      <c r="AB3770" s="22">
        <f t="shared" si="1135"/>
        <v>2</v>
      </c>
      <c r="AC3770" s="23">
        <v>7</v>
      </c>
      <c r="AD3770" s="35"/>
      <c r="AE3770" s="35"/>
      <c r="AF3770" s="35"/>
      <c r="AG3770" s="35"/>
      <c r="AH3770" s="35"/>
      <c r="AI3770" s="35"/>
      <c r="AJ3770" s="35"/>
      <c r="AK3770" s="35"/>
      <c r="AL3770" s="35"/>
      <c r="AM3770" s="35"/>
      <c r="AN3770" s="35"/>
      <c r="AO3770" s="35"/>
      <c r="AP3770" s="35"/>
      <c r="AQ3770" s="35"/>
      <c r="AR3770" s="35"/>
      <c r="AS3770" s="35"/>
      <c r="AT3770" s="35"/>
      <c r="AU3770" s="35"/>
      <c r="AV3770" s="35"/>
      <c r="AW3770" s="35"/>
      <c r="AX3770" s="35"/>
      <c r="AY3770" s="35"/>
      <c r="AZ3770" s="35"/>
      <c r="BA3770" s="35"/>
      <c r="BB3770" s="22">
        <f t="shared" si="1136"/>
        <v>0</v>
      </c>
      <c r="BC3770" s="23">
        <v>0</v>
      </c>
      <c r="BD3770" s="130">
        <f t="shared" si="1137"/>
        <v>2</v>
      </c>
      <c r="BE3770" s="130">
        <f t="shared" si="1138"/>
        <v>7</v>
      </c>
      <c r="BF3770" s="195">
        <f t="shared" si="1139"/>
        <v>28.571428571428569</v>
      </c>
      <c r="BG3770" s="373">
        <f t="shared" si="1140"/>
        <v>5</v>
      </c>
    </row>
    <row r="3771" spans="1:61" s="46" customFormat="1" ht="15.95" customHeight="1">
      <c r="A3771" s="176">
        <v>10</v>
      </c>
      <c r="B3771" s="31" t="s">
        <v>772</v>
      </c>
      <c r="C3771" s="32" t="s">
        <v>773</v>
      </c>
      <c r="D3771" s="390"/>
      <c r="E3771" s="390"/>
      <c r="F3771" s="390"/>
      <c r="G3771" s="390"/>
      <c r="H3771" s="390">
        <v>64</v>
      </c>
      <c r="I3771" s="390"/>
      <c r="J3771" s="390"/>
      <c r="K3771" s="390"/>
      <c r="L3771" s="390">
        <v>240</v>
      </c>
      <c r="M3771" s="390"/>
      <c r="N3771" s="390"/>
      <c r="O3771" s="390"/>
      <c r="P3771" s="390">
        <v>305</v>
      </c>
      <c r="Q3771" s="390"/>
      <c r="R3771" s="390"/>
      <c r="S3771" s="390"/>
      <c r="T3771" s="390"/>
      <c r="U3771" s="390"/>
      <c r="V3771" s="390"/>
      <c r="W3771" s="390"/>
      <c r="X3771" s="390"/>
      <c r="Y3771" s="390"/>
      <c r="Z3771" s="390"/>
      <c r="AA3771" s="390"/>
      <c r="AB3771" s="22">
        <f t="shared" si="1135"/>
        <v>609</v>
      </c>
      <c r="AC3771" s="23">
        <v>968</v>
      </c>
      <c r="AD3771" s="35"/>
      <c r="AE3771" s="35"/>
      <c r="AF3771" s="35"/>
      <c r="AG3771" s="35"/>
      <c r="AH3771" s="35"/>
      <c r="AI3771" s="35"/>
      <c r="AJ3771" s="35"/>
      <c r="AK3771" s="35"/>
      <c r="AL3771" s="35"/>
      <c r="AM3771" s="35"/>
      <c r="AN3771" s="35"/>
      <c r="AO3771" s="35"/>
      <c r="AP3771" s="35"/>
      <c r="AQ3771" s="35"/>
      <c r="AR3771" s="35"/>
      <c r="AS3771" s="35"/>
      <c r="AT3771" s="35"/>
      <c r="AU3771" s="35"/>
      <c r="AV3771" s="35"/>
      <c r="AW3771" s="35"/>
      <c r="AX3771" s="35"/>
      <c r="AY3771" s="35"/>
      <c r="AZ3771" s="35"/>
      <c r="BA3771" s="35"/>
      <c r="BB3771" s="22">
        <f t="shared" si="1136"/>
        <v>0</v>
      </c>
      <c r="BC3771" s="23">
        <v>0</v>
      </c>
      <c r="BD3771" s="130">
        <f t="shared" si="1137"/>
        <v>609</v>
      </c>
      <c r="BE3771" s="130">
        <f t="shared" si="1138"/>
        <v>968</v>
      </c>
      <c r="BF3771" s="195">
        <f t="shared" si="1139"/>
        <v>62.913223140495866</v>
      </c>
      <c r="BG3771" s="373">
        <f t="shared" si="1140"/>
        <v>359</v>
      </c>
    </row>
    <row r="3772" spans="1:61" s="46" customFormat="1" ht="15.95" customHeight="1">
      <c r="A3772" s="176">
        <v>11</v>
      </c>
      <c r="B3772" s="31" t="s">
        <v>1524</v>
      </c>
      <c r="C3772" s="32" t="s">
        <v>1691</v>
      </c>
      <c r="D3772" s="390"/>
      <c r="E3772" s="390"/>
      <c r="F3772" s="390"/>
      <c r="G3772" s="390"/>
      <c r="H3772" s="390">
        <v>1</v>
      </c>
      <c r="I3772" s="390"/>
      <c r="J3772" s="390"/>
      <c r="K3772" s="390"/>
      <c r="L3772" s="390">
        <v>4</v>
      </c>
      <c r="M3772" s="390"/>
      <c r="N3772" s="390"/>
      <c r="O3772" s="390"/>
      <c r="P3772" s="390">
        <v>4</v>
      </c>
      <c r="Q3772" s="390"/>
      <c r="R3772" s="390"/>
      <c r="S3772" s="390"/>
      <c r="T3772" s="390"/>
      <c r="U3772" s="390"/>
      <c r="V3772" s="390"/>
      <c r="W3772" s="390"/>
      <c r="X3772" s="390"/>
      <c r="Y3772" s="390"/>
      <c r="Z3772" s="390"/>
      <c r="AA3772" s="390"/>
      <c r="AB3772" s="22">
        <f t="shared" si="1135"/>
        <v>9</v>
      </c>
      <c r="AC3772" s="23">
        <v>16</v>
      </c>
      <c r="AD3772" s="35"/>
      <c r="AE3772" s="35"/>
      <c r="AF3772" s="35"/>
      <c r="AG3772" s="35"/>
      <c r="AH3772" s="35"/>
      <c r="AI3772" s="35"/>
      <c r="AJ3772" s="35"/>
      <c r="AK3772" s="35"/>
      <c r="AL3772" s="35"/>
      <c r="AM3772" s="35"/>
      <c r="AN3772" s="35"/>
      <c r="AO3772" s="35"/>
      <c r="AP3772" s="35"/>
      <c r="AQ3772" s="35"/>
      <c r="AR3772" s="35"/>
      <c r="AS3772" s="35"/>
      <c r="AT3772" s="35"/>
      <c r="AU3772" s="35"/>
      <c r="AV3772" s="35"/>
      <c r="AW3772" s="35"/>
      <c r="AX3772" s="35"/>
      <c r="AY3772" s="35"/>
      <c r="AZ3772" s="35"/>
      <c r="BA3772" s="35"/>
      <c r="BB3772" s="22">
        <f t="shared" si="1136"/>
        <v>0</v>
      </c>
      <c r="BC3772" s="23">
        <v>0</v>
      </c>
      <c r="BD3772" s="130">
        <f t="shared" si="1137"/>
        <v>9</v>
      </c>
      <c r="BE3772" s="130">
        <f t="shared" si="1138"/>
        <v>16</v>
      </c>
      <c r="BF3772" s="195">
        <f t="shared" si="1139"/>
        <v>56.25</v>
      </c>
      <c r="BG3772" s="373">
        <f t="shared" si="1140"/>
        <v>7</v>
      </c>
    </row>
    <row r="3773" spans="1:61" s="46" customFormat="1" ht="15.95" customHeight="1">
      <c r="A3773" s="176">
        <v>12</v>
      </c>
      <c r="B3773" s="31" t="s">
        <v>1282</v>
      </c>
      <c r="C3773" s="32" t="s">
        <v>1283</v>
      </c>
      <c r="D3773" s="390"/>
      <c r="E3773" s="390"/>
      <c r="F3773" s="390"/>
      <c r="G3773" s="390"/>
      <c r="H3773" s="390"/>
      <c r="I3773" s="390"/>
      <c r="J3773" s="390"/>
      <c r="K3773" s="390"/>
      <c r="L3773" s="390"/>
      <c r="M3773" s="390"/>
      <c r="N3773" s="390"/>
      <c r="O3773" s="390"/>
      <c r="P3773" s="390"/>
      <c r="Q3773" s="390"/>
      <c r="R3773" s="390"/>
      <c r="S3773" s="390"/>
      <c r="T3773" s="390"/>
      <c r="U3773" s="390"/>
      <c r="V3773" s="390"/>
      <c r="W3773" s="390"/>
      <c r="X3773" s="390"/>
      <c r="Y3773" s="390"/>
      <c r="Z3773" s="390"/>
      <c r="AA3773" s="390"/>
      <c r="AB3773" s="22">
        <f t="shared" si="1135"/>
        <v>0</v>
      </c>
      <c r="AC3773" s="23">
        <v>2</v>
      </c>
      <c r="AD3773" s="35"/>
      <c r="AE3773" s="35"/>
      <c r="AF3773" s="35"/>
      <c r="AG3773" s="35"/>
      <c r="AH3773" s="35"/>
      <c r="AI3773" s="35"/>
      <c r="AJ3773" s="35"/>
      <c r="AK3773" s="35"/>
      <c r="AL3773" s="35"/>
      <c r="AM3773" s="35"/>
      <c r="AN3773" s="35"/>
      <c r="AO3773" s="35"/>
      <c r="AP3773" s="35"/>
      <c r="AQ3773" s="35"/>
      <c r="AR3773" s="35"/>
      <c r="AS3773" s="35"/>
      <c r="AT3773" s="35"/>
      <c r="AU3773" s="35"/>
      <c r="AV3773" s="35"/>
      <c r="AW3773" s="35"/>
      <c r="AX3773" s="35"/>
      <c r="AY3773" s="35"/>
      <c r="AZ3773" s="35"/>
      <c r="BA3773" s="35"/>
      <c r="BB3773" s="22">
        <f t="shared" si="1136"/>
        <v>0</v>
      </c>
      <c r="BC3773" s="23">
        <v>0</v>
      </c>
      <c r="BD3773" s="130">
        <f t="shared" si="1137"/>
        <v>0</v>
      </c>
      <c r="BE3773" s="130">
        <f t="shared" si="1138"/>
        <v>2</v>
      </c>
      <c r="BF3773" s="195">
        <f t="shared" si="1139"/>
        <v>0</v>
      </c>
      <c r="BG3773" s="373">
        <f t="shared" si="1140"/>
        <v>2</v>
      </c>
    </row>
    <row r="3774" spans="1:61" s="46" customFormat="1" ht="15.95" customHeight="1">
      <c r="A3774" s="176">
        <v>13</v>
      </c>
      <c r="B3774" s="31" t="s">
        <v>1528</v>
      </c>
      <c r="C3774" s="32" t="s">
        <v>1529</v>
      </c>
      <c r="D3774" s="231"/>
      <c r="E3774" s="231"/>
      <c r="F3774" s="231"/>
      <c r="G3774" s="231"/>
      <c r="H3774" s="231">
        <v>2</v>
      </c>
      <c r="I3774" s="231"/>
      <c r="J3774" s="231"/>
      <c r="K3774" s="231"/>
      <c r="L3774" s="231">
        <v>8</v>
      </c>
      <c r="M3774" s="231"/>
      <c r="N3774" s="231"/>
      <c r="O3774" s="231"/>
      <c r="P3774" s="231">
        <v>8</v>
      </c>
      <c r="Q3774" s="231"/>
      <c r="R3774" s="231"/>
      <c r="S3774" s="231"/>
      <c r="T3774" s="231"/>
      <c r="U3774" s="231"/>
      <c r="V3774" s="231"/>
      <c r="W3774" s="231"/>
      <c r="X3774" s="231"/>
      <c r="Y3774" s="231"/>
      <c r="Z3774" s="231"/>
      <c r="AA3774" s="231"/>
      <c r="AB3774" s="22">
        <f t="shared" si="1135"/>
        <v>18</v>
      </c>
      <c r="AC3774" s="23">
        <v>24</v>
      </c>
      <c r="AD3774" s="35"/>
      <c r="AE3774" s="35"/>
      <c r="AF3774" s="35"/>
      <c r="AG3774" s="35"/>
      <c r="AH3774" s="35"/>
      <c r="AI3774" s="35"/>
      <c r="AJ3774" s="35"/>
      <c r="AK3774" s="35"/>
      <c r="AL3774" s="35"/>
      <c r="AM3774" s="35"/>
      <c r="AN3774" s="35"/>
      <c r="AO3774" s="35"/>
      <c r="AP3774" s="35"/>
      <c r="AQ3774" s="35"/>
      <c r="AR3774" s="35"/>
      <c r="AS3774" s="35"/>
      <c r="AT3774" s="35"/>
      <c r="AU3774" s="35"/>
      <c r="AV3774" s="35"/>
      <c r="AW3774" s="35"/>
      <c r="AX3774" s="35"/>
      <c r="AY3774" s="35"/>
      <c r="AZ3774" s="35"/>
      <c r="BA3774" s="35"/>
      <c r="BB3774" s="22">
        <f t="shared" si="1136"/>
        <v>0</v>
      </c>
      <c r="BC3774" s="23">
        <v>0</v>
      </c>
      <c r="BD3774" s="130">
        <f t="shared" si="1137"/>
        <v>18</v>
      </c>
      <c r="BE3774" s="130">
        <f t="shared" si="1138"/>
        <v>24</v>
      </c>
      <c r="BF3774" s="195">
        <f t="shared" si="1139"/>
        <v>75</v>
      </c>
      <c r="BG3774" s="373">
        <f t="shared" si="1140"/>
        <v>6</v>
      </c>
    </row>
    <row r="3775" spans="1:61" s="46" customFormat="1" ht="15.95" customHeight="1">
      <c r="A3775" s="176">
        <v>14</v>
      </c>
      <c r="B3775" s="31" t="s">
        <v>1531</v>
      </c>
      <c r="C3775" s="32" t="s">
        <v>1692</v>
      </c>
      <c r="D3775" s="231"/>
      <c r="E3775" s="231"/>
      <c r="F3775" s="231"/>
      <c r="G3775" s="231"/>
      <c r="H3775" s="231"/>
      <c r="I3775" s="231"/>
      <c r="J3775" s="231"/>
      <c r="K3775" s="231"/>
      <c r="L3775" s="231"/>
      <c r="M3775" s="231"/>
      <c r="N3775" s="231"/>
      <c r="O3775" s="231"/>
      <c r="P3775" s="231"/>
      <c r="Q3775" s="231"/>
      <c r="R3775" s="231"/>
      <c r="S3775" s="231"/>
      <c r="T3775" s="231"/>
      <c r="U3775" s="231"/>
      <c r="V3775" s="231"/>
      <c r="W3775" s="231"/>
      <c r="X3775" s="231"/>
      <c r="Y3775" s="231"/>
      <c r="Z3775" s="231"/>
      <c r="AA3775" s="231"/>
      <c r="AB3775" s="22">
        <f t="shared" si="1135"/>
        <v>0</v>
      </c>
      <c r="AC3775" s="23">
        <v>3</v>
      </c>
      <c r="AD3775" s="35"/>
      <c r="AE3775" s="35"/>
      <c r="AF3775" s="35"/>
      <c r="AG3775" s="35"/>
      <c r="AH3775" s="35"/>
      <c r="AI3775" s="35"/>
      <c r="AJ3775" s="35"/>
      <c r="AK3775" s="35"/>
      <c r="AL3775" s="35"/>
      <c r="AM3775" s="35"/>
      <c r="AN3775" s="35"/>
      <c r="AO3775" s="35"/>
      <c r="AP3775" s="35"/>
      <c r="AQ3775" s="35"/>
      <c r="AR3775" s="35"/>
      <c r="AS3775" s="35"/>
      <c r="AT3775" s="35"/>
      <c r="AU3775" s="35"/>
      <c r="AV3775" s="35"/>
      <c r="AW3775" s="35"/>
      <c r="AX3775" s="35"/>
      <c r="AY3775" s="35"/>
      <c r="AZ3775" s="35"/>
      <c r="BA3775" s="35"/>
      <c r="BB3775" s="22">
        <f t="shared" si="1136"/>
        <v>0</v>
      </c>
      <c r="BC3775" s="23">
        <v>0</v>
      </c>
      <c r="BD3775" s="130">
        <f t="shared" si="1137"/>
        <v>0</v>
      </c>
      <c r="BE3775" s="130">
        <f t="shared" si="1138"/>
        <v>3</v>
      </c>
      <c r="BF3775" s="195">
        <f t="shared" si="1139"/>
        <v>0</v>
      </c>
      <c r="BG3775" s="373">
        <f t="shared" si="1140"/>
        <v>3</v>
      </c>
    </row>
    <row r="3776" spans="1:61" s="46" customFormat="1" ht="15.95" customHeight="1">
      <c r="A3776" s="176">
        <v>15</v>
      </c>
      <c r="B3776" s="31" t="s">
        <v>1535</v>
      </c>
      <c r="C3776" s="32" t="s">
        <v>1693</v>
      </c>
      <c r="D3776" s="231"/>
      <c r="E3776" s="231"/>
      <c r="F3776" s="231"/>
      <c r="G3776" s="231"/>
      <c r="H3776" s="231">
        <v>16</v>
      </c>
      <c r="I3776" s="231"/>
      <c r="J3776" s="231"/>
      <c r="K3776" s="231"/>
      <c r="L3776" s="231">
        <v>60</v>
      </c>
      <c r="M3776" s="231"/>
      <c r="N3776" s="231"/>
      <c r="O3776" s="231"/>
      <c r="P3776" s="231">
        <v>31</v>
      </c>
      <c r="Q3776" s="231"/>
      <c r="R3776" s="231"/>
      <c r="S3776" s="231"/>
      <c r="T3776" s="231"/>
      <c r="U3776" s="231"/>
      <c r="V3776" s="231"/>
      <c r="W3776" s="231"/>
      <c r="X3776" s="231"/>
      <c r="Y3776" s="231"/>
      <c r="Z3776" s="231"/>
      <c r="AA3776" s="231"/>
      <c r="AB3776" s="22">
        <f t="shared" si="1135"/>
        <v>107</v>
      </c>
      <c r="AC3776" s="23">
        <v>268</v>
      </c>
      <c r="AD3776" s="35"/>
      <c r="AE3776" s="35"/>
      <c r="AF3776" s="35"/>
      <c r="AG3776" s="35"/>
      <c r="AH3776" s="35"/>
      <c r="AI3776" s="35"/>
      <c r="AJ3776" s="35"/>
      <c r="AK3776" s="35"/>
      <c r="AL3776" s="35"/>
      <c r="AM3776" s="35"/>
      <c r="AN3776" s="35"/>
      <c r="AO3776" s="35"/>
      <c r="AP3776" s="35"/>
      <c r="AQ3776" s="35"/>
      <c r="AR3776" s="35"/>
      <c r="AS3776" s="35"/>
      <c r="AT3776" s="35"/>
      <c r="AU3776" s="35"/>
      <c r="AV3776" s="35"/>
      <c r="AW3776" s="35"/>
      <c r="AX3776" s="35"/>
      <c r="AY3776" s="35"/>
      <c r="AZ3776" s="35"/>
      <c r="BA3776" s="35"/>
      <c r="BB3776" s="22">
        <f t="shared" si="1136"/>
        <v>0</v>
      </c>
      <c r="BC3776" s="23">
        <v>0</v>
      </c>
      <c r="BD3776" s="130">
        <f t="shared" si="1137"/>
        <v>107</v>
      </c>
      <c r="BE3776" s="130">
        <f t="shared" si="1138"/>
        <v>268</v>
      </c>
      <c r="BF3776" s="195">
        <f t="shared" si="1139"/>
        <v>39.925373134328353</v>
      </c>
      <c r="BG3776" s="373">
        <f t="shared" si="1140"/>
        <v>161</v>
      </c>
    </row>
    <row r="3777" spans="1:59" s="46" customFormat="1" ht="15.95" customHeight="1">
      <c r="A3777" s="176">
        <v>16</v>
      </c>
      <c r="B3777" s="31" t="s">
        <v>1042</v>
      </c>
      <c r="C3777" s="32" t="s">
        <v>1537</v>
      </c>
      <c r="D3777" s="231"/>
      <c r="E3777" s="231"/>
      <c r="F3777" s="231"/>
      <c r="G3777" s="231"/>
      <c r="H3777" s="231">
        <v>3</v>
      </c>
      <c r="I3777" s="231"/>
      <c r="J3777" s="231"/>
      <c r="K3777" s="231"/>
      <c r="L3777" s="231">
        <v>28</v>
      </c>
      <c r="M3777" s="231"/>
      <c r="N3777" s="231"/>
      <c r="O3777" s="231"/>
      <c r="P3777" s="231">
        <v>9</v>
      </c>
      <c r="Q3777" s="231"/>
      <c r="R3777" s="231"/>
      <c r="S3777" s="231"/>
      <c r="T3777" s="231"/>
      <c r="U3777" s="231"/>
      <c r="V3777" s="231"/>
      <c r="W3777" s="231"/>
      <c r="X3777" s="231"/>
      <c r="Y3777" s="231"/>
      <c r="Z3777" s="231"/>
      <c r="AA3777" s="231"/>
      <c r="AB3777" s="22">
        <f t="shared" si="1135"/>
        <v>40</v>
      </c>
      <c r="AC3777" s="23">
        <v>229</v>
      </c>
      <c r="AD3777" s="35"/>
      <c r="AE3777" s="35"/>
      <c r="AF3777" s="35"/>
      <c r="AG3777" s="35"/>
      <c r="AH3777" s="35"/>
      <c r="AI3777" s="35"/>
      <c r="AJ3777" s="35"/>
      <c r="AK3777" s="35"/>
      <c r="AL3777" s="35"/>
      <c r="AM3777" s="35"/>
      <c r="AN3777" s="35"/>
      <c r="AO3777" s="35"/>
      <c r="AP3777" s="35"/>
      <c r="AQ3777" s="35"/>
      <c r="AR3777" s="35"/>
      <c r="AS3777" s="35"/>
      <c r="AT3777" s="35"/>
      <c r="AU3777" s="35"/>
      <c r="AV3777" s="35"/>
      <c r="AW3777" s="35"/>
      <c r="AX3777" s="35"/>
      <c r="AY3777" s="35"/>
      <c r="AZ3777" s="35"/>
      <c r="BA3777" s="35"/>
      <c r="BB3777" s="22">
        <f t="shared" si="1136"/>
        <v>0</v>
      </c>
      <c r="BC3777" s="23">
        <v>0</v>
      </c>
      <c r="BD3777" s="130">
        <f t="shared" si="1137"/>
        <v>40</v>
      </c>
      <c r="BE3777" s="130">
        <f t="shared" si="1138"/>
        <v>229</v>
      </c>
      <c r="BF3777" s="195">
        <f t="shared" si="1139"/>
        <v>17.467248908296941</v>
      </c>
      <c r="BG3777" s="373">
        <f t="shared" si="1140"/>
        <v>189</v>
      </c>
    </row>
    <row r="3778" spans="1:59" s="46" customFormat="1" ht="15.95" customHeight="1">
      <c r="A3778" s="176">
        <v>17</v>
      </c>
      <c r="B3778" s="31" t="s">
        <v>1538</v>
      </c>
      <c r="C3778" s="32" t="s">
        <v>1539</v>
      </c>
      <c r="D3778" s="231"/>
      <c r="E3778" s="231"/>
      <c r="F3778" s="231"/>
      <c r="G3778" s="231"/>
      <c r="H3778" s="231">
        <v>13</v>
      </c>
      <c r="I3778" s="231"/>
      <c r="J3778" s="231"/>
      <c r="K3778" s="231"/>
      <c r="L3778" s="231">
        <v>58</v>
      </c>
      <c r="M3778" s="231"/>
      <c r="N3778" s="231"/>
      <c r="O3778" s="231"/>
      <c r="P3778" s="231">
        <v>27</v>
      </c>
      <c r="Q3778" s="231"/>
      <c r="R3778" s="231"/>
      <c r="S3778" s="231"/>
      <c r="T3778" s="231"/>
      <c r="U3778" s="231"/>
      <c r="V3778" s="231"/>
      <c r="W3778" s="231"/>
      <c r="X3778" s="231"/>
      <c r="Y3778" s="231"/>
      <c r="Z3778" s="231"/>
      <c r="AA3778" s="231"/>
      <c r="AB3778" s="22">
        <f t="shared" si="1135"/>
        <v>98</v>
      </c>
      <c r="AC3778" s="23">
        <v>197</v>
      </c>
      <c r="AD3778" s="35"/>
      <c r="AE3778" s="35"/>
      <c r="AF3778" s="35"/>
      <c r="AG3778" s="35"/>
      <c r="AH3778" s="35"/>
      <c r="AI3778" s="35"/>
      <c r="AJ3778" s="35"/>
      <c r="AK3778" s="35"/>
      <c r="AL3778" s="35"/>
      <c r="AM3778" s="35"/>
      <c r="AN3778" s="35"/>
      <c r="AO3778" s="35"/>
      <c r="AP3778" s="35"/>
      <c r="AQ3778" s="35"/>
      <c r="AR3778" s="35"/>
      <c r="AS3778" s="35"/>
      <c r="AT3778" s="35"/>
      <c r="AU3778" s="35"/>
      <c r="AV3778" s="35"/>
      <c r="AW3778" s="35"/>
      <c r="AX3778" s="35"/>
      <c r="AY3778" s="35"/>
      <c r="AZ3778" s="35"/>
      <c r="BA3778" s="35"/>
      <c r="BB3778" s="22">
        <f t="shared" si="1136"/>
        <v>0</v>
      </c>
      <c r="BC3778" s="23">
        <v>0</v>
      </c>
      <c r="BD3778" s="130">
        <f t="shared" si="1137"/>
        <v>98</v>
      </c>
      <c r="BE3778" s="130">
        <f t="shared" si="1138"/>
        <v>197</v>
      </c>
      <c r="BF3778" s="195">
        <f t="shared" si="1139"/>
        <v>49.746192893401016</v>
      </c>
      <c r="BG3778" s="373">
        <f t="shared" si="1140"/>
        <v>99</v>
      </c>
    </row>
    <row r="3779" spans="1:59" s="46" customFormat="1" ht="15.95" customHeight="1">
      <c r="A3779" s="176">
        <v>18</v>
      </c>
      <c r="B3779" s="31" t="s">
        <v>997</v>
      </c>
      <c r="C3779" s="32" t="s">
        <v>998</v>
      </c>
      <c r="D3779" s="231"/>
      <c r="E3779" s="231"/>
      <c r="F3779" s="231"/>
      <c r="G3779" s="231"/>
      <c r="H3779" s="231">
        <v>1</v>
      </c>
      <c r="I3779" s="231"/>
      <c r="J3779" s="231"/>
      <c r="K3779" s="231"/>
      <c r="L3779" s="231">
        <v>11</v>
      </c>
      <c r="M3779" s="231"/>
      <c r="N3779" s="231"/>
      <c r="O3779" s="231"/>
      <c r="P3779" s="231">
        <v>5</v>
      </c>
      <c r="Q3779" s="231"/>
      <c r="R3779" s="231"/>
      <c r="S3779" s="231"/>
      <c r="T3779" s="231"/>
      <c r="U3779" s="231"/>
      <c r="V3779" s="231"/>
      <c r="W3779" s="231"/>
      <c r="X3779" s="231"/>
      <c r="Y3779" s="231"/>
      <c r="Z3779" s="231"/>
      <c r="AA3779" s="231"/>
      <c r="AB3779" s="22">
        <f t="shared" si="1135"/>
        <v>17</v>
      </c>
      <c r="AC3779" s="23">
        <v>72</v>
      </c>
      <c r="AD3779" s="35"/>
      <c r="AE3779" s="35"/>
      <c r="AF3779" s="35"/>
      <c r="AG3779" s="35"/>
      <c r="AH3779" s="35"/>
      <c r="AI3779" s="35"/>
      <c r="AJ3779" s="35"/>
      <c r="AK3779" s="35"/>
      <c r="AL3779" s="35"/>
      <c r="AM3779" s="35"/>
      <c r="AN3779" s="35"/>
      <c r="AO3779" s="35"/>
      <c r="AP3779" s="35"/>
      <c r="AQ3779" s="35"/>
      <c r="AR3779" s="35"/>
      <c r="AS3779" s="35"/>
      <c r="AT3779" s="35"/>
      <c r="AU3779" s="35"/>
      <c r="AV3779" s="35"/>
      <c r="AW3779" s="35"/>
      <c r="AX3779" s="35"/>
      <c r="AY3779" s="35"/>
      <c r="AZ3779" s="35"/>
      <c r="BA3779" s="35"/>
      <c r="BB3779" s="22">
        <f t="shared" si="1136"/>
        <v>0</v>
      </c>
      <c r="BC3779" s="23">
        <v>0</v>
      </c>
      <c r="BD3779" s="130">
        <f t="shared" si="1137"/>
        <v>17</v>
      </c>
      <c r="BE3779" s="130">
        <f t="shared" si="1138"/>
        <v>72</v>
      </c>
      <c r="BF3779" s="195">
        <f t="shared" si="1139"/>
        <v>23.611111111111111</v>
      </c>
      <c r="BG3779" s="373">
        <f t="shared" si="1140"/>
        <v>55</v>
      </c>
    </row>
    <row r="3780" spans="1:59" s="46" customFormat="1" ht="15.95" customHeight="1">
      <c r="A3780" s="176">
        <v>19</v>
      </c>
      <c r="B3780" s="31" t="s">
        <v>999</v>
      </c>
      <c r="C3780" s="32" t="s">
        <v>1000</v>
      </c>
      <c r="D3780" s="231"/>
      <c r="E3780" s="231"/>
      <c r="F3780" s="231"/>
      <c r="G3780" s="231"/>
      <c r="H3780" s="231">
        <v>531</v>
      </c>
      <c r="I3780" s="231"/>
      <c r="J3780" s="231"/>
      <c r="K3780" s="231"/>
      <c r="L3780" s="231">
        <v>1628</v>
      </c>
      <c r="M3780" s="231"/>
      <c r="N3780" s="231"/>
      <c r="O3780" s="231"/>
      <c r="P3780" s="231">
        <v>1759</v>
      </c>
      <c r="Q3780" s="231"/>
      <c r="R3780" s="231"/>
      <c r="S3780" s="231"/>
      <c r="T3780" s="231"/>
      <c r="U3780" s="231"/>
      <c r="V3780" s="231"/>
      <c r="W3780" s="231"/>
      <c r="X3780" s="231"/>
      <c r="Y3780" s="231"/>
      <c r="Z3780" s="231"/>
      <c r="AA3780" s="231"/>
      <c r="AB3780" s="22">
        <f t="shared" si="1135"/>
        <v>3918</v>
      </c>
      <c r="AC3780" s="23">
        <v>13006</v>
      </c>
      <c r="AD3780" s="35"/>
      <c r="AE3780" s="35"/>
      <c r="AF3780" s="35"/>
      <c r="AG3780" s="35"/>
      <c r="AH3780" s="35"/>
      <c r="AI3780" s="35"/>
      <c r="AJ3780" s="35"/>
      <c r="AK3780" s="35"/>
      <c r="AL3780" s="35"/>
      <c r="AM3780" s="35"/>
      <c r="AN3780" s="35"/>
      <c r="AO3780" s="35"/>
      <c r="AP3780" s="35"/>
      <c r="AQ3780" s="35"/>
      <c r="AR3780" s="35"/>
      <c r="AS3780" s="35"/>
      <c r="AT3780" s="35"/>
      <c r="AU3780" s="35"/>
      <c r="AV3780" s="35"/>
      <c r="AW3780" s="35"/>
      <c r="AX3780" s="35"/>
      <c r="AY3780" s="35"/>
      <c r="AZ3780" s="35"/>
      <c r="BA3780" s="35"/>
      <c r="BB3780" s="22">
        <f t="shared" si="1136"/>
        <v>0</v>
      </c>
      <c r="BC3780" s="23">
        <v>0</v>
      </c>
      <c r="BD3780" s="130">
        <f t="shared" si="1137"/>
        <v>3918</v>
      </c>
      <c r="BE3780" s="130">
        <f t="shared" si="1138"/>
        <v>13006</v>
      </c>
      <c r="BF3780" s="195">
        <f t="shared" si="1139"/>
        <v>30.12455789635553</v>
      </c>
      <c r="BG3780" s="373">
        <f t="shared" si="1140"/>
        <v>9088</v>
      </c>
    </row>
    <row r="3781" spans="1:59" s="46" customFormat="1" ht="15.95" customHeight="1">
      <c r="A3781" s="176">
        <v>20</v>
      </c>
      <c r="B3781" s="31" t="s">
        <v>1540</v>
      </c>
      <c r="C3781" s="32" t="s">
        <v>1694</v>
      </c>
      <c r="D3781" s="231"/>
      <c r="E3781" s="231"/>
      <c r="F3781" s="231"/>
      <c r="G3781" s="231"/>
      <c r="H3781" s="231"/>
      <c r="I3781" s="231"/>
      <c r="J3781" s="231"/>
      <c r="K3781" s="231"/>
      <c r="L3781" s="231"/>
      <c r="M3781" s="231"/>
      <c r="N3781" s="231"/>
      <c r="O3781" s="231"/>
      <c r="P3781" s="231">
        <v>11</v>
      </c>
      <c r="Q3781" s="231"/>
      <c r="R3781" s="231"/>
      <c r="S3781" s="231"/>
      <c r="T3781" s="231"/>
      <c r="U3781" s="231"/>
      <c r="V3781" s="231"/>
      <c r="W3781" s="231"/>
      <c r="X3781" s="231"/>
      <c r="Y3781" s="231"/>
      <c r="Z3781" s="231"/>
      <c r="AA3781" s="231"/>
      <c r="AB3781" s="22">
        <f t="shared" si="1135"/>
        <v>11</v>
      </c>
      <c r="AC3781" s="23">
        <v>6</v>
      </c>
      <c r="AD3781" s="35"/>
      <c r="AE3781" s="35"/>
      <c r="AF3781" s="35"/>
      <c r="AG3781" s="35"/>
      <c r="AH3781" s="35"/>
      <c r="AI3781" s="35"/>
      <c r="AJ3781" s="35"/>
      <c r="AK3781" s="35"/>
      <c r="AL3781" s="35"/>
      <c r="AM3781" s="35"/>
      <c r="AN3781" s="35"/>
      <c r="AO3781" s="35"/>
      <c r="AP3781" s="35"/>
      <c r="AQ3781" s="35"/>
      <c r="AR3781" s="35"/>
      <c r="AS3781" s="35"/>
      <c r="AT3781" s="35"/>
      <c r="AU3781" s="35"/>
      <c r="AV3781" s="35"/>
      <c r="AW3781" s="35"/>
      <c r="AX3781" s="35"/>
      <c r="AY3781" s="35"/>
      <c r="AZ3781" s="35"/>
      <c r="BA3781" s="35"/>
      <c r="BB3781" s="22">
        <f t="shared" si="1136"/>
        <v>0</v>
      </c>
      <c r="BC3781" s="23">
        <v>0</v>
      </c>
      <c r="BD3781" s="130">
        <f t="shared" si="1137"/>
        <v>11</v>
      </c>
      <c r="BE3781" s="130">
        <f t="shared" si="1138"/>
        <v>6</v>
      </c>
      <c r="BF3781" s="195">
        <f t="shared" si="1139"/>
        <v>183.33333333333331</v>
      </c>
      <c r="BG3781" s="373">
        <f t="shared" si="1140"/>
        <v>-5</v>
      </c>
    </row>
    <row r="3782" spans="1:59" s="46" customFormat="1" ht="15.95" customHeight="1">
      <c r="A3782" s="176">
        <v>21</v>
      </c>
      <c r="B3782" s="31" t="s">
        <v>1541</v>
      </c>
      <c r="C3782" s="32" t="s">
        <v>1695</v>
      </c>
      <c r="D3782" s="231"/>
      <c r="E3782" s="231"/>
      <c r="F3782" s="231"/>
      <c r="G3782" s="231"/>
      <c r="H3782" s="231">
        <v>6</v>
      </c>
      <c r="I3782" s="231"/>
      <c r="J3782" s="231"/>
      <c r="K3782" s="231"/>
      <c r="L3782" s="231">
        <v>23</v>
      </c>
      <c r="M3782" s="231"/>
      <c r="N3782" s="231"/>
      <c r="O3782" s="231"/>
      <c r="P3782" s="231">
        <v>38</v>
      </c>
      <c r="Q3782" s="231"/>
      <c r="R3782" s="231"/>
      <c r="S3782" s="231"/>
      <c r="T3782" s="231"/>
      <c r="U3782" s="231"/>
      <c r="V3782" s="231"/>
      <c r="W3782" s="231"/>
      <c r="X3782" s="231"/>
      <c r="Y3782" s="231"/>
      <c r="Z3782" s="231"/>
      <c r="AA3782" s="231"/>
      <c r="AB3782" s="22">
        <f t="shared" si="1135"/>
        <v>67</v>
      </c>
      <c r="AC3782" s="23">
        <v>105</v>
      </c>
      <c r="AD3782" s="35"/>
      <c r="AE3782" s="35"/>
      <c r="AF3782" s="35"/>
      <c r="AG3782" s="35"/>
      <c r="AH3782" s="35"/>
      <c r="AI3782" s="35"/>
      <c r="AJ3782" s="35"/>
      <c r="AK3782" s="35"/>
      <c r="AL3782" s="35"/>
      <c r="AM3782" s="35"/>
      <c r="AN3782" s="35"/>
      <c r="AO3782" s="35"/>
      <c r="AP3782" s="35"/>
      <c r="AQ3782" s="35"/>
      <c r="AR3782" s="35"/>
      <c r="AS3782" s="35"/>
      <c r="AT3782" s="35"/>
      <c r="AU3782" s="35"/>
      <c r="AV3782" s="35"/>
      <c r="AW3782" s="35"/>
      <c r="AX3782" s="35"/>
      <c r="AY3782" s="35"/>
      <c r="AZ3782" s="35"/>
      <c r="BA3782" s="35"/>
      <c r="BB3782" s="22">
        <f t="shared" si="1136"/>
        <v>0</v>
      </c>
      <c r="BC3782" s="23">
        <v>0</v>
      </c>
      <c r="BD3782" s="130">
        <f t="shared" si="1137"/>
        <v>67</v>
      </c>
      <c r="BE3782" s="130">
        <f t="shared" si="1138"/>
        <v>105</v>
      </c>
      <c r="BF3782" s="195">
        <f t="shared" si="1139"/>
        <v>63.809523809523803</v>
      </c>
      <c r="BG3782" s="373">
        <f t="shared" si="1140"/>
        <v>38</v>
      </c>
    </row>
    <row r="3783" spans="1:59" s="46" customFormat="1" ht="15.95" customHeight="1">
      <c r="A3783" s="176">
        <v>22</v>
      </c>
      <c r="B3783" s="31" t="s">
        <v>1543</v>
      </c>
      <c r="C3783" s="32" t="s">
        <v>1696</v>
      </c>
      <c r="D3783" s="231"/>
      <c r="E3783" s="231"/>
      <c r="F3783" s="231"/>
      <c r="G3783" s="231"/>
      <c r="H3783" s="231"/>
      <c r="I3783" s="231"/>
      <c r="J3783" s="231"/>
      <c r="K3783" s="231"/>
      <c r="L3783" s="231"/>
      <c r="M3783" s="231"/>
      <c r="N3783" s="231"/>
      <c r="O3783" s="231"/>
      <c r="P3783" s="231"/>
      <c r="Q3783" s="231"/>
      <c r="R3783" s="231"/>
      <c r="S3783" s="231"/>
      <c r="T3783" s="231"/>
      <c r="U3783" s="231"/>
      <c r="V3783" s="231"/>
      <c r="W3783" s="231"/>
      <c r="X3783" s="231"/>
      <c r="Y3783" s="231"/>
      <c r="Z3783" s="231"/>
      <c r="AA3783" s="231"/>
      <c r="AB3783" s="22">
        <f t="shared" si="1135"/>
        <v>0</v>
      </c>
      <c r="AC3783" s="23">
        <v>1</v>
      </c>
      <c r="AD3783" s="35"/>
      <c r="AE3783" s="35"/>
      <c r="AF3783" s="35"/>
      <c r="AG3783" s="35"/>
      <c r="AH3783" s="35"/>
      <c r="AI3783" s="35"/>
      <c r="AJ3783" s="35"/>
      <c r="AK3783" s="35"/>
      <c r="AL3783" s="35"/>
      <c r="AM3783" s="35"/>
      <c r="AN3783" s="35"/>
      <c r="AO3783" s="35"/>
      <c r="AP3783" s="35"/>
      <c r="AQ3783" s="35"/>
      <c r="AR3783" s="35"/>
      <c r="AS3783" s="35"/>
      <c r="AT3783" s="35"/>
      <c r="AU3783" s="35"/>
      <c r="AV3783" s="35"/>
      <c r="AW3783" s="35"/>
      <c r="AX3783" s="35"/>
      <c r="AY3783" s="35"/>
      <c r="AZ3783" s="35"/>
      <c r="BA3783" s="35"/>
      <c r="BB3783" s="22">
        <f t="shared" si="1136"/>
        <v>0</v>
      </c>
      <c r="BC3783" s="23">
        <v>0</v>
      </c>
      <c r="BD3783" s="130">
        <f t="shared" si="1137"/>
        <v>0</v>
      </c>
      <c r="BE3783" s="130">
        <f t="shared" si="1138"/>
        <v>1</v>
      </c>
      <c r="BF3783" s="195">
        <f t="shared" si="1139"/>
        <v>0</v>
      </c>
      <c r="BG3783" s="373">
        <f t="shared" si="1140"/>
        <v>1</v>
      </c>
    </row>
    <row r="3784" spans="1:59" s="46" customFormat="1" ht="15.95" customHeight="1">
      <c r="A3784" s="176">
        <v>23</v>
      </c>
      <c r="B3784" s="31" t="s">
        <v>552</v>
      </c>
      <c r="C3784" s="32" t="s">
        <v>2227</v>
      </c>
      <c r="D3784" s="231"/>
      <c r="E3784" s="231"/>
      <c r="F3784" s="231"/>
      <c r="G3784" s="231"/>
      <c r="H3784" s="231">
        <v>1</v>
      </c>
      <c r="I3784" s="231"/>
      <c r="J3784" s="231"/>
      <c r="K3784" s="231"/>
      <c r="L3784" s="231"/>
      <c r="M3784" s="231"/>
      <c r="N3784" s="231"/>
      <c r="O3784" s="231"/>
      <c r="P3784" s="231">
        <v>1</v>
      </c>
      <c r="Q3784" s="231"/>
      <c r="R3784" s="231"/>
      <c r="S3784" s="231"/>
      <c r="T3784" s="231"/>
      <c r="U3784" s="231"/>
      <c r="V3784" s="231"/>
      <c r="W3784" s="231"/>
      <c r="X3784" s="231"/>
      <c r="Y3784" s="231"/>
      <c r="Z3784" s="231"/>
      <c r="AA3784" s="231"/>
      <c r="AB3784" s="22">
        <f t="shared" si="1135"/>
        <v>2</v>
      </c>
      <c r="AC3784" s="23">
        <v>26</v>
      </c>
      <c r="AD3784" s="35"/>
      <c r="AE3784" s="35"/>
      <c r="AF3784" s="35"/>
      <c r="AG3784" s="35"/>
      <c r="AH3784" s="35"/>
      <c r="AI3784" s="35"/>
      <c r="AJ3784" s="35"/>
      <c r="AK3784" s="35"/>
      <c r="AL3784" s="35"/>
      <c r="AM3784" s="35"/>
      <c r="AN3784" s="35"/>
      <c r="AO3784" s="35"/>
      <c r="AP3784" s="35"/>
      <c r="AQ3784" s="35"/>
      <c r="AR3784" s="35"/>
      <c r="AS3784" s="35"/>
      <c r="AT3784" s="35"/>
      <c r="AU3784" s="35"/>
      <c r="AV3784" s="35"/>
      <c r="AW3784" s="35"/>
      <c r="AX3784" s="35"/>
      <c r="AY3784" s="35"/>
      <c r="AZ3784" s="35"/>
      <c r="BA3784" s="35"/>
      <c r="BB3784" s="22">
        <f t="shared" si="1136"/>
        <v>0</v>
      </c>
      <c r="BC3784" s="23">
        <v>0</v>
      </c>
      <c r="BD3784" s="130">
        <f t="shared" si="1137"/>
        <v>2</v>
      </c>
      <c r="BE3784" s="130">
        <f t="shared" si="1138"/>
        <v>26</v>
      </c>
      <c r="BF3784" s="195">
        <f t="shared" si="1139"/>
        <v>7.6923076923076925</v>
      </c>
      <c r="BG3784" s="373">
        <f t="shared" si="1140"/>
        <v>24</v>
      </c>
    </row>
    <row r="3785" spans="1:59" s="46" customFormat="1" ht="15.95" customHeight="1">
      <c r="A3785" s="176">
        <v>24</v>
      </c>
      <c r="B3785" s="31" t="s">
        <v>3975</v>
      </c>
      <c r="C3785" s="32" t="s">
        <v>3976</v>
      </c>
      <c r="D3785" s="577"/>
      <c r="E3785" s="577"/>
      <c r="F3785" s="577"/>
      <c r="G3785" s="577"/>
      <c r="H3785" s="577"/>
      <c r="I3785" s="577"/>
      <c r="J3785" s="577"/>
      <c r="K3785" s="577"/>
      <c r="L3785" s="577"/>
      <c r="M3785" s="577"/>
      <c r="N3785" s="577"/>
      <c r="O3785" s="577"/>
      <c r="P3785" s="577">
        <v>7</v>
      </c>
      <c r="Q3785" s="577"/>
      <c r="R3785" s="577"/>
      <c r="S3785" s="577"/>
      <c r="T3785" s="577"/>
      <c r="U3785" s="577"/>
      <c r="V3785" s="577"/>
      <c r="W3785" s="577"/>
      <c r="X3785" s="577"/>
      <c r="Y3785" s="577"/>
      <c r="Z3785" s="577"/>
      <c r="AA3785" s="577"/>
      <c r="AB3785" s="22">
        <f t="shared" si="1135"/>
        <v>7</v>
      </c>
      <c r="AC3785" s="23">
        <v>0</v>
      </c>
      <c r="AD3785" s="35"/>
      <c r="AE3785" s="35"/>
      <c r="AF3785" s="35"/>
      <c r="AG3785" s="35"/>
      <c r="AH3785" s="35"/>
      <c r="AI3785" s="35"/>
      <c r="AJ3785" s="35"/>
      <c r="AK3785" s="35"/>
      <c r="AL3785" s="35"/>
      <c r="AM3785" s="35"/>
      <c r="AN3785" s="35"/>
      <c r="AO3785" s="35"/>
      <c r="AP3785" s="35"/>
      <c r="AQ3785" s="35"/>
      <c r="AR3785" s="35"/>
      <c r="AS3785" s="35"/>
      <c r="AT3785" s="35"/>
      <c r="AU3785" s="35"/>
      <c r="AV3785" s="35"/>
      <c r="AW3785" s="35"/>
      <c r="AX3785" s="35"/>
      <c r="AY3785" s="35"/>
      <c r="AZ3785" s="35"/>
      <c r="BA3785" s="35"/>
      <c r="BB3785" s="22">
        <f t="shared" si="1136"/>
        <v>0</v>
      </c>
      <c r="BC3785" s="23">
        <v>0</v>
      </c>
      <c r="BD3785" s="130">
        <f t="shared" si="1137"/>
        <v>7</v>
      </c>
      <c r="BE3785" s="130">
        <f t="shared" si="1138"/>
        <v>0</v>
      </c>
      <c r="BF3785" s="195" t="e">
        <f t="shared" si="1139"/>
        <v>#DIV/0!</v>
      </c>
      <c r="BG3785" s="373"/>
    </row>
    <row r="3786" spans="1:59" s="46" customFormat="1" ht="15.95" customHeight="1">
      <c r="A3786" s="176">
        <v>25</v>
      </c>
      <c r="B3786" s="31" t="s">
        <v>1001</v>
      </c>
      <c r="C3786" s="32" t="s">
        <v>2833</v>
      </c>
      <c r="D3786" s="231"/>
      <c r="E3786" s="231"/>
      <c r="F3786" s="231"/>
      <c r="G3786" s="231"/>
      <c r="H3786" s="231"/>
      <c r="I3786" s="231"/>
      <c r="J3786" s="231"/>
      <c r="K3786" s="231"/>
      <c r="L3786" s="231"/>
      <c r="M3786" s="231"/>
      <c r="N3786" s="231"/>
      <c r="O3786" s="231"/>
      <c r="P3786" s="231"/>
      <c r="Q3786" s="231"/>
      <c r="R3786" s="231"/>
      <c r="S3786" s="231"/>
      <c r="T3786" s="231"/>
      <c r="U3786" s="231"/>
      <c r="V3786" s="231"/>
      <c r="W3786" s="231"/>
      <c r="X3786" s="231"/>
      <c r="Y3786" s="231"/>
      <c r="Z3786" s="231"/>
      <c r="AA3786" s="231"/>
      <c r="AB3786" s="22">
        <f t="shared" si="1135"/>
        <v>0</v>
      </c>
      <c r="AC3786" s="23">
        <v>1</v>
      </c>
      <c r="AD3786" s="35"/>
      <c r="AE3786" s="35"/>
      <c r="AF3786" s="35"/>
      <c r="AG3786" s="35"/>
      <c r="AH3786" s="35"/>
      <c r="AI3786" s="35"/>
      <c r="AJ3786" s="35"/>
      <c r="AK3786" s="35"/>
      <c r="AL3786" s="35"/>
      <c r="AM3786" s="35"/>
      <c r="AN3786" s="35"/>
      <c r="AO3786" s="35"/>
      <c r="AP3786" s="35"/>
      <c r="AQ3786" s="35"/>
      <c r="AR3786" s="35"/>
      <c r="AS3786" s="35"/>
      <c r="AT3786" s="35"/>
      <c r="AU3786" s="35"/>
      <c r="AV3786" s="35"/>
      <c r="AW3786" s="35"/>
      <c r="AX3786" s="35"/>
      <c r="AY3786" s="35"/>
      <c r="AZ3786" s="35"/>
      <c r="BA3786" s="35"/>
      <c r="BB3786" s="22">
        <f t="shared" si="1136"/>
        <v>0</v>
      </c>
      <c r="BC3786" s="23">
        <v>0</v>
      </c>
      <c r="BD3786" s="130">
        <f t="shared" si="1137"/>
        <v>0</v>
      </c>
      <c r="BE3786" s="130">
        <f t="shared" si="1138"/>
        <v>1</v>
      </c>
      <c r="BF3786" s="195">
        <f t="shared" si="1139"/>
        <v>0</v>
      </c>
      <c r="BG3786" s="373">
        <f>BE3786-BD3786</f>
        <v>1</v>
      </c>
    </row>
    <row r="3787" spans="1:59" s="46" customFormat="1" ht="15.95" customHeight="1">
      <c r="A3787" s="176">
        <v>26</v>
      </c>
      <c r="B3787" s="31" t="s">
        <v>1554</v>
      </c>
      <c r="C3787" s="32" t="s">
        <v>1555</v>
      </c>
      <c r="D3787" s="577"/>
      <c r="E3787" s="577"/>
      <c r="F3787" s="577"/>
      <c r="G3787" s="577"/>
      <c r="H3787" s="577"/>
      <c r="I3787" s="577"/>
      <c r="J3787" s="577"/>
      <c r="K3787" s="577"/>
      <c r="L3787" s="577"/>
      <c r="M3787" s="577"/>
      <c r="N3787" s="577"/>
      <c r="O3787" s="577"/>
      <c r="P3787" s="577">
        <v>1</v>
      </c>
      <c r="Q3787" s="577"/>
      <c r="R3787" s="577"/>
      <c r="S3787" s="577"/>
      <c r="T3787" s="577"/>
      <c r="U3787" s="577"/>
      <c r="V3787" s="577"/>
      <c r="W3787" s="577"/>
      <c r="X3787" s="577"/>
      <c r="Y3787" s="577"/>
      <c r="Z3787" s="577"/>
      <c r="AA3787" s="577"/>
      <c r="AB3787" s="22">
        <f t="shared" si="1135"/>
        <v>1</v>
      </c>
      <c r="AC3787" s="23">
        <v>0</v>
      </c>
      <c r="AD3787" s="35"/>
      <c r="AE3787" s="35"/>
      <c r="AF3787" s="35"/>
      <c r="AG3787" s="35"/>
      <c r="AH3787" s="35"/>
      <c r="AI3787" s="35"/>
      <c r="AJ3787" s="35"/>
      <c r="AK3787" s="35"/>
      <c r="AL3787" s="35"/>
      <c r="AM3787" s="35"/>
      <c r="AN3787" s="35"/>
      <c r="AO3787" s="35"/>
      <c r="AP3787" s="35"/>
      <c r="AQ3787" s="35"/>
      <c r="AR3787" s="35"/>
      <c r="AS3787" s="35"/>
      <c r="AT3787" s="35"/>
      <c r="AU3787" s="35"/>
      <c r="AV3787" s="35"/>
      <c r="AW3787" s="35"/>
      <c r="AX3787" s="35"/>
      <c r="AY3787" s="35"/>
      <c r="AZ3787" s="35"/>
      <c r="BA3787" s="35"/>
      <c r="BB3787" s="22">
        <f t="shared" si="1136"/>
        <v>0</v>
      </c>
      <c r="BC3787" s="23">
        <v>0</v>
      </c>
      <c r="BD3787" s="130">
        <f t="shared" si="1137"/>
        <v>1</v>
      </c>
      <c r="BE3787" s="130">
        <f t="shared" si="1138"/>
        <v>0</v>
      </c>
      <c r="BF3787" s="195" t="e">
        <f t="shared" si="1139"/>
        <v>#DIV/0!</v>
      </c>
      <c r="BG3787" s="373"/>
    </row>
    <row r="3788" spans="1:59" s="46" customFormat="1" ht="15.95" customHeight="1">
      <c r="A3788" s="176">
        <v>27</v>
      </c>
      <c r="B3788" s="31" t="s">
        <v>1556</v>
      </c>
      <c r="C3788" s="32" t="s">
        <v>1557</v>
      </c>
      <c r="D3788" s="231"/>
      <c r="E3788" s="231"/>
      <c r="F3788" s="231"/>
      <c r="G3788" s="231"/>
      <c r="H3788" s="231">
        <v>2</v>
      </c>
      <c r="I3788" s="231"/>
      <c r="J3788" s="231"/>
      <c r="K3788" s="231"/>
      <c r="L3788" s="231">
        <v>8</v>
      </c>
      <c r="M3788" s="231"/>
      <c r="N3788" s="231"/>
      <c r="O3788" s="231"/>
      <c r="P3788" s="231">
        <v>5</v>
      </c>
      <c r="Q3788" s="231"/>
      <c r="R3788" s="231"/>
      <c r="S3788" s="231"/>
      <c r="T3788" s="231"/>
      <c r="U3788" s="231"/>
      <c r="V3788" s="231"/>
      <c r="W3788" s="231"/>
      <c r="X3788" s="231"/>
      <c r="Y3788" s="231"/>
      <c r="Z3788" s="231"/>
      <c r="AA3788" s="231"/>
      <c r="AB3788" s="22">
        <f t="shared" si="1135"/>
        <v>15</v>
      </c>
      <c r="AC3788" s="23">
        <v>16</v>
      </c>
      <c r="AD3788" s="35"/>
      <c r="AE3788" s="35"/>
      <c r="AF3788" s="35"/>
      <c r="AG3788" s="35"/>
      <c r="AH3788" s="35"/>
      <c r="AI3788" s="35"/>
      <c r="AJ3788" s="35"/>
      <c r="AK3788" s="35"/>
      <c r="AL3788" s="35"/>
      <c r="AM3788" s="35"/>
      <c r="AN3788" s="35"/>
      <c r="AO3788" s="35"/>
      <c r="AP3788" s="35"/>
      <c r="AQ3788" s="35"/>
      <c r="AR3788" s="35"/>
      <c r="AS3788" s="35"/>
      <c r="AT3788" s="35"/>
      <c r="AU3788" s="35"/>
      <c r="AV3788" s="35"/>
      <c r="AW3788" s="35"/>
      <c r="AX3788" s="35"/>
      <c r="AY3788" s="35"/>
      <c r="AZ3788" s="35"/>
      <c r="BA3788" s="35"/>
      <c r="BB3788" s="22">
        <f t="shared" si="1136"/>
        <v>0</v>
      </c>
      <c r="BC3788" s="23">
        <v>0</v>
      </c>
      <c r="BD3788" s="130">
        <f t="shared" si="1137"/>
        <v>15</v>
      </c>
      <c r="BE3788" s="130">
        <f t="shared" si="1138"/>
        <v>16</v>
      </c>
      <c r="BF3788" s="195">
        <f t="shared" si="1139"/>
        <v>93.75</v>
      </c>
      <c r="BG3788" s="373">
        <f t="shared" ref="BG3788:BG3799" si="1141">BE3788-BD3788</f>
        <v>1</v>
      </c>
    </row>
    <row r="3789" spans="1:59" s="46" customFormat="1" ht="15.95" customHeight="1">
      <c r="A3789" s="176">
        <v>28</v>
      </c>
      <c r="B3789" s="31" t="s">
        <v>1587</v>
      </c>
      <c r="C3789" s="32" t="s">
        <v>1588</v>
      </c>
      <c r="D3789" s="231"/>
      <c r="E3789" s="231"/>
      <c r="F3789" s="231"/>
      <c r="G3789" s="231"/>
      <c r="H3789" s="231">
        <v>19</v>
      </c>
      <c r="I3789" s="231"/>
      <c r="J3789" s="231"/>
      <c r="K3789" s="231"/>
      <c r="L3789" s="231">
        <v>111</v>
      </c>
      <c r="M3789" s="231"/>
      <c r="N3789" s="231"/>
      <c r="O3789" s="231"/>
      <c r="P3789" s="231">
        <v>39</v>
      </c>
      <c r="Q3789" s="231"/>
      <c r="R3789" s="231"/>
      <c r="S3789" s="231"/>
      <c r="T3789" s="231"/>
      <c r="U3789" s="231"/>
      <c r="V3789" s="231"/>
      <c r="W3789" s="231"/>
      <c r="X3789" s="231"/>
      <c r="Y3789" s="231"/>
      <c r="Z3789" s="231"/>
      <c r="AA3789" s="231"/>
      <c r="AB3789" s="22">
        <f t="shared" si="1135"/>
        <v>169</v>
      </c>
      <c r="AC3789" s="23">
        <v>320</v>
      </c>
      <c r="AD3789" s="35"/>
      <c r="AE3789" s="35"/>
      <c r="AF3789" s="35"/>
      <c r="AG3789" s="35"/>
      <c r="AH3789" s="35"/>
      <c r="AI3789" s="35"/>
      <c r="AJ3789" s="35"/>
      <c r="AK3789" s="35"/>
      <c r="AL3789" s="35"/>
      <c r="AM3789" s="35"/>
      <c r="AN3789" s="35"/>
      <c r="AO3789" s="35"/>
      <c r="AP3789" s="35"/>
      <c r="AQ3789" s="35"/>
      <c r="AR3789" s="35"/>
      <c r="AS3789" s="35"/>
      <c r="AT3789" s="35"/>
      <c r="AU3789" s="35"/>
      <c r="AV3789" s="35"/>
      <c r="AW3789" s="35"/>
      <c r="AX3789" s="35"/>
      <c r="AY3789" s="35"/>
      <c r="AZ3789" s="35"/>
      <c r="BA3789" s="35"/>
      <c r="BB3789" s="22">
        <f t="shared" si="1136"/>
        <v>0</v>
      </c>
      <c r="BC3789" s="23">
        <v>0</v>
      </c>
      <c r="BD3789" s="130">
        <f t="shared" si="1137"/>
        <v>169</v>
      </c>
      <c r="BE3789" s="130">
        <f t="shared" si="1138"/>
        <v>320</v>
      </c>
      <c r="BF3789" s="195">
        <f t="shared" si="1139"/>
        <v>52.812499999999993</v>
      </c>
      <c r="BG3789" s="373">
        <f t="shared" si="1141"/>
        <v>151</v>
      </c>
    </row>
    <row r="3790" spans="1:59" s="46" customFormat="1" ht="15.95" customHeight="1">
      <c r="A3790" s="176">
        <v>29</v>
      </c>
      <c r="B3790" s="31" t="s">
        <v>3602</v>
      </c>
      <c r="C3790" s="32" t="s">
        <v>3603</v>
      </c>
      <c r="D3790" s="366"/>
      <c r="E3790" s="366"/>
      <c r="F3790" s="366"/>
      <c r="G3790" s="366"/>
      <c r="H3790" s="366"/>
      <c r="I3790" s="366"/>
      <c r="J3790" s="366"/>
      <c r="K3790" s="366"/>
      <c r="L3790" s="366"/>
      <c r="M3790" s="366"/>
      <c r="N3790" s="366"/>
      <c r="O3790" s="366"/>
      <c r="P3790" s="366">
        <v>1</v>
      </c>
      <c r="Q3790" s="366"/>
      <c r="R3790" s="366"/>
      <c r="S3790" s="366"/>
      <c r="T3790" s="366"/>
      <c r="U3790" s="366"/>
      <c r="V3790" s="366"/>
      <c r="W3790" s="366"/>
      <c r="X3790" s="366"/>
      <c r="Y3790" s="366"/>
      <c r="Z3790" s="366"/>
      <c r="AA3790" s="366"/>
      <c r="AB3790" s="22">
        <f t="shared" si="1135"/>
        <v>1</v>
      </c>
      <c r="AC3790" s="23">
        <v>1</v>
      </c>
      <c r="AD3790" s="35"/>
      <c r="AE3790" s="35"/>
      <c r="AF3790" s="35"/>
      <c r="AG3790" s="35"/>
      <c r="AH3790" s="35"/>
      <c r="AI3790" s="35"/>
      <c r="AJ3790" s="35"/>
      <c r="AK3790" s="35"/>
      <c r="AL3790" s="35"/>
      <c r="AM3790" s="35"/>
      <c r="AN3790" s="35"/>
      <c r="AO3790" s="35"/>
      <c r="AP3790" s="35">
        <v>1</v>
      </c>
      <c r="AQ3790" s="35"/>
      <c r="AR3790" s="35"/>
      <c r="AS3790" s="35"/>
      <c r="AT3790" s="35"/>
      <c r="AU3790" s="35"/>
      <c r="AV3790" s="35"/>
      <c r="AW3790" s="35"/>
      <c r="AX3790" s="35"/>
      <c r="AY3790" s="35"/>
      <c r="AZ3790" s="35"/>
      <c r="BA3790" s="35"/>
      <c r="BB3790" s="22">
        <f t="shared" si="1136"/>
        <v>1</v>
      </c>
      <c r="BC3790" s="23">
        <v>0</v>
      </c>
      <c r="BD3790" s="130">
        <f t="shared" si="1137"/>
        <v>2</v>
      </c>
      <c r="BE3790" s="130">
        <f t="shared" si="1138"/>
        <v>1</v>
      </c>
      <c r="BF3790" s="195">
        <f t="shared" si="1139"/>
        <v>200</v>
      </c>
      <c r="BG3790" s="373">
        <f t="shared" si="1141"/>
        <v>-1</v>
      </c>
    </row>
    <row r="3791" spans="1:59" s="46" customFormat="1" ht="15.95" customHeight="1">
      <c r="A3791" s="176">
        <v>30</v>
      </c>
      <c r="B3791" s="31" t="s">
        <v>1072</v>
      </c>
      <c r="C3791" s="32" t="s">
        <v>1073</v>
      </c>
      <c r="D3791" s="366"/>
      <c r="E3791" s="366"/>
      <c r="F3791" s="366"/>
      <c r="G3791" s="366"/>
      <c r="H3791" s="366">
        <v>531</v>
      </c>
      <c r="I3791" s="366"/>
      <c r="J3791" s="366"/>
      <c r="K3791" s="366"/>
      <c r="L3791" s="366">
        <v>1628</v>
      </c>
      <c r="M3791" s="366"/>
      <c r="N3791" s="366"/>
      <c r="O3791" s="366"/>
      <c r="P3791" s="366">
        <v>1758</v>
      </c>
      <c r="Q3791" s="366"/>
      <c r="R3791" s="366"/>
      <c r="S3791" s="366"/>
      <c r="T3791" s="366"/>
      <c r="U3791" s="366"/>
      <c r="V3791" s="366"/>
      <c r="W3791" s="366"/>
      <c r="X3791" s="366"/>
      <c r="Y3791" s="366"/>
      <c r="Z3791" s="366"/>
      <c r="AA3791" s="366"/>
      <c r="AB3791" s="22">
        <f t="shared" si="1135"/>
        <v>3917</v>
      </c>
      <c r="AC3791" s="23">
        <v>12995</v>
      </c>
      <c r="AD3791" s="35"/>
      <c r="AE3791" s="35"/>
      <c r="AF3791" s="35"/>
      <c r="AG3791" s="35"/>
      <c r="AH3791" s="35"/>
      <c r="AI3791" s="35"/>
      <c r="AJ3791" s="35"/>
      <c r="AK3791" s="35"/>
      <c r="AL3791" s="35"/>
      <c r="AM3791" s="35"/>
      <c r="AN3791" s="35"/>
      <c r="AO3791" s="35"/>
      <c r="AP3791" s="35"/>
      <c r="AQ3791" s="35"/>
      <c r="AR3791" s="35"/>
      <c r="AS3791" s="35"/>
      <c r="AT3791" s="35"/>
      <c r="AU3791" s="35"/>
      <c r="AV3791" s="35"/>
      <c r="AW3791" s="35"/>
      <c r="AX3791" s="35"/>
      <c r="AY3791" s="35"/>
      <c r="AZ3791" s="35"/>
      <c r="BA3791" s="35"/>
      <c r="BB3791" s="22">
        <f t="shared" si="1136"/>
        <v>0</v>
      </c>
      <c r="BC3791" s="23">
        <v>0</v>
      </c>
      <c r="BD3791" s="130">
        <f t="shared" si="1137"/>
        <v>3917</v>
      </c>
      <c r="BE3791" s="130">
        <f t="shared" si="1138"/>
        <v>12995</v>
      </c>
      <c r="BF3791" s="195">
        <f t="shared" si="1139"/>
        <v>30.142362447095039</v>
      </c>
      <c r="BG3791" s="373">
        <f t="shared" si="1141"/>
        <v>9078</v>
      </c>
    </row>
    <row r="3792" spans="1:59" s="46" customFormat="1" ht="15.95" customHeight="1">
      <c r="A3792" s="176">
        <v>31</v>
      </c>
      <c r="B3792" s="31" t="s">
        <v>1589</v>
      </c>
      <c r="C3792" s="32" t="s">
        <v>1590</v>
      </c>
      <c r="D3792" s="366"/>
      <c r="E3792" s="366"/>
      <c r="F3792" s="366"/>
      <c r="G3792" s="366"/>
      <c r="H3792" s="366"/>
      <c r="I3792" s="366"/>
      <c r="J3792" s="366"/>
      <c r="K3792" s="366"/>
      <c r="L3792" s="366">
        <v>1</v>
      </c>
      <c r="M3792" s="366"/>
      <c r="N3792" s="366"/>
      <c r="O3792" s="366"/>
      <c r="P3792" s="366"/>
      <c r="Q3792" s="366"/>
      <c r="R3792" s="366"/>
      <c r="S3792" s="366"/>
      <c r="T3792" s="366"/>
      <c r="U3792" s="366"/>
      <c r="V3792" s="366"/>
      <c r="W3792" s="366"/>
      <c r="X3792" s="366"/>
      <c r="Y3792" s="366"/>
      <c r="Z3792" s="366"/>
      <c r="AA3792" s="366"/>
      <c r="AB3792" s="22">
        <f t="shared" si="1135"/>
        <v>1</v>
      </c>
      <c r="AC3792" s="23">
        <v>9</v>
      </c>
      <c r="AD3792" s="35"/>
      <c r="AE3792" s="35"/>
      <c r="AF3792" s="35"/>
      <c r="AG3792" s="35"/>
      <c r="AH3792" s="35"/>
      <c r="AI3792" s="35"/>
      <c r="AJ3792" s="35"/>
      <c r="AK3792" s="35"/>
      <c r="AL3792" s="35"/>
      <c r="AM3792" s="35"/>
      <c r="AN3792" s="35"/>
      <c r="AO3792" s="35"/>
      <c r="AP3792" s="35"/>
      <c r="AQ3792" s="35"/>
      <c r="AR3792" s="35"/>
      <c r="AS3792" s="35"/>
      <c r="AT3792" s="35"/>
      <c r="AU3792" s="35"/>
      <c r="AV3792" s="35"/>
      <c r="AW3792" s="35"/>
      <c r="AX3792" s="35"/>
      <c r="AY3792" s="35"/>
      <c r="AZ3792" s="35"/>
      <c r="BA3792" s="35"/>
      <c r="BB3792" s="22">
        <f t="shared" si="1136"/>
        <v>0</v>
      </c>
      <c r="BC3792" s="23">
        <v>0</v>
      </c>
      <c r="BD3792" s="130">
        <f t="shared" si="1137"/>
        <v>1</v>
      </c>
      <c r="BE3792" s="130">
        <f t="shared" si="1138"/>
        <v>9</v>
      </c>
      <c r="BF3792" s="195">
        <f t="shared" si="1139"/>
        <v>11.111111111111111</v>
      </c>
      <c r="BG3792" s="373">
        <f t="shared" si="1141"/>
        <v>8</v>
      </c>
    </row>
    <row r="3793" spans="1:59" s="46" customFormat="1" ht="15.95" customHeight="1">
      <c r="A3793" s="176">
        <v>32</v>
      </c>
      <c r="B3793" s="31" t="s">
        <v>819</v>
      </c>
      <c r="C3793" s="32" t="s">
        <v>1369</v>
      </c>
      <c r="D3793" s="366"/>
      <c r="E3793" s="366"/>
      <c r="F3793" s="366"/>
      <c r="G3793" s="366"/>
      <c r="H3793" s="366"/>
      <c r="I3793" s="366"/>
      <c r="J3793" s="366"/>
      <c r="K3793" s="366"/>
      <c r="L3793" s="366"/>
      <c r="M3793" s="366"/>
      <c r="N3793" s="366"/>
      <c r="O3793" s="366"/>
      <c r="P3793" s="366">
        <v>1</v>
      </c>
      <c r="Q3793" s="366"/>
      <c r="R3793" s="366"/>
      <c r="S3793" s="366"/>
      <c r="T3793" s="366"/>
      <c r="U3793" s="366"/>
      <c r="V3793" s="366"/>
      <c r="W3793" s="366"/>
      <c r="X3793" s="366"/>
      <c r="Y3793" s="366"/>
      <c r="Z3793" s="366"/>
      <c r="AA3793" s="366"/>
      <c r="AB3793" s="22">
        <f t="shared" si="1135"/>
        <v>1</v>
      </c>
      <c r="AC3793" s="23">
        <v>3</v>
      </c>
      <c r="AD3793" s="35"/>
      <c r="AE3793" s="35"/>
      <c r="AF3793" s="35"/>
      <c r="AG3793" s="35"/>
      <c r="AH3793" s="35"/>
      <c r="AI3793" s="35"/>
      <c r="AJ3793" s="35"/>
      <c r="AK3793" s="35"/>
      <c r="AL3793" s="35"/>
      <c r="AM3793" s="35"/>
      <c r="AN3793" s="35"/>
      <c r="AO3793" s="35"/>
      <c r="AP3793" s="35"/>
      <c r="AQ3793" s="35"/>
      <c r="AR3793" s="35"/>
      <c r="AS3793" s="35"/>
      <c r="AT3793" s="35"/>
      <c r="AU3793" s="35"/>
      <c r="AV3793" s="35"/>
      <c r="AW3793" s="35"/>
      <c r="AX3793" s="35"/>
      <c r="AY3793" s="35"/>
      <c r="AZ3793" s="35"/>
      <c r="BA3793" s="35"/>
      <c r="BB3793" s="22">
        <f t="shared" si="1136"/>
        <v>0</v>
      </c>
      <c r="BC3793" s="23">
        <v>0</v>
      </c>
      <c r="BD3793" s="130">
        <f t="shared" si="1137"/>
        <v>1</v>
      </c>
      <c r="BE3793" s="130">
        <f t="shared" si="1138"/>
        <v>3</v>
      </c>
      <c r="BF3793" s="195">
        <f t="shared" si="1139"/>
        <v>33.333333333333329</v>
      </c>
      <c r="BG3793" s="373">
        <f t="shared" si="1141"/>
        <v>2</v>
      </c>
    </row>
    <row r="3794" spans="1:59" s="46" customFormat="1" ht="15.95" customHeight="1">
      <c r="A3794" s="176">
        <v>33</v>
      </c>
      <c r="B3794" s="31" t="s">
        <v>1047</v>
      </c>
      <c r="C3794" s="32" t="s">
        <v>1326</v>
      </c>
      <c r="D3794" s="366"/>
      <c r="E3794" s="366"/>
      <c r="F3794" s="366"/>
      <c r="G3794" s="366"/>
      <c r="H3794" s="366">
        <v>4</v>
      </c>
      <c r="I3794" s="366"/>
      <c r="J3794" s="366"/>
      <c r="K3794" s="366"/>
      <c r="L3794" s="366">
        <v>36</v>
      </c>
      <c r="M3794" s="366"/>
      <c r="N3794" s="366"/>
      <c r="O3794" s="366"/>
      <c r="P3794" s="366">
        <v>17</v>
      </c>
      <c r="Q3794" s="366"/>
      <c r="R3794" s="366"/>
      <c r="S3794" s="366"/>
      <c r="T3794" s="366"/>
      <c r="U3794" s="366"/>
      <c r="V3794" s="366"/>
      <c r="W3794" s="366"/>
      <c r="X3794" s="366"/>
      <c r="Y3794" s="366"/>
      <c r="Z3794" s="366"/>
      <c r="AA3794" s="366"/>
      <c r="AB3794" s="22">
        <f t="shared" ref="AB3794:AB3825" si="1142">SUM(D3794:AA3794)</f>
        <v>57</v>
      </c>
      <c r="AC3794" s="23">
        <v>58</v>
      </c>
      <c r="AD3794" s="35"/>
      <c r="AE3794" s="35"/>
      <c r="AF3794" s="35"/>
      <c r="AG3794" s="35"/>
      <c r="AH3794" s="35"/>
      <c r="AI3794" s="35"/>
      <c r="AJ3794" s="35"/>
      <c r="AK3794" s="35"/>
      <c r="AL3794" s="35"/>
      <c r="AM3794" s="35"/>
      <c r="AN3794" s="35"/>
      <c r="AO3794" s="35"/>
      <c r="AP3794" s="35"/>
      <c r="AQ3794" s="35"/>
      <c r="AR3794" s="35"/>
      <c r="AS3794" s="35"/>
      <c r="AT3794" s="35"/>
      <c r="AU3794" s="35"/>
      <c r="AV3794" s="35"/>
      <c r="AW3794" s="35"/>
      <c r="AX3794" s="35"/>
      <c r="AY3794" s="35"/>
      <c r="AZ3794" s="35"/>
      <c r="BA3794" s="35"/>
      <c r="BB3794" s="22">
        <f t="shared" ref="BB3794:BB3825" si="1143">SUM(AD3794:BA3794)</f>
        <v>0</v>
      </c>
      <c r="BC3794" s="23">
        <v>0</v>
      </c>
      <c r="BD3794" s="130">
        <f t="shared" ref="BD3794:BD3826" si="1144">AB3794+BB3794</f>
        <v>57</v>
      </c>
      <c r="BE3794" s="130">
        <f t="shared" ref="BE3794:BE3826" si="1145">AC3794+BC3794</f>
        <v>58</v>
      </c>
      <c r="BF3794" s="195">
        <f t="shared" ref="BF3794:BF3825" si="1146">BD3794/BE3794*100</f>
        <v>98.275862068965509</v>
      </c>
      <c r="BG3794" s="373">
        <f t="shared" si="1141"/>
        <v>1</v>
      </c>
    </row>
    <row r="3795" spans="1:59" s="46" customFormat="1" ht="15.95" customHeight="1">
      <c r="A3795" s="176">
        <v>34</v>
      </c>
      <c r="B3795" s="31" t="s">
        <v>1592</v>
      </c>
      <c r="C3795" s="32" t="s">
        <v>1593</v>
      </c>
      <c r="D3795" s="366"/>
      <c r="E3795" s="366"/>
      <c r="F3795" s="366"/>
      <c r="G3795" s="366"/>
      <c r="H3795" s="366">
        <v>10</v>
      </c>
      <c r="I3795" s="366"/>
      <c r="J3795" s="366"/>
      <c r="K3795" s="366"/>
      <c r="L3795" s="366">
        <v>61</v>
      </c>
      <c r="M3795" s="366"/>
      <c r="N3795" s="366"/>
      <c r="O3795" s="366"/>
      <c r="P3795" s="366">
        <v>21</v>
      </c>
      <c r="Q3795" s="366"/>
      <c r="R3795" s="366"/>
      <c r="S3795" s="366"/>
      <c r="T3795" s="366"/>
      <c r="U3795" s="366"/>
      <c r="V3795" s="366"/>
      <c r="W3795" s="366"/>
      <c r="X3795" s="366"/>
      <c r="Y3795" s="366"/>
      <c r="Z3795" s="366"/>
      <c r="AA3795" s="366"/>
      <c r="AB3795" s="22">
        <f t="shared" si="1142"/>
        <v>92</v>
      </c>
      <c r="AC3795" s="23">
        <v>199</v>
      </c>
      <c r="AD3795" s="35"/>
      <c r="AE3795" s="35"/>
      <c r="AF3795" s="35"/>
      <c r="AG3795" s="35"/>
      <c r="AH3795" s="35"/>
      <c r="AI3795" s="35"/>
      <c r="AJ3795" s="35"/>
      <c r="AK3795" s="35"/>
      <c r="AL3795" s="35"/>
      <c r="AM3795" s="35"/>
      <c r="AN3795" s="35"/>
      <c r="AO3795" s="35"/>
      <c r="AP3795" s="35"/>
      <c r="AQ3795" s="35"/>
      <c r="AR3795" s="35"/>
      <c r="AS3795" s="35"/>
      <c r="AT3795" s="35"/>
      <c r="AU3795" s="35"/>
      <c r="AV3795" s="35"/>
      <c r="AW3795" s="35"/>
      <c r="AX3795" s="35"/>
      <c r="AY3795" s="35"/>
      <c r="AZ3795" s="35"/>
      <c r="BA3795" s="35"/>
      <c r="BB3795" s="22">
        <f t="shared" si="1143"/>
        <v>0</v>
      </c>
      <c r="BC3795" s="23">
        <v>0</v>
      </c>
      <c r="BD3795" s="130">
        <f t="shared" si="1144"/>
        <v>92</v>
      </c>
      <c r="BE3795" s="130">
        <f t="shared" si="1145"/>
        <v>199</v>
      </c>
      <c r="BF3795" s="195">
        <f t="shared" si="1146"/>
        <v>46.231155778894475</v>
      </c>
      <c r="BG3795" s="373">
        <f t="shared" si="1141"/>
        <v>107</v>
      </c>
    </row>
    <row r="3796" spans="1:59" s="46" customFormat="1" ht="15.95" customHeight="1">
      <c r="A3796" s="176">
        <v>35</v>
      </c>
      <c r="B3796" s="31" t="s">
        <v>1006</v>
      </c>
      <c r="C3796" s="32" t="s">
        <v>1007</v>
      </c>
      <c r="D3796" s="366"/>
      <c r="E3796" s="366"/>
      <c r="F3796" s="366"/>
      <c r="G3796" s="366"/>
      <c r="H3796" s="366"/>
      <c r="I3796" s="366"/>
      <c r="J3796" s="366"/>
      <c r="K3796" s="366"/>
      <c r="L3796" s="366">
        <v>1</v>
      </c>
      <c r="M3796" s="366"/>
      <c r="N3796" s="366"/>
      <c r="O3796" s="366"/>
      <c r="P3796" s="366"/>
      <c r="Q3796" s="366"/>
      <c r="R3796" s="366"/>
      <c r="S3796" s="366"/>
      <c r="T3796" s="366"/>
      <c r="U3796" s="366"/>
      <c r="V3796" s="366"/>
      <c r="W3796" s="366"/>
      <c r="X3796" s="366"/>
      <c r="Y3796" s="366"/>
      <c r="Z3796" s="366"/>
      <c r="AA3796" s="366"/>
      <c r="AB3796" s="22">
        <f t="shared" si="1142"/>
        <v>1</v>
      </c>
      <c r="AC3796" s="23">
        <v>6</v>
      </c>
      <c r="AD3796" s="35"/>
      <c r="AE3796" s="35"/>
      <c r="AF3796" s="35"/>
      <c r="AG3796" s="35"/>
      <c r="AH3796" s="35"/>
      <c r="AI3796" s="35"/>
      <c r="AJ3796" s="35"/>
      <c r="AK3796" s="35"/>
      <c r="AL3796" s="35"/>
      <c r="AM3796" s="35"/>
      <c r="AN3796" s="35"/>
      <c r="AO3796" s="35"/>
      <c r="AP3796" s="35"/>
      <c r="AQ3796" s="35"/>
      <c r="AR3796" s="35"/>
      <c r="AS3796" s="35"/>
      <c r="AT3796" s="35"/>
      <c r="AU3796" s="35"/>
      <c r="AV3796" s="35"/>
      <c r="AW3796" s="35"/>
      <c r="AX3796" s="35"/>
      <c r="AY3796" s="35"/>
      <c r="AZ3796" s="35"/>
      <c r="BA3796" s="35"/>
      <c r="BB3796" s="22">
        <f t="shared" si="1143"/>
        <v>0</v>
      </c>
      <c r="BC3796" s="23">
        <v>0</v>
      </c>
      <c r="BD3796" s="130">
        <f t="shared" si="1144"/>
        <v>1</v>
      </c>
      <c r="BE3796" s="130">
        <f t="shared" si="1145"/>
        <v>6</v>
      </c>
      <c r="BF3796" s="195">
        <f t="shared" si="1146"/>
        <v>16.666666666666664</v>
      </c>
      <c r="BG3796" s="373">
        <f t="shared" si="1141"/>
        <v>5</v>
      </c>
    </row>
    <row r="3797" spans="1:59" s="46" customFormat="1" ht="15.95" customHeight="1">
      <c r="A3797" s="176">
        <v>36</v>
      </c>
      <c r="B3797" s="31" t="s">
        <v>1008</v>
      </c>
      <c r="C3797" s="32" t="s">
        <v>1009</v>
      </c>
      <c r="D3797" s="366"/>
      <c r="E3797" s="366"/>
      <c r="F3797" s="366"/>
      <c r="G3797" s="366"/>
      <c r="H3797" s="366">
        <v>2</v>
      </c>
      <c r="I3797" s="366"/>
      <c r="J3797" s="366"/>
      <c r="K3797" s="366"/>
      <c r="L3797" s="366">
        <v>9</v>
      </c>
      <c r="M3797" s="366"/>
      <c r="N3797" s="366"/>
      <c r="O3797" s="366"/>
      <c r="P3797" s="366">
        <v>13</v>
      </c>
      <c r="Q3797" s="366"/>
      <c r="R3797" s="366"/>
      <c r="S3797" s="366"/>
      <c r="T3797" s="366"/>
      <c r="U3797" s="366"/>
      <c r="V3797" s="366"/>
      <c r="W3797" s="366"/>
      <c r="X3797" s="366"/>
      <c r="Y3797" s="366"/>
      <c r="Z3797" s="366"/>
      <c r="AA3797" s="366"/>
      <c r="AB3797" s="22">
        <f t="shared" si="1142"/>
        <v>24</v>
      </c>
      <c r="AC3797" s="23">
        <v>32</v>
      </c>
      <c r="AD3797" s="35"/>
      <c r="AE3797" s="35"/>
      <c r="AF3797" s="35"/>
      <c r="AG3797" s="35"/>
      <c r="AH3797" s="35"/>
      <c r="AI3797" s="35"/>
      <c r="AJ3797" s="35"/>
      <c r="AK3797" s="35"/>
      <c r="AL3797" s="35"/>
      <c r="AM3797" s="35"/>
      <c r="AN3797" s="35"/>
      <c r="AO3797" s="35"/>
      <c r="AP3797" s="35"/>
      <c r="AQ3797" s="35"/>
      <c r="AR3797" s="35"/>
      <c r="AS3797" s="35"/>
      <c r="AT3797" s="35"/>
      <c r="AU3797" s="35"/>
      <c r="AV3797" s="35"/>
      <c r="AW3797" s="35"/>
      <c r="AX3797" s="35"/>
      <c r="AY3797" s="35"/>
      <c r="AZ3797" s="35"/>
      <c r="BA3797" s="35"/>
      <c r="BB3797" s="22">
        <f t="shared" si="1143"/>
        <v>0</v>
      </c>
      <c r="BC3797" s="23">
        <v>0</v>
      </c>
      <c r="BD3797" s="130">
        <f t="shared" si="1144"/>
        <v>24</v>
      </c>
      <c r="BE3797" s="130">
        <f t="shared" si="1145"/>
        <v>32</v>
      </c>
      <c r="BF3797" s="195">
        <f t="shared" si="1146"/>
        <v>75</v>
      </c>
      <c r="BG3797" s="373">
        <f t="shared" si="1141"/>
        <v>8</v>
      </c>
    </row>
    <row r="3798" spans="1:59" s="46" customFormat="1" ht="15.95" customHeight="1">
      <c r="A3798" s="176">
        <v>37</v>
      </c>
      <c r="B3798" s="31" t="s">
        <v>821</v>
      </c>
      <c r="C3798" s="32" t="s">
        <v>1594</v>
      </c>
      <c r="D3798" s="366"/>
      <c r="E3798" s="366"/>
      <c r="F3798" s="366"/>
      <c r="G3798" s="366"/>
      <c r="H3798" s="366"/>
      <c r="I3798" s="366"/>
      <c r="J3798" s="366"/>
      <c r="K3798" s="366"/>
      <c r="L3798" s="366"/>
      <c r="M3798" s="366"/>
      <c r="N3798" s="366"/>
      <c r="O3798" s="366"/>
      <c r="P3798" s="366"/>
      <c r="Q3798" s="366"/>
      <c r="R3798" s="366"/>
      <c r="S3798" s="366"/>
      <c r="T3798" s="366"/>
      <c r="U3798" s="366"/>
      <c r="V3798" s="366"/>
      <c r="W3798" s="366"/>
      <c r="X3798" s="366"/>
      <c r="Y3798" s="366"/>
      <c r="Z3798" s="366"/>
      <c r="AA3798" s="366"/>
      <c r="AB3798" s="22">
        <f t="shared" si="1142"/>
        <v>0</v>
      </c>
      <c r="AC3798" s="23">
        <v>2</v>
      </c>
      <c r="AD3798" s="35"/>
      <c r="AE3798" s="35"/>
      <c r="AF3798" s="35"/>
      <c r="AG3798" s="35"/>
      <c r="AH3798" s="35"/>
      <c r="AI3798" s="35"/>
      <c r="AJ3798" s="35"/>
      <c r="AK3798" s="35"/>
      <c r="AL3798" s="35"/>
      <c r="AM3798" s="35"/>
      <c r="AN3798" s="35"/>
      <c r="AO3798" s="35"/>
      <c r="AP3798" s="35"/>
      <c r="AQ3798" s="35"/>
      <c r="AR3798" s="35"/>
      <c r="AS3798" s="35"/>
      <c r="AT3798" s="35"/>
      <c r="AU3798" s="35"/>
      <c r="AV3798" s="35"/>
      <c r="AW3798" s="35"/>
      <c r="AX3798" s="35"/>
      <c r="AY3798" s="35"/>
      <c r="AZ3798" s="35"/>
      <c r="BA3798" s="35"/>
      <c r="BB3798" s="22">
        <f t="shared" si="1143"/>
        <v>0</v>
      </c>
      <c r="BC3798" s="23">
        <v>0</v>
      </c>
      <c r="BD3798" s="130">
        <f t="shared" si="1144"/>
        <v>0</v>
      </c>
      <c r="BE3798" s="130">
        <f t="shared" si="1145"/>
        <v>2</v>
      </c>
      <c r="BF3798" s="195">
        <f t="shared" si="1146"/>
        <v>0</v>
      </c>
      <c r="BG3798" s="373">
        <f t="shared" si="1141"/>
        <v>2</v>
      </c>
    </row>
    <row r="3799" spans="1:59" s="46" customFormat="1" ht="15.95" customHeight="1">
      <c r="A3799" s="176">
        <v>38</v>
      </c>
      <c r="B3799" s="31" t="s">
        <v>823</v>
      </c>
      <c r="C3799" s="32" t="s">
        <v>824</v>
      </c>
      <c r="D3799" s="366"/>
      <c r="E3799" s="366"/>
      <c r="F3799" s="366"/>
      <c r="G3799" s="366"/>
      <c r="H3799" s="366"/>
      <c r="I3799" s="366"/>
      <c r="J3799" s="366"/>
      <c r="K3799" s="366"/>
      <c r="L3799" s="366"/>
      <c r="M3799" s="366"/>
      <c r="N3799" s="366"/>
      <c r="O3799" s="366"/>
      <c r="P3799" s="366"/>
      <c r="Q3799" s="366"/>
      <c r="R3799" s="366"/>
      <c r="S3799" s="366"/>
      <c r="T3799" s="366"/>
      <c r="U3799" s="366"/>
      <c r="V3799" s="366"/>
      <c r="W3799" s="366"/>
      <c r="X3799" s="366"/>
      <c r="Y3799" s="366"/>
      <c r="Z3799" s="366"/>
      <c r="AA3799" s="366"/>
      <c r="AB3799" s="22">
        <f t="shared" si="1142"/>
        <v>0</v>
      </c>
      <c r="AC3799" s="23">
        <v>1</v>
      </c>
      <c r="AD3799" s="35"/>
      <c r="AE3799" s="35"/>
      <c r="AF3799" s="35"/>
      <c r="AG3799" s="35"/>
      <c r="AH3799" s="35"/>
      <c r="AI3799" s="35"/>
      <c r="AJ3799" s="35"/>
      <c r="AK3799" s="35"/>
      <c r="AL3799" s="35"/>
      <c r="AM3799" s="35"/>
      <c r="AN3799" s="35"/>
      <c r="AO3799" s="35"/>
      <c r="AP3799" s="35"/>
      <c r="AQ3799" s="35"/>
      <c r="AR3799" s="35"/>
      <c r="AS3799" s="35"/>
      <c r="AT3799" s="35"/>
      <c r="AU3799" s="35"/>
      <c r="AV3799" s="35"/>
      <c r="AW3799" s="35"/>
      <c r="AX3799" s="35"/>
      <c r="AY3799" s="35"/>
      <c r="AZ3799" s="35"/>
      <c r="BA3799" s="35"/>
      <c r="BB3799" s="22">
        <f t="shared" si="1143"/>
        <v>0</v>
      </c>
      <c r="BC3799" s="23">
        <v>0</v>
      </c>
      <c r="BD3799" s="130">
        <f t="shared" si="1144"/>
        <v>0</v>
      </c>
      <c r="BE3799" s="130">
        <f t="shared" si="1145"/>
        <v>1</v>
      </c>
      <c r="BF3799" s="195">
        <f t="shared" si="1146"/>
        <v>0</v>
      </c>
      <c r="BG3799" s="373">
        <f t="shared" si="1141"/>
        <v>1</v>
      </c>
    </row>
    <row r="3800" spans="1:59" s="46" customFormat="1" ht="15.95" customHeight="1">
      <c r="A3800" s="176">
        <v>39</v>
      </c>
      <c r="B3800" s="31" t="s">
        <v>825</v>
      </c>
      <c r="C3800" s="32" t="s">
        <v>4192</v>
      </c>
      <c r="D3800" s="577"/>
      <c r="E3800" s="577"/>
      <c r="F3800" s="577"/>
      <c r="G3800" s="577"/>
      <c r="H3800" s="577"/>
      <c r="I3800" s="577"/>
      <c r="J3800" s="577"/>
      <c r="K3800" s="577"/>
      <c r="L3800" s="577"/>
      <c r="M3800" s="577"/>
      <c r="N3800" s="577"/>
      <c r="O3800" s="577"/>
      <c r="P3800" s="577">
        <v>1</v>
      </c>
      <c r="Q3800" s="577"/>
      <c r="R3800" s="577"/>
      <c r="S3800" s="577"/>
      <c r="T3800" s="577"/>
      <c r="U3800" s="577"/>
      <c r="V3800" s="577"/>
      <c r="W3800" s="577"/>
      <c r="X3800" s="577"/>
      <c r="Y3800" s="577"/>
      <c r="Z3800" s="577"/>
      <c r="AA3800" s="577"/>
      <c r="AB3800" s="22">
        <f t="shared" si="1142"/>
        <v>1</v>
      </c>
      <c r="AC3800" s="23">
        <v>0</v>
      </c>
      <c r="AD3800" s="35"/>
      <c r="AE3800" s="35"/>
      <c r="AF3800" s="35"/>
      <c r="AG3800" s="35"/>
      <c r="AH3800" s="35"/>
      <c r="AI3800" s="35"/>
      <c r="AJ3800" s="35"/>
      <c r="AK3800" s="35"/>
      <c r="AL3800" s="35"/>
      <c r="AM3800" s="35"/>
      <c r="AN3800" s="35"/>
      <c r="AO3800" s="35"/>
      <c r="AP3800" s="35"/>
      <c r="AQ3800" s="35"/>
      <c r="AR3800" s="35"/>
      <c r="AS3800" s="35"/>
      <c r="AT3800" s="35"/>
      <c r="AU3800" s="35"/>
      <c r="AV3800" s="35"/>
      <c r="AW3800" s="35"/>
      <c r="AX3800" s="35"/>
      <c r="AY3800" s="35"/>
      <c r="AZ3800" s="35"/>
      <c r="BA3800" s="35"/>
      <c r="BB3800" s="22">
        <f t="shared" si="1143"/>
        <v>0</v>
      </c>
      <c r="BC3800" s="23">
        <v>0</v>
      </c>
      <c r="BD3800" s="130">
        <f t="shared" si="1144"/>
        <v>1</v>
      </c>
      <c r="BE3800" s="130">
        <f t="shared" si="1145"/>
        <v>0</v>
      </c>
      <c r="BF3800" s="195" t="e">
        <f t="shared" si="1146"/>
        <v>#DIV/0!</v>
      </c>
      <c r="BG3800" s="373"/>
    </row>
    <row r="3801" spans="1:59" s="46" customFormat="1" ht="15.95" customHeight="1">
      <c r="A3801" s="176">
        <v>40</v>
      </c>
      <c r="B3801" s="31" t="s">
        <v>1451</v>
      </c>
      <c r="C3801" s="32" t="s">
        <v>1452</v>
      </c>
      <c r="D3801" s="231"/>
      <c r="E3801" s="231"/>
      <c r="F3801" s="231"/>
      <c r="G3801" s="231"/>
      <c r="H3801" s="231">
        <v>3</v>
      </c>
      <c r="I3801" s="231"/>
      <c r="J3801" s="231"/>
      <c r="K3801" s="231"/>
      <c r="L3801" s="231">
        <v>9</v>
      </c>
      <c r="M3801" s="231"/>
      <c r="N3801" s="231"/>
      <c r="O3801" s="231"/>
      <c r="P3801" s="231">
        <v>36</v>
      </c>
      <c r="Q3801" s="231"/>
      <c r="R3801" s="231"/>
      <c r="S3801" s="231"/>
      <c r="T3801" s="231"/>
      <c r="U3801" s="231"/>
      <c r="V3801" s="231"/>
      <c r="W3801" s="231"/>
      <c r="X3801" s="231"/>
      <c r="Y3801" s="231"/>
      <c r="Z3801" s="231"/>
      <c r="AA3801" s="231"/>
      <c r="AB3801" s="22">
        <f t="shared" si="1142"/>
        <v>48</v>
      </c>
      <c r="AC3801" s="23">
        <v>193</v>
      </c>
      <c r="AD3801" s="35"/>
      <c r="AE3801" s="35"/>
      <c r="AF3801" s="35"/>
      <c r="AG3801" s="35"/>
      <c r="AH3801" s="35"/>
      <c r="AI3801" s="35"/>
      <c r="AJ3801" s="35"/>
      <c r="AK3801" s="35"/>
      <c r="AL3801" s="35"/>
      <c r="AM3801" s="35"/>
      <c r="AN3801" s="35"/>
      <c r="AO3801" s="35"/>
      <c r="AP3801" s="35"/>
      <c r="AQ3801" s="35"/>
      <c r="AR3801" s="35"/>
      <c r="AS3801" s="35"/>
      <c r="AT3801" s="35"/>
      <c r="AU3801" s="35"/>
      <c r="AV3801" s="35"/>
      <c r="AW3801" s="35"/>
      <c r="AX3801" s="35"/>
      <c r="AY3801" s="35"/>
      <c r="AZ3801" s="35"/>
      <c r="BA3801" s="35"/>
      <c r="BB3801" s="22">
        <f t="shared" si="1143"/>
        <v>0</v>
      </c>
      <c r="BC3801" s="23">
        <v>0</v>
      </c>
      <c r="BD3801" s="130">
        <f t="shared" si="1144"/>
        <v>48</v>
      </c>
      <c r="BE3801" s="130">
        <f t="shared" si="1145"/>
        <v>193</v>
      </c>
      <c r="BF3801" s="195">
        <f t="shared" si="1146"/>
        <v>24.870466321243523</v>
      </c>
      <c r="BG3801" s="373">
        <f>BE3801-BD3801</f>
        <v>145</v>
      </c>
    </row>
    <row r="3802" spans="1:59" s="46" customFormat="1" ht="15.95" customHeight="1">
      <c r="A3802" s="176">
        <v>41</v>
      </c>
      <c r="B3802" s="31" t="s">
        <v>1332</v>
      </c>
      <c r="C3802" s="32" t="s">
        <v>1333</v>
      </c>
      <c r="D3802" s="231"/>
      <c r="E3802" s="231"/>
      <c r="F3802" s="231"/>
      <c r="G3802" s="231"/>
      <c r="H3802" s="231">
        <v>5</v>
      </c>
      <c r="I3802" s="231"/>
      <c r="J3802" s="231"/>
      <c r="K3802" s="231"/>
      <c r="L3802" s="231">
        <v>25</v>
      </c>
      <c r="M3802" s="231"/>
      <c r="N3802" s="231"/>
      <c r="O3802" s="231"/>
      <c r="P3802" s="231">
        <v>23</v>
      </c>
      <c r="Q3802" s="231"/>
      <c r="R3802" s="231"/>
      <c r="S3802" s="231"/>
      <c r="T3802" s="231"/>
      <c r="U3802" s="231"/>
      <c r="V3802" s="231"/>
      <c r="W3802" s="231"/>
      <c r="X3802" s="231"/>
      <c r="Y3802" s="231"/>
      <c r="Z3802" s="231"/>
      <c r="AA3802" s="231"/>
      <c r="AB3802" s="22">
        <f t="shared" si="1142"/>
        <v>53</v>
      </c>
      <c r="AC3802" s="23">
        <v>74</v>
      </c>
      <c r="AD3802" s="35"/>
      <c r="AE3802" s="35"/>
      <c r="AF3802" s="35"/>
      <c r="AG3802" s="35"/>
      <c r="AH3802" s="35"/>
      <c r="AI3802" s="35"/>
      <c r="AJ3802" s="35"/>
      <c r="AK3802" s="35"/>
      <c r="AL3802" s="35"/>
      <c r="AM3802" s="35"/>
      <c r="AN3802" s="35"/>
      <c r="AO3802" s="35"/>
      <c r="AP3802" s="35"/>
      <c r="AQ3802" s="35"/>
      <c r="AR3802" s="35"/>
      <c r="AS3802" s="35"/>
      <c r="AT3802" s="35"/>
      <c r="AU3802" s="35"/>
      <c r="AV3802" s="35"/>
      <c r="AW3802" s="35"/>
      <c r="AX3802" s="35"/>
      <c r="AY3802" s="35"/>
      <c r="AZ3802" s="35"/>
      <c r="BA3802" s="35"/>
      <c r="BB3802" s="22">
        <f t="shared" si="1143"/>
        <v>0</v>
      </c>
      <c r="BC3802" s="23">
        <v>0</v>
      </c>
      <c r="BD3802" s="130">
        <f t="shared" si="1144"/>
        <v>53</v>
      </c>
      <c r="BE3802" s="130">
        <f t="shared" si="1145"/>
        <v>74</v>
      </c>
      <c r="BF3802" s="195">
        <f t="shared" si="1146"/>
        <v>71.621621621621628</v>
      </c>
      <c r="BG3802" s="373">
        <f>BE3802-BD3802</f>
        <v>21</v>
      </c>
    </row>
    <row r="3803" spans="1:59" s="46" customFormat="1" ht="15.95" customHeight="1">
      <c r="A3803" s="176">
        <v>42</v>
      </c>
      <c r="B3803" s="31" t="s">
        <v>1075</v>
      </c>
      <c r="C3803" s="32" t="s">
        <v>1076</v>
      </c>
      <c r="D3803" s="577"/>
      <c r="E3803" s="577"/>
      <c r="F3803" s="577"/>
      <c r="G3803" s="577"/>
      <c r="H3803" s="577"/>
      <c r="I3803" s="577"/>
      <c r="J3803" s="577"/>
      <c r="K3803" s="577"/>
      <c r="L3803" s="577"/>
      <c r="M3803" s="577"/>
      <c r="N3803" s="577"/>
      <c r="O3803" s="577"/>
      <c r="P3803" s="577">
        <v>1</v>
      </c>
      <c r="Q3803" s="577"/>
      <c r="R3803" s="577"/>
      <c r="S3803" s="577"/>
      <c r="T3803" s="577"/>
      <c r="U3803" s="577"/>
      <c r="V3803" s="577"/>
      <c r="W3803" s="577"/>
      <c r="X3803" s="577"/>
      <c r="Y3803" s="577"/>
      <c r="Z3803" s="577"/>
      <c r="AA3803" s="577"/>
      <c r="AB3803" s="22">
        <f t="shared" si="1142"/>
        <v>1</v>
      </c>
      <c r="AC3803" s="23">
        <v>0</v>
      </c>
      <c r="AD3803" s="35"/>
      <c r="AE3803" s="35"/>
      <c r="AF3803" s="35"/>
      <c r="AG3803" s="35"/>
      <c r="AH3803" s="35"/>
      <c r="AI3803" s="35"/>
      <c r="AJ3803" s="35"/>
      <c r="AK3803" s="35"/>
      <c r="AL3803" s="35"/>
      <c r="AM3803" s="35"/>
      <c r="AN3803" s="35"/>
      <c r="AO3803" s="35"/>
      <c r="AP3803" s="35"/>
      <c r="AQ3803" s="35"/>
      <c r="AR3803" s="35"/>
      <c r="AS3803" s="35"/>
      <c r="AT3803" s="35"/>
      <c r="AU3803" s="35"/>
      <c r="AV3803" s="35"/>
      <c r="AW3803" s="35"/>
      <c r="AX3803" s="35"/>
      <c r="AY3803" s="35"/>
      <c r="AZ3803" s="35"/>
      <c r="BA3803" s="35"/>
      <c r="BB3803" s="22">
        <f t="shared" si="1143"/>
        <v>0</v>
      </c>
      <c r="BC3803" s="23">
        <v>0</v>
      </c>
      <c r="BD3803" s="130">
        <f t="shared" si="1144"/>
        <v>1</v>
      </c>
      <c r="BE3803" s="130">
        <f t="shared" si="1145"/>
        <v>0</v>
      </c>
      <c r="BF3803" s="195" t="e">
        <f t="shared" si="1146"/>
        <v>#DIV/0!</v>
      </c>
      <c r="BG3803" s="373"/>
    </row>
    <row r="3804" spans="1:59" s="46" customFormat="1" ht="15.95" customHeight="1">
      <c r="A3804" s="176">
        <v>43</v>
      </c>
      <c r="B3804" s="31" t="s">
        <v>915</v>
      </c>
      <c r="C3804" s="32" t="s">
        <v>1015</v>
      </c>
      <c r="D3804" s="231"/>
      <c r="E3804" s="231"/>
      <c r="F3804" s="231"/>
      <c r="G3804" s="231"/>
      <c r="H3804" s="231">
        <v>38</v>
      </c>
      <c r="I3804" s="231"/>
      <c r="J3804" s="231"/>
      <c r="K3804" s="231"/>
      <c r="L3804" s="231">
        <f>138+1</f>
        <v>139</v>
      </c>
      <c r="M3804" s="231"/>
      <c r="N3804" s="231"/>
      <c r="O3804" s="231"/>
      <c r="P3804" s="231">
        <v>187</v>
      </c>
      <c r="Q3804" s="231"/>
      <c r="R3804" s="231"/>
      <c r="S3804" s="231"/>
      <c r="T3804" s="231"/>
      <c r="U3804" s="231"/>
      <c r="V3804" s="231"/>
      <c r="W3804" s="231"/>
      <c r="X3804" s="231"/>
      <c r="Y3804" s="231"/>
      <c r="Z3804" s="231"/>
      <c r="AA3804" s="231"/>
      <c r="AB3804" s="22">
        <f t="shared" si="1142"/>
        <v>364</v>
      </c>
      <c r="AC3804" s="23">
        <v>478</v>
      </c>
      <c r="AD3804" s="35"/>
      <c r="AE3804" s="35"/>
      <c r="AF3804" s="35"/>
      <c r="AG3804" s="35"/>
      <c r="AH3804" s="35"/>
      <c r="AI3804" s="35"/>
      <c r="AJ3804" s="35"/>
      <c r="AK3804" s="35"/>
      <c r="AL3804" s="35"/>
      <c r="AM3804" s="35"/>
      <c r="AN3804" s="35"/>
      <c r="AO3804" s="35"/>
      <c r="AP3804" s="35"/>
      <c r="AQ3804" s="35"/>
      <c r="AR3804" s="35"/>
      <c r="AS3804" s="35"/>
      <c r="AT3804" s="35"/>
      <c r="AU3804" s="35"/>
      <c r="AV3804" s="35"/>
      <c r="AW3804" s="35"/>
      <c r="AX3804" s="35"/>
      <c r="AY3804" s="35"/>
      <c r="AZ3804" s="35"/>
      <c r="BA3804" s="35"/>
      <c r="BB3804" s="22">
        <f t="shared" si="1143"/>
        <v>0</v>
      </c>
      <c r="BC3804" s="23">
        <v>0</v>
      </c>
      <c r="BD3804" s="130">
        <f t="shared" si="1144"/>
        <v>364</v>
      </c>
      <c r="BE3804" s="130">
        <f t="shared" si="1145"/>
        <v>478</v>
      </c>
      <c r="BF3804" s="195">
        <f t="shared" si="1146"/>
        <v>76.15062761506276</v>
      </c>
      <c r="BG3804" s="373">
        <f>BE3804-BD3804</f>
        <v>114</v>
      </c>
    </row>
    <row r="3805" spans="1:59" s="46" customFormat="1" ht="15.95" customHeight="1">
      <c r="A3805" s="176">
        <v>44</v>
      </c>
      <c r="B3805" s="31" t="s">
        <v>847</v>
      </c>
      <c r="C3805" s="32" t="s">
        <v>848</v>
      </c>
      <c r="D3805" s="577"/>
      <c r="E3805" s="577"/>
      <c r="F3805" s="577"/>
      <c r="G3805" s="577"/>
      <c r="H3805" s="577"/>
      <c r="I3805" s="577"/>
      <c r="J3805" s="577"/>
      <c r="K3805" s="577"/>
      <c r="L3805" s="577"/>
      <c r="M3805" s="577"/>
      <c r="N3805" s="577"/>
      <c r="O3805" s="577"/>
      <c r="P3805" s="577">
        <v>1</v>
      </c>
      <c r="Q3805" s="577"/>
      <c r="R3805" s="577"/>
      <c r="S3805" s="577"/>
      <c r="T3805" s="577"/>
      <c r="U3805" s="577"/>
      <c r="V3805" s="577"/>
      <c r="W3805" s="577"/>
      <c r="X3805" s="577"/>
      <c r="Y3805" s="577"/>
      <c r="Z3805" s="577"/>
      <c r="AA3805" s="577"/>
      <c r="AB3805" s="22">
        <f t="shared" si="1142"/>
        <v>1</v>
      </c>
      <c r="AC3805" s="23">
        <v>0</v>
      </c>
      <c r="AD3805" s="35"/>
      <c r="AE3805" s="35"/>
      <c r="AF3805" s="35"/>
      <c r="AG3805" s="35"/>
      <c r="AH3805" s="35"/>
      <c r="AI3805" s="35"/>
      <c r="AJ3805" s="35"/>
      <c r="AK3805" s="35"/>
      <c r="AL3805" s="35"/>
      <c r="AM3805" s="35"/>
      <c r="AN3805" s="35"/>
      <c r="AO3805" s="35"/>
      <c r="AP3805" s="35"/>
      <c r="AQ3805" s="35"/>
      <c r="AR3805" s="35"/>
      <c r="AS3805" s="35"/>
      <c r="AT3805" s="35"/>
      <c r="AU3805" s="35"/>
      <c r="AV3805" s="35"/>
      <c r="AW3805" s="35"/>
      <c r="AX3805" s="35"/>
      <c r="AY3805" s="35"/>
      <c r="AZ3805" s="35"/>
      <c r="BA3805" s="35"/>
      <c r="BB3805" s="22">
        <f t="shared" si="1143"/>
        <v>0</v>
      </c>
      <c r="BC3805" s="23">
        <v>0</v>
      </c>
      <c r="BD3805" s="130">
        <f t="shared" si="1144"/>
        <v>1</v>
      </c>
      <c r="BE3805" s="130">
        <f t="shared" si="1145"/>
        <v>0</v>
      </c>
      <c r="BF3805" s="195" t="e">
        <f t="shared" si="1146"/>
        <v>#DIV/0!</v>
      </c>
      <c r="BG3805" s="373"/>
    </row>
    <row r="3806" spans="1:59" s="46" customFormat="1" ht="15.95" customHeight="1">
      <c r="A3806" s="176">
        <v>45</v>
      </c>
      <c r="B3806" s="31" t="s">
        <v>2184</v>
      </c>
      <c r="C3806" s="32" t="s">
        <v>2185</v>
      </c>
      <c r="D3806" s="231"/>
      <c r="E3806" s="231"/>
      <c r="F3806" s="231"/>
      <c r="G3806" s="231"/>
      <c r="H3806" s="231">
        <v>3</v>
      </c>
      <c r="I3806" s="231"/>
      <c r="J3806" s="231"/>
      <c r="K3806" s="231"/>
      <c r="L3806" s="231">
        <v>9</v>
      </c>
      <c r="M3806" s="231"/>
      <c r="N3806" s="231"/>
      <c r="O3806" s="231"/>
      <c r="P3806" s="231">
        <v>36</v>
      </c>
      <c r="Q3806" s="231"/>
      <c r="R3806" s="231"/>
      <c r="S3806" s="231"/>
      <c r="T3806" s="231"/>
      <c r="U3806" s="231"/>
      <c r="V3806" s="231"/>
      <c r="W3806" s="231"/>
      <c r="X3806" s="231"/>
      <c r="Y3806" s="231"/>
      <c r="Z3806" s="231"/>
      <c r="AA3806" s="231"/>
      <c r="AB3806" s="22">
        <f t="shared" si="1142"/>
        <v>48</v>
      </c>
      <c r="AC3806" s="23">
        <v>186</v>
      </c>
      <c r="AD3806" s="35"/>
      <c r="AE3806" s="35"/>
      <c r="AF3806" s="35"/>
      <c r="AG3806" s="35"/>
      <c r="AH3806" s="35"/>
      <c r="AI3806" s="35"/>
      <c r="AJ3806" s="35"/>
      <c r="AK3806" s="35"/>
      <c r="AL3806" s="35"/>
      <c r="AM3806" s="35"/>
      <c r="AN3806" s="35"/>
      <c r="AO3806" s="35"/>
      <c r="AP3806" s="35"/>
      <c r="AQ3806" s="35"/>
      <c r="AR3806" s="35"/>
      <c r="AS3806" s="35"/>
      <c r="AT3806" s="35"/>
      <c r="AU3806" s="35"/>
      <c r="AV3806" s="35"/>
      <c r="AW3806" s="35"/>
      <c r="AX3806" s="35"/>
      <c r="AY3806" s="35"/>
      <c r="AZ3806" s="35"/>
      <c r="BA3806" s="35"/>
      <c r="BB3806" s="22">
        <f t="shared" si="1143"/>
        <v>0</v>
      </c>
      <c r="BC3806" s="23">
        <v>0</v>
      </c>
      <c r="BD3806" s="130">
        <f t="shared" si="1144"/>
        <v>48</v>
      </c>
      <c r="BE3806" s="130">
        <f t="shared" si="1145"/>
        <v>186</v>
      </c>
      <c r="BF3806" s="195">
        <f t="shared" si="1146"/>
        <v>25.806451612903224</v>
      </c>
      <c r="BG3806" s="373">
        <f>BE3806-BD3806</f>
        <v>138</v>
      </c>
    </row>
    <row r="3807" spans="1:59" s="46" customFormat="1" ht="15.95" customHeight="1">
      <c r="A3807" s="176">
        <v>46</v>
      </c>
      <c r="B3807" s="31" t="s">
        <v>1088</v>
      </c>
      <c r="C3807" s="32" t="s">
        <v>1089</v>
      </c>
      <c r="D3807" s="339"/>
      <c r="E3807" s="339"/>
      <c r="F3807" s="339"/>
      <c r="G3807" s="339"/>
      <c r="H3807" s="339">
        <v>3</v>
      </c>
      <c r="I3807" s="339"/>
      <c r="J3807" s="339"/>
      <c r="K3807" s="339"/>
      <c r="L3807" s="339">
        <v>9</v>
      </c>
      <c r="M3807" s="339"/>
      <c r="N3807" s="339"/>
      <c r="O3807" s="339"/>
      <c r="P3807" s="339">
        <v>36</v>
      </c>
      <c r="Q3807" s="339"/>
      <c r="R3807" s="339"/>
      <c r="S3807" s="339"/>
      <c r="T3807" s="339"/>
      <c r="U3807" s="339"/>
      <c r="V3807" s="339"/>
      <c r="W3807" s="339"/>
      <c r="X3807" s="339"/>
      <c r="Y3807" s="339"/>
      <c r="Z3807" s="339"/>
      <c r="AA3807" s="339"/>
      <c r="AB3807" s="22">
        <f t="shared" si="1142"/>
        <v>48</v>
      </c>
      <c r="AC3807" s="23">
        <v>188</v>
      </c>
      <c r="AD3807" s="35"/>
      <c r="AE3807" s="35"/>
      <c r="AF3807" s="35"/>
      <c r="AG3807" s="35"/>
      <c r="AH3807" s="35"/>
      <c r="AI3807" s="35"/>
      <c r="AJ3807" s="35"/>
      <c r="AK3807" s="35"/>
      <c r="AL3807" s="35"/>
      <c r="AM3807" s="35"/>
      <c r="AN3807" s="35"/>
      <c r="AO3807" s="35"/>
      <c r="AP3807" s="35"/>
      <c r="AQ3807" s="35"/>
      <c r="AR3807" s="35"/>
      <c r="AS3807" s="35"/>
      <c r="AT3807" s="35"/>
      <c r="AU3807" s="35"/>
      <c r="AV3807" s="35"/>
      <c r="AW3807" s="35"/>
      <c r="AX3807" s="35"/>
      <c r="AY3807" s="35"/>
      <c r="AZ3807" s="35"/>
      <c r="BA3807" s="35"/>
      <c r="BB3807" s="22">
        <f t="shared" si="1143"/>
        <v>0</v>
      </c>
      <c r="BC3807" s="23">
        <v>0</v>
      </c>
      <c r="BD3807" s="130">
        <f t="shared" si="1144"/>
        <v>48</v>
      </c>
      <c r="BE3807" s="130">
        <f t="shared" si="1145"/>
        <v>188</v>
      </c>
      <c r="BF3807" s="195">
        <f t="shared" si="1146"/>
        <v>25.531914893617021</v>
      </c>
      <c r="BG3807" s="373">
        <f>BE3807-BD3807</f>
        <v>140</v>
      </c>
    </row>
    <row r="3808" spans="1:59" s="46" customFormat="1" ht="15.95" customHeight="1">
      <c r="A3808" s="176">
        <v>47</v>
      </c>
      <c r="B3808" s="31" t="s">
        <v>971</v>
      </c>
      <c r="C3808" s="32" t="s">
        <v>3604</v>
      </c>
      <c r="D3808" s="231"/>
      <c r="E3808" s="231"/>
      <c r="F3808" s="231"/>
      <c r="G3808" s="231"/>
      <c r="H3808" s="231"/>
      <c r="I3808" s="231"/>
      <c r="J3808" s="231"/>
      <c r="K3808" s="231"/>
      <c r="L3808" s="231"/>
      <c r="M3808" s="231"/>
      <c r="N3808" s="231"/>
      <c r="O3808" s="231"/>
      <c r="P3808" s="231"/>
      <c r="Q3808" s="231"/>
      <c r="R3808" s="231"/>
      <c r="S3808" s="231"/>
      <c r="T3808" s="231"/>
      <c r="U3808" s="231"/>
      <c r="V3808" s="231"/>
      <c r="W3808" s="231"/>
      <c r="X3808" s="231"/>
      <c r="Y3808" s="231"/>
      <c r="Z3808" s="231"/>
      <c r="AA3808" s="231"/>
      <c r="AB3808" s="22">
        <f t="shared" si="1142"/>
        <v>0</v>
      </c>
      <c r="AC3808" s="23">
        <v>1</v>
      </c>
      <c r="AD3808" s="35"/>
      <c r="AE3808" s="35"/>
      <c r="AF3808" s="35"/>
      <c r="AG3808" s="35"/>
      <c r="AH3808" s="35"/>
      <c r="AI3808" s="35"/>
      <c r="AJ3808" s="35"/>
      <c r="AK3808" s="35"/>
      <c r="AL3808" s="35"/>
      <c r="AM3808" s="35"/>
      <c r="AN3808" s="35"/>
      <c r="AO3808" s="35"/>
      <c r="AP3808" s="35"/>
      <c r="AQ3808" s="35"/>
      <c r="AR3808" s="35"/>
      <c r="AS3808" s="35"/>
      <c r="AT3808" s="35"/>
      <c r="AU3808" s="35"/>
      <c r="AV3808" s="35"/>
      <c r="AW3808" s="35"/>
      <c r="AX3808" s="35"/>
      <c r="AY3808" s="35"/>
      <c r="AZ3808" s="35"/>
      <c r="BA3808" s="35"/>
      <c r="BB3808" s="22">
        <f t="shared" si="1143"/>
        <v>0</v>
      </c>
      <c r="BC3808" s="23">
        <v>0</v>
      </c>
      <c r="BD3808" s="130">
        <f t="shared" si="1144"/>
        <v>0</v>
      </c>
      <c r="BE3808" s="130">
        <f t="shared" si="1145"/>
        <v>1</v>
      </c>
      <c r="BF3808" s="195">
        <f t="shared" si="1146"/>
        <v>0</v>
      </c>
      <c r="BG3808" s="373">
        <f>BE3808-BD3808</f>
        <v>1</v>
      </c>
    </row>
    <row r="3809" spans="1:59" s="46" customFormat="1" ht="15.95" customHeight="1">
      <c r="A3809" s="176">
        <v>48</v>
      </c>
      <c r="B3809" s="31" t="s">
        <v>854</v>
      </c>
      <c r="C3809" s="32" t="s">
        <v>973</v>
      </c>
      <c r="D3809" s="231"/>
      <c r="E3809" s="231"/>
      <c r="F3809" s="231"/>
      <c r="G3809" s="231"/>
      <c r="H3809" s="231">
        <v>19</v>
      </c>
      <c r="I3809" s="231"/>
      <c r="J3809" s="231"/>
      <c r="K3809" s="231"/>
      <c r="L3809" s="231">
        <v>60</v>
      </c>
      <c r="M3809" s="231"/>
      <c r="N3809" s="231"/>
      <c r="O3809" s="231"/>
      <c r="P3809" s="231">
        <v>61</v>
      </c>
      <c r="Q3809" s="231"/>
      <c r="R3809" s="231"/>
      <c r="S3809" s="231"/>
      <c r="T3809" s="231"/>
      <c r="U3809" s="231"/>
      <c r="V3809" s="231"/>
      <c r="W3809" s="231"/>
      <c r="X3809" s="231"/>
      <c r="Y3809" s="231"/>
      <c r="Z3809" s="231"/>
      <c r="AA3809" s="231"/>
      <c r="AB3809" s="22">
        <f t="shared" si="1142"/>
        <v>140</v>
      </c>
      <c r="AC3809" s="23">
        <v>375</v>
      </c>
      <c r="AD3809" s="35"/>
      <c r="AE3809" s="35"/>
      <c r="AF3809" s="35"/>
      <c r="AG3809" s="35"/>
      <c r="AH3809" s="35"/>
      <c r="AI3809" s="35"/>
      <c r="AJ3809" s="35"/>
      <c r="AK3809" s="35"/>
      <c r="AL3809" s="35"/>
      <c r="AM3809" s="35"/>
      <c r="AN3809" s="35"/>
      <c r="AO3809" s="35"/>
      <c r="AP3809" s="35"/>
      <c r="AQ3809" s="35"/>
      <c r="AR3809" s="35"/>
      <c r="AS3809" s="35"/>
      <c r="AT3809" s="35"/>
      <c r="AU3809" s="35"/>
      <c r="AV3809" s="35"/>
      <c r="AW3809" s="35"/>
      <c r="AX3809" s="35"/>
      <c r="AY3809" s="35"/>
      <c r="AZ3809" s="35"/>
      <c r="BA3809" s="35"/>
      <c r="BB3809" s="22">
        <f t="shared" si="1143"/>
        <v>0</v>
      </c>
      <c r="BC3809" s="23">
        <v>0</v>
      </c>
      <c r="BD3809" s="130">
        <f t="shared" si="1144"/>
        <v>140</v>
      </c>
      <c r="BE3809" s="130">
        <f t="shared" si="1145"/>
        <v>375</v>
      </c>
      <c r="BF3809" s="195">
        <f t="shared" si="1146"/>
        <v>37.333333333333336</v>
      </c>
      <c r="BG3809" s="373">
        <f>BE3809-BD3809</f>
        <v>235</v>
      </c>
    </row>
    <row r="3810" spans="1:59" s="46" customFormat="1" ht="15.95" customHeight="1">
      <c r="A3810" s="176">
        <v>49</v>
      </c>
      <c r="B3810" s="31" t="s">
        <v>1209</v>
      </c>
      <c r="C3810" s="32" t="s">
        <v>2055</v>
      </c>
      <c r="D3810" s="231"/>
      <c r="E3810" s="231"/>
      <c r="F3810" s="231"/>
      <c r="G3810" s="231"/>
      <c r="H3810" s="231"/>
      <c r="I3810" s="231"/>
      <c r="J3810" s="231"/>
      <c r="K3810" s="231"/>
      <c r="L3810" s="231"/>
      <c r="M3810" s="231"/>
      <c r="N3810" s="231"/>
      <c r="O3810" s="231"/>
      <c r="P3810" s="231">
        <v>2</v>
      </c>
      <c r="Q3810" s="231"/>
      <c r="R3810" s="231"/>
      <c r="S3810" s="231"/>
      <c r="T3810" s="231"/>
      <c r="U3810" s="231"/>
      <c r="V3810" s="231"/>
      <c r="W3810" s="231"/>
      <c r="X3810" s="231"/>
      <c r="Y3810" s="231"/>
      <c r="Z3810" s="231"/>
      <c r="AA3810" s="231"/>
      <c r="AB3810" s="22">
        <f t="shared" si="1142"/>
        <v>2</v>
      </c>
      <c r="AC3810" s="23">
        <v>20</v>
      </c>
      <c r="AD3810" s="35"/>
      <c r="AE3810" s="35"/>
      <c r="AF3810" s="35"/>
      <c r="AG3810" s="35"/>
      <c r="AH3810" s="35"/>
      <c r="AI3810" s="35"/>
      <c r="AJ3810" s="35"/>
      <c r="AK3810" s="35"/>
      <c r="AL3810" s="35"/>
      <c r="AM3810" s="35"/>
      <c r="AN3810" s="35"/>
      <c r="AO3810" s="35"/>
      <c r="AP3810" s="35"/>
      <c r="AQ3810" s="35"/>
      <c r="AR3810" s="35"/>
      <c r="AS3810" s="35"/>
      <c r="AT3810" s="35"/>
      <c r="AU3810" s="35"/>
      <c r="AV3810" s="35"/>
      <c r="AW3810" s="35"/>
      <c r="AX3810" s="35"/>
      <c r="AY3810" s="35"/>
      <c r="AZ3810" s="35"/>
      <c r="BA3810" s="35"/>
      <c r="BB3810" s="22">
        <f t="shared" si="1143"/>
        <v>0</v>
      </c>
      <c r="BC3810" s="23">
        <v>0</v>
      </c>
      <c r="BD3810" s="130">
        <f t="shared" si="1144"/>
        <v>2</v>
      </c>
      <c r="BE3810" s="130">
        <f t="shared" si="1145"/>
        <v>20</v>
      </c>
      <c r="BF3810" s="195">
        <f t="shared" si="1146"/>
        <v>10</v>
      </c>
      <c r="BG3810" s="373">
        <f>BE3810-BD3810</f>
        <v>18</v>
      </c>
    </row>
    <row r="3811" spans="1:59" s="46" customFormat="1" ht="15.95" customHeight="1">
      <c r="A3811" s="176">
        <v>50</v>
      </c>
      <c r="B3811" s="31" t="s">
        <v>858</v>
      </c>
      <c r="C3811" s="32" t="s">
        <v>859</v>
      </c>
      <c r="D3811" s="526"/>
      <c r="E3811" s="526"/>
      <c r="F3811" s="526"/>
      <c r="G3811" s="526"/>
      <c r="H3811" s="526">
        <v>1</v>
      </c>
      <c r="I3811" s="526"/>
      <c r="J3811" s="526"/>
      <c r="K3811" s="526"/>
      <c r="L3811" s="526"/>
      <c r="M3811" s="526"/>
      <c r="N3811" s="526"/>
      <c r="O3811" s="526"/>
      <c r="P3811" s="526"/>
      <c r="Q3811" s="526"/>
      <c r="R3811" s="526"/>
      <c r="S3811" s="526"/>
      <c r="T3811" s="526"/>
      <c r="U3811" s="526"/>
      <c r="V3811" s="526"/>
      <c r="W3811" s="526"/>
      <c r="X3811" s="526"/>
      <c r="Y3811" s="526"/>
      <c r="Z3811" s="526"/>
      <c r="AA3811" s="526"/>
      <c r="AB3811" s="22">
        <f t="shared" si="1142"/>
        <v>1</v>
      </c>
      <c r="AC3811" s="23">
        <v>0</v>
      </c>
      <c r="AD3811" s="35"/>
      <c r="AE3811" s="35"/>
      <c r="AF3811" s="35"/>
      <c r="AG3811" s="35"/>
      <c r="AH3811" s="35"/>
      <c r="AI3811" s="35"/>
      <c r="AJ3811" s="35"/>
      <c r="AK3811" s="35"/>
      <c r="AL3811" s="35"/>
      <c r="AM3811" s="35"/>
      <c r="AN3811" s="35"/>
      <c r="AO3811" s="35"/>
      <c r="AP3811" s="35"/>
      <c r="AQ3811" s="35"/>
      <c r="AR3811" s="35"/>
      <c r="AS3811" s="35"/>
      <c r="AT3811" s="35"/>
      <c r="AU3811" s="35"/>
      <c r="AV3811" s="35"/>
      <c r="AW3811" s="35"/>
      <c r="AX3811" s="35"/>
      <c r="AY3811" s="35"/>
      <c r="AZ3811" s="35"/>
      <c r="BA3811" s="35"/>
      <c r="BB3811" s="22">
        <f t="shared" si="1143"/>
        <v>0</v>
      </c>
      <c r="BC3811" s="23">
        <v>0</v>
      </c>
      <c r="BD3811" s="130">
        <f t="shared" si="1144"/>
        <v>1</v>
      </c>
      <c r="BE3811" s="130">
        <f t="shared" si="1145"/>
        <v>0</v>
      </c>
      <c r="BF3811" s="195" t="e">
        <f t="shared" si="1146"/>
        <v>#DIV/0!</v>
      </c>
      <c r="BG3811" s="373"/>
    </row>
    <row r="3812" spans="1:59" s="46" customFormat="1" ht="15.95" customHeight="1">
      <c r="A3812" s="176">
        <v>51</v>
      </c>
      <c r="B3812" s="31" t="s">
        <v>860</v>
      </c>
      <c r="C3812" s="32" t="s">
        <v>861</v>
      </c>
      <c r="D3812" s="231"/>
      <c r="E3812" s="231"/>
      <c r="F3812" s="231"/>
      <c r="G3812" s="231"/>
      <c r="H3812" s="231">
        <v>2</v>
      </c>
      <c r="I3812" s="231"/>
      <c r="J3812" s="231"/>
      <c r="K3812" s="231"/>
      <c r="L3812" s="231">
        <v>8</v>
      </c>
      <c r="M3812" s="231"/>
      <c r="N3812" s="231"/>
      <c r="O3812" s="231"/>
      <c r="P3812" s="231">
        <v>14</v>
      </c>
      <c r="Q3812" s="231"/>
      <c r="R3812" s="231"/>
      <c r="S3812" s="231"/>
      <c r="T3812" s="231"/>
      <c r="U3812" s="231"/>
      <c r="V3812" s="231"/>
      <c r="W3812" s="231"/>
      <c r="X3812" s="231"/>
      <c r="Y3812" s="231"/>
      <c r="Z3812" s="231"/>
      <c r="AA3812" s="231"/>
      <c r="AB3812" s="22">
        <f t="shared" si="1142"/>
        <v>24</v>
      </c>
      <c r="AC3812" s="23">
        <v>68</v>
      </c>
      <c r="AD3812" s="35"/>
      <c r="AE3812" s="35"/>
      <c r="AF3812" s="35"/>
      <c r="AG3812" s="35"/>
      <c r="AH3812" s="35"/>
      <c r="AI3812" s="35"/>
      <c r="AJ3812" s="35"/>
      <c r="AK3812" s="35"/>
      <c r="AL3812" s="35"/>
      <c r="AM3812" s="35"/>
      <c r="AN3812" s="35"/>
      <c r="AO3812" s="35"/>
      <c r="AP3812" s="35"/>
      <c r="AQ3812" s="35"/>
      <c r="AR3812" s="35"/>
      <c r="AS3812" s="35"/>
      <c r="AT3812" s="35"/>
      <c r="AU3812" s="35"/>
      <c r="AV3812" s="35"/>
      <c r="AW3812" s="35"/>
      <c r="AX3812" s="35"/>
      <c r="AY3812" s="35"/>
      <c r="AZ3812" s="35"/>
      <c r="BA3812" s="35"/>
      <c r="BB3812" s="22">
        <f t="shared" si="1143"/>
        <v>0</v>
      </c>
      <c r="BC3812" s="23">
        <v>0</v>
      </c>
      <c r="BD3812" s="130">
        <f t="shared" si="1144"/>
        <v>24</v>
      </c>
      <c r="BE3812" s="130">
        <f t="shared" si="1145"/>
        <v>68</v>
      </c>
      <c r="BF3812" s="195">
        <f t="shared" si="1146"/>
        <v>35.294117647058826</v>
      </c>
      <c r="BG3812" s="373">
        <f t="shared" ref="BG3812:BG3820" si="1147">BE3812-BD3812</f>
        <v>44</v>
      </c>
    </row>
    <row r="3813" spans="1:59" s="46" customFormat="1" ht="15.95" customHeight="1">
      <c r="A3813" s="176">
        <v>52</v>
      </c>
      <c r="B3813" s="411" t="s">
        <v>2815</v>
      </c>
      <c r="C3813" s="448" t="s">
        <v>3072</v>
      </c>
      <c r="D3813" s="231"/>
      <c r="E3813" s="231"/>
      <c r="F3813" s="231"/>
      <c r="G3813" s="231"/>
      <c r="H3813" s="231"/>
      <c r="I3813" s="231"/>
      <c r="J3813" s="231"/>
      <c r="K3813" s="231"/>
      <c r="L3813" s="231"/>
      <c r="M3813" s="231"/>
      <c r="N3813" s="231"/>
      <c r="O3813" s="231"/>
      <c r="P3813" s="231"/>
      <c r="Q3813" s="231"/>
      <c r="R3813" s="231"/>
      <c r="S3813" s="231"/>
      <c r="T3813" s="231"/>
      <c r="U3813" s="231"/>
      <c r="V3813" s="231"/>
      <c r="W3813" s="231"/>
      <c r="X3813" s="231"/>
      <c r="Y3813" s="231"/>
      <c r="Z3813" s="231"/>
      <c r="AA3813" s="231"/>
      <c r="AB3813" s="22">
        <f t="shared" si="1142"/>
        <v>0</v>
      </c>
      <c r="AC3813" s="23">
        <v>2</v>
      </c>
      <c r="AD3813" s="35"/>
      <c r="AE3813" s="35"/>
      <c r="AF3813" s="35"/>
      <c r="AG3813" s="35"/>
      <c r="AH3813" s="35"/>
      <c r="AI3813" s="35"/>
      <c r="AJ3813" s="35"/>
      <c r="AK3813" s="35"/>
      <c r="AL3813" s="35"/>
      <c r="AM3813" s="35"/>
      <c r="AN3813" s="35"/>
      <c r="AO3813" s="35"/>
      <c r="AP3813" s="35"/>
      <c r="AQ3813" s="35"/>
      <c r="AR3813" s="35"/>
      <c r="AS3813" s="35"/>
      <c r="AT3813" s="35"/>
      <c r="AU3813" s="35"/>
      <c r="AV3813" s="35"/>
      <c r="AW3813" s="35"/>
      <c r="AX3813" s="35"/>
      <c r="AY3813" s="35"/>
      <c r="AZ3813" s="35"/>
      <c r="BA3813" s="35"/>
      <c r="BB3813" s="22">
        <f t="shared" si="1143"/>
        <v>0</v>
      </c>
      <c r="BC3813" s="23">
        <v>0</v>
      </c>
      <c r="BD3813" s="130">
        <f t="shared" si="1144"/>
        <v>0</v>
      </c>
      <c r="BE3813" s="130">
        <f t="shared" si="1145"/>
        <v>2</v>
      </c>
      <c r="BF3813" s="195">
        <f t="shared" si="1146"/>
        <v>0</v>
      </c>
      <c r="BG3813" s="373">
        <f t="shared" si="1147"/>
        <v>2</v>
      </c>
    </row>
    <row r="3814" spans="1:59" s="46" customFormat="1" ht="15.95" customHeight="1">
      <c r="A3814" s="176">
        <v>53</v>
      </c>
      <c r="B3814" s="31" t="s">
        <v>2815</v>
      </c>
      <c r="C3814" s="32" t="s">
        <v>2816</v>
      </c>
      <c r="D3814" s="231"/>
      <c r="E3814" s="231"/>
      <c r="F3814" s="231"/>
      <c r="G3814" s="231"/>
      <c r="H3814" s="231"/>
      <c r="I3814" s="231"/>
      <c r="J3814" s="231"/>
      <c r="K3814" s="231"/>
      <c r="L3814" s="231"/>
      <c r="M3814" s="231"/>
      <c r="N3814" s="231"/>
      <c r="O3814" s="231"/>
      <c r="P3814" s="231"/>
      <c r="Q3814" s="231"/>
      <c r="R3814" s="231"/>
      <c r="S3814" s="231"/>
      <c r="T3814" s="231"/>
      <c r="U3814" s="231"/>
      <c r="V3814" s="231"/>
      <c r="W3814" s="231"/>
      <c r="X3814" s="231"/>
      <c r="Y3814" s="231"/>
      <c r="Z3814" s="231"/>
      <c r="AA3814" s="231"/>
      <c r="AB3814" s="22">
        <f t="shared" si="1142"/>
        <v>0</v>
      </c>
      <c r="AC3814" s="23">
        <v>2</v>
      </c>
      <c r="AD3814" s="35"/>
      <c r="AE3814" s="35"/>
      <c r="AF3814" s="35"/>
      <c r="AG3814" s="35"/>
      <c r="AH3814" s="35"/>
      <c r="AI3814" s="35"/>
      <c r="AJ3814" s="35"/>
      <c r="AK3814" s="35"/>
      <c r="AL3814" s="35"/>
      <c r="AM3814" s="35"/>
      <c r="AN3814" s="35"/>
      <c r="AO3814" s="35"/>
      <c r="AP3814" s="35"/>
      <c r="AQ3814" s="35"/>
      <c r="AR3814" s="35"/>
      <c r="AS3814" s="35"/>
      <c r="AT3814" s="35"/>
      <c r="AU3814" s="35"/>
      <c r="AV3814" s="35"/>
      <c r="AW3814" s="35"/>
      <c r="AX3814" s="35"/>
      <c r="AY3814" s="35"/>
      <c r="AZ3814" s="35"/>
      <c r="BA3814" s="35"/>
      <c r="BB3814" s="22">
        <f t="shared" si="1143"/>
        <v>0</v>
      </c>
      <c r="BC3814" s="23">
        <v>0</v>
      </c>
      <c r="BD3814" s="130">
        <f t="shared" si="1144"/>
        <v>0</v>
      </c>
      <c r="BE3814" s="130">
        <f t="shared" si="1145"/>
        <v>2</v>
      </c>
      <c r="BF3814" s="195">
        <f t="shared" si="1146"/>
        <v>0</v>
      </c>
      <c r="BG3814" s="373">
        <f t="shared" si="1147"/>
        <v>2</v>
      </c>
    </row>
    <row r="3815" spans="1:59" s="46" customFormat="1" ht="15.95" customHeight="1">
      <c r="A3815" s="176">
        <v>54</v>
      </c>
      <c r="B3815" s="31" t="s">
        <v>1654</v>
      </c>
      <c r="C3815" s="32" t="s">
        <v>2283</v>
      </c>
      <c r="D3815" s="231"/>
      <c r="E3815" s="231"/>
      <c r="F3815" s="231"/>
      <c r="G3815" s="231"/>
      <c r="H3815" s="231"/>
      <c r="I3815" s="231"/>
      <c r="J3815" s="231"/>
      <c r="K3815" s="231"/>
      <c r="L3815" s="231"/>
      <c r="M3815" s="231"/>
      <c r="N3815" s="231"/>
      <c r="O3815" s="231"/>
      <c r="P3815" s="231"/>
      <c r="Q3815" s="231"/>
      <c r="R3815" s="231"/>
      <c r="S3815" s="231"/>
      <c r="T3815" s="231"/>
      <c r="U3815" s="231"/>
      <c r="V3815" s="231"/>
      <c r="W3815" s="231"/>
      <c r="X3815" s="231"/>
      <c r="Y3815" s="231"/>
      <c r="Z3815" s="231"/>
      <c r="AA3815" s="231"/>
      <c r="AB3815" s="22">
        <f t="shared" si="1142"/>
        <v>0</v>
      </c>
      <c r="AC3815" s="23">
        <v>2</v>
      </c>
      <c r="AD3815" s="35"/>
      <c r="AE3815" s="35"/>
      <c r="AF3815" s="35"/>
      <c r="AG3815" s="35"/>
      <c r="AH3815" s="35"/>
      <c r="AI3815" s="35"/>
      <c r="AJ3815" s="35"/>
      <c r="AK3815" s="35"/>
      <c r="AL3815" s="35"/>
      <c r="AM3815" s="35"/>
      <c r="AN3815" s="35"/>
      <c r="AO3815" s="35"/>
      <c r="AP3815" s="35"/>
      <c r="AQ3815" s="35"/>
      <c r="AR3815" s="35"/>
      <c r="AS3815" s="35"/>
      <c r="AT3815" s="35"/>
      <c r="AU3815" s="35"/>
      <c r="AV3815" s="35"/>
      <c r="AW3815" s="35"/>
      <c r="AX3815" s="35"/>
      <c r="AY3815" s="35"/>
      <c r="AZ3815" s="35"/>
      <c r="BA3815" s="35"/>
      <c r="BB3815" s="22">
        <f t="shared" si="1143"/>
        <v>0</v>
      </c>
      <c r="BC3815" s="23">
        <v>0</v>
      </c>
      <c r="BD3815" s="130">
        <f t="shared" si="1144"/>
        <v>0</v>
      </c>
      <c r="BE3815" s="130">
        <f t="shared" si="1145"/>
        <v>2</v>
      </c>
      <c r="BF3815" s="195">
        <f t="shared" si="1146"/>
        <v>0</v>
      </c>
      <c r="BG3815" s="373">
        <f t="shared" si="1147"/>
        <v>2</v>
      </c>
    </row>
    <row r="3816" spans="1:59" s="46" customFormat="1" ht="15.95" customHeight="1">
      <c r="A3816" s="176">
        <v>55</v>
      </c>
      <c r="B3816" s="31" t="s">
        <v>1034</v>
      </c>
      <c r="C3816" s="32" t="s">
        <v>2281</v>
      </c>
      <c r="D3816" s="231"/>
      <c r="E3816" s="231"/>
      <c r="F3816" s="231"/>
      <c r="G3816" s="231"/>
      <c r="H3816" s="231"/>
      <c r="I3816" s="231"/>
      <c r="J3816" s="231"/>
      <c r="K3816" s="231"/>
      <c r="L3816" s="231"/>
      <c r="M3816" s="231"/>
      <c r="N3816" s="231"/>
      <c r="O3816" s="231"/>
      <c r="P3816" s="231"/>
      <c r="Q3816" s="231"/>
      <c r="R3816" s="231"/>
      <c r="S3816" s="231"/>
      <c r="T3816" s="231"/>
      <c r="U3816" s="231"/>
      <c r="V3816" s="231"/>
      <c r="W3816" s="231"/>
      <c r="X3816" s="231"/>
      <c r="Y3816" s="231"/>
      <c r="Z3816" s="231"/>
      <c r="AA3816" s="231"/>
      <c r="AB3816" s="22">
        <f t="shared" si="1142"/>
        <v>0</v>
      </c>
      <c r="AC3816" s="23">
        <v>1</v>
      </c>
      <c r="AD3816" s="35"/>
      <c r="AE3816" s="35"/>
      <c r="AF3816" s="35"/>
      <c r="AG3816" s="35"/>
      <c r="AH3816" s="35"/>
      <c r="AI3816" s="35"/>
      <c r="AJ3816" s="35"/>
      <c r="AK3816" s="35"/>
      <c r="AL3816" s="35"/>
      <c r="AM3816" s="35"/>
      <c r="AN3816" s="35"/>
      <c r="AO3816" s="35"/>
      <c r="AP3816" s="35"/>
      <c r="AQ3816" s="35"/>
      <c r="AR3816" s="35"/>
      <c r="AS3816" s="35"/>
      <c r="AT3816" s="35"/>
      <c r="AU3816" s="35"/>
      <c r="AV3816" s="35"/>
      <c r="AW3816" s="35"/>
      <c r="AX3816" s="35"/>
      <c r="AY3816" s="35"/>
      <c r="AZ3816" s="35"/>
      <c r="BA3816" s="35"/>
      <c r="BB3816" s="22">
        <f t="shared" si="1143"/>
        <v>0</v>
      </c>
      <c r="BC3816" s="23">
        <v>0</v>
      </c>
      <c r="BD3816" s="130">
        <f t="shared" si="1144"/>
        <v>0</v>
      </c>
      <c r="BE3816" s="130">
        <f t="shared" si="1145"/>
        <v>1</v>
      </c>
      <c r="BF3816" s="195">
        <f t="shared" si="1146"/>
        <v>0</v>
      </c>
      <c r="BG3816" s="373">
        <f t="shared" si="1147"/>
        <v>1</v>
      </c>
    </row>
    <row r="3817" spans="1:59" s="46" customFormat="1" ht="15.95" customHeight="1">
      <c r="A3817" s="176">
        <v>56</v>
      </c>
      <c r="B3817" s="31" t="s">
        <v>1035</v>
      </c>
      <c r="C3817" s="32" t="s">
        <v>2056</v>
      </c>
      <c r="D3817" s="231"/>
      <c r="E3817" s="231"/>
      <c r="F3817" s="231"/>
      <c r="G3817" s="231"/>
      <c r="H3817" s="231"/>
      <c r="I3817" s="231"/>
      <c r="J3817" s="231"/>
      <c r="K3817" s="231"/>
      <c r="L3817" s="231"/>
      <c r="M3817" s="231"/>
      <c r="N3817" s="231"/>
      <c r="O3817" s="231"/>
      <c r="P3817" s="231">
        <v>1</v>
      </c>
      <c r="Q3817" s="231"/>
      <c r="R3817" s="231"/>
      <c r="S3817" s="231"/>
      <c r="T3817" s="231"/>
      <c r="U3817" s="231"/>
      <c r="V3817" s="231"/>
      <c r="W3817" s="231"/>
      <c r="X3817" s="231"/>
      <c r="Y3817" s="231"/>
      <c r="Z3817" s="231"/>
      <c r="AA3817" s="231"/>
      <c r="AB3817" s="22">
        <f t="shared" si="1142"/>
        <v>1</v>
      </c>
      <c r="AC3817" s="23">
        <v>4</v>
      </c>
      <c r="AD3817" s="35"/>
      <c r="AE3817" s="35"/>
      <c r="AF3817" s="35"/>
      <c r="AG3817" s="35"/>
      <c r="AH3817" s="35"/>
      <c r="AI3817" s="35"/>
      <c r="AJ3817" s="35"/>
      <c r="AK3817" s="35"/>
      <c r="AL3817" s="35"/>
      <c r="AM3817" s="35"/>
      <c r="AN3817" s="35"/>
      <c r="AO3817" s="35"/>
      <c r="AP3817" s="35"/>
      <c r="AQ3817" s="35"/>
      <c r="AR3817" s="35"/>
      <c r="AS3817" s="35"/>
      <c r="AT3817" s="35"/>
      <c r="AU3817" s="35"/>
      <c r="AV3817" s="35"/>
      <c r="AW3817" s="35"/>
      <c r="AX3817" s="35"/>
      <c r="AY3817" s="35"/>
      <c r="AZ3817" s="35"/>
      <c r="BA3817" s="35"/>
      <c r="BB3817" s="22">
        <f t="shared" si="1143"/>
        <v>0</v>
      </c>
      <c r="BC3817" s="23">
        <v>0</v>
      </c>
      <c r="BD3817" s="130">
        <f t="shared" si="1144"/>
        <v>1</v>
      </c>
      <c r="BE3817" s="130">
        <f t="shared" si="1145"/>
        <v>4</v>
      </c>
      <c r="BF3817" s="195">
        <f t="shared" si="1146"/>
        <v>25</v>
      </c>
      <c r="BG3817" s="373">
        <f t="shared" si="1147"/>
        <v>3</v>
      </c>
    </row>
    <row r="3818" spans="1:59" s="46" customFormat="1" ht="15.95" customHeight="1">
      <c r="A3818" s="176">
        <v>57</v>
      </c>
      <c r="B3818" s="31" t="s">
        <v>977</v>
      </c>
      <c r="C3818" s="32" t="s">
        <v>1682</v>
      </c>
      <c r="D3818" s="336"/>
      <c r="E3818" s="336"/>
      <c r="F3818" s="336"/>
      <c r="G3818" s="336"/>
      <c r="H3818" s="336">
        <v>10</v>
      </c>
      <c r="I3818" s="336"/>
      <c r="J3818" s="336"/>
      <c r="K3818" s="336"/>
      <c r="L3818" s="336">
        <v>61</v>
      </c>
      <c r="M3818" s="336"/>
      <c r="N3818" s="336"/>
      <c r="O3818" s="336"/>
      <c r="P3818" s="336">
        <v>21</v>
      </c>
      <c r="Q3818" s="336"/>
      <c r="R3818" s="336"/>
      <c r="S3818" s="336"/>
      <c r="T3818" s="336"/>
      <c r="U3818" s="336"/>
      <c r="V3818" s="336"/>
      <c r="W3818" s="336"/>
      <c r="X3818" s="336"/>
      <c r="Y3818" s="336"/>
      <c r="Z3818" s="336"/>
      <c r="AA3818" s="336"/>
      <c r="AB3818" s="22">
        <f t="shared" si="1142"/>
        <v>92</v>
      </c>
      <c r="AC3818" s="23">
        <v>190</v>
      </c>
      <c r="AD3818" s="35"/>
      <c r="AE3818" s="35"/>
      <c r="AF3818" s="35"/>
      <c r="AG3818" s="35"/>
      <c r="AH3818" s="35"/>
      <c r="AI3818" s="35"/>
      <c r="AJ3818" s="35"/>
      <c r="AK3818" s="35"/>
      <c r="AL3818" s="35"/>
      <c r="AM3818" s="35"/>
      <c r="AN3818" s="35"/>
      <c r="AO3818" s="35"/>
      <c r="AP3818" s="35"/>
      <c r="AQ3818" s="35"/>
      <c r="AR3818" s="35"/>
      <c r="AS3818" s="35"/>
      <c r="AT3818" s="35"/>
      <c r="AU3818" s="35"/>
      <c r="AV3818" s="35"/>
      <c r="AW3818" s="35"/>
      <c r="AX3818" s="35"/>
      <c r="AY3818" s="35"/>
      <c r="AZ3818" s="35"/>
      <c r="BA3818" s="35"/>
      <c r="BB3818" s="22">
        <f t="shared" si="1143"/>
        <v>0</v>
      </c>
      <c r="BC3818" s="23">
        <v>0</v>
      </c>
      <c r="BD3818" s="130">
        <f t="shared" si="1144"/>
        <v>92</v>
      </c>
      <c r="BE3818" s="130">
        <f t="shared" si="1145"/>
        <v>190</v>
      </c>
      <c r="BF3818" s="195">
        <f t="shared" si="1146"/>
        <v>48.421052631578945</v>
      </c>
      <c r="BG3818" s="373">
        <f t="shared" si="1147"/>
        <v>98</v>
      </c>
    </row>
    <row r="3819" spans="1:59" s="46" customFormat="1" ht="15.95" customHeight="1">
      <c r="A3819" s="176">
        <v>58</v>
      </c>
      <c r="B3819" s="31" t="s">
        <v>1607</v>
      </c>
      <c r="C3819" s="32" t="s">
        <v>1608</v>
      </c>
      <c r="D3819" s="231"/>
      <c r="E3819" s="231"/>
      <c r="F3819" s="231"/>
      <c r="G3819" s="231"/>
      <c r="H3819" s="231"/>
      <c r="I3819" s="231"/>
      <c r="J3819" s="231"/>
      <c r="K3819" s="231"/>
      <c r="L3819" s="231">
        <v>1</v>
      </c>
      <c r="M3819" s="231"/>
      <c r="N3819" s="231"/>
      <c r="O3819" s="231"/>
      <c r="P3819" s="231"/>
      <c r="Q3819" s="231"/>
      <c r="R3819" s="231"/>
      <c r="S3819" s="231"/>
      <c r="T3819" s="231"/>
      <c r="U3819" s="231"/>
      <c r="V3819" s="231"/>
      <c r="W3819" s="231"/>
      <c r="X3819" s="231"/>
      <c r="Y3819" s="231"/>
      <c r="Z3819" s="231"/>
      <c r="AA3819" s="231"/>
      <c r="AB3819" s="22">
        <f t="shared" si="1142"/>
        <v>1</v>
      </c>
      <c r="AC3819" s="23">
        <v>1</v>
      </c>
      <c r="AD3819" s="35"/>
      <c r="AE3819" s="35"/>
      <c r="AF3819" s="35"/>
      <c r="AG3819" s="35"/>
      <c r="AH3819" s="35"/>
      <c r="AI3819" s="35"/>
      <c r="AJ3819" s="35"/>
      <c r="AK3819" s="35"/>
      <c r="AL3819" s="35"/>
      <c r="AM3819" s="35"/>
      <c r="AN3819" s="35"/>
      <c r="AO3819" s="35"/>
      <c r="AP3819" s="35"/>
      <c r="AQ3819" s="35"/>
      <c r="AR3819" s="35"/>
      <c r="AS3819" s="35"/>
      <c r="AT3819" s="35"/>
      <c r="AU3819" s="35"/>
      <c r="AV3819" s="35"/>
      <c r="AW3819" s="35"/>
      <c r="AX3819" s="35"/>
      <c r="AY3819" s="35"/>
      <c r="AZ3819" s="35"/>
      <c r="BA3819" s="35"/>
      <c r="BB3819" s="22">
        <f t="shared" si="1143"/>
        <v>0</v>
      </c>
      <c r="BC3819" s="23">
        <v>0</v>
      </c>
      <c r="BD3819" s="130">
        <f t="shared" si="1144"/>
        <v>1</v>
      </c>
      <c r="BE3819" s="130">
        <f t="shared" si="1145"/>
        <v>1</v>
      </c>
      <c r="BF3819" s="195">
        <f t="shared" si="1146"/>
        <v>100</v>
      </c>
      <c r="BG3819" s="373">
        <f t="shared" si="1147"/>
        <v>0</v>
      </c>
    </row>
    <row r="3820" spans="1:59" s="46" customFormat="1" ht="15.95" customHeight="1">
      <c r="A3820" s="176">
        <v>59</v>
      </c>
      <c r="B3820" s="31" t="s">
        <v>1361</v>
      </c>
      <c r="C3820" s="32" t="s">
        <v>1362</v>
      </c>
      <c r="D3820" s="231"/>
      <c r="E3820" s="231"/>
      <c r="F3820" s="231"/>
      <c r="G3820" s="231"/>
      <c r="H3820" s="231">
        <v>531</v>
      </c>
      <c r="I3820" s="231"/>
      <c r="J3820" s="231"/>
      <c r="K3820" s="231"/>
      <c r="L3820" s="231">
        <v>1632</v>
      </c>
      <c r="M3820" s="231"/>
      <c r="N3820" s="231"/>
      <c r="O3820" s="231"/>
      <c r="P3820" s="231">
        <v>1760</v>
      </c>
      <c r="Q3820" s="231"/>
      <c r="R3820" s="231"/>
      <c r="S3820" s="231"/>
      <c r="T3820" s="231"/>
      <c r="U3820" s="231"/>
      <c r="V3820" s="231"/>
      <c r="W3820" s="231"/>
      <c r="X3820" s="231"/>
      <c r="Y3820" s="231"/>
      <c r="Z3820" s="231"/>
      <c r="AA3820" s="231"/>
      <c r="AB3820" s="22">
        <f t="shared" si="1142"/>
        <v>3923</v>
      </c>
      <c r="AC3820" s="23">
        <v>13056</v>
      </c>
      <c r="AD3820" s="35"/>
      <c r="AE3820" s="35"/>
      <c r="AF3820" s="35"/>
      <c r="AG3820" s="35"/>
      <c r="AH3820" s="35"/>
      <c r="AI3820" s="35"/>
      <c r="AJ3820" s="35"/>
      <c r="AK3820" s="35"/>
      <c r="AL3820" s="35"/>
      <c r="AM3820" s="35"/>
      <c r="AN3820" s="35"/>
      <c r="AO3820" s="35"/>
      <c r="AP3820" s="35"/>
      <c r="AQ3820" s="35"/>
      <c r="AR3820" s="35"/>
      <c r="AS3820" s="35"/>
      <c r="AT3820" s="35"/>
      <c r="AU3820" s="35"/>
      <c r="AV3820" s="35"/>
      <c r="AW3820" s="35"/>
      <c r="AX3820" s="35"/>
      <c r="AY3820" s="35"/>
      <c r="AZ3820" s="35"/>
      <c r="BA3820" s="35"/>
      <c r="BB3820" s="22">
        <f t="shared" si="1143"/>
        <v>0</v>
      </c>
      <c r="BC3820" s="23">
        <v>0</v>
      </c>
      <c r="BD3820" s="130">
        <f t="shared" si="1144"/>
        <v>3923</v>
      </c>
      <c r="BE3820" s="130">
        <f t="shared" si="1145"/>
        <v>13056</v>
      </c>
      <c r="BF3820" s="195">
        <f t="shared" si="1146"/>
        <v>30.047487745098039</v>
      </c>
      <c r="BG3820" s="373">
        <f t="shared" si="1147"/>
        <v>9133</v>
      </c>
    </row>
    <row r="3821" spans="1:59" s="46" customFormat="1" ht="15.95" customHeight="1">
      <c r="A3821" s="176">
        <v>60</v>
      </c>
      <c r="B3821" s="582" t="s">
        <v>3068</v>
      </c>
      <c r="C3821" s="32" t="s">
        <v>4193</v>
      </c>
      <c r="D3821" s="577"/>
      <c r="E3821" s="577"/>
      <c r="F3821" s="577"/>
      <c r="G3821" s="577"/>
      <c r="H3821" s="577"/>
      <c r="I3821" s="577"/>
      <c r="J3821" s="577"/>
      <c r="K3821" s="577"/>
      <c r="L3821" s="577"/>
      <c r="M3821" s="577"/>
      <c r="N3821" s="577"/>
      <c r="O3821" s="577"/>
      <c r="P3821" s="577">
        <v>2</v>
      </c>
      <c r="Q3821" s="577"/>
      <c r="R3821" s="577"/>
      <c r="S3821" s="577"/>
      <c r="T3821" s="577"/>
      <c r="U3821" s="577"/>
      <c r="V3821" s="577"/>
      <c r="W3821" s="577"/>
      <c r="X3821" s="577"/>
      <c r="Y3821" s="577"/>
      <c r="Z3821" s="577"/>
      <c r="AA3821" s="577"/>
      <c r="AB3821" s="22">
        <f t="shared" si="1142"/>
        <v>2</v>
      </c>
      <c r="AC3821" s="23">
        <v>0</v>
      </c>
      <c r="AD3821" s="35"/>
      <c r="AE3821" s="35"/>
      <c r="AF3821" s="35"/>
      <c r="AG3821" s="35"/>
      <c r="AH3821" s="35"/>
      <c r="AI3821" s="35"/>
      <c r="AJ3821" s="35"/>
      <c r="AK3821" s="35"/>
      <c r="AL3821" s="35"/>
      <c r="AM3821" s="35"/>
      <c r="AN3821" s="35"/>
      <c r="AO3821" s="35"/>
      <c r="AP3821" s="35"/>
      <c r="AQ3821" s="35"/>
      <c r="AR3821" s="35"/>
      <c r="AS3821" s="35"/>
      <c r="AT3821" s="35"/>
      <c r="AU3821" s="35"/>
      <c r="AV3821" s="35"/>
      <c r="AW3821" s="35"/>
      <c r="AX3821" s="35"/>
      <c r="AY3821" s="35"/>
      <c r="AZ3821" s="35"/>
      <c r="BA3821" s="35"/>
      <c r="BB3821" s="22">
        <f t="shared" si="1143"/>
        <v>0</v>
      </c>
      <c r="BC3821" s="23">
        <v>0</v>
      </c>
      <c r="BD3821" s="130">
        <f t="shared" si="1144"/>
        <v>2</v>
      </c>
      <c r="BE3821" s="130">
        <f t="shared" si="1145"/>
        <v>0</v>
      </c>
      <c r="BF3821" s="195" t="e">
        <f t="shared" si="1146"/>
        <v>#DIV/0!</v>
      </c>
      <c r="BG3821" s="373"/>
    </row>
    <row r="3822" spans="1:59" s="46" customFormat="1" ht="15.95" customHeight="1">
      <c r="A3822" s="176">
        <v>61</v>
      </c>
      <c r="B3822" s="411" t="s">
        <v>3070</v>
      </c>
      <c r="C3822" s="448" t="s">
        <v>3071</v>
      </c>
      <c r="D3822" s="577"/>
      <c r="E3822" s="577"/>
      <c r="F3822" s="577"/>
      <c r="G3822" s="577"/>
      <c r="H3822" s="577"/>
      <c r="I3822" s="577"/>
      <c r="J3822" s="577"/>
      <c r="K3822" s="577"/>
      <c r="L3822" s="577"/>
      <c r="M3822" s="577"/>
      <c r="N3822" s="577"/>
      <c r="O3822" s="577"/>
      <c r="P3822" s="577"/>
      <c r="Q3822" s="577"/>
      <c r="R3822" s="577"/>
      <c r="S3822" s="577"/>
      <c r="T3822" s="577"/>
      <c r="U3822" s="577"/>
      <c r="V3822" s="577"/>
      <c r="W3822" s="577"/>
      <c r="X3822" s="577"/>
      <c r="Y3822" s="577"/>
      <c r="Z3822" s="577"/>
      <c r="AA3822" s="577"/>
      <c r="AB3822" s="22">
        <f t="shared" si="1142"/>
        <v>0</v>
      </c>
      <c r="AC3822" s="23">
        <v>2</v>
      </c>
      <c r="AD3822" s="35"/>
      <c r="AE3822" s="35"/>
      <c r="AF3822" s="35"/>
      <c r="AG3822" s="35"/>
      <c r="AH3822" s="35"/>
      <c r="AI3822" s="35"/>
      <c r="AJ3822" s="35"/>
      <c r="AK3822" s="35"/>
      <c r="AL3822" s="35"/>
      <c r="AM3822" s="35"/>
      <c r="AN3822" s="35"/>
      <c r="AO3822" s="35"/>
      <c r="AP3822" s="35"/>
      <c r="AQ3822" s="35"/>
      <c r="AR3822" s="35"/>
      <c r="AS3822" s="35"/>
      <c r="AT3822" s="35"/>
      <c r="AU3822" s="35"/>
      <c r="AV3822" s="35"/>
      <c r="AW3822" s="35"/>
      <c r="AX3822" s="35"/>
      <c r="AY3822" s="35"/>
      <c r="AZ3822" s="35"/>
      <c r="BA3822" s="35"/>
      <c r="BB3822" s="22">
        <f t="shared" si="1143"/>
        <v>0</v>
      </c>
      <c r="BC3822" s="23">
        <v>0</v>
      </c>
      <c r="BD3822" s="130">
        <f t="shared" si="1144"/>
        <v>0</v>
      </c>
      <c r="BE3822" s="130">
        <f t="shared" si="1145"/>
        <v>2</v>
      </c>
      <c r="BF3822" s="195">
        <f t="shared" si="1146"/>
        <v>0</v>
      </c>
      <c r="BG3822" s="373">
        <f>BE3822-BD3822</f>
        <v>2</v>
      </c>
    </row>
    <row r="3823" spans="1:59" s="46" customFormat="1" ht="15.95" customHeight="1">
      <c r="A3823" s="176">
        <v>62</v>
      </c>
      <c r="B3823" s="411" t="s">
        <v>3075</v>
      </c>
      <c r="C3823" s="448" t="s">
        <v>3076</v>
      </c>
      <c r="D3823" s="231"/>
      <c r="E3823" s="231"/>
      <c r="F3823" s="231"/>
      <c r="G3823" s="231"/>
      <c r="H3823" s="231"/>
      <c r="I3823" s="231"/>
      <c r="J3823" s="231"/>
      <c r="K3823" s="231"/>
      <c r="L3823" s="231"/>
      <c r="M3823" s="231"/>
      <c r="N3823" s="231"/>
      <c r="O3823" s="231"/>
      <c r="P3823" s="231"/>
      <c r="Q3823" s="231"/>
      <c r="R3823" s="231"/>
      <c r="S3823" s="231"/>
      <c r="T3823" s="231"/>
      <c r="U3823" s="231"/>
      <c r="V3823" s="231"/>
      <c r="W3823" s="231"/>
      <c r="X3823" s="231"/>
      <c r="Y3823" s="231"/>
      <c r="Z3823" s="231"/>
      <c r="AA3823" s="231"/>
      <c r="AB3823" s="22">
        <f t="shared" si="1142"/>
        <v>0</v>
      </c>
      <c r="AC3823" s="23">
        <v>3</v>
      </c>
      <c r="AD3823" s="35"/>
      <c r="AE3823" s="35"/>
      <c r="AF3823" s="35"/>
      <c r="AG3823" s="35"/>
      <c r="AH3823" s="35"/>
      <c r="AI3823" s="35"/>
      <c r="AJ3823" s="35"/>
      <c r="AK3823" s="35"/>
      <c r="AL3823" s="35"/>
      <c r="AM3823" s="35"/>
      <c r="AN3823" s="35"/>
      <c r="AO3823" s="35"/>
      <c r="AP3823" s="35"/>
      <c r="AQ3823" s="35"/>
      <c r="AR3823" s="35"/>
      <c r="AS3823" s="35"/>
      <c r="AT3823" s="35"/>
      <c r="AU3823" s="35"/>
      <c r="AV3823" s="35"/>
      <c r="AW3823" s="35"/>
      <c r="AX3823" s="35"/>
      <c r="AY3823" s="35"/>
      <c r="AZ3823" s="35"/>
      <c r="BA3823" s="35"/>
      <c r="BB3823" s="22">
        <f t="shared" si="1143"/>
        <v>0</v>
      </c>
      <c r="BC3823" s="23">
        <v>0</v>
      </c>
      <c r="BD3823" s="130">
        <f t="shared" si="1144"/>
        <v>0</v>
      </c>
      <c r="BE3823" s="130">
        <f t="shared" si="1145"/>
        <v>3</v>
      </c>
      <c r="BF3823" s="195">
        <f t="shared" si="1146"/>
        <v>0</v>
      </c>
      <c r="BG3823" s="373">
        <f>BE3823-BD3823</f>
        <v>3</v>
      </c>
    </row>
    <row r="3824" spans="1:59" s="46" customFormat="1" ht="15.95" customHeight="1">
      <c r="A3824" s="176">
        <v>63</v>
      </c>
      <c r="B3824" s="31" t="s">
        <v>3252</v>
      </c>
      <c r="C3824" s="32" t="s">
        <v>3253</v>
      </c>
      <c r="D3824" s="231"/>
      <c r="E3824" s="231"/>
      <c r="F3824" s="231"/>
      <c r="G3824" s="231"/>
      <c r="H3824" s="231">
        <v>1</v>
      </c>
      <c r="I3824" s="231"/>
      <c r="J3824" s="231"/>
      <c r="K3824" s="231"/>
      <c r="L3824" s="231">
        <v>1</v>
      </c>
      <c r="M3824" s="231"/>
      <c r="N3824" s="231"/>
      <c r="O3824" s="231"/>
      <c r="P3824" s="231"/>
      <c r="Q3824" s="231"/>
      <c r="R3824" s="231"/>
      <c r="S3824" s="231"/>
      <c r="T3824" s="231"/>
      <c r="U3824" s="231"/>
      <c r="V3824" s="231"/>
      <c r="W3824" s="231"/>
      <c r="X3824" s="231"/>
      <c r="Y3824" s="231"/>
      <c r="Z3824" s="231"/>
      <c r="AA3824" s="231"/>
      <c r="AB3824" s="22">
        <f t="shared" si="1142"/>
        <v>2</v>
      </c>
      <c r="AC3824" s="23">
        <v>5</v>
      </c>
      <c r="AD3824" s="35"/>
      <c r="AE3824" s="35"/>
      <c r="AF3824" s="35"/>
      <c r="AG3824" s="35"/>
      <c r="AH3824" s="35"/>
      <c r="AI3824" s="35"/>
      <c r="AJ3824" s="35"/>
      <c r="AK3824" s="35"/>
      <c r="AL3824" s="35"/>
      <c r="AM3824" s="35"/>
      <c r="AN3824" s="35"/>
      <c r="AO3824" s="35"/>
      <c r="AP3824" s="35"/>
      <c r="AQ3824" s="35"/>
      <c r="AR3824" s="35"/>
      <c r="AS3824" s="35"/>
      <c r="AT3824" s="35"/>
      <c r="AU3824" s="35"/>
      <c r="AV3824" s="35"/>
      <c r="AW3824" s="35"/>
      <c r="AX3824" s="35"/>
      <c r="AY3824" s="35"/>
      <c r="AZ3824" s="35"/>
      <c r="BA3824" s="35"/>
      <c r="BB3824" s="22">
        <f t="shared" si="1143"/>
        <v>0</v>
      </c>
      <c r="BC3824" s="23">
        <v>0</v>
      </c>
      <c r="BD3824" s="130">
        <f t="shared" si="1144"/>
        <v>2</v>
      </c>
      <c r="BE3824" s="130">
        <f t="shared" si="1145"/>
        <v>5</v>
      </c>
      <c r="BF3824" s="195">
        <f t="shared" si="1146"/>
        <v>40</v>
      </c>
      <c r="BG3824" s="373">
        <f>BE3824-BD3824</f>
        <v>3</v>
      </c>
    </row>
    <row r="3825" spans="1:60" s="46" customFormat="1" ht="15.95" customHeight="1">
      <c r="A3825" s="176">
        <v>64</v>
      </c>
      <c r="B3825" s="582" t="s">
        <v>3073</v>
      </c>
      <c r="C3825" s="32" t="s">
        <v>4194</v>
      </c>
      <c r="D3825" s="231"/>
      <c r="E3825" s="231"/>
      <c r="F3825" s="231"/>
      <c r="G3825" s="231"/>
      <c r="H3825" s="231"/>
      <c r="I3825" s="231"/>
      <c r="J3825" s="231"/>
      <c r="K3825" s="231"/>
      <c r="L3825" s="231"/>
      <c r="M3825" s="231"/>
      <c r="N3825" s="231"/>
      <c r="O3825" s="231"/>
      <c r="P3825" s="231">
        <v>2</v>
      </c>
      <c r="Q3825" s="231"/>
      <c r="R3825" s="231"/>
      <c r="S3825" s="231"/>
      <c r="T3825" s="231"/>
      <c r="U3825" s="231"/>
      <c r="V3825" s="231"/>
      <c r="W3825" s="231"/>
      <c r="X3825" s="231"/>
      <c r="Y3825" s="231"/>
      <c r="Z3825" s="231"/>
      <c r="AA3825" s="231"/>
      <c r="AB3825" s="22">
        <f t="shared" si="1142"/>
        <v>2</v>
      </c>
      <c r="AC3825" s="23">
        <v>0</v>
      </c>
      <c r="AD3825" s="35"/>
      <c r="AE3825" s="35"/>
      <c r="AF3825" s="35"/>
      <c r="AG3825" s="35"/>
      <c r="AH3825" s="35"/>
      <c r="AI3825" s="35"/>
      <c r="AJ3825" s="35"/>
      <c r="AK3825" s="35"/>
      <c r="AL3825" s="35"/>
      <c r="AM3825" s="35"/>
      <c r="AN3825" s="35"/>
      <c r="AO3825" s="35"/>
      <c r="AP3825" s="35"/>
      <c r="AQ3825" s="35"/>
      <c r="AR3825" s="35"/>
      <c r="AS3825" s="35"/>
      <c r="AT3825" s="35"/>
      <c r="AU3825" s="35"/>
      <c r="AV3825" s="35"/>
      <c r="AW3825" s="35"/>
      <c r="AX3825" s="35"/>
      <c r="AY3825" s="35"/>
      <c r="AZ3825" s="35"/>
      <c r="BA3825" s="35"/>
      <c r="BB3825" s="22">
        <f t="shared" si="1143"/>
        <v>0</v>
      </c>
      <c r="BC3825" s="23">
        <v>0</v>
      </c>
      <c r="BD3825" s="130">
        <f t="shared" si="1144"/>
        <v>2</v>
      </c>
      <c r="BE3825" s="130">
        <f t="shared" si="1145"/>
        <v>0</v>
      </c>
      <c r="BF3825" s="195" t="e">
        <f t="shared" si="1146"/>
        <v>#DIV/0!</v>
      </c>
      <c r="BG3825" s="373"/>
    </row>
    <row r="3826" spans="1:60" s="46" customFormat="1" ht="12.75" customHeight="1">
      <c r="A3826" s="176">
        <v>65</v>
      </c>
      <c r="B3826" s="31"/>
      <c r="C3826" s="32"/>
      <c r="D3826" s="231"/>
      <c r="E3826" s="231"/>
      <c r="F3826" s="231"/>
      <c r="G3826" s="231"/>
      <c r="H3826" s="231"/>
      <c r="I3826" s="231"/>
      <c r="J3826" s="231"/>
      <c r="K3826" s="231"/>
      <c r="L3826" s="231"/>
      <c r="M3826" s="231"/>
      <c r="N3826" s="231"/>
      <c r="O3826" s="231"/>
      <c r="P3826" s="231"/>
      <c r="Q3826" s="231"/>
      <c r="R3826" s="231"/>
      <c r="S3826" s="231"/>
      <c r="T3826" s="231"/>
      <c r="U3826" s="231"/>
      <c r="V3826" s="231"/>
      <c r="W3826" s="231"/>
      <c r="X3826" s="231"/>
      <c r="Y3826" s="231"/>
      <c r="Z3826" s="231"/>
      <c r="AA3826" s="231"/>
      <c r="AB3826" s="22">
        <f t="shared" ref="AB3826" si="1148">SUM(D3826:AA3826)</f>
        <v>0</v>
      </c>
      <c r="AC3826" s="23">
        <v>0</v>
      </c>
      <c r="AD3826" s="35"/>
      <c r="AE3826" s="35"/>
      <c r="AF3826" s="35"/>
      <c r="AG3826" s="35"/>
      <c r="AH3826" s="35"/>
      <c r="AI3826" s="35"/>
      <c r="AJ3826" s="35"/>
      <c r="AK3826" s="35"/>
      <c r="AL3826" s="35"/>
      <c r="AM3826" s="35"/>
      <c r="AN3826" s="35"/>
      <c r="AO3826" s="35"/>
      <c r="AP3826" s="35"/>
      <c r="AQ3826" s="35"/>
      <c r="AR3826" s="35"/>
      <c r="AS3826" s="35"/>
      <c r="AT3826" s="35"/>
      <c r="AU3826" s="35"/>
      <c r="AV3826" s="35"/>
      <c r="AW3826" s="35"/>
      <c r="AX3826" s="35"/>
      <c r="AY3826" s="35"/>
      <c r="AZ3826" s="35"/>
      <c r="BA3826" s="35"/>
      <c r="BB3826" s="22">
        <f t="shared" ref="BB3826" si="1149">SUM(AD3826:BA3826)</f>
        <v>0</v>
      </c>
      <c r="BC3826" s="23">
        <v>0</v>
      </c>
      <c r="BD3826" s="130">
        <f t="shared" si="1144"/>
        <v>0</v>
      </c>
      <c r="BE3826" s="130">
        <f t="shared" si="1145"/>
        <v>0</v>
      </c>
      <c r="BF3826" s="195" t="e">
        <f t="shared" ref="BF3826" si="1150">BD3826/BE3826*100</f>
        <v>#DIV/0!</v>
      </c>
      <c r="BG3826" s="373">
        <f>BE3826-BD3826</f>
        <v>0</v>
      </c>
    </row>
    <row r="3827" spans="1:60" s="46" customFormat="1" ht="15.95" customHeight="1">
      <c r="A3827" s="645" t="s">
        <v>728</v>
      </c>
      <c r="B3827" s="645"/>
      <c r="C3827" s="645"/>
      <c r="D3827" s="28">
        <f t="shared" ref="D3827:AI3827" si="1151">SUM(D3828:D3851)</f>
        <v>0</v>
      </c>
      <c r="E3827" s="28">
        <f t="shared" si="1151"/>
        <v>0</v>
      </c>
      <c r="F3827" s="28">
        <f t="shared" si="1151"/>
        <v>0</v>
      </c>
      <c r="G3827" s="28">
        <f t="shared" si="1151"/>
        <v>0</v>
      </c>
      <c r="H3827" s="28">
        <f t="shared" si="1151"/>
        <v>160</v>
      </c>
      <c r="I3827" s="28">
        <f t="shared" si="1151"/>
        <v>0</v>
      </c>
      <c r="J3827" s="28">
        <f t="shared" si="1151"/>
        <v>0</v>
      </c>
      <c r="K3827" s="28">
        <f t="shared" si="1151"/>
        <v>0</v>
      </c>
      <c r="L3827" s="28">
        <f t="shared" si="1151"/>
        <v>334</v>
      </c>
      <c r="M3827" s="28">
        <f t="shared" si="1151"/>
        <v>0</v>
      </c>
      <c r="N3827" s="28">
        <f t="shared" si="1151"/>
        <v>0</v>
      </c>
      <c r="O3827" s="28">
        <f t="shared" si="1151"/>
        <v>813</v>
      </c>
      <c r="P3827" s="28">
        <f t="shared" si="1151"/>
        <v>178</v>
      </c>
      <c r="Q3827" s="28">
        <f t="shared" si="1151"/>
        <v>0</v>
      </c>
      <c r="R3827" s="28">
        <f t="shared" si="1151"/>
        <v>0</v>
      </c>
      <c r="S3827" s="28">
        <f t="shared" si="1151"/>
        <v>0</v>
      </c>
      <c r="T3827" s="28">
        <f t="shared" si="1151"/>
        <v>0</v>
      </c>
      <c r="U3827" s="28">
        <f t="shared" si="1151"/>
        <v>0</v>
      </c>
      <c r="V3827" s="28">
        <f t="shared" si="1151"/>
        <v>0</v>
      </c>
      <c r="W3827" s="28">
        <f t="shared" si="1151"/>
        <v>0</v>
      </c>
      <c r="X3827" s="28">
        <f t="shared" si="1151"/>
        <v>0</v>
      </c>
      <c r="Y3827" s="28">
        <f t="shared" si="1151"/>
        <v>0</v>
      </c>
      <c r="Z3827" s="28">
        <f t="shared" si="1151"/>
        <v>0</v>
      </c>
      <c r="AA3827" s="28">
        <f t="shared" si="1151"/>
        <v>0</v>
      </c>
      <c r="AB3827" s="28">
        <f t="shared" si="1151"/>
        <v>1485</v>
      </c>
      <c r="AC3827" s="127">
        <f t="shared" si="1151"/>
        <v>8096</v>
      </c>
      <c r="AD3827" s="28">
        <f t="shared" si="1151"/>
        <v>0</v>
      </c>
      <c r="AE3827" s="28">
        <f t="shared" si="1151"/>
        <v>0</v>
      </c>
      <c r="AF3827" s="28">
        <f t="shared" si="1151"/>
        <v>0</v>
      </c>
      <c r="AG3827" s="28">
        <f t="shared" si="1151"/>
        <v>0</v>
      </c>
      <c r="AH3827" s="28">
        <f t="shared" si="1151"/>
        <v>0</v>
      </c>
      <c r="AI3827" s="28">
        <f t="shared" si="1151"/>
        <v>0</v>
      </c>
      <c r="AJ3827" s="28">
        <f t="shared" ref="AJ3827:BB3827" si="1152">SUM(AJ3828:AJ3851)</f>
        <v>0</v>
      </c>
      <c r="AK3827" s="28">
        <f t="shared" si="1152"/>
        <v>0</v>
      </c>
      <c r="AL3827" s="28">
        <f t="shared" si="1152"/>
        <v>0</v>
      </c>
      <c r="AM3827" s="28">
        <f t="shared" si="1152"/>
        <v>0</v>
      </c>
      <c r="AN3827" s="28">
        <f t="shared" si="1152"/>
        <v>0</v>
      </c>
      <c r="AO3827" s="28">
        <f t="shared" si="1152"/>
        <v>0</v>
      </c>
      <c r="AP3827" s="28">
        <f t="shared" si="1152"/>
        <v>0</v>
      </c>
      <c r="AQ3827" s="28">
        <f t="shared" si="1152"/>
        <v>0</v>
      </c>
      <c r="AR3827" s="28">
        <f t="shared" si="1152"/>
        <v>0</v>
      </c>
      <c r="AS3827" s="28">
        <f t="shared" si="1152"/>
        <v>0</v>
      </c>
      <c r="AT3827" s="28">
        <f t="shared" si="1152"/>
        <v>0</v>
      </c>
      <c r="AU3827" s="28">
        <f t="shared" si="1152"/>
        <v>0</v>
      </c>
      <c r="AV3827" s="28">
        <f t="shared" si="1152"/>
        <v>0</v>
      </c>
      <c r="AW3827" s="28">
        <f t="shared" si="1152"/>
        <v>0</v>
      </c>
      <c r="AX3827" s="28">
        <f t="shared" si="1152"/>
        <v>0</v>
      </c>
      <c r="AY3827" s="28">
        <f t="shared" si="1152"/>
        <v>0</v>
      </c>
      <c r="AZ3827" s="28">
        <f t="shared" si="1152"/>
        <v>0</v>
      </c>
      <c r="BA3827" s="28">
        <f t="shared" si="1152"/>
        <v>0</v>
      </c>
      <c r="BB3827" s="28">
        <f t="shared" si="1152"/>
        <v>0</v>
      </c>
      <c r="BC3827" s="23">
        <v>0</v>
      </c>
      <c r="BD3827" s="130">
        <f t="shared" ref="BD3827:BD3852" si="1153">AB3827+BB3827</f>
        <v>1485</v>
      </c>
      <c r="BE3827" s="130">
        <f t="shared" ref="BE3827:BE3852" si="1154">AC3827+BC3827</f>
        <v>8096</v>
      </c>
      <c r="BF3827" s="195">
        <f t="shared" ref="BF3827:BF3872" si="1155">BD3827/BE3827*100</f>
        <v>18.342391304347828</v>
      </c>
      <c r="BG3827" s="375">
        <f t="shared" ref="BG3827:BG3872" si="1156">BE3827-BD3827</f>
        <v>6611</v>
      </c>
    </row>
    <row r="3828" spans="1:60" s="46" customFormat="1" ht="15.95" customHeight="1">
      <c r="A3828" s="424">
        <v>1</v>
      </c>
      <c r="B3828" s="418" t="s">
        <v>926</v>
      </c>
      <c r="C3828" s="419" t="s">
        <v>927</v>
      </c>
      <c r="D3828" s="366"/>
      <c r="E3828" s="366"/>
      <c r="F3828" s="366"/>
      <c r="G3828" s="366"/>
      <c r="H3828" s="366"/>
      <c r="I3828" s="366"/>
      <c r="J3828" s="366"/>
      <c r="K3828" s="366"/>
      <c r="L3828" s="366"/>
      <c r="M3828" s="366"/>
      <c r="N3828" s="366"/>
      <c r="O3828" s="366">
        <v>3</v>
      </c>
      <c r="P3828" s="366"/>
      <c r="Q3828" s="366"/>
      <c r="R3828" s="366"/>
      <c r="S3828" s="366"/>
      <c r="T3828" s="366"/>
      <c r="U3828" s="366"/>
      <c r="V3828" s="366"/>
      <c r="W3828" s="366"/>
      <c r="X3828" s="366"/>
      <c r="Y3828" s="366"/>
      <c r="Z3828" s="366"/>
      <c r="AA3828" s="366"/>
      <c r="AB3828" s="22">
        <f t="shared" ref="AB3828:AB3851" si="1157">SUM(D3828:AA3828)</f>
        <v>3</v>
      </c>
      <c r="AC3828" s="23">
        <v>0</v>
      </c>
      <c r="AD3828" s="35"/>
      <c r="AE3828" s="35"/>
      <c r="AF3828" s="35"/>
      <c r="AG3828" s="35"/>
      <c r="AH3828" s="35"/>
      <c r="AI3828" s="35"/>
      <c r="AJ3828" s="35"/>
      <c r="AK3828" s="35"/>
      <c r="AL3828" s="35"/>
      <c r="AM3828" s="35"/>
      <c r="AN3828" s="35"/>
      <c r="AO3828" s="35"/>
      <c r="AP3828" s="35"/>
      <c r="AQ3828" s="35"/>
      <c r="AR3828" s="35"/>
      <c r="AS3828" s="35"/>
      <c r="AT3828" s="35"/>
      <c r="AU3828" s="35"/>
      <c r="AV3828" s="35"/>
      <c r="AW3828" s="35"/>
      <c r="AX3828" s="35"/>
      <c r="AY3828" s="35"/>
      <c r="AZ3828" s="35"/>
      <c r="BA3828" s="35"/>
      <c r="BB3828" s="22">
        <f t="shared" ref="BB3828:BB3851" si="1158">SUM(AD3828:BA3828)</f>
        <v>0</v>
      </c>
      <c r="BC3828" s="23">
        <v>0</v>
      </c>
      <c r="BD3828" s="130">
        <f t="shared" ref="BD3828:BD3851" si="1159">AB3828+BB3828</f>
        <v>3</v>
      </c>
      <c r="BE3828" s="130">
        <f t="shared" si="1154"/>
        <v>0</v>
      </c>
      <c r="BF3828" s="195" t="e">
        <f t="shared" ref="BF3828:BF3851" si="1160">BD3828/BE3828*100</f>
        <v>#DIV/0!</v>
      </c>
      <c r="BG3828" s="373"/>
      <c r="BH3828" s="426" t="s">
        <v>3675</v>
      </c>
    </row>
    <row r="3829" spans="1:60" s="46" customFormat="1" ht="15.95" customHeight="1">
      <c r="A3829" s="424">
        <v>2</v>
      </c>
      <c r="B3829" s="418" t="s">
        <v>2246</v>
      </c>
      <c r="C3829" s="419" t="s">
        <v>2247</v>
      </c>
      <c r="D3829" s="553"/>
      <c r="E3829" s="553"/>
      <c r="F3829" s="553"/>
      <c r="G3829" s="553"/>
      <c r="H3829" s="553"/>
      <c r="I3829" s="553"/>
      <c r="J3829" s="553"/>
      <c r="K3829" s="553"/>
      <c r="L3829" s="553"/>
      <c r="M3829" s="553"/>
      <c r="N3829" s="553"/>
      <c r="O3829" s="553">
        <v>810</v>
      </c>
      <c r="P3829" s="553"/>
      <c r="Q3829" s="553"/>
      <c r="R3829" s="553"/>
      <c r="S3829" s="553"/>
      <c r="T3829" s="553"/>
      <c r="U3829" s="553"/>
      <c r="V3829" s="553"/>
      <c r="W3829" s="553"/>
      <c r="X3829" s="553"/>
      <c r="Y3829" s="553"/>
      <c r="Z3829" s="553"/>
      <c r="AA3829" s="553"/>
      <c r="AB3829" s="22">
        <f t="shared" si="1157"/>
        <v>810</v>
      </c>
      <c r="AC3829" s="23">
        <v>0</v>
      </c>
      <c r="AD3829" s="35"/>
      <c r="AE3829" s="35"/>
      <c r="AF3829" s="35"/>
      <c r="AG3829" s="35"/>
      <c r="AH3829" s="35"/>
      <c r="AI3829" s="35"/>
      <c r="AJ3829" s="35"/>
      <c r="AK3829" s="35"/>
      <c r="AL3829" s="35"/>
      <c r="AM3829" s="35"/>
      <c r="AN3829" s="35"/>
      <c r="AO3829" s="35"/>
      <c r="AP3829" s="35"/>
      <c r="AQ3829" s="35"/>
      <c r="AR3829" s="35"/>
      <c r="AS3829" s="35"/>
      <c r="AT3829" s="35"/>
      <c r="AU3829" s="35"/>
      <c r="AV3829" s="35"/>
      <c r="AW3829" s="35"/>
      <c r="AX3829" s="35"/>
      <c r="AY3829" s="35"/>
      <c r="AZ3829" s="35"/>
      <c r="BA3829" s="35"/>
      <c r="BB3829" s="22">
        <f t="shared" si="1158"/>
        <v>0</v>
      </c>
      <c r="BC3829" s="23">
        <v>0</v>
      </c>
      <c r="BD3829" s="130">
        <f t="shared" si="1159"/>
        <v>810</v>
      </c>
      <c r="BE3829" s="130">
        <f t="shared" si="1154"/>
        <v>0</v>
      </c>
      <c r="BF3829" s="195" t="e">
        <f t="shared" si="1160"/>
        <v>#DIV/0!</v>
      </c>
      <c r="BG3829" s="373"/>
      <c r="BH3829" s="426"/>
    </row>
    <row r="3830" spans="1:60" s="46" customFormat="1" ht="15.95" customHeight="1">
      <c r="A3830" s="367">
        <v>3</v>
      </c>
      <c r="B3830" s="31" t="s">
        <v>756</v>
      </c>
      <c r="C3830" s="32" t="s">
        <v>2436</v>
      </c>
      <c r="D3830" s="553"/>
      <c r="E3830" s="553"/>
      <c r="F3830" s="553"/>
      <c r="G3830" s="553"/>
      <c r="H3830" s="553"/>
      <c r="I3830" s="553"/>
      <c r="J3830" s="553"/>
      <c r="K3830" s="553"/>
      <c r="L3830" s="553">
        <v>1</v>
      </c>
      <c r="M3830" s="553"/>
      <c r="N3830" s="553"/>
      <c r="O3830" s="553"/>
      <c r="P3830" s="553"/>
      <c r="Q3830" s="553"/>
      <c r="R3830" s="553"/>
      <c r="S3830" s="553"/>
      <c r="T3830" s="553"/>
      <c r="U3830" s="553"/>
      <c r="V3830" s="553"/>
      <c r="W3830" s="553"/>
      <c r="X3830" s="553"/>
      <c r="Y3830" s="553"/>
      <c r="Z3830" s="553"/>
      <c r="AA3830" s="553"/>
      <c r="AB3830" s="22">
        <f t="shared" si="1157"/>
        <v>1</v>
      </c>
      <c r="AC3830" s="23">
        <v>1</v>
      </c>
      <c r="AD3830" s="35"/>
      <c r="AE3830" s="35"/>
      <c r="AF3830" s="35"/>
      <c r="AG3830" s="35"/>
      <c r="AH3830" s="35"/>
      <c r="AI3830" s="35"/>
      <c r="AJ3830" s="35"/>
      <c r="AK3830" s="35"/>
      <c r="AL3830" s="35"/>
      <c r="AM3830" s="35"/>
      <c r="AN3830" s="35"/>
      <c r="AO3830" s="35"/>
      <c r="AP3830" s="35"/>
      <c r="AQ3830" s="35"/>
      <c r="AR3830" s="35"/>
      <c r="AS3830" s="35"/>
      <c r="AT3830" s="35"/>
      <c r="AU3830" s="35"/>
      <c r="AV3830" s="35"/>
      <c r="AW3830" s="35"/>
      <c r="AX3830" s="35"/>
      <c r="AY3830" s="35"/>
      <c r="AZ3830" s="35"/>
      <c r="BA3830" s="35"/>
      <c r="BB3830" s="22">
        <f t="shared" si="1158"/>
        <v>0</v>
      </c>
      <c r="BC3830" s="23">
        <v>0</v>
      </c>
      <c r="BD3830" s="130">
        <f t="shared" si="1159"/>
        <v>1</v>
      </c>
      <c r="BE3830" s="130">
        <f t="shared" si="1154"/>
        <v>1</v>
      </c>
      <c r="BF3830" s="195">
        <f t="shared" si="1160"/>
        <v>100</v>
      </c>
      <c r="BG3830" s="373">
        <f t="shared" ref="BG3830:BG3839" si="1161">BE3830-BD3830</f>
        <v>0</v>
      </c>
    </row>
    <row r="3831" spans="1:60" s="46" customFormat="1" ht="15.95" customHeight="1">
      <c r="A3831" s="367">
        <v>4</v>
      </c>
      <c r="B3831" s="31" t="s">
        <v>1461</v>
      </c>
      <c r="C3831" s="32" t="s">
        <v>1462</v>
      </c>
      <c r="D3831" s="366"/>
      <c r="E3831" s="366"/>
      <c r="F3831" s="366"/>
      <c r="G3831" s="366"/>
      <c r="H3831" s="366"/>
      <c r="I3831" s="366"/>
      <c r="J3831" s="366"/>
      <c r="K3831" s="366"/>
      <c r="L3831" s="366"/>
      <c r="M3831" s="366"/>
      <c r="N3831" s="366"/>
      <c r="O3831" s="366"/>
      <c r="P3831" s="366"/>
      <c r="Q3831" s="366"/>
      <c r="R3831" s="366"/>
      <c r="S3831" s="366"/>
      <c r="T3831" s="366"/>
      <c r="U3831" s="366"/>
      <c r="V3831" s="366"/>
      <c r="W3831" s="366"/>
      <c r="X3831" s="366"/>
      <c r="Y3831" s="366"/>
      <c r="Z3831" s="366"/>
      <c r="AA3831" s="366"/>
      <c r="AB3831" s="22">
        <f t="shared" si="1157"/>
        <v>0</v>
      </c>
      <c r="AC3831" s="23">
        <v>73</v>
      </c>
      <c r="AD3831" s="35"/>
      <c r="AE3831" s="35"/>
      <c r="AF3831" s="35"/>
      <c r="AG3831" s="35"/>
      <c r="AH3831" s="35"/>
      <c r="AI3831" s="35"/>
      <c r="AJ3831" s="35"/>
      <c r="AK3831" s="35"/>
      <c r="AL3831" s="35"/>
      <c r="AM3831" s="35"/>
      <c r="AN3831" s="35"/>
      <c r="AO3831" s="35"/>
      <c r="AP3831" s="35"/>
      <c r="AQ3831" s="35"/>
      <c r="AR3831" s="35"/>
      <c r="AS3831" s="35"/>
      <c r="AT3831" s="35"/>
      <c r="AU3831" s="35"/>
      <c r="AV3831" s="35"/>
      <c r="AW3831" s="35"/>
      <c r="AX3831" s="35"/>
      <c r="AY3831" s="35"/>
      <c r="AZ3831" s="35"/>
      <c r="BA3831" s="35"/>
      <c r="BB3831" s="22">
        <f t="shared" si="1158"/>
        <v>0</v>
      </c>
      <c r="BC3831" s="23">
        <v>0</v>
      </c>
      <c r="BD3831" s="130">
        <f t="shared" si="1159"/>
        <v>0</v>
      </c>
      <c r="BE3831" s="130">
        <f t="shared" si="1154"/>
        <v>73</v>
      </c>
      <c r="BF3831" s="195">
        <f t="shared" si="1160"/>
        <v>0</v>
      </c>
      <c r="BG3831" s="373">
        <f t="shared" si="1161"/>
        <v>73</v>
      </c>
    </row>
    <row r="3832" spans="1:60" s="46" customFormat="1" ht="15.95" customHeight="1">
      <c r="A3832" s="367">
        <v>5</v>
      </c>
      <c r="B3832" s="31" t="s">
        <v>772</v>
      </c>
      <c r="C3832" s="32" t="s">
        <v>773</v>
      </c>
      <c r="D3832" s="366"/>
      <c r="E3832" s="366"/>
      <c r="F3832" s="366"/>
      <c r="G3832" s="366"/>
      <c r="H3832" s="366">
        <v>34</v>
      </c>
      <c r="I3832" s="366"/>
      <c r="J3832" s="366"/>
      <c r="K3832" s="366"/>
      <c r="L3832" s="366">
        <v>94</v>
      </c>
      <c r="M3832" s="366"/>
      <c r="N3832" s="366"/>
      <c r="O3832" s="366"/>
      <c r="P3832" s="366">
        <v>39</v>
      </c>
      <c r="Q3832" s="366"/>
      <c r="R3832" s="366"/>
      <c r="S3832" s="366"/>
      <c r="T3832" s="366"/>
      <c r="U3832" s="366"/>
      <c r="V3832" s="366"/>
      <c r="W3832" s="366"/>
      <c r="X3832" s="366"/>
      <c r="Y3832" s="366"/>
      <c r="Z3832" s="366"/>
      <c r="AA3832" s="366"/>
      <c r="AB3832" s="22">
        <f t="shared" si="1157"/>
        <v>167</v>
      </c>
      <c r="AC3832" s="23">
        <v>1718</v>
      </c>
      <c r="AD3832" s="35"/>
      <c r="AE3832" s="35"/>
      <c r="AF3832" s="35"/>
      <c r="AG3832" s="35"/>
      <c r="AH3832" s="35"/>
      <c r="AI3832" s="35"/>
      <c r="AJ3832" s="35"/>
      <c r="AK3832" s="35"/>
      <c r="AL3832" s="35"/>
      <c r="AM3832" s="35"/>
      <c r="AN3832" s="35"/>
      <c r="AO3832" s="35"/>
      <c r="AP3832" s="35"/>
      <c r="AQ3832" s="35"/>
      <c r="AR3832" s="35"/>
      <c r="AS3832" s="35"/>
      <c r="AT3832" s="35"/>
      <c r="AU3832" s="35"/>
      <c r="AV3832" s="35"/>
      <c r="AW3832" s="35"/>
      <c r="AX3832" s="35"/>
      <c r="AY3832" s="35"/>
      <c r="AZ3832" s="35"/>
      <c r="BA3832" s="35"/>
      <c r="BB3832" s="22">
        <f t="shared" si="1158"/>
        <v>0</v>
      </c>
      <c r="BC3832" s="23">
        <v>0</v>
      </c>
      <c r="BD3832" s="130">
        <f t="shared" si="1159"/>
        <v>167</v>
      </c>
      <c r="BE3832" s="130">
        <f t="shared" si="1154"/>
        <v>1718</v>
      </c>
      <c r="BF3832" s="195">
        <f t="shared" si="1160"/>
        <v>9.7206053550640288</v>
      </c>
      <c r="BG3832" s="373">
        <f t="shared" si="1161"/>
        <v>1551</v>
      </c>
    </row>
    <row r="3833" spans="1:60" s="46" customFormat="1" ht="15.95" customHeight="1">
      <c r="A3833" s="367">
        <v>6</v>
      </c>
      <c r="B3833" s="31" t="s">
        <v>1535</v>
      </c>
      <c r="C3833" s="32" t="s">
        <v>1693</v>
      </c>
      <c r="D3833" s="366"/>
      <c r="E3833" s="366"/>
      <c r="F3833" s="366"/>
      <c r="G3833" s="366"/>
      <c r="H3833" s="366"/>
      <c r="I3833" s="366"/>
      <c r="J3833" s="366"/>
      <c r="K3833" s="366"/>
      <c r="L3833" s="366"/>
      <c r="M3833" s="366"/>
      <c r="N3833" s="366"/>
      <c r="O3833" s="366"/>
      <c r="P3833" s="366"/>
      <c r="Q3833" s="366"/>
      <c r="R3833" s="366"/>
      <c r="S3833" s="366"/>
      <c r="T3833" s="366"/>
      <c r="U3833" s="366"/>
      <c r="V3833" s="366"/>
      <c r="W3833" s="366"/>
      <c r="X3833" s="366"/>
      <c r="Y3833" s="366"/>
      <c r="Z3833" s="366"/>
      <c r="AA3833" s="366"/>
      <c r="AB3833" s="22">
        <f t="shared" si="1157"/>
        <v>0</v>
      </c>
      <c r="AC3833" s="23">
        <v>2</v>
      </c>
      <c r="AD3833" s="35"/>
      <c r="AE3833" s="35"/>
      <c r="AF3833" s="35"/>
      <c r="AG3833" s="35"/>
      <c r="AH3833" s="35"/>
      <c r="AI3833" s="35"/>
      <c r="AJ3833" s="35"/>
      <c r="AK3833" s="35"/>
      <c r="AL3833" s="35"/>
      <c r="AM3833" s="35"/>
      <c r="AN3833" s="35"/>
      <c r="AO3833" s="35"/>
      <c r="AP3833" s="35"/>
      <c r="AQ3833" s="35"/>
      <c r="AR3833" s="35"/>
      <c r="AS3833" s="35"/>
      <c r="AT3833" s="35"/>
      <c r="AU3833" s="35"/>
      <c r="AV3833" s="35"/>
      <c r="AW3833" s="35"/>
      <c r="AX3833" s="35"/>
      <c r="AY3833" s="35"/>
      <c r="AZ3833" s="35"/>
      <c r="BA3833" s="35"/>
      <c r="BB3833" s="22">
        <f t="shared" si="1158"/>
        <v>0</v>
      </c>
      <c r="BC3833" s="23">
        <v>0</v>
      </c>
      <c r="BD3833" s="130">
        <f t="shared" si="1159"/>
        <v>0</v>
      </c>
      <c r="BE3833" s="130">
        <f t="shared" si="1154"/>
        <v>2</v>
      </c>
      <c r="BF3833" s="195">
        <f t="shared" si="1160"/>
        <v>0</v>
      </c>
      <c r="BG3833" s="373">
        <f t="shared" si="1161"/>
        <v>2</v>
      </c>
    </row>
    <row r="3834" spans="1:60" s="46" customFormat="1" ht="15.95" customHeight="1">
      <c r="A3834" s="367">
        <v>7</v>
      </c>
      <c r="B3834" s="31" t="s">
        <v>1538</v>
      </c>
      <c r="C3834" s="32" t="s">
        <v>1539</v>
      </c>
      <c r="D3834" s="366"/>
      <c r="E3834" s="366"/>
      <c r="F3834" s="366"/>
      <c r="G3834" s="366"/>
      <c r="H3834" s="366"/>
      <c r="I3834" s="366"/>
      <c r="J3834" s="366"/>
      <c r="K3834" s="366"/>
      <c r="L3834" s="366"/>
      <c r="M3834" s="366"/>
      <c r="N3834" s="366"/>
      <c r="O3834" s="366"/>
      <c r="P3834" s="366"/>
      <c r="Q3834" s="366"/>
      <c r="R3834" s="366"/>
      <c r="S3834" s="366"/>
      <c r="T3834" s="366"/>
      <c r="U3834" s="366"/>
      <c r="V3834" s="366"/>
      <c r="W3834" s="366"/>
      <c r="X3834" s="366"/>
      <c r="Y3834" s="366"/>
      <c r="Z3834" s="366"/>
      <c r="AA3834" s="366"/>
      <c r="AB3834" s="22">
        <f t="shared" si="1157"/>
        <v>0</v>
      </c>
      <c r="AC3834" s="23">
        <v>1</v>
      </c>
      <c r="AD3834" s="35"/>
      <c r="AE3834" s="35"/>
      <c r="AF3834" s="35"/>
      <c r="AG3834" s="35"/>
      <c r="AH3834" s="35"/>
      <c r="AI3834" s="35"/>
      <c r="AJ3834" s="35"/>
      <c r="AK3834" s="35"/>
      <c r="AL3834" s="35"/>
      <c r="AM3834" s="35"/>
      <c r="AN3834" s="35"/>
      <c r="AO3834" s="35"/>
      <c r="AP3834" s="35"/>
      <c r="AQ3834" s="35"/>
      <c r="AR3834" s="35"/>
      <c r="AS3834" s="35"/>
      <c r="AT3834" s="35"/>
      <c r="AU3834" s="35"/>
      <c r="AV3834" s="35"/>
      <c r="AW3834" s="35"/>
      <c r="AX3834" s="35"/>
      <c r="AY3834" s="35"/>
      <c r="AZ3834" s="35"/>
      <c r="BA3834" s="35"/>
      <c r="BB3834" s="22">
        <f t="shared" si="1158"/>
        <v>0</v>
      </c>
      <c r="BC3834" s="23">
        <v>0</v>
      </c>
      <c r="BD3834" s="130">
        <f t="shared" si="1159"/>
        <v>0</v>
      </c>
      <c r="BE3834" s="130">
        <f t="shared" si="1154"/>
        <v>1</v>
      </c>
      <c r="BF3834" s="195">
        <f t="shared" si="1160"/>
        <v>0</v>
      </c>
      <c r="BG3834" s="373">
        <f t="shared" si="1161"/>
        <v>1</v>
      </c>
    </row>
    <row r="3835" spans="1:60" s="46" customFormat="1" ht="15.95" customHeight="1">
      <c r="A3835" s="367">
        <v>8</v>
      </c>
      <c r="B3835" s="31" t="s">
        <v>999</v>
      </c>
      <c r="C3835" s="32" t="s">
        <v>1000</v>
      </c>
      <c r="D3835" s="366"/>
      <c r="E3835" s="366"/>
      <c r="F3835" s="366"/>
      <c r="G3835" s="366"/>
      <c r="H3835" s="366">
        <v>20</v>
      </c>
      <c r="I3835" s="366"/>
      <c r="J3835" s="366"/>
      <c r="K3835" s="366"/>
      <c r="L3835" s="366">
        <v>17</v>
      </c>
      <c r="M3835" s="366"/>
      <c r="N3835" s="366"/>
      <c r="O3835" s="366"/>
      <c r="P3835" s="366">
        <v>18</v>
      </c>
      <c r="Q3835" s="366"/>
      <c r="R3835" s="366"/>
      <c r="S3835" s="366"/>
      <c r="T3835" s="366"/>
      <c r="U3835" s="366"/>
      <c r="V3835" s="366"/>
      <c r="W3835" s="366"/>
      <c r="X3835" s="366"/>
      <c r="Y3835" s="366"/>
      <c r="Z3835" s="366"/>
      <c r="AA3835" s="366"/>
      <c r="AB3835" s="22">
        <f t="shared" si="1157"/>
        <v>55</v>
      </c>
      <c r="AC3835" s="23">
        <v>95</v>
      </c>
      <c r="AD3835" s="35"/>
      <c r="AE3835" s="35"/>
      <c r="AF3835" s="35"/>
      <c r="AG3835" s="35"/>
      <c r="AH3835" s="35"/>
      <c r="AI3835" s="35"/>
      <c r="AJ3835" s="35"/>
      <c r="AK3835" s="35"/>
      <c r="AL3835" s="35"/>
      <c r="AM3835" s="35"/>
      <c r="AN3835" s="35"/>
      <c r="AO3835" s="35"/>
      <c r="AP3835" s="35"/>
      <c r="AQ3835" s="35"/>
      <c r="AR3835" s="35"/>
      <c r="AS3835" s="35"/>
      <c r="AT3835" s="35"/>
      <c r="AU3835" s="35"/>
      <c r="AV3835" s="35"/>
      <c r="AW3835" s="35"/>
      <c r="AX3835" s="35"/>
      <c r="AY3835" s="35"/>
      <c r="AZ3835" s="35"/>
      <c r="BA3835" s="35"/>
      <c r="BB3835" s="22">
        <f t="shared" si="1158"/>
        <v>0</v>
      </c>
      <c r="BC3835" s="23">
        <v>0</v>
      </c>
      <c r="BD3835" s="130">
        <f t="shared" si="1159"/>
        <v>55</v>
      </c>
      <c r="BE3835" s="130">
        <f t="shared" si="1154"/>
        <v>95</v>
      </c>
      <c r="BF3835" s="195">
        <f t="shared" si="1160"/>
        <v>57.894736842105267</v>
      </c>
      <c r="BG3835" s="373">
        <f t="shared" si="1161"/>
        <v>40</v>
      </c>
    </row>
    <row r="3836" spans="1:60" s="46" customFormat="1" ht="15.95" customHeight="1">
      <c r="A3836" s="367">
        <v>9</v>
      </c>
      <c r="B3836" s="31" t="s">
        <v>1554</v>
      </c>
      <c r="C3836" s="32" t="s">
        <v>1555</v>
      </c>
      <c r="D3836" s="366"/>
      <c r="E3836" s="366"/>
      <c r="F3836" s="366"/>
      <c r="G3836" s="366"/>
      <c r="H3836" s="366"/>
      <c r="I3836" s="366"/>
      <c r="J3836" s="366"/>
      <c r="K3836" s="366"/>
      <c r="L3836" s="366"/>
      <c r="M3836" s="366"/>
      <c r="N3836" s="366"/>
      <c r="O3836" s="366"/>
      <c r="P3836" s="366"/>
      <c r="Q3836" s="366"/>
      <c r="R3836" s="366"/>
      <c r="S3836" s="366"/>
      <c r="T3836" s="366"/>
      <c r="U3836" s="366"/>
      <c r="V3836" s="366"/>
      <c r="W3836" s="366"/>
      <c r="X3836" s="366"/>
      <c r="Y3836" s="366"/>
      <c r="Z3836" s="366"/>
      <c r="AA3836" s="366"/>
      <c r="AB3836" s="22">
        <f t="shared" si="1157"/>
        <v>0</v>
      </c>
      <c r="AC3836" s="23">
        <v>2</v>
      </c>
      <c r="AD3836" s="35"/>
      <c r="AE3836" s="35"/>
      <c r="AF3836" s="35"/>
      <c r="AG3836" s="35"/>
      <c r="AH3836" s="35"/>
      <c r="AI3836" s="35"/>
      <c r="AJ3836" s="35"/>
      <c r="AK3836" s="35"/>
      <c r="AL3836" s="35"/>
      <c r="AM3836" s="35"/>
      <c r="AN3836" s="35"/>
      <c r="AO3836" s="35"/>
      <c r="AP3836" s="35"/>
      <c r="AQ3836" s="35"/>
      <c r="AR3836" s="35"/>
      <c r="AS3836" s="35"/>
      <c r="AT3836" s="35"/>
      <c r="AU3836" s="35"/>
      <c r="AV3836" s="35"/>
      <c r="AW3836" s="35"/>
      <c r="AX3836" s="35"/>
      <c r="AY3836" s="35"/>
      <c r="AZ3836" s="35"/>
      <c r="BA3836" s="35"/>
      <c r="BB3836" s="22">
        <f t="shared" si="1158"/>
        <v>0</v>
      </c>
      <c r="BC3836" s="23">
        <v>0</v>
      </c>
      <c r="BD3836" s="130">
        <f t="shared" si="1159"/>
        <v>0</v>
      </c>
      <c r="BE3836" s="130">
        <f t="shared" si="1154"/>
        <v>2</v>
      </c>
      <c r="BF3836" s="195">
        <f t="shared" si="1160"/>
        <v>0</v>
      </c>
      <c r="BG3836" s="373">
        <f t="shared" si="1161"/>
        <v>2</v>
      </c>
    </row>
    <row r="3837" spans="1:60" s="46" customFormat="1" ht="15.95" customHeight="1">
      <c r="A3837" s="367">
        <v>10</v>
      </c>
      <c r="B3837" s="31" t="s">
        <v>1587</v>
      </c>
      <c r="C3837" s="32" t="s">
        <v>1588</v>
      </c>
      <c r="D3837" s="366"/>
      <c r="E3837" s="366"/>
      <c r="F3837" s="366"/>
      <c r="G3837" s="366"/>
      <c r="H3837" s="366"/>
      <c r="I3837" s="366"/>
      <c r="J3837" s="366"/>
      <c r="K3837" s="366"/>
      <c r="L3837" s="366"/>
      <c r="M3837" s="366"/>
      <c r="N3837" s="366"/>
      <c r="O3837" s="366"/>
      <c r="P3837" s="366"/>
      <c r="Q3837" s="366"/>
      <c r="R3837" s="366"/>
      <c r="S3837" s="366"/>
      <c r="T3837" s="366"/>
      <c r="U3837" s="366"/>
      <c r="V3837" s="366"/>
      <c r="W3837" s="366"/>
      <c r="X3837" s="366"/>
      <c r="Y3837" s="366"/>
      <c r="Z3837" s="366"/>
      <c r="AA3837" s="366"/>
      <c r="AB3837" s="22">
        <f t="shared" si="1157"/>
        <v>0</v>
      </c>
      <c r="AC3837" s="23">
        <v>2</v>
      </c>
      <c r="AD3837" s="35"/>
      <c r="AE3837" s="35"/>
      <c r="AF3837" s="35"/>
      <c r="AG3837" s="35"/>
      <c r="AH3837" s="35"/>
      <c r="AI3837" s="35"/>
      <c r="AJ3837" s="35"/>
      <c r="AK3837" s="35"/>
      <c r="AL3837" s="35"/>
      <c r="AM3837" s="35"/>
      <c r="AN3837" s="35"/>
      <c r="AO3837" s="35"/>
      <c r="AP3837" s="35"/>
      <c r="AQ3837" s="35"/>
      <c r="AR3837" s="35"/>
      <c r="AS3837" s="35"/>
      <c r="AT3837" s="35"/>
      <c r="AU3837" s="35"/>
      <c r="AV3837" s="35"/>
      <c r="AW3837" s="35"/>
      <c r="AX3837" s="35"/>
      <c r="AY3837" s="35"/>
      <c r="AZ3837" s="35"/>
      <c r="BA3837" s="35"/>
      <c r="BB3837" s="22">
        <f t="shared" si="1158"/>
        <v>0</v>
      </c>
      <c r="BC3837" s="23">
        <v>0</v>
      </c>
      <c r="BD3837" s="130">
        <f t="shared" si="1159"/>
        <v>0</v>
      </c>
      <c r="BE3837" s="130">
        <f t="shared" si="1154"/>
        <v>2</v>
      </c>
      <c r="BF3837" s="195">
        <f t="shared" si="1160"/>
        <v>0</v>
      </c>
      <c r="BG3837" s="373">
        <f t="shared" si="1161"/>
        <v>2</v>
      </c>
    </row>
    <row r="3838" spans="1:60" s="46" customFormat="1" ht="15.95" customHeight="1">
      <c r="A3838" s="367">
        <v>11</v>
      </c>
      <c r="B3838" s="31" t="s">
        <v>1072</v>
      </c>
      <c r="C3838" s="32" t="s">
        <v>1073</v>
      </c>
      <c r="D3838" s="366"/>
      <c r="E3838" s="366"/>
      <c r="F3838" s="366"/>
      <c r="G3838" s="366"/>
      <c r="H3838" s="366">
        <v>20</v>
      </c>
      <c r="I3838" s="366"/>
      <c r="J3838" s="366"/>
      <c r="K3838" s="366"/>
      <c r="L3838" s="366">
        <v>19</v>
      </c>
      <c r="M3838" s="366"/>
      <c r="N3838" s="366"/>
      <c r="O3838" s="366"/>
      <c r="P3838" s="366">
        <v>16</v>
      </c>
      <c r="Q3838" s="366"/>
      <c r="R3838" s="366"/>
      <c r="S3838" s="366"/>
      <c r="T3838" s="366"/>
      <c r="U3838" s="366"/>
      <c r="V3838" s="366"/>
      <c r="W3838" s="366"/>
      <c r="X3838" s="366"/>
      <c r="Y3838" s="366"/>
      <c r="Z3838" s="366"/>
      <c r="AA3838" s="366"/>
      <c r="AB3838" s="22">
        <f t="shared" si="1157"/>
        <v>55</v>
      </c>
      <c r="AC3838" s="23">
        <v>95</v>
      </c>
      <c r="AD3838" s="35"/>
      <c r="AE3838" s="35"/>
      <c r="AF3838" s="35"/>
      <c r="AG3838" s="35"/>
      <c r="AH3838" s="35"/>
      <c r="AI3838" s="35"/>
      <c r="AJ3838" s="35"/>
      <c r="AK3838" s="35"/>
      <c r="AL3838" s="35"/>
      <c r="AM3838" s="35"/>
      <c r="AN3838" s="35"/>
      <c r="AO3838" s="35"/>
      <c r="AP3838" s="35"/>
      <c r="AQ3838" s="35"/>
      <c r="AR3838" s="35"/>
      <c r="AS3838" s="35"/>
      <c r="AT3838" s="35"/>
      <c r="AU3838" s="35"/>
      <c r="AV3838" s="35"/>
      <c r="AW3838" s="35"/>
      <c r="AX3838" s="35"/>
      <c r="AY3838" s="35"/>
      <c r="AZ3838" s="35"/>
      <c r="BA3838" s="35"/>
      <c r="BB3838" s="22">
        <f t="shared" si="1158"/>
        <v>0</v>
      </c>
      <c r="BC3838" s="23">
        <v>0</v>
      </c>
      <c r="BD3838" s="130">
        <f t="shared" si="1159"/>
        <v>55</v>
      </c>
      <c r="BE3838" s="130">
        <f t="shared" si="1154"/>
        <v>95</v>
      </c>
      <c r="BF3838" s="195">
        <f t="shared" si="1160"/>
        <v>57.894736842105267</v>
      </c>
      <c r="BG3838" s="373">
        <f t="shared" si="1161"/>
        <v>40</v>
      </c>
    </row>
    <row r="3839" spans="1:60" s="46" customFormat="1" ht="15.95" customHeight="1">
      <c r="A3839" s="367">
        <v>12</v>
      </c>
      <c r="B3839" s="31" t="s">
        <v>1589</v>
      </c>
      <c r="C3839" s="32" t="s">
        <v>1590</v>
      </c>
      <c r="D3839" s="366"/>
      <c r="E3839" s="366"/>
      <c r="F3839" s="366"/>
      <c r="G3839" s="366"/>
      <c r="H3839" s="366"/>
      <c r="I3839" s="366"/>
      <c r="J3839" s="366"/>
      <c r="K3839" s="366"/>
      <c r="L3839" s="366"/>
      <c r="M3839" s="366"/>
      <c r="N3839" s="366"/>
      <c r="O3839" s="366"/>
      <c r="P3839" s="366"/>
      <c r="Q3839" s="366"/>
      <c r="R3839" s="366"/>
      <c r="S3839" s="366"/>
      <c r="T3839" s="366"/>
      <c r="U3839" s="366"/>
      <c r="V3839" s="366"/>
      <c r="W3839" s="366"/>
      <c r="X3839" s="366"/>
      <c r="Y3839" s="366"/>
      <c r="Z3839" s="366"/>
      <c r="AA3839" s="366"/>
      <c r="AB3839" s="22">
        <f t="shared" si="1157"/>
        <v>0</v>
      </c>
      <c r="AC3839" s="23">
        <v>2</v>
      </c>
      <c r="AD3839" s="35"/>
      <c r="AE3839" s="35"/>
      <c r="AF3839" s="35"/>
      <c r="AG3839" s="35"/>
      <c r="AH3839" s="35"/>
      <c r="AI3839" s="35"/>
      <c r="AJ3839" s="35"/>
      <c r="AK3839" s="35"/>
      <c r="AL3839" s="35"/>
      <c r="AM3839" s="35"/>
      <c r="AN3839" s="35"/>
      <c r="AO3839" s="35"/>
      <c r="AP3839" s="35"/>
      <c r="AQ3839" s="35"/>
      <c r="AR3839" s="35"/>
      <c r="AS3839" s="35"/>
      <c r="AT3839" s="35"/>
      <c r="AU3839" s="35"/>
      <c r="AV3839" s="35"/>
      <c r="AW3839" s="35"/>
      <c r="AX3839" s="35"/>
      <c r="AY3839" s="35"/>
      <c r="AZ3839" s="35"/>
      <c r="BA3839" s="35"/>
      <c r="BB3839" s="22">
        <f t="shared" si="1158"/>
        <v>0</v>
      </c>
      <c r="BC3839" s="23">
        <v>0</v>
      </c>
      <c r="BD3839" s="130">
        <f t="shared" si="1159"/>
        <v>0</v>
      </c>
      <c r="BE3839" s="130">
        <f t="shared" si="1154"/>
        <v>2</v>
      </c>
      <c r="BF3839" s="195">
        <f t="shared" si="1160"/>
        <v>0</v>
      </c>
      <c r="BG3839" s="373">
        <f t="shared" si="1161"/>
        <v>2</v>
      </c>
    </row>
    <row r="3840" spans="1:60" s="46" customFormat="1" ht="15.95" customHeight="1">
      <c r="A3840" s="367">
        <v>13</v>
      </c>
      <c r="B3840" s="31" t="s">
        <v>1047</v>
      </c>
      <c r="C3840" s="32" t="s">
        <v>1326</v>
      </c>
      <c r="D3840" s="552"/>
      <c r="E3840" s="552"/>
      <c r="F3840" s="552"/>
      <c r="G3840" s="552"/>
      <c r="H3840" s="552"/>
      <c r="I3840" s="552"/>
      <c r="J3840" s="552"/>
      <c r="K3840" s="552"/>
      <c r="L3840" s="552">
        <v>1</v>
      </c>
      <c r="M3840" s="552"/>
      <c r="N3840" s="552"/>
      <c r="O3840" s="552"/>
      <c r="P3840" s="552"/>
      <c r="Q3840" s="552"/>
      <c r="R3840" s="552"/>
      <c r="S3840" s="552"/>
      <c r="T3840" s="552"/>
      <c r="U3840" s="552"/>
      <c r="V3840" s="552"/>
      <c r="W3840" s="552"/>
      <c r="X3840" s="552"/>
      <c r="Y3840" s="552"/>
      <c r="Z3840" s="552"/>
      <c r="AA3840" s="552"/>
      <c r="AB3840" s="22">
        <f t="shared" si="1157"/>
        <v>1</v>
      </c>
      <c r="AC3840" s="23">
        <v>0</v>
      </c>
      <c r="AD3840" s="35"/>
      <c r="AE3840" s="35"/>
      <c r="AF3840" s="35"/>
      <c r="AG3840" s="35"/>
      <c r="AH3840" s="35"/>
      <c r="AI3840" s="35"/>
      <c r="AJ3840" s="35"/>
      <c r="AK3840" s="35"/>
      <c r="AL3840" s="35"/>
      <c r="AM3840" s="35"/>
      <c r="AN3840" s="35"/>
      <c r="AO3840" s="35"/>
      <c r="AP3840" s="35"/>
      <c r="AQ3840" s="35"/>
      <c r="AR3840" s="35"/>
      <c r="AS3840" s="35"/>
      <c r="AT3840" s="35"/>
      <c r="AU3840" s="35"/>
      <c r="AV3840" s="35"/>
      <c r="AW3840" s="35"/>
      <c r="AX3840" s="35"/>
      <c r="AY3840" s="35"/>
      <c r="AZ3840" s="35"/>
      <c r="BA3840" s="35"/>
      <c r="BB3840" s="22">
        <f t="shared" si="1158"/>
        <v>0</v>
      </c>
      <c r="BC3840" s="23">
        <v>0</v>
      </c>
      <c r="BD3840" s="130">
        <f t="shared" si="1159"/>
        <v>1</v>
      </c>
      <c r="BE3840" s="130">
        <f t="shared" si="1154"/>
        <v>0</v>
      </c>
      <c r="BF3840" s="195" t="e">
        <f t="shared" si="1160"/>
        <v>#DIV/0!</v>
      </c>
      <c r="BG3840" s="373"/>
    </row>
    <row r="3841" spans="1:61" s="46" customFormat="1" ht="15.95" customHeight="1">
      <c r="A3841" s="367">
        <v>14</v>
      </c>
      <c r="B3841" s="31" t="s">
        <v>1592</v>
      </c>
      <c r="C3841" s="32" t="s">
        <v>1593</v>
      </c>
      <c r="D3841" s="366"/>
      <c r="E3841" s="366"/>
      <c r="F3841" s="366"/>
      <c r="G3841" s="366"/>
      <c r="H3841" s="366"/>
      <c r="I3841" s="366"/>
      <c r="J3841" s="366"/>
      <c r="K3841" s="366"/>
      <c r="L3841" s="366"/>
      <c r="M3841" s="366"/>
      <c r="N3841" s="366"/>
      <c r="O3841" s="366"/>
      <c r="P3841" s="366"/>
      <c r="Q3841" s="366"/>
      <c r="R3841" s="366"/>
      <c r="S3841" s="366"/>
      <c r="T3841" s="366"/>
      <c r="U3841" s="366"/>
      <c r="V3841" s="366"/>
      <c r="W3841" s="366"/>
      <c r="X3841" s="366"/>
      <c r="Y3841" s="366"/>
      <c r="Z3841" s="366"/>
      <c r="AA3841" s="366"/>
      <c r="AB3841" s="22">
        <f t="shared" si="1157"/>
        <v>0</v>
      </c>
      <c r="AC3841" s="23">
        <v>1</v>
      </c>
      <c r="AD3841" s="35"/>
      <c r="AE3841" s="35"/>
      <c r="AF3841" s="35"/>
      <c r="AG3841" s="35"/>
      <c r="AH3841" s="35"/>
      <c r="AI3841" s="35"/>
      <c r="AJ3841" s="35"/>
      <c r="AK3841" s="35"/>
      <c r="AL3841" s="35"/>
      <c r="AM3841" s="35"/>
      <c r="AN3841" s="35"/>
      <c r="AO3841" s="35"/>
      <c r="AP3841" s="35"/>
      <c r="AQ3841" s="35"/>
      <c r="AR3841" s="35"/>
      <c r="AS3841" s="35"/>
      <c r="AT3841" s="35"/>
      <c r="AU3841" s="35"/>
      <c r="AV3841" s="35"/>
      <c r="AW3841" s="35"/>
      <c r="AX3841" s="35"/>
      <c r="AY3841" s="35"/>
      <c r="AZ3841" s="35"/>
      <c r="BA3841" s="35"/>
      <c r="BB3841" s="22">
        <f t="shared" si="1158"/>
        <v>0</v>
      </c>
      <c r="BC3841" s="23">
        <v>0</v>
      </c>
      <c r="BD3841" s="130">
        <f t="shared" si="1159"/>
        <v>0</v>
      </c>
      <c r="BE3841" s="130">
        <f t="shared" si="1154"/>
        <v>1</v>
      </c>
      <c r="BF3841" s="195">
        <f t="shared" si="1160"/>
        <v>0</v>
      </c>
      <c r="BG3841" s="373">
        <f t="shared" ref="BG3841:BG3851" si="1162">BE3841-BD3841</f>
        <v>1</v>
      </c>
    </row>
    <row r="3842" spans="1:61" s="46" customFormat="1" ht="15.95" customHeight="1">
      <c r="A3842" s="367">
        <v>15</v>
      </c>
      <c r="B3842" s="31" t="s">
        <v>1332</v>
      </c>
      <c r="C3842" s="32" t="s">
        <v>1333</v>
      </c>
      <c r="D3842" s="366"/>
      <c r="E3842" s="366"/>
      <c r="F3842" s="366"/>
      <c r="G3842" s="366"/>
      <c r="H3842" s="366">
        <v>9</v>
      </c>
      <c r="I3842" s="366"/>
      <c r="J3842" s="366"/>
      <c r="K3842" s="366"/>
      <c r="L3842" s="366">
        <v>26</v>
      </c>
      <c r="M3842" s="366"/>
      <c r="N3842" s="366"/>
      <c r="O3842" s="366"/>
      <c r="P3842" s="366">
        <v>5</v>
      </c>
      <c r="Q3842" s="366"/>
      <c r="R3842" s="366"/>
      <c r="S3842" s="366"/>
      <c r="T3842" s="366"/>
      <c r="U3842" s="366"/>
      <c r="V3842" s="366"/>
      <c r="W3842" s="366"/>
      <c r="X3842" s="366"/>
      <c r="Y3842" s="366"/>
      <c r="Z3842" s="366"/>
      <c r="AA3842" s="366"/>
      <c r="AB3842" s="22">
        <f t="shared" si="1157"/>
        <v>40</v>
      </c>
      <c r="AC3842" s="23">
        <v>681</v>
      </c>
      <c r="AD3842" s="35"/>
      <c r="AE3842" s="35"/>
      <c r="AF3842" s="35"/>
      <c r="AG3842" s="35"/>
      <c r="AH3842" s="35"/>
      <c r="AI3842" s="35"/>
      <c r="AJ3842" s="35"/>
      <c r="AK3842" s="35"/>
      <c r="AL3842" s="35"/>
      <c r="AM3842" s="35"/>
      <c r="AN3842" s="35"/>
      <c r="AO3842" s="35"/>
      <c r="AP3842" s="35"/>
      <c r="AQ3842" s="35"/>
      <c r="AR3842" s="35"/>
      <c r="AS3842" s="35"/>
      <c r="AT3842" s="35"/>
      <c r="AU3842" s="35"/>
      <c r="AV3842" s="35"/>
      <c r="AW3842" s="35"/>
      <c r="AX3842" s="35"/>
      <c r="AY3842" s="35"/>
      <c r="AZ3842" s="35"/>
      <c r="BA3842" s="35"/>
      <c r="BB3842" s="22">
        <f t="shared" si="1158"/>
        <v>0</v>
      </c>
      <c r="BC3842" s="23">
        <v>0</v>
      </c>
      <c r="BD3842" s="130">
        <f t="shared" si="1159"/>
        <v>40</v>
      </c>
      <c r="BE3842" s="130">
        <f t="shared" si="1154"/>
        <v>681</v>
      </c>
      <c r="BF3842" s="195">
        <f t="shared" si="1160"/>
        <v>5.8737151248164459</v>
      </c>
      <c r="BG3842" s="373">
        <f t="shared" si="1162"/>
        <v>641</v>
      </c>
    </row>
    <row r="3843" spans="1:61" s="46" customFormat="1" ht="15.95" customHeight="1">
      <c r="A3843" s="367">
        <v>16</v>
      </c>
      <c r="B3843" s="31" t="s">
        <v>915</v>
      </c>
      <c r="C3843" s="32" t="s">
        <v>1115</v>
      </c>
      <c r="D3843" s="366"/>
      <c r="E3843" s="366"/>
      <c r="F3843" s="366"/>
      <c r="G3843" s="366"/>
      <c r="H3843" s="366">
        <v>3</v>
      </c>
      <c r="I3843" s="366"/>
      <c r="J3843" s="366"/>
      <c r="K3843" s="366"/>
      <c r="L3843" s="366">
        <v>14</v>
      </c>
      <c r="M3843" s="366"/>
      <c r="N3843" s="366"/>
      <c r="O3843" s="366"/>
      <c r="P3843" s="366">
        <v>15</v>
      </c>
      <c r="Q3843" s="366"/>
      <c r="R3843" s="366"/>
      <c r="S3843" s="366"/>
      <c r="T3843" s="366"/>
      <c r="U3843" s="366"/>
      <c r="V3843" s="366"/>
      <c r="W3843" s="366"/>
      <c r="X3843" s="366"/>
      <c r="Y3843" s="366"/>
      <c r="Z3843" s="366"/>
      <c r="AA3843" s="366"/>
      <c r="AB3843" s="22">
        <f t="shared" si="1157"/>
        <v>32</v>
      </c>
      <c r="AC3843" s="23">
        <v>217</v>
      </c>
      <c r="AD3843" s="35"/>
      <c r="AE3843" s="35"/>
      <c r="AF3843" s="35"/>
      <c r="AG3843" s="35"/>
      <c r="AH3843" s="35"/>
      <c r="AI3843" s="35"/>
      <c r="AJ3843" s="35"/>
      <c r="AK3843" s="35"/>
      <c r="AL3843" s="35"/>
      <c r="AM3843" s="35"/>
      <c r="AN3843" s="35"/>
      <c r="AO3843" s="35"/>
      <c r="AP3843" s="35"/>
      <c r="AQ3843" s="35"/>
      <c r="AR3843" s="35"/>
      <c r="AS3843" s="35"/>
      <c r="AT3843" s="35"/>
      <c r="AU3843" s="35"/>
      <c r="AV3843" s="35"/>
      <c r="AW3843" s="35"/>
      <c r="AX3843" s="35"/>
      <c r="AY3843" s="35"/>
      <c r="AZ3843" s="35"/>
      <c r="BA3843" s="35"/>
      <c r="BB3843" s="22">
        <f t="shared" si="1158"/>
        <v>0</v>
      </c>
      <c r="BC3843" s="23">
        <v>0</v>
      </c>
      <c r="BD3843" s="130">
        <f t="shared" si="1159"/>
        <v>32</v>
      </c>
      <c r="BE3843" s="130">
        <f t="shared" si="1154"/>
        <v>217</v>
      </c>
      <c r="BF3843" s="195">
        <f t="shared" si="1160"/>
        <v>14.746543778801843</v>
      </c>
      <c r="BG3843" s="373">
        <f t="shared" si="1162"/>
        <v>185</v>
      </c>
    </row>
    <row r="3844" spans="1:61" s="46" customFormat="1" ht="15.95" customHeight="1">
      <c r="A3844" s="367">
        <v>17</v>
      </c>
      <c r="B3844" s="31" t="s">
        <v>854</v>
      </c>
      <c r="C3844" s="32" t="s">
        <v>2078</v>
      </c>
      <c r="D3844" s="366"/>
      <c r="E3844" s="366"/>
      <c r="F3844" s="366"/>
      <c r="G3844" s="366"/>
      <c r="H3844" s="366"/>
      <c r="I3844" s="366"/>
      <c r="J3844" s="366"/>
      <c r="K3844" s="366"/>
      <c r="L3844" s="366"/>
      <c r="M3844" s="366"/>
      <c r="N3844" s="366"/>
      <c r="O3844" s="366"/>
      <c r="P3844" s="366"/>
      <c r="Q3844" s="366"/>
      <c r="R3844" s="366"/>
      <c r="S3844" s="366"/>
      <c r="T3844" s="366"/>
      <c r="U3844" s="366"/>
      <c r="V3844" s="366"/>
      <c r="W3844" s="366"/>
      <c r="X3844" s="366"/>
      <c r="Y3844" s="366"/>
      <c r="Z3844" s="366"/>
      <c r="AA3844" s="366"/>
      <c r="AB3844" s="22">
        <f t="shared" si="1157"/>
        <v>0</v>
      </c>
      <c r="AC3844" s="23">
        <v>13</v>
      </c>
      <c r="AD3844" s="35"/>
      <c r="AE3844" s="35"/>
      <c r="AF3844" s="35"/>
      <c r="AG3844" s="35"/>
      <c r="AH3844" s="35"/>
      <c r="AI3844" s="35"/>
      <c r="AJ3844" s="35"/>
      <c r="AK3844" s="35"/>
      <c r="AL3844" s="35"/>
      <c r="AM3844" s="35"/>
      <c r="AN3844" s="35"/>
      <c r="AO3844" s="35"/>
      <c r="AP3844" s="35"/>
      <c r="AQ3844" s="35"/>
      <c r="AR3844" s="35"/>
      <c r="AS3844" s="35"/>
      <c r="AT3844" s="35"/>
      <c r="AU3844" s="35"/>
      <c r="AV3844" s="35"/>
      <c r="AW3844" s="35"/>
      <c r="AX3844" s="35"/>
      <c r="AY3844" s="35"/>
      <c r="AZ3844" s="35"/>
      <c r="BA3844" s="35"/>
      <c r="BB3844" s="22">
        <f t="shared" si="1158"/>
        <v>0</v>
      </c>
      <c r="BC3844" s="23">
        <v>0</v>
      </c>
      <c r="BD3844" s="130">
        <f t="shared" si="1159"/>
        <v>0</v>
      </c>
      <c r="BE3844" s="130">
        <f t="shared" si="1154"/>
        <v>13</v>
      </c>
      <c r="BF3844" s="195">
        <f t="shared" si="1160"/>
        <v>0</v>
      </c>
      <c r="BG3844" s="373">
        <f t="shared" si="1162"/>
        <v>13</v>
      </c>
    </row>
    <row r="3845" spans="1:61" s="46" customFormat="1" ht="15.95" customHeight="1">
      <c r="A3845" s="367">
        <v>18</v>
      </c>
      <c r="B3845" s="31" t="s">
        <v>860</v>
      </c>
      <c r="C3845" s="32" t="s">
        <v>1507</v>
      </c>
      <c r="D3845" s="366"/>
      <c r="E3845" s="366"/>
      <c r="F3845" s="366"/>
      <c r="G3845" s="366"/>
      <c r="H3845" s="366"/>
      <c r="I3845" s="366"/>
      <c r="J3845" s="366"/>
      <c r="K3845" s="366"/>
      <c r="L3845" s="366"/>
      <c r="M3845" s="366"/>
      <c r="N3845" s="366"/>
      <c r="O3845" s="366"/>
      <c r="P3845" s="366"/>
      <c r="Q3845" s="366"/>
      <c r="R3845" s="366"/>
      <c r="S3845" s="366"/>
      <c r="T3845" s="366"/>
      <c r="U3845" s="366"/>
      <c r="V3845" s="366"/>
      <c r="W3845" s="366"/>
      <c r="X3845" s="366"/>
      <c r="Y3845" s="366"/>
      <c r="Z3845" s="366"/>
      <c r="AA3845" s="366"/>
      <c r="AB3845" s="22">
        <f t="shared" si="1157"/>
        <v>0</v>
      </c>
      <c r="AC3845" s="23">
        <v>1</v>
      </c>
      <c r="AD3845" s="35"/>
      <c r="AE3845" s="35"/>
      <c r="AF3845" s="35"/>
      <c r="AG3845" s="35"/>
      <c r="AH3845" s="35"/>
      <c r="AI3845" s="35"/>
      <c r="AJ3845" s="35"/>
      <c r="AK3845" s="35"/>
      <c r="AL3845" s="35"/>
      <c r="AM3845" s="35"/>
      <c r="AN3845" s="35"/>
      <c r="AO3845" s="35"/>
      <c r="AP3845" s="35"/>
      <c r="AQ3845" s="35"/>
      <c r="AR3845" s="35"/>
      <c r="AS3845" s="35"/>
      <c r="AT3845" s="35"/>
      <c r="AU3845" s="35"/>
      <c r="AV3845" s="35"/>
      <c r="AW3845" s="35"/>
      <c r="AX3845" s="35"/>
      <c r="AY3845" s="35"/>
      <c r="AZ3845" s="35"/>
      <c r="BA3845" s="35"/>
      <c r="BB3845" s="22">
        <f t="shared" si="1158"/>
        <v>0</v>
      </c>
      <c r="BC3845" s="23">
        <v>0</v>
      </c>
      <c r="BD3845" s="130">
        <f t="shared" si="1159"/>
        <v>0</v>
      </c>
      <c r="BE3845" s="130">
        <f t="shared" si="1154"/>
        <v>1</v>
      </c>
      <c r="BF3845" s="195">
        <f t="shared" si="1160"/>
        <v>0</v>
      </c>
      <c r="BG3845" s="373">
        <f t="shared" si="1162"/>
        <v>1</v>
      </c>
    </row>
    <row r="3846" spans="1:61" s="46" customFormat="1" ht="15.95" customHeight="1">
      <c r="A3846" s="367">
        <v>19</v>
      </c>
      <c r="B3846" s="31" t="s">
        <v>865</v>
      </c>
      <c r="C3846" s="32" t="s">
        <v>1647</v>
      </c>
      <c r="D3846" s="366"/>
      <c r="E3846" s="366"/>
      <c r="F3846" s="366"/>
      <c r="G3846" s="366"/>
      <c r="H3846" s="366"/>
      <c r="I3846" s="366"/>
      <c r="J3846" s="366"/>
      <c r="K3846" s="366"/>
      <c r="L3846" s="366"/>
      <c r="M3846" s="366"/>
      <c r="N3846" s="366"/>
      <c r="O3846" s="366"/>
      <c r="P3846" s="366"/>
      <c r="Q3846" s="366"/>
      <c r="R3846" s="366"/>
      <c r="S3846" s="366"/>
      <c r="T3846" s="366"/>
      <c r="U3846" s="366"/>
      <c r="V3846" s="366"/>
      <c r="W3846" s="366"/>
      <c r="X3846" s="366"/>
      <c r="Y3846" s="366"/>
      <c r="Z3846" s="366"/>
      <c r="AA3846" s="366"/>
      <c r="AB3846" s="22">
        <f t="shared" si="1157"/>
        <v>0</v>
      </c>
      <c r="AC3846" s="23">
        <v>1</v>
      </c>
      <c r="AD3846" s="35"/>
      <c r="AE3846" s="35"/>
      <c r="AF3846" s="35"/>
      <c r="AG3846" s="35"/>
      <c r="AH3846" s="35"/>
      <c r="AI3846" s="35"/>
      <c r="AJ3846" s="35"/>
      <c r="AK3846" s="35"/>
      <c r="AL3846" s="35"/>
      <c r="AM3846" s="35"/>
      <c r="AN3846" s="35"/>
      <c r="AO3846" s="35"/>
      <c r="AP3846" s="35"/>
      <c r="AQ3846" s="35"/>
      <c r="AR3846" s="35"/>
      <c r="AS3846" s="35"/>
      <c r="AT3846" s="35"/>
      <c r="AU3846" s="35"/>
      <c r="AV3846" s="35"/>
      <c r="AW3846" s="35"/>
      <c r="AX3846" s="35"/>
      <c r="AY3846" s="35"/>
      <c r="AZ3846" s="35"/>
      <c r="BA3846" s="35"/>
      <c r="BB3846" s="22">
        <f t="shared" si="1158"/>
        <v>0</v>
      </c>
      <c r="BC3846" s="23">
        <v>0</v>
      </c>
      <c r="BD3846" s="130">
        <f t="shared" si="1159"/>
        <v>0</v>
      </c>
      <c r="BE3846" s="130">
        <f t="shared" si="1154"/>
        <v>1</v>
      </c>
      <c r="BF3846" s="195">
        <f t="shared" si="1160"/>
        <v>0</v>
      </c>
      <c r="BG3846" s="373">
        <f t="shared" si="1162"/>
        <v>1</v>
      </c>
    </row>
    <row r="3847" spans="1:61" s="46" customFormat="1" ht="15.95" customHeight="1">
      <c r="A3847" s="367">
        <v>20</v>
      </c>
      <c r="B3847" s="31" t="s">
        <v>1654</v>
      </c>
      <c r="C3847" s="32" t="s">
        <v>1983</v>
      </c>
      <c r="D3847" s="366"/>
      <c r="E3847" s="366"/>
      <c r="F3847" s="366"/>
      <c r="G3847" s="366"/>
      <c r="H3847" s="366"/>
      <c r="I3847" s="366"/>
      <c r="J3847" s="366"/>
      <c r="K3847" s="366"/>
      <c r="L3847" s="366"/>
      <c r="M3847" s="366"/>
      <c r="N3847" s="366"/>
      <c r="O3847" s="366"/>
      <c r="P3847" s="366"/>
      <c r="Q3847" s="366"/>
      <c r="R3847" s="366"/>
      <c r="S3847" s="366"/>
      <c r="T3847" s="366"/>
      <c r="U3847" s="366"/>
      <c r="V3847" s="366"/>
      <c r="W3847" s="366"/>
      <c r="X3847" s="366"/>
      <c r="Y3847" s="366"/>
      <c r="Z3847" s="366"/>
      <c r="AA3847" s="366"/>
      <c r="AB3847" s="22">
        <f t="shared" si="1157"/>
        <v>0</v>
      </c>
      <c r="AC3847" s="23">
        <v>2</v>
      </c>
      <c r="AD3847" s="35"/>
      <c r="AE3847" s="35"/>
      <c r="AF3847" s="35"/>
      <c r="AG3847" s="35"/>
      <c r="AH3847" s="35"/>
      <c r="AI3847" s="35"/>
      <c r="AJ3847" s="35"/>
      <c r="AK3847" s="35"/>
      <c r="AL3847" s="35"/>
      <c r="AM3847" s="35"/>
      <c r="AN3847" s="35"/>
      <c r="AO3847" s="35"/>
      <c r="AP3847" s="35"/>
      <c r="AQ3847" s="35"/>
      <c r="AR3847" s="35"/>
      <c r="AS3847" s="35"/>
      <c r="AT3847" s="35"/>
      <c r="AU3847" s="35"/>
      <c r="AV3847" s="35"/>
      <c r="AW3847" s="35"/>
      <c r="AX3847" s="35"/>
      <c r="AY3847" s="35"/>
      <c r="AZ3847" s="35"/>
      <c r="BA3847" s="35"/>
      <c r="BB3847" s="22">
        <f t="shared" si="1158"/>
        <v>0</v>
      </c>
      <c r="BC3847" s="23">
        <v>0</v>
      </c>
      <c r="BD3847" s="130">
        <f t="shared" si="1159"/>
        <v>0</v>
      </c>
      <c r="BE3847" s="130">
        <f t="shared" si="1154"/>
        <v>2</v>
      </c>
      <c r="BF3847" s="195">
        <f t="shared" si="1160"/>
        <v>0</v>
      </c>
      <c r="BG3847" s="373">
        <f t="shared" si="1162"/>
        <v>2</v>
      </c>
    </row>
    <row r="3848" spans="1:61" s="46" customFormat="1" ht="15.95" customHeight="1">
      <c r="A3848" s="367">
        <v>21</v>
      </c>
      <c r="B3848" s="31" t="s">
        <v>1035</v>
      </c>
      <c r="C3848" s="32" t="s">
        <v>1698</v>
      </c>
      <c r="D3848" s="366"/>
      <c r="E3848" s="366"/>
      <c r="F3848" s="366"/>
      <c r="G3848" s="366"/>
      <c r="H3848" s="366"/>
      <c r="I3848" s="366"/>
      <c r="J3848" s="366"/>
      <c r="K3848" s="366"/>
      <c r="L3848" s="366">
        <v>1</v>
      </c>
      <c r="M3848" s="366"/>
      <c r="N3848" s="366"/>
      <c r="O3848" s="366"/>
      <c r="P3848" s="366">
        <v>1</v>
      </c>
      <c r="Q3848" s="366"/>
      <c r="R3848" s="366"/>
      <c r="S3848" s="366"/>
      <c r="T3848" s="366"/>
      <c r="U3848" s="366"/>
      <c r="V3848" s="366"/>
      <c r="W3848" s="366"/>
      <c r="X3848" s="366"/>
      <c r="Y3848" s="366"/>
      <c r="Z3848" s="366"/>
      <c r="AA3848" s="366"/>
      <c r="AB3848" s="22">
        <f t="shared" si="1157"/>
        <v>2</v>
      </c>
      <c r="AC3848" s="23">
        <v>21</v>
      </c>
      <c r="AD3848" s="35"/>
      <c r="AE3848" s="35"/>
      <c r="AF3848" s="35"/>
      <c r="AG3848" s="35"/>
      <c r="AH3848" s="35"/>
      <c r="AI3848" s="35"/>
      <c r="AJ3848" s="35"/>
      <c r="AK3848" s="35"/>
      <c r="AL3848" s="35"/>
      <c r="AM3848" s="35"/>
      <c r="AN3848" s="35"/>
      <c r="AO3848" s="35"/>
      <c r="AP3848" s="35"/>
      <c r="AQ3848" s="35"/>
      <c r="AR3848" s="35"/>
      <c r="AS3848" s="35"/>
      <c r="AT3848" s="35"/>
      <c r="AU3848" s="35"/>
      <c r="AV3848" s="35"/>
      <c r="AW3848" s="35"/>
      <c r="AX3848" s="35"/>
      <c r="AY3848" s="35"/>
      <c r="AZ3848" s="35"/>
      <c r="BA3848" s="35"/>
      <c r="BB3848" s="22">
        <f t="shared" si="1158"/>
        <v>0</v>
      </c>
      <c r="BC3848" s="23">
        <v>0</v>
      </c>
      <c r="BD3848" s="130">
        <f t="shared" si="1159"/>
        <v>2</v>
      </c>
      <c r="BE3848" s="130">
        <f t="shared" si="1154"/>
        <v>21</v>
      </c>
      <c r="BF3848" s="195">
        <f t="shared" si="1160"/>
        <v>9.5238095238095237</v>
      </c>
      <c r="BG3848" s="373">
        <f t="shared" si="1162"/>
        <v>19</v>
      </c>
    </row>
    <row r="3849" spans="1:61" s="46" customFormat="1" ht="15.95" customHeight="1">
      <c r="A3849" s="367">
        <v>22</v>
      </c>
      <c r="B3849" s="31" t="s">
        <v>977</v>
      </c>
      <c r="C3849" s="32" t="s">
        <v>1699</v>
      </c>
      <c r="D3849" s="366"/>
      <c r="E3849" s="366"/>
      <c r="F3849" s="366"/>
      <c r="G3849" s="366"/>
      <c r="H3849" s="366"/>
      <c r="I3849" s="366"/>
      <c r="J3849" s="366"/>
      <c r="K3849" s="366"/>
      <c r="L3849" s="366"/>
      <c r="M3849" s="366"/>
      <c r="N3849" s="366"/>
      <c r="O3849" s="366"/>
      <c r="P3849" s="366"/>
      <c r="Q3849" s="366"/>
      <c r="R3849" s="366"/>
      <c r="S3849" s="366"/>
      <c r="T3849" s="366"/>
      <c r="U3849" s="366"/>
      <c r="V3849" s="366"/>
      <c r="W3849" s="366"/>
      <c r="X3849" s="366"/>
      <c r="Y3849" s="366"/>
      <c r="Z3849" s="366"/>
      <c r="AA3849" s="366"/>
      <c r="AB3849" s="22">
        <f t="shared" si="1157"/>
        <v>0</v>
      </c>
      <c r="AC3849" s="23">
        <v>1</v>
      </c>
      <c r="AD3849" s="35"/>
      <c r="AE3849" s="35"/>
      <c r="AF3849" s="35"/>
      <c r="AG3849" s="35"/>
      <c r="AH3849" s="35"/>
      <c r="AI3849" s="35"/>
      <c r="AJ3849" s="35"/>
      <c r="AK3849" s="35"/>
      <c r="AL3849" s="35"/>
      <c r="AM3849" s="35"/>
      <c r="AN3849" s="35"/>
      <c r="AO3849" s="35"/>
      <c r="AP3849" s="35"/>
      <c r="AQ3849" s="35"/>
      <c r="AR3849" s="35"/>
      <c r="AS3849" s="35"/>
      <c r="AT3849" s="35"/>
      <c r="AU3849" s="35"/>
      <c r="AV3849" s="35"/>
      <c r="AW3849" s="35"/>
      <c r="AX3849" s="35"/>
      <c r="AY3849" s="35"/>
      <c r="AZ3849" s="35"/>
      <c r="BA3849" s="35"/>
      <c r="BB3849" s="22">
        <f t="shared" si="1158"/>
        <v>0</v>
      </c>
      <c r="BC3849" s="23">
        <v>0</v>
      </c>
      <c r="BD3849" s="130">
        <f t="shared" si="1159"/>
        <v>0</v>
      </c>
      <c r="BE3849" s="130">
        <f t="shared" si="1154"/>
        <v>1</v>
      </c>
      <c r="BF3849" s="195">
        <f t="shared" si="1160"/>
        <v>0</v>
      </c>
      <c r="BG3849" s="373">
        <f t="shared" si="1162"/>
        <v>1</v>
      </c>
    </row>
    <row r="3850" spans="1:61" s="46" customFormat="1" ht="15.95" customHeight="1">
      <c r="A3850" s="367">
        <v>23</v>
      </c>
      <c r="B3850" s="31" t="s">
        <v>1607</v>
      </c>
      <c r="C3850" s="32" t="s">
        <v>1608</v>
      </c>
      <c r="D3850" s="390"/>
      <c r="E3850" s="390"/>
      <c r="F3850" s="390"/>
      <c r="G3850" s="390"/>
      <c r="H3850" s="390"/>
      <c r="I3850" s="390"/>
      <c r="J3850" s="390"/>
      <c r="K3850" s="390"/>
      <c r="L3850" s="390"/>
      <c r="M3850" s="390"/>
      <c r="N3850" s="390"/>
      <c r="O3850" s="390"/>
      <c r="P3850" s="390"/>
      <c r="Q3850" s="390"/>
      <c r="R3850" s="390"/>
      <c r="S3850" s="390"/>
      <c r="T3850" s="390"/>
      <c r="U3850" s="390"/>
      <c r="V3850" s="390"/>
      <c r="W3850" s="390"/>
      <c r="X3850" s="390"/>
      <c r="Y3850" s="390"/>
      <c r="Z3850" s="390"/>
      <c r="AA3850" s="390"/>
      <c r="AB3850" s="22">
        <f t="shared" si="1157"/>
        <v>0</v>
      </c>
      <c r="AC3850" s="23">
        <v>2</v>
      </c>
      <c r="AD3850" s="35"/>
      <c r="AE3850" s="35"/>
      <c r="AF3850" s="35"/>
      <c r="AG3850" s="35"/>
      <c r="AH3850" s="35"/>
      <c r="AI3850" s="35"/>
      <c r="AJ3850" s="35"/>
      <c r="AK3850" s="35"/>
      <c r="AL3850" s="35"/>
      <c r="AM3850" s="35"/>
      <c r="AN3850" s="35"/>
      <c r="AO3850" s="35"/>
      <c r="AP3850" s="35"/>
      <c r="AQ3850" s="35"/>
      <c r="AR3850" s="35"/>
      <c r="AS3850" s="35"/>
      <c r="AT3850" s="35"/>
      <c r="AU3850" s="35"/>
      <c r="AV3850" s="35"/>
      <c r="AW3850" s="35"/>
      <c r="AX3850" s="35"/>
      <c r="AY3850" s="35"/>
      <c r="AZ3850" s="35"/>
      <c r="BA3850" s="35"/>
      <c r="BB3850" s="22">
        <f t="shared" si="1158"/>
        <v>0</v>
      </c>
      <c r="BC3850" s="23">
        <v>0</v>
      </c>
      <c r="BD3850" s="130">
        <f t="shared" si="1159"/>
        <v>0</v>
      </c>
      <c r="BE3850" s="130">
        <f t="shared" si="1154"/>
        <v>2</v>
      </c>
      <c r="BF3850" s="195">
        <f t="shared" si="1160"/>
        <v>0</v>
      </c>
      <c r="BG3850" s="373">
        <f t="shared" si="1162"/>
        <v>2</v>
      </c>
    </row>
    <row r="3851" spans="1:61" s="46" customFormat="1" ht="15.95" customHeight="1">
      <c r="A3851" s="367">
        <v>24</v>
      </c>
      <c r="B3851" s="31" t="s">
        <v>1361</v>
      </c>
      <c r="C3851" s="32" t="s">
        <v>1362</v>
      </c>
      <c r="D3851" s="366"/>
      <c r="E3851" s="366"/>
      <c r="F3851" s="366"/>
      <c r="G3851" s="366"/>
      <c r="H3851" s="366">
        <v>74</v>
      </c>
      <c r="I3851" s="366"/>
      <c r="J3851" s="366"/>
      <c r="K3851" s="366"/>
      <c r="L3851" s="366">
        <v>161</v>
      </c>
      <c r="M3851" s="366"/>
      <c r="N3851" s="366"/>
      <c r="O3851" s="366"/>
      <c r="P3851" s="366">
        <v>84</v>
      </c>
      <c r="Q3851" s="366"/>
      <c r="R3851" s="366"/>
      <c r="S3851" s="366"/>
      <c r="T3851" s="366"/>
      <c r="U3851" s="366"/>
      <c r="V3851" s="366"/>
      <c r="W3851" s="366"/>
      <c r="X3851" s="366"/>
      <c r="Y3851" s="366"/>
      <c r="Z3851" s="366"/>
      <c r="AA3851" s="366"/>
      <c r="AB3851" s="22">
        <f t="shared" si="1157"/>
        <v>319</v>
      </c>
      <c r="AC3851" s="23">
        <v>5165</v>
      </c>
      <c r="AD3851" s="35"/>
      <c r="AE3851" s="35"/>
      <c r="AF3851" s="35"/>
      <c r="AG3851" s="35"/>
      <c r="AH3851" s="35"/>
      <c r="AI3851" s="35"/>
      <c r="AJ3851" s="35"/>
      <c r="AK3851" s="35"/>
      <c r="AL3851" s="35"/>
      <c r="AM3851" s="35"/>
      <c r="AN3851" s="35"/>
      <c r="AO3851" s="35"/>
      <c r="AP3851" s="35"/>
      <c r="AQ3851" s="35"/>
      <c r="AR3851" s="35"/>
      <c r="AS3851" s="35"/>
      <c r="AT3851" s="35"/>
      <c r="AU3851" s="35"/>
      <c r="AV3851" s="35"/>
      <c r="AW3851" s="35"/>
      <c r="AX3851" s="35"/>
      <c r="AY3851" s="35"/>
      <c r="AZ3851" s="35"/>
      <c r="BA3851" s="35"/>
      <c r="BB3851" s="22">
        <f t="shared" si="1158"/>
        <v>0</v>
      </c>
      <c r="BC3851" s="23">
        <v>0</v>
      </c>
      <c r="BD3851" s="130">
        <f t="shared" si="1159"/>
        <v>319</v>
      </c>
      <c r="BE3851" s="130">
        <f t="shared" si="1154"/>
        <v>5165</v>
      </c>
      <c r="BF3851" s="195">
        <f t="shared" si="1160"/>
        <v>6.1761858664085185</v>
      </c>
      <c r="BG3851" s="373">
        <f t="shared" si="1162"/>
        <v>4846</v>
      </c>
    </row>
    <row r="3852" spans="1:61" s="46" customFormat="1" ht="15.95" customHeight="1">
      <c r="A3852" s="641" t="s">
        <v>1700</v>
      </c>
      <c r="B3852" s="641"/>
      <c r="C3852" s="641"/>
      <c r="D3852" s="98">
        <f t="shared" ref="D3852:AI3852" si="1163">SUM(D3853:D3871)</f>
        <v>772</v>
      </c>
      <c r="E3852" s="98">
        <f t="shared" si="1163"/>
        <v>0</v>
      </c>
      <c r="F3852" s="98">
        <f t="shared" si="1163"/>
        <v>0</v>
      </c>
      <c r="G3852" s="98">
        <f t="shared" si="1163"/>
        <v>1090</v>
      </c>
      <c r="H3852" s="98">
        <f t="shared" si="1163"/>
        <v>1352</v>
      </c>
      <c r="I3852" s="98">
        <f t="shared" si="1163"/>
        <v>0</v>
      </c>
      <c r="J3852" s="98">
        <f t="shared" si="1163"/>
        <v>0</v>
      </c>
      <c r="K3852" s="98">
        <f t="shared" si="1163"/>
        <v>1635</v>
      </c>
      <c r="L3852" s="98">
        <f t="shared" si="1163"/>
        <v>1899</v>
      </c>
      <c r="M3852" s="98">
        <f t="shared" si="1163"/>
        <v>0</v>
      </c>
      <c r="N3852" s="98">
        <f t="shared" si="1163"/>
        <v>0</v>
      </c>
      <c r="O3852" s="98">
        <f t="shared" si="1163"/>
        <v>2790</v>
      </c>
      <c r="P3852" s="98">
        <f t="shared" si="1163"/>
        <v>2107</v>
      </c>
      <c r="Q3852" s="98">
        <f t="shared" si="1163"/>
        <v>0</v>
      </c>
      <c r="R3852" s="98">
        <f t="shared" si="1163"/>
        <v>0</v>
      </c>
      <c r="S3852" s="98">
        <f t="shared" si="1163"/>
        <v>1611</v>
      </c>
      <c r="T3852" s="98">
        <f t="shared" si="1163"/>
        <v>0</v>
      </c>
      <c r="U3852" s="98">
        <f t="shared" si="1163"/>
        <v>0</v>
      </c>
      <c r="V3852" s="98">
        <f t="shared" si="1163"/>
        <v>0</v>
      </c>
      <c r="W3852" s="98">
        <f t="shared" si="1163"/>
        <v>0</v>
      </c>
      <c r="X3852" s="98">
        <f t="shared" si="1163"/>
        <v>0</v>
      </c>
      <c r="Y3852" s="98">
        <f t="shared" si="1163"/>
        <v>0</v>
      </c>
      <c r="Z3852" s="98">
        <f t="shared" si="1163"/>
        <v>0</v>
      </c>
      <c r="AA3852" s="98">
        <f t="shared" si="1163"/>
        <v>0</v>
      </c>
      <c r="AB3852" s="98">
        <f t="shared" si="1163"/>
        <v>13256</v>
      </c>
      <c r="AC3852" s="127">
        <f t="shared" si="1163"/>
        <v>5073</v>
      </c>
      <c r="AD3852" s="98">
        <f t="shared" si="1163"/>
        <v>0</v>
      </c>
      <c r="AE3852" s="98">
        <f t="shared" si="1163"/>
        <v>0</v>
      </c>
      <c r="AF3852" s="98">
        <f t="shared" si="1163"/>
        <v>0</v>
      </c>
      <c r="AG3852" s="98">
        <f t="shared" si="1163"/>
        <v>0</v>
      </c>
      <c r="AH3852" s="98">
        <f t="shared" si="1163"/>
        <v>0</v>
      </c>
      <c r="AI3852" s="98">
        <f t="shared" si="1163"/>
        <v>0</v>
      </c>
      <c r="AJ3852" s="98">
        <f t="shared" ref="AJ3852:BC3852" si="1164">SUM(AJ3853:AJ3871)</f>
        <v>0</v>
      </c>
      <c r="AK3852" s="98">
        <f t="shared" si="1164"/>
        <v>0</v>
      </c>
      <c r="AL3852" s="98">
        <f t="shared" si="1164"/>
        <v>0</v>
      </c>
      <c r="AM3852" s="98">
        <f t="shared" si="1164"/>
        <v>0</v>
      </c>
      <c r="AN3852" s="98">
        <f t="shared" si="1164"/>
        <v>0</v>
      </c>
      <c r="AO3852" s="98">
        <f t="shared" si="1164"/>
        <v>0</v>
      </c>
      <c r="AP3852" s="98">
        <f t="shared" si="1164"/>
        <v>0</v>
      </c>
      <c r="AQ3852" s="98">
        <f t="shared" si="1164"/>
        <v>0</v>
      </c>
      <c r="AR3852" s="98">
        <f t="shared" si="1164"/>
        <v>0</v>
      </c>
      <c r="AS3852" s="98">
        <f t="shared" si="1164"/>
        <v>0</v>
      </c>
      <c r="AT3852" s="98">
        <f t="shared" si="1164"/>
        <v>0</v>
      </c>
      <c r="AU3852" s="98">
        <f t="shared" si="1164"/>
        <v>0</v>
      </c>
      <c r="AV3852" s="98">
        <f t="shared" si="1164"/>
        <v>0</v>
      </c>
      <c r="AW3852" s="98">
        <f t="shared" si="1164"/>
        <v>0</v>
      </c>
      <c r="AX3852" s="98">
        <f t="shared" si="1164"/>
        <v>0</v>
      </c>
      <c r="AY3852" s="98">
        <f t="shared" si="1164"/>
        <v>0</v>
      </c>
      <c r="AZ3852" s="98">
        <f t="shared" si="1164"/>
        <v>0</v>
      </c>
      <c r="BA3852" s="98">
        <f t="shared" si="1164"/>
        <v>0</v>
      </c>
      <c r="BB3852" s="98">
        <f t="shared" si="1164"/>
        <v>0</v>
      </c>
      <c r="BC3852" s="103">
        <f t="shared" si="1164"/>
        <v>0</v>
      </c>
      <c r="BD3852" s="130">
        <f t="shared" si="1153"/>
        <v>13256</v>
      </c>
      <c r="BE3852" s="130">
        <f t="shared" si="1154"/>
        <v>5073</v>
      </c>
      <c r="BF3852" s="195">
        <f t="shared" si="1155"/>
        <v>261.30494776266511</v>
      </c>
      <c r="BG3852" s="375">
        <f t="shared" si="1156"/>
        <v>-8183</v>
      </c>
    </row>
    <row r="3853" spans="1:61" s="46" customFormat="1" ht="21" customHeight="1">
      <c r="A3853" s="434" t="s">
        <v>1701</v>
      </c>
      <c r="B3853" s="418" t="s">
        <v>926</v>
      </c>
      <c r="C3853" s="419" t="s">
        <v>927</v>
      </c>
      <c r="D3853" s="366"/>
      <c r="E3853" s="366"/>
      <c r="F3853" s="366"/>
      <c r="G3853" s="366"/>
      <c r="H3853" s="366"/>
      <c r="I3853" s="366"/>
      <c r="J3853" s="366"/>
      <c r="K3853" s="366"/>
      <c r="L3853" s="366"/>
      <c r="M3853" s="366"/>
      <c r="N3853" s="366"/>
      <c r="O3853" s="366">
        <v>4</v>
      </c>
      <c r="P3853" s="366"/>
      <c r="Q3853" s="366"/>
      <c r="R3853" s="366"/>
      <c r="S3853" s="366">
        <v>1</v>
      </c>
      <c r="T3853" s="366"/>
      <c r="U3853" s="366"/>
      <c r="V3853" s="366"/>
      <c r="W3853" s="366"/>
      <c r="X3853" s="366"/>
      <c r="Y3853" s="366"/>
      <c r="Z3853" s="366"/>
      <c r="AA3853" s="366"/>
      <c r="AB3853" s="22">
        <f t="shared" ref="AB3853:AB3871" si="1165">SUM(D3853:AA3853)</f>
        <v>5</v>
      </c>
      <c r="AC3853" s="23">
        <v>0</v>
      </c>
      <c r="AD3853" s="35"/>
      <c r="AE3853" s="35"/>
      <c r="AF3853" s="35"/>
      <c r="AG3853" s="35"/>
      <c r="AH3853" s="35"/>
      <c r="AI3853" s="35"/>
      <c r="AJ3853" s="35"/>
      <c r="AK3853" s="35"/>
      <c r="AL3853" s="35"/>
      <c r="AM3853" s="35"/>
      <c r="AN3853" s="35"/>
      <c r="AO3853" s="35"/>
      <c r="AP3853" s="35"/>
      <c r="AQ3853" s="35"/>
      <c r="AR3853" s="35"/>
      <c r="AS3853" s="35"/>
      <c r="AT3853" s="35"/>
      <c r="AU3853" s="35"/>
      <c r="AV3853" s="35"/>
      <c r="AW3853" s="35"/>
      <c r="AX3853" s="35"/>
      <c r="AY3853" s="35"/>
      <c r="AZ3853" s="35"/>
      <c r="BA3853" s="35"/>
      <c r="BB3853" s="22">
        <f t="shared" ref="BB3853:BB3871" si="1166">SUM(AD3853:BA3853)</f>
        <v>0</v>
      </c>
      <c r="BC3853" s="23">
        <v>0</v>
      </c>
      <c r="BD3853" s="130">
        <f t="shared" ref="BD3853:BD3871" si="1167">AB3853+BB3853</f>
        <v>5</v>
      </c>
      <c r="BE3853" s="130">
        <f t="shared" ref="BE3853:BE3871" si="1168">AC3853+BC3853</f>
        <v>0</v>
      </c>
      <c r="BF3853" s="195" t="e">
        <f t="shared" ref="BF3853:BF3871" si="1169">BD3853/BE3853*100</f>
        <v>#DIV/0!</v>
      </c>
      <c r="BG3853" s="373"/>
      <c r="BH3853" s="426"/>
      <c r="BI3853" s="421"/>
    </row>
    <row r="3854" spans="1:61" s="46" customFormat="1" ht="21" customHeight="1">
      <c r="A3854" s="434" t="s">
        <v>1702</v>
      </c>
      <c r="B3854" s="418" t="s">
        <v>1266</v>
      </c>
      <c r="C3854" s="419" t="s">
        <v>1267</v>
      </c>
      <c r="D3854" s="553"/>
      <c r="E3854" s="553"/>
      <c r="F3854" s="553"/>
      <c r="G3854" s="553"/>
      <c r="H3854" s="553"/>
      <c r="I3854" s="553"/>
      <c r="J3854" s="553"/>
      <c r="K3854" s="553"/>
      <c r="L3854" s="553"/>
      <c r="M3854" s="553"/>
      <c r="N3854" s="553"/>
      <c r="O3854" s="553">
        <v>4</v>
      </c>
      <c r="P3854" s="553"/>
      <c r="Q3854" s="553"/>
      <c r="R3854" s="553"/>
      <c r="S3854" s="553">
        <v>1</v>
      </c>
      <c r="T3854" s="553"/>
      <c r="U3854" s="553"/>
      <c r="V3854" s="553"/>
      <c r="W3854" s="553"/>
      <c r="X3854" s="553"/>
      <c r="Y3854" s="553"/>
      <c r="Z3854" s="553"/>
      <c r="AA3854" s="553"/>
      <c r="AB3854" s="22">
        <f t="shared" si="1165"/>
        <v>5</v>
      </c>
      <c r="AC3854" s="23">
        <v>0</v>
      </c>
      <c r="AD3854" s="35"/>
      <c r="AE3854" s="35"/>
      <c r="AF3854" s="35"/>
      <c r="AG3854" s="35"/>
      <c r="AH3854" s="35"/>
      <c r="AI3854" s="35"/>
      <c r="AJ3854" s="35"/>
      <c r="AK3854" s="35"/>
      <c r="AL3854" s="35"/>
      <c r="AM3854" s="35"/>
      <c r="AN3854" s="35"/>
      <c r="AO3854" s="35"/>
      <c r="AP3854" s="35"/>
      <c r="AQ3854" s="35"/>
      <c r="AR3854" s="35"/>
      <c r="AS3854" s="35"/>
      <c r="AT3854" s="35"/>
      <c r="AU3854" s="35"/>
      <c r="AV3854" s="35"/>
      <c r="AW3854" s="35"/>
      <c r="AX3854" s="35"/>
      <c r="AY3854" s="35"/>
      <c r="AZ3854" s="35"/>
      <c r="BA3854" s="35"/>
      <c r="BB3854" s="22">
        <f t="shared" si="1166"/>
        <v>0</v>
      </c>
      <c r="BC3854" s="23">
        <v>0</v>
      </c>
      <c r="BD3854" s="130">
        <f t="shared" si="1167"/>
        <v>5</v>
      </c>
      <c r="BE3854" s="130">
        <f t="shared" si="1168"/>
        <v>0</v>
      </c>
      <c r="BF3854" s="195" t="e">
        <f t="shared" si="1169"/>
        <v>#DIV/0!</v>
      </c>
      <c r="BG3854" s="373"/>
      <c r="BH3854" s="426"/>
      <c r="BI3854" s="421"/>
    </row>
    <row r="3855" spans="1:61" s="46" customFormat="1" ht="21" customHeight="1">
      <c r="A3855" s="434" t="s">
        <v>1704</v>
      </c>
      <c r="B3855" s="418" t="s">
        <v>2246</v>
      </c>
      <c r="C3855" s="419" t="s">
        <v>2247</v>
      </c>
      <c r="D3855" s="553"/>
      <c r="E3855" s="553"/>
      <c r="F3855" s="553"/>
      <c r="G3855" s="553">
        <f>997+93</f>
        <v>1090</v>
      </c>
      <c r="H3855" s="553"/>
      <c r="I3855" s="553"/>
      <c r="J3855" s="553"/>
      <c r="K3855" s="553">
        <f>1562+73</f>
        <v>1635</v>
      </c>
      <c r="L3855" s="553"/>
      <c r="M3855" s="553"/>
      <c r="N3855" s="553"/>
      <c r="O3855" s="553">
        <f>2628+154</f>
        <v>2782</v>
      </c>
      <c r="P3855" s="553"/>
      <c r="Q3855" s="553"/>
      <c r="R3855" s="553"/>
      <c r="S3855" s="553">
        <f>1379+230</f>
        <v>1609</v>
      </c>
      <c r="T3855" s="553"/>
      <c r="U3855" s="553"/>
      <c r="V3855" s="553"/>
      <c r="W3855" s="553"/>
      <c r="X3855" s="553"/>
      <c r="Y3855" s="553"/>
      <c r="Z3855" s="553"/>
      <c r="AA3855" s="553"/>
      <c r="AB3855" s="22">
        <f t="shared" si="1165"/>
        <v>7116</v>
      </c>
      <c r="AC3855" s="23">
        <v>887</v>
      </c>
      <c r="AD3855" s="35"/>
      <c r="AE3855" s="35"/>
      <c r="AF3855" s="35"/>
      <c r="AG3855" s="35"/>
      <c r="AH3855" s="35"/>
      <c r="AI3855" s="35"/>
      <c r="AJ3855" s="35"/>
      <c r="AK3855" s="35"/>
      <c r="AL3855" s="35"/>
      <c r="AM3855" s="35"/>
      <c r="AN3855" s="35"/>
      <c r="AO3855" s="35"/>
      <c r="AP3855" s="35"/>
      <c r="AQ3855" s="35"/>
      <c r="AR3855" s="35"/>
      <c r="AS3855" s="35"/>
      <c r="AT3855" s="35"/>
      <c r="AU3855" s="35"/>
      <c r="AV3855" s="35"/>
      <c r="AW3855" s="35"/>
      <c r="AX3855" s="35"/>
      <c r="AY3855" s="35"/>
      <c r="AZ3855" s="35"/>
      <c r="BA3855" s="35"/>
      <c r="BB3855" s="22">
        <f t="shared" si="1166"/>
        <v>0</v>
      </c>
      <c r="BC3855" s="23">
        <v>0</v>
      </c>
      <c r="BD3855" s="130">
        <f t="shared" si="1167"/>
        <v>7116</v>
      </c>
      <c r="BE3855" s="130">
        <f t="shared" si="1168"/>
        <v>887</v>
      </c>
      <c r="BF3855" s="195">
        <f t="shared" si="1169"/>
        <v>802.25479143179257</v>
      </c>
      <c r="BG3855" s="373">
        <f t="shared" ref="BG3855:BG3871" si="1170">BE3855-BD3855</f>
        <v>-6229</v>
      </c>
      <c r="BH3855" s="426" t="s">
        <v>3675</v>
      </c>
      <c r="BI3855" s="421"/>
    </row>
    <row r="3856" spans="1:61" s="46" customFormat="1" ht="15.95" customHeight="1">
      <c r="A3856" s="369" t="s">
        <v>1705</v>
      </c>
      <c r="B3856" s="31" t="s">
        <v>746</v>
      </c>
      <c r="C3856" s="32" t="s">
        <v>1520</v>
      </c>
      <c r="D3856" s="366"/>
      <c r="E3856" s="366"/>
      <c r="F3856" s="366"/>
      <c r="G3856" s="366"/>
      <c r="H3856" s="366"/>
      <c r="I3856" s="366"/>
      <c r="J3856" s="366"/>
      <c r="K3856" s="366"/>
      <c r="L3856" s="366"/>
      <c r="M3856" s="366"/>
      <c r="N3856" s="366"/>
      <c r="O3856" s="366"/>
      <c r="P3856" s="366"/>
      <c r="Q3856" s="366"/>
      <c r="R3856" s="366"/>
      <c r="S3856" s="366"/>
      <c r="T3856" s="366"/>
      <c r="U3856" s="366"/>
      <c r="V3856" s="366"/>
      <c r="W3856" s="366"/>
      <c r="X3856" s="366"/>
      <c r="Y3856" s="366"/>
      <c r="Z3856" s="366"/>
      <c r="AA3856" s="366"/>
      <c r="AB3856" s="22">
        <f t="shared" si="1165"/>
        <v>0</v>
      </c>
      <c r="AC3856" s="23">
        <v>1</v>
      </c>
      <c r="AD3856" s="35"/>
      <c r="AE3856" s="35"/>
      <c r="AF3856" s="35"/>
      <c r="AG3856" s="35"/>
      <c r="AH3856" s="35"/>
      <c r="AI3856" s="35"/>
      <c r="AJ3856" s="35"/>
      <c r="AK3856" s="35"/>
      <c r="AL3856" s="35"/>
      <c r="AM3856" s="35"/>
      <c r="AN3856" s="35"/>
      <c r="AO3856" s="35"/>
      <c r="AP3856" s="35"/>
      <c r="AQ3856" s="35"/>
      <c r="AR3856" s="35"/>
      <c r="AS3856" s="35"/>
      <c r="AT3856" s="35"/>
      <c r="AU3856" s="35"/>
      <c r="AV3856" s="35"/>
      <c r="AW3856" s="35"/>
      <c r="AX3856" s="35"/>
      <c r="AY3856" s="35"/>
      <c r="AZ3856" s="35"/>
      <c r="BA3856" s="35"/>
      <c r="BB3856" s="22">
        <f t="shared" si="1166"/>
        <v>0</v>
      </c>
      <c r="BC3856" s="23">
        <v>0</v>
      </c>
      <c r="BD3856" s="130">
        <f t="shared" si="1167"/>
        <v>0</v>
      </c>
      <c r="BE3856" s="130">
        <f t="shared" si="1168"/>
        <v>1</v>
      </c>
      <c r="BF3856" s="195">
        <f t="shared" si="1169"/>
        <v>0</v>
      </c>
      <c r="BG3856" s="373">
        <f t="shared" si="1170"/>
        <v>1</v>
      </c>
    </row>
    <row r="3857" spans="1:59" s="46" customFormat="1" ht="15.95" customHeight="1">
      <c r="A3857" s="369" t="s">
        <v>1706</v>
      </c>
      <c r="B3857" s="31" t="s">
        <v>1135</v>
      </c>
      <c r="C3857" s="32" t="s">
        <v>1216</v>
      </c>
      <c r="D3857" s="390"/>
      <c r="E3857" s="390"/>
      <c r="F3857" s="390"/>
      <c r="G3857" s="390"/>
      <c r="H3857" s="390"/>
      <c r="I3857" s="390"/>
      <c r="J3857" s="390"/>
      <c r="K3857" s="390"/>
      <c r="L3857" s="390"/>
      <c r="M3857" s="390"/>
      <c r="N3857" s="390"/>
      <c r="O3857" s="390"/>
      <c r="P3857" s="390"/>
      <c r="Q3857" s="390"/>
      <c r="R3857" s="390"/>
      <c r="S3857" s="390"/>
      <c r="T3857" s="390"/>
      <c r="U3857" s="390"/>
      <c r="V3857" s="390"/>
      <c r="W3857" s="390"/>
      <c r="X3857" s="390"/>
      <c r="Y3857" s="390"/>
      <c r="Z3857" s="390"/>
      <c r="AA3857" s="390"/>
      <c r="AB3857" s="22">
        <f t="shared" si="1165"/>
        <v>0</v>
      </c>
      <c r="AC3857" s="23">
        <v>2</v>
      </c>
      <c r="AD3857" s="35"/>
      <c r="AE3857" s="35"/>
      <c r="AF3857" s="35"/>
      <c r="AG3857" s="35"/>
      <c r="AH3857" s="35"/>
      <c r="AI3857" s="35"/>
      <c r="AJ3857" s="35"/>
      <c r="AK3857" s="35"/>
      <c r="AL3857" s="35"/>
      <c r="AM3857" s="35"/>
      <c r="AN3857" s="35"/>
      <c r="AO3857" s="35"/>
      <c r="AP3857" s="35"/>
      <c r="AQ3857" s="35"/>
      <c r="AR3857" s="35"/>
      <c r="AS3857" s="35"/>
      <c r="AT3857" s="35"/>
      <c r="AU3857" s="35"/>
      <c r="AV3857" s="35"/>
      <c r="AW3857" s="35"/>
      <c r="AX3857" s="35"/>
      <c r="AY3857" s="35"/>
      <c r="AZ3857" s="35"/>
      <c r="BA3857" s="35"/>
      <c r="BB3857" s="22">
        <f t="shared" si="1166"/>
        <v>0</v>
      </c>
      <c r="BC3857" s="23">
        <v>0</v>
      </c>
      <c r="BD3857" s="130">
        <f t="shared" si="1167"/>
        <v>0</v>
      </c>
      <c r="BE3857" s="130">
        <f t="shared" si="1168"/>
        <v>2</v>
      </c>
      <c r="BF3857" s="195">
        <f t="shared" si="1169"/>
        <v>0</v>
      </c>
      <c r="BG3857" s="373">
        <f t="shared" si="1170"/>
        <v>2</v>
      </c>
    </row>
    <row r="3858" spans="1:59" s="46" customFormat="1" ht="15.95" customHeight="1">
      <c r="A3858" s="369" t="s">
        <v>1707</v>
      </c>
      <c r="B3858" s="31" t="s">
        <v>772</v>
      </c>
      <c r="C3858" s="34" t="s">
        <v>773</v>
      </c>
      <c r="D3858" s="366">
        <v>301</v>
      </c>
      <c r="E3858" s="366"/>
      <c r="F3858" s="366"/>
      <c r="G3858" s="366"/>
      <c r="H3858" s="366">
        <v>437</v>
      </c>
      <c r="I3858" s="366"/>
      <c r="J3858" s="366"/>
      <c r="K3858" s="366"/>
      <c r="L3858" s="366">
        <v>622</v>
      </c>
      <c r="M3858" s="366"/>
      <c r="N3858" s="366"/>
      <c r="O3858" s="366"/>
      <c r="P3858" s="366">
        <v>770</v>
      </c>
      <c r="Q3858" s="366"/>
      <c r="R3858" s="366"/>
      <c r="S3858" s="366"/>
      <c r="T3858" s="366"/>
      <c r="U3858" s="366"/>
      <c r="V3858" s="366"/>
      <c r="W3858" s="366"/>
      <c r="X3858" s="366"/>
      <c r="Y3858" s="366"/>
      <c r="Z3858" s="366"/>
      <c r="AA3858" s="366"/>
      <c r="AB3858" s="22">
        <f t="shared" si="1165"/>
        <v>2130</v>
      </c>
      <c r="AC3858" s="23">
        <v>456</v>
      </c>
      <c r="AD3858" s="35"/>
      <c r="AE3858" s="35"/>
      <c r="AF3858" s="35"/>
      <c r="AG3858" s="35"/>
      <c r="AH3858" s="35"/>
      <c r="AI3858" s="35"/>
      <c r="AJ3858" s="35"/>
      <c r="AK3858" s="35"/>
      <c r="AL3858" s="35"/>
      <c r="AM3858" s="35"/>
      <c r="AN3858" s="35"/>
      <c r="AO3858" s="35"/>
      <c r="AP3858" s="35"/>
      <c r="AQ3858" s="35"/>
      <c r="AR3858" s="35"/>
      <c r="AS3858" s="35"/>
      <c r="AT3858" s="35"/>
      <c r="AU3858" s="35"/>
      <c r="AV3858" s="35"/>
      <c r="AW3858" s="35"/>
      <c r="AX3858" s="35"/>
      <c r="AY3858" s="35"/>
      <c r="AZ3858" s="35"/>
      <c r="BA3858" s="35"/>
      <c r="BB3858" s="22">
        <f t="shared" si="1166"/>
        <v>0</v>
      </c>
      <c r="BC3858" s="23">
        <v>0</v>
      </c>
      <c r="BD3858" s="130">
        <f t="shared" si="1167"/>
        <v>2130</v>
      </c>
      <c r="BE3858" s="130">
        <f t="shared" si="1168"/>
        <v>456</v>
      </c>
      <c r="BF3858" s="195">
        <f t="shared" si="1169"/>
        <v>467.1052631578948</v>
      </c>
      <c r="BG3858" s="373">
        <f t="shared" si="1170"/>
        <v>-1674</v>
      </c>
    </row>
    <row r="3859" spans="1:59" s="46" customFormat="1" ht="15.95" customHeight="1">
      <c r="A3859" s="369" t="s">
        <v>1710</v>
      </c>
      <c r="B3859" s="31" t="s">
        <v>1708</v>
      </c>
      <c r="C3859" s="36" t="s">
        <v>1709</v>
      </c>
      <c r="D3859" s="366"/>
      <c r="E3859" s="366"/>
      <c r="F3859" s="366"/>
      <c r="G3859" s="366"/>
      <c r="H3859" s="366"/>
      <c r="I3859" s="366"/>
      <c r="J3859" s="366"/>
      <c r="K3859" s="366"/>
      <c r="L3859" s="366"/>
      <c r="M3859" s="366"/>
      <c r="N3859" s="366"/>
      <c r="O3859" s="366"/>
      <c r="P3859" s="366"/>
      <c r="Q3859" s="366"/>
      <c r="R3859" s="366"/>
      <c r="S3859" s="366"/>
      <c r="T3859" s="366"/>
      <c r="U3859" s="366"/>
      <c r="V3859" s="366"/>
      <c r="W3859" s="366"/>
      <c r="X3859" s="366"/>
      <c r="Y3859" s="366"/>
      <c r="Z3859" s="366"/>
      <c r="AA3859" s="366"/>
      <c r="AB3859" s="22">
        <f t="shared" si="1165"/>
        <v>0</v>
      </c>
      <c r="AC3859" s="23">
        <v>7</v>
      </c>
      <c r="AD3859" s="35"/>
      <c r="AE3859" s="35"/>
      <c r="AF3859" s="35"/>
      <c r="AG3859" s="35"/>
      <c r="AH3859" s="35"/>
      <c r="AI3859" s="35"/>
      <c r="AJ3859" s="35"/>
      <c r="AK3859" s="35"/>
      <c r="AL3859" s="35"/>
      <c r="AM3859" s="35"/>
      <c r="AN3859" s="35"/>
      <c r="AO3859" s="35"/>
      <c r="AP3859" s="35"/>
      <c r="AQ3859" s="35"/>
      <c r="AR3859" s="35"/>
      <c r="AS3859" s="35"/>
      <c r="AT3859" s="35"/>
      <c r="AU3859" s="35"/>
      <c r="AV3859" s="35"/>
      <c r="AW3859" s="35"/>
      <c r="AX3859" s="35"/>
      <c r="AY3859" s="35"/>
      <c r="AZ3859" s="35"/>
      <c r="BA3859" s="35"/>
      <c r="BB3859" s="22">
        <f t="shared" si="1166"/>
        <v>0</v>
      </c>
      <c r="BC3859" s="23">
        <v>0</v>
      </c>
      <c r="BD3859" s="130">
        <f t="shared" si="1167"/>
        <v>0</v>
      </c>
      <c r="BE3859" s="130">
        <f t="shared" si="1168"/>
        <v>7</v>
      </c>
      <c r="BF3859" s="195">
        <f t="shared" si="1169"/>
        <v>0</v>
      </c>
      <c r="BG3859" s="373">
        <f t="shared" si="1170"/>
        <v>7</v>
      </c>
    </row>
    <row r="3860" spans="1:59" s="46" customFormat="1" ht="15.95" customHeight="1">
      <c r="A3860" s="369" t="s">
        <v>1713</v>
      </c>
      <c r="B3860" s="31" t="s">
        <v>1711</v>
      </c>
      <c r="C3860" s="36" t="s">
        <v>1712</v>
      </c>
      <c r="D3860" s="366"/>
      <c r="E3860" s="366"/>
      <c r="F3860" s="366"/>
      <c r="G3860" s="366"/>
      <c r="H3860" s="366"/>
      <c r="I3860" s="366"/>
      <c r="J3860" s="366"/>
      <c r="K3860" s="366"/>
      <c r="L3860" s="366"/>
      <c r="M3860" s="366"/>
      <c r="N3860" s="366"/>
      <c r="O3860" s="366"/>
      <c r="P3860" s="366"/>
      <c r="Q3860" s="366"/>
      <c r="R3860" s="366"/>
      <c r="S3860" s="366"/>
      <c r="T3860" s="366"/>
      <c r="U3860" s="366"/>
      <c r="V3860" s="366"/>
      <c r="W3860" s="366"/>
      <c r="X3860" s="366"/>
      <c r="Y3860" s="366"/>
      <c r="Z3860" s="366"/>
      <c r="AA3860" s="366"/>
      <c r="AB3860" s="22">
        <f t="shared" si="1165"/>
        <v>0</v>
      </c>
      <c r="AC3860" s="23">
        <v>7</v>
      </c>
      <c r="AD3860" s="35"/>
      <c r="AE3860" s="35"/>
      <c r="AF3860" s="35"/>
      <c r="AG3860" s="35"/>
      <c r="AH3860" s="35"/>
      <c r="AI3860" s="35"/>
      <c r="AJ3860" s="35"/>
      <c r="AK3860" s="35"/>
      <c r="AL3860" s="35"/>
      <c r="AM3860" s="35"/>
      <c r="AN3860" s="35"/>
      <c r="AO3860" s="35"/>
      <c r="AP3860" s="35"/>
      <c r="AQ3860" s="35"/>
      <c r="AR3860" s="35"/>
      <c r="AS3860" s="35"/>
      <c r="AT3860" s="35"/>
      <c r="AU3860" s="35"/>
      <c r="AV3860" s="35"/>
      <c r="AW3860" s="35"/>
      <c r="AX3860" s="35"/>
      <c r="AY3860" s="35"/>
      <c r="AZ3860" s="35"/>
      <c r="BA3860" s="35"/>
      <c r="BB3860" s="22">
        <f t="shared" si="1166"/>
        <v>0</v>
      </c>
      <c r="BC3860" s="23">
        <v>0</v>
      </c>
      <c r="BD3860" s="130">
        <f t="shared" si="1167"/>
        <v>0</v>
      </c>
      <c r="BE3860" s="130">
        <f t="shared" si="1168"/>
        <v>7</v>
      </c>
      <c r="BF3860" s="195">
        <f t="shared" si="1169"/>
        <v>0</v>
      </c>
      <c r="BG3860" s="373">
        <f t="shared" si="1170"/>
        <v>7</v>
      </c>
    </row>
    <row r="3861" spans="1:59" s="46" customFormat="1" ht="15.95" customHeight="1">
      <c r="A3861" s="369" t="s">
        <v>1714</v>
      </c>
      <c r="B3861" s="31" t="s">
        <v>3605</v>
      </c>
      <c r="C3861" s="36" t="s">
        <v>3606</v>
      </c>
      <c r="D3861" s="390"/>
      <c r="E3861" s="390"/>
      <c r="F3861" s="390"/>
      <c r="G3861" s="390"/>
      <c r="H3861" s="390"/>
      <c r="I3861" s="390"/>
      <c r="J3861" s="390"/>
      <c r="K3861" s="390"/>
      <c r="L3861" s="390"/>
      <c r="M3861" s="390"/>
      <c r="N3861" s="390"/>
      <c r="O3861" s="390"/>
      <c r="P3861" s="390"/>
      <c r="Q3861" s="390"/>
      <c r="R3861" s="390"/>
      <c r="S3861" s="390"/>
      <c r="T3861" s="390"/>
      <c r="U3861" s="390"/>
      <c r="V3861" s="390"/>
      <c r="W3861" s="390"/>
      <c r="X3861" s="390"/>
      <c r="Y3861" s="390"/>
      <c r="Z3861" s="390"/>
      <c r="AA3861" s="390"/>
      <c r="AB3861" s="22">
        <f t="shared" si="1165"/>
        <v>0</v>
      </c>
      <c r="AC3861" s="23">
        <v>4</v>
      </c>
      <c r="AD3861" s="35"/>
      <c r="AE3861" s="35"/>
      <c r="AF3861" s="35"/>
      <c r="AG3861" s="35"/>
      <c r="AH3861" s="35"/>
      <c r="AI3861" s="35"/>
      <c r="AJ3861" s="35"/>
      <c r="AK3861" s="35"/>
      <c r="AL3861" s="35"/>
      <c r="AM3861" s="35"/>
      <c r="AN3861" s="35"/>
      <c r="AO3861" s="35"/>
      <c r="AP3861" s="35"/>
      <c r="AQ3861" s="35"/>
      <c r="AR3861" s="35"/>
      <c r="AS3861" s="35"/>
      <c r="AT3861" s="35"/>
      <c r="AU3861" s="35"/>
      <c r="AV3861" s="35"/>
      <c r="AW3861" s="35"/>
      <c r="AX3861" s="35"/>
      <c r="AY3861" s="35"/>
      <c r="AZ3861" s="35"/>
      <c r="BA3861" s="35"/>
      <c r="BB3861" s="22">
        <f t="shared" si="1166"/>
        <v>0</v>
      </c>
      <c r="BC3861" s="23">
        <v>0</v>
      </c>
      <c r="BD3861" s="130">
        <f t="shared" si="1167"/>
        <v>0</v>
      </c>
      <c r="BE3861" s="130">
        <f t="shared" si="1168"/>
        <v>4</v>
      </c>
      <c r="BF3861" s="195">
        <f t="shared" si="1169"/>
        <v>0</v>
      </c>
      <c r="BG3861" s="373">
        <f t="shared" si="1170"/>
        <v>4</v>
      </c>
    </row>
    <row r="3862" spans="1:59" s="46" customFormat="1" ht="15.95" customHeight="1">
      <c r="A3862" s="369" t="s">
        <v>1715</v>
      </c>
      <c r="B3862" s="31" t="s">
        <v>1286</v>
      </c>
      <c r="C3862" s="36" t="s">
        <v>1287</v>
      </c>
      <c r="D3862" s="231"/>
      <c r="E3862" s="231"/>
      <c r="F3862" s="231"/>
      <c r="G3862" s="231"/>
      <c r="H3862" s="231"/>
      <c r="I3862" s="231"/>
      <c r="J3862" s="231"/>
      <c r="K3862" s="231"/>
      <c r="L3862" s="231"/>
      <c r="M3862" s="231"/>
      <c r="N3862" s="231"/>
      <c r="O3862" s="231"/>
      <c r="P3862" s="231"/>
      <c r="Q3862" s="231"/>
      <c r="R3862" s="231"/>
      <c r="S3862" s="231"/>
      <c r="T3862" s="231"/>
      <c r="U3862" s="231"/>
      <c r="V3862" s="231"/>
      <c r="W3862" s="231"/>
      <c r="X3862" s="231"/>
      <c r="Y3862" s="231"/>
      <c r="Z3862" s="231"/>
      <c r="AA3862" s="231"/>
      <c r="AB3862" s="22">
        <f t="shared" si="1165"/>
        <v>0</v>
      </c>
      <c r="AC3862" s="23">
        <v>44</v>
      </c>
      <c r="AD3862" s="35"/>
      <c r="AE3862" s="35"/>
      <c r="AF3862" s="35"/>
      <c r="AG3862" s="35"/>
      <c r="AH3862" s="35"/>
      <c r="AI3862" s="35"/>
      <c r="AJ3862" s="35"/>
      <c r="AK3862" s="35"/>
      <c r="AL3862" s="35"/>
      <c r="AM3862" s="35"/>
      <c r="AN3862" s="35"/>
      <c r="AO3862" s="35"/>
      <c r="AP3862" s="35"/>
      <c r="AQ3862" s="35"/>
      <c r="AR3862" s="35"/>
      <c r="AS3862" s="35"/>
      <c r="AT3862" s="35"/>
      <c r="AU3862" s="35"/>
      <c r="AV3862" s="35"/>
      <c r="AW3862" s="35"/>
      <c r="AX3862" s="35"/>
      <c r="AY3862" s="35"/>
      <c r="AZ3862" s="35"/>
      <c r="BA3862" s="35"/>
      <c r="BB3862" s="22">
        <f t="shared" si="1166"/>
        <v>0</v>
      </c>
      <c r="BC3862" s="23">
        <v>0</v>
      </c>
      <c r="BD3862" s="130">
        <f t="shared" si="1167"/>
        <v>0</v>
      </c>
      <c r="BE3862" s="130">
        <f t="shared" si="1168"/>
        <v>44</v>
      </c>
      <c r="BF3862" s="195">
        <f t="shared" si="1169"/>
        <v>0</v>
      </c>
      <c r="BG3862" s="373">
        <f t="shared" si="1170"/>
        <v>44</v>
      </c>
    </row>
    <row r="3863" spans="1:59" s="46" customFormat="1" ht="15.95" customHeight="1">
      <c r="A3863" s="369" t="s">
        <v>1716</v>
      </c>
      <c r="B3863" s="31" t="s">
        <v>1142</v>
      </c>
      <c r="C3863" s="36" t="s">
        <v>1719</v>
      </c>
      <c r="D3863" s="231">
        <v>201</v>
      </c>
      <c r="E3863" s="231"/>
      <c r="F3863" s="231"/>
      <c r="G3863" s="231"/>
      <c r="H3863" s="231">
        <v>559</v>
      </c>
      <c r="I3863" s="231"/>
      <c r="J3863" s="231"/>
      <c r="K3863" s="231"/>
      <c r="L3863" s="231">
        <v>811</v>
      </c>
      <c r="M3863" s="231"/>
      <c r="N3863" s="231"/>
      <c r="O3863" s="231"/>
      <c r="P3863" s="231">
        <v>633</v>
      </c>
      <c r="Q3863" s="231"/>
      <c r="R3863" s="231"/>
      <c r="S3863" s="231"/>
      <c r="T3863" s="231"/>
      <c r="U3863" s="231"/>
      <c r="V3863" s="231"/>
      <c r="W3863" s="231"/>
      <c r="X3863" s="231"/>
      <c r="Y3863" s="231"/>
      <c r="Z3863" s="231"/>
      <c r="AA3863" s="231"/>
      <c r="AB3863" s="22">
        <f t="shared" si="1165"/>
        <v>2204</v>
      </c>
      <c r="AC3863" s="23">
        <v>3481</v>
      </c>
      <c r="AD3863" s="35"/>
      <c r="AE3863" s="35"/>
      <c r="AF3863" s="35"/>
      <c r="AG3863" s="35"/>
      <c r="AH3863" s="35"/>
      <c r="AI3863" s="35"/>
      <c r="AJ3863" s="35"/>
      <c r="AK3863" s="35"/>
      <c r="AL3863" s="35"/>
      <c r="AM3863" s="35"/>
      <c r="AN3863" s="35"/>
      <c r="AO3863" s="35"/>
      <c r="AP3863" s="35"/>
      <c r="AQ3863" s="35"/>
      <c r="AR3863" s="35"/>
      <c r="AS3863" s="35"/>
      <c r="AT3863" s="35"/>
      <c r="AU3863" s="35"/>
      <c r="AV3863" s="35"/>
      <c r="AW3863" s="35"/>
      <c r="AX3863" s="35"/>
      <c r="AY3863" s="35"/>
      <c r="AZ3863" s="35"/>
      <c r="BA3863" s="35"/>
      <c r="BB3863" s="22">
        <f t="shared" si="1166"/>
        <v>0</v>
      </c>
      <c r="BC3863" s="23">
        <v>0</v>
      </c>
      <c r="BD3863" s="130">
        <f t="shared" si="1167"/>
        <v>2204</v>
      </c>
      <c r="BE3863" s="130">
        <f t="shared" si="1168"/>
        <v>3481</v>
      </c>
      <c r="BF3863" s="195">
        <f t="shared" si="1169"/>
        <v>63.31513932777937</v>
      </c>
      <c r="BG3863" s="373">
        <f t="shared" si="1170"/>
        <v>1277</v>
      </c>
    </row>
    <row r="3864" spans="1:59" s="46" customFormat="1" ht="15.95" customHeight="1">
      <c r="A3864" s="369" t="s">
        <v>1717</v>
      </c>
      <c r="B3864" s="31" t="s">
        <v>1722</v>
      </c>
      <c r="C3864" s="36" t="s">
        <v>1723</v>
      </c>
      <c r="D3864" s="231">
        <v>234</v>
      </c>
      <c r="E3864" s="231"/>
      <c r="F3864" s="231"/>
      <c r="G3864" s="231"/>
      <c r="H3864" s="231">
        <v>332</v>
      </c>
      <c r="I3864" s="231"/>
      <c r="J3864" s="231"/>
      <c r="K3864" s="231"/>
      <c r="L3864" s="231">
        <v>426</v>
      </c>
      <c r="M3864" s="231"/>
      <c r="N3864" s="231"/>
      <c r="O3864" s="231"/>
      <c r="P3864" s="231">
        <v>651</v>
      </c>
      <c r="Q3864" s="231"/>
      <c r="R3864" s="231"/>
      <c r="S3864" s="231"/>
      <c r="T3864" s="231"/>
      <c r="U3864" s="231"/>
      <c r="V3864" s="231"/>
      <c r="W3864" s="231"/>
      <c r="X3864" s="231"/>
      <c r="Y3864" s="231"/>
      <c r="Z3864" s="231"/>
      <c r="AA3864" s="231"/>
      <c r="AB3864" s="22">
        <f t="shared" si="1165"/>
        <v>1643</v>
      </c>
      <c r="AC3864" s="23">
        <v>1</v>
      </c>
      <c r="AD3864" s="35"/>
      <c r="AE3864" s="35"/>
      <c r="AF3864" s="35"/>
      <c r="AG3864" s="35"/>
      <c r="AH3864" s="35"/>
      <c r="AI3864" s="35"/>
      <c r="AJ3864" s="35"/>
      <c r="AK3864" s="35"/>
      <c r="AL3864" s="35"/>
      <c r="AM3864" s="35"/>
      <c r="AN3864" s="35"/>
      <c r="AO3864" s="35"/>
      <c r="AP3864" s="35"/>
      <c r="AQ3864" s="35"/>
      <c r="AR3864" s="35"/>
      <c r="AS3864" s="35"/>
      <c r="AT3864" s="35"/>
      <c r="AU3864" s="35"/>
      <c r="AV3864" s="35"/>
      <c r="AW3864" s="35"/>
      <c r="AX3864" s="35"/>
      <c r="AY3864" s="35"/>
      <c r="AZ3864" s="35"/>
      <c r="BA3864" s="35"/>
      <c r="BB3864" s="22">
        <f t="shared" si="1166"/>
        <v>0</v>
      </c>
      <c r="BC3864" s="23">
        <v>0</v>
      </c>
      <c r="BD3864" s="130">
        <f t="shared" si="1167"/>
        <v>1643</v>
      </c>
      <c r="BE3864" s="130">
        <f t="shared" si="1168"/>
        <v>1</v>
      </c>
      <c r="BF3864" s="522">
        <f t="shared" si="1169"/>
        <v>164300</v>
      </c>
      <c r="BG3864" s="373">
        <f t="shared" si="1170"/>
        <v>-1642</v>
      </c>
    </row>
    <row r="3865" spans="1:59" s="46" customFormat="1" ht="15.95" customHeight="1">
      <c r="A3865" s="369" t="s">
        <v>1718</v>
      </c>
      <c r="B3865" s="312" t="s">
        <v>1047</v>
      </c>
      <c r="C3865" s="317" t="s">
        <v>1326</v>
      </c>
      <c r="D3865" s="313">
        <v>5</v>
      </c>
      <c r="E3865" s="313"/>
      <c r="F3865" s="313"/>
      <c r="G3865" s="313"/>
      <c r="H3865" s="313">
        <v>4</v>
      </c>
      <c r="I3865" s="313"/>
      <c r="J3865" s="313"/>
      <c r="K3865" s="313"/>
      <c r="L3865" s="313">
        <v>8</v>
      </c>
      <c r="M3865" s="313"/>
      <c r="N3865" s="313"/>
      <c r="O3865" s="313"/>
      <c r="P3865" s="313">
        <v>3</v>
      </c>
      <c r="Q3865" s="313"/>
      <c r="R3865" s="313"/>
      <c r="S3865" s="313"/>
      <c r="T3865" s="313"/>
      <c r="U3865" s="313"/>
      <c r="V3865" s="313"/>
      <c r="W3865" s="313"/>
      <c r="X3865" s="313"/>
      <c r="Y3865" s="313"/>
      <c r="Z3865" s="313"/>
      <c r="AA3865" s="313"/>
      <c r="AB3865" s="306">
        <f t="shared" si="1165"/>
        <v>20</v>
      </c>
      <c r="AC3865" s="309">
        <v>21</v>
      </c>
      <c r="AD3865" s="318"/>
      <c r="AE3865" s="318"/>
      <c r="AF3865" s="318"/>
      <c r="AG3865" s="318"/>
      <c r="AH3865" s="318"/>
      <c r="AI3865" s="318"/>
      <c r="AJ3865" s="318"/>
      <c r="AK3865" s="318"/>
      <c r="AL3865" s="318"/>
      <c r="AM3865" s="318"/>
      <c r="AN3865" s="318"/>
      <c r="AO3865" s="318"/>
      <c r="AP3865" s="318"/>
      <c r="AQ3865" s="318"/>
      <c r="AR3865" s="318"/>
      <c r="AS3865" s="318"/>
      <c r="AT3865" s="318"/>
      <c r="AU3865" s="318"/>
      <c r="AV3865" s="318"/>
      <c r="AW3865" s="318"/>
      <c r="AX3865" s="318"/>
      <c r="AY3865" s="318"/>
      <c r="AZ3865" s="318"/>
      <c r="BA3865" s="318"/>
      <c r="BB3865" s="306">
        <f t="shared" si="1166"/>
        <v>0</v>
      </c>
      <c r="BC3865" s="309">
        <v>0</v>
      </c>
      <c r="BD3865" s="310">
        <f t="shared" si="1167"/>
        <v>20</v>
      </c>
      <c r="BE3865" s="310">
        <f t="shared" si="1168"/>
        <v>21</v>
      </c>
      <c r="BF3865" s="195">
        <f t="shared" si="1169"/>
        <v>95.238095238095227</v>
      </c>
      <c r="BG3865" s="373">
        <f t="shared" si="1170"/>
        <v>1</v>
      </c>
    </row>
    <row r="3866" spans="1:59" s="46" customFormat="1" ht="15.95" customHeight="1">
      <c r="A3866" s="369" t="s">
        <v>1720</v>
      </c>
      <c r="B3866" s="31" t="s">
        <v>1191</v>
      </c>
      <c r="C3866" s="32" t="s">
        <v>1726</v>
      </c>
      <c r="D3866" s="231"/>
      <c r="E3866" s="231"/>
      <c r="F3866" s="231"/>
      <c r="G3866" s="231"/>
      <c r="H3866" s="231"/>
      <c r="I3866" s="231"/>
      <c r="J3866" s="231"/>
      <c r="K3866" s="231"/>
      <c r="L3866" s="231"/>
      <c r="M3866" s="231"/>
      <c r="N3866" s="231"/>
      <c r="O3866" s="231"/>
      <c r="P3866" s="231">
        <v>2</v>
      </c>
      <c r="Q3866" s="231"/>
      <c r="R3866" s="231"/>
      <c r="S3866" s="231"/>
      <c r="T3866" s="231"/>
      <c r="U3866" s="231"/>
      <c r="V3866" s="231"/>
      <c r="W3866" s="231"/>
      <c r="X3866" s="231"/>
      <c r="Y3866" s="231"/>
      <c r="Z3866" s="231"/>
      <c r="AA3866" s="231"/>
      <c r="AB3866" s="22">
        <f t="shared" si="1165"/>
        <v>2</v>
      </c>
      <c r="AC3866" s="23">
        <v>1</v>
      </c>
      <c r="AD3866" s="35"/>
      <c r="AE3866" s="35"/>
      <c r="AF3866" s="35"/>
      <c r="AG3866" s="35"/>
      <c r="AH3866" s="35"/>
      <c r="AI3866" s="35"/>
      <c r="AJ3866" s="35"/>
      <c r="AK3866" s="35"/>
      <c r="AL3866" s="35"/>
      <c r="AM3866" s="35"/>
      <c r="AN3866" s="35"/>
      <c r="AO3866" s="35"/>
      <c r="AP3866" s="35"/>
      <c r="AQ3866" s="35"/>
      <c r="AR3866" s="35"/>
      <c r="AS3866" s="35"/>
      <c r="AT3866" s="35"/>
      <c r="AU3866" s="35"/>
      <c r="AV3866" s="35"/>
      <c r="AW3866" s="35"/>
      <c r="AX3866" s="35"/>
      <c r="AY3866" s="35"/>
      <c r="AZ3866" s="35"/>
      <c r="BA3866" s="35"/>
      <c r="BB3866" s="306">
        <f t="shared" si="1166"/>
        <v>0</v>
      </c>
      <c r="BC3866" s="23">
        <v>0</v>
      </c>
      <c r="BD3866" s="130">
        <f t="shared" si="1167"/>
        <v>2</v>
      </c>
      <c r="BE3866" s="130">
        <f t="shared" si="1168"/>
        <v>1</v>
      </c>
      <c r="BF3866" s="195">
        <f t="shared" si="1169"/>
        <v>200</v>
      </c>
      <c r="BG3866" s="373">
        <f t="shared" si="1170"/>
        <v>-1</v>
      </c>
    </row>
    <row r="3867" spans="1:59" s="46" customFormat="1" ht="15.95" customHeight="1">
      <c r="A3867" s="369" t="s">
        <v>1721</v>
      </c>
      <c r="B3867" s="31" t="s">
        <v>1641</v>
      </c>
      <c r="C3867" s="32" t="s">
        <v>1727</v>
      </c>
      <c r="D3867" s="231"/>
      <c r="E3867" s="231"/>
      <c r="F3867" s="231"/>
      <c r="G3867" s="231"/>
      <c r="H3867" s="231"/>
      <c r="I3867" s="231"/>
      <c r="J3867" s="231"/>
      <c r="K3867" s="231"/>
      <c r="L3867" s="231">
        <v>1</v>
      </c>
      <c r="M3867" s="231"/>
      <c r="N3867" s="231"/>
      <c r="O3867" s="231"/>
      <c r="P3867" s="231"/>
      <c r="Q3867" s="231"/>
      <c r="R3867" s="231"/>
      <c r="S3867" s="231"/>
      <c r="T3867" s="231"/>
      <c r="U3867" s="231"/>
      <c r="V3867" s="231"/>
      <c r="W3867" s="231"/>
      <c r="X3867" s="231"/>
      <c r="Y3867" s="231"/>
      <c r="Z3867" s="231"/>
      <c r="AA3867" s="231"/>
      <c r="AB3867" s="22">
        <f t="shared" si="1165"/>
        <v>1</v>
      </c>
      <c r="AC3867" s="23">
        <v>9</v>
      </c>
      <c r="AD3867" s="35"/>
      <c r="AE3867" s="35"/>
      <c r="AF3867" s="35"/>
      <c r="AG3867" s="35"/>
      <c r="AH3867" s="35"/>
      <c r="AI3867" s="35"/>
      <c r="AJ3867" s="35"/>
      <c r="AK3867" s="35"/>
      <c r="AL3867" s="35"/>
      <c r="AM3867" s="35"/>
      <c r="AN3867" s="35"/>
      <c r="AO3867" s="35"/>
      <c r="AP3867" s="35"/>
      <c r="AQ3867" s="35"/>
      <c r="AR3867" s="35"/>
      <c r="AS3867" s="35"/>
      <c r="AT3867" s="35"/>
      <c r="AU3867" s="35"/>
      <c r="AV3867" s="35"/>
      <c r="AW3867" s="35"/>
      <c r="AX3867" s="35"/>
      <c r="AY3867" s="35"/>
      <c r="AZ3867" s="35"/>
      <c r="BA3867" s="35"/>
      <c r="BB3867" s="22">
        <f t="shared" si="1166"/>
        <v>0</v>
      </c>
      <c r="BC3867" s="23">
        <v>0</v>
      </c>
      <c r="BD3867" s="130">
        <f t="shared" si="1167"/>
        <v>1</v>
      </c>
      <c r="BE3867" s="130">
        <f t="shared" si="1168"/>
        <v>9</v>
      </c>
      <c r="BF3867" s="195">
        <f t="shared" si="1169"/>
        <v>11.111111111111111</v>
      </c>
      <c r="BG3867" s="373">
        <f t="shared" si="1170"/>
        <v>8</v>
      </c>
    </row>
    <row r="3868" spans="1:59" s="46" customFormat="1" ht="15.95" customHeight="1">
      <c r="A3868" s="369" t="s">
        <v>1724</v>
      </c>
      <c r="B3868" s="31" t="s">
        <v>1728</v>
      </c>
      <c r="C3868" s="32" t="s">
        <v>1729</v>
      </c>
      <c r="D3868" s="231"/>
      <c r="E3868" s="231"/>
      <c r="F3868" s="231"/>
      <c r="G3868" s="231"/>
      <c r="H3868" s="231"/>
      <c r="I3868" s="231"/>
      <c r="J3868" s="231"/>
      <c r="K3868" s="231"/>
      <c r="L3868" s="231"/>
      <c r="M3868" s="231"/>
      <c r="N3868" s="231"/>
      <c r="O3868" s="231"/>
      <c r="P3868" s="231"/>
      <c r="Q3868" s="231"/>
      <c r="R3868" s="231"/>
      <c r="S3868" s="231"/>
      <c r="T3868" s="231"/>
      <c r="U3868" s="231"/>
      <c r="V3868" s="231"/>
      <c r="W3868" s="231"/>
      <c r="X3868" s="231"/>
      <c r="Y3868" s="231"/>
      <c r="Z3868" s="231"/>
      <c r="AA3868" s="231"/>
      <c r="AB3868" s="22">
        <f t="shared" si="1165"/>
        <v>0</v>
      </c>
      <c r="AC3868" s="23">
        <v>11</v>
      </c>
      <c r="AD3868" s="35"/>
      <c r="AE3868" s="35"/>
      <c r="AF3868" s="35"/>
      <c r="AG3868" s="35"/>
      <c r="AH3868" s="35"/>
      <c r="AI3868" s="35"/>
      <c r="AJ3868" s="35"/>
      <c r="AK3868" s="35"/>
      <c r="AL3868" s="35"/>
      <c r="AM3868" s="35"/>
      <c r="AN3868" s="35"/>
      <c r="AO3868" s="35"/>
      <c r="AP3868" s="35"/>
      <c r="AQ3868" s="35"/>
      <c r="AR3868" s="35"/>
      <c r="AS3868" s="35"/>
      <c r="AT3868" s="35"/>
      <c r="AU3868" s="35"/>
      <c r="AV3868" s="35"/>
      <c r="AW3868" s="35"/>
      <c r="AX3868" s="35"/>
      <c r="AY3868" s="35"/>
      <c r="AZ3868" s="35"/>
      <c r="BA3868" s="35"/>
      <c r="BB3868" s="22">
        <f t="shared" si="1166"/>
        <v>0</v>
      </c>
      <c r="BC3868" s="23">
        <v>0</v>
      </c>
      <c r="BD3868" s="130">
        <f t="shared" si="1167"/>
        <v>0</v>
      </c>
      <c r="BE3868" s="130">
        <f t="shared" si="1168"/>
        <v>11</v>
      </c>
      <c r="BF3868" s="195">
        <f t="shared" si="1169"/>
        <v>0</v>
      </c>
      <c r="BG3868" s="373">
        <f t="shared" si="1170"/>
        <v>11</v>
      </c>
    </row>
    <row r="3869" spans="1:59" s="46" customFormat="1" ht="15.95" customHeight="1">
      <c r="A3869" s="369" t="s">
        <v>3607</v>
      </c>
      <c r="B3869" s="31" t="s">
        <v>854</v>
      </c>
      <c r="C3869" s="34" t="s">
        <v>1514</v>
      </c>
      <c r="D3869" s="276">
        <v>31</v>
      </c>
      <c r="E3869" s="276"/>
      <c r="F3869" s="276"/>
      <c r="G3869" s="276"/>
      <c r="H3869" s="276">
        <v>20</v>
      </c>
      <c r="I3869" s="276"/>
      <c r="J3869" s="276"/>
      <c r="K3869" s="276"/>
      <c r="L3869" s="276">
        <v>31</v>
      </c>
      <c r="M3869" s="276"/>
      <c r="N3869" s="276"/>
      <c r="O3869" s="276"/>
      <c r="P3869" s="276">
        <v>48</v>
      </c>
      <c r="Q3869" s="276"/>
      <c r="R3869" s="276"/>
      <c r="S3869" s="276"/>
      <c r="T3869" s="276"/>
      <c r="U3869" s="276"/>
      <c r="V3869" s="276"/>
      <c r="W3869" s="276"/>
      <c r="X3869" s="276"/>
      <c r="Y3869" s="276"/>
      <c r="Z3869" s="276"/>
      <c r="AA3869" s="276"/>
      <c r="AB3869" s="22">
        <f t="shared" si="1165"/>
        <v>130</v>
      </c>
      <c r="AC3869" s="23">
        <v>138</v>
      </c>
      <c r="AD3869" s="35"/>
      <c r="AE3869" s="35"/>
      <c r="AF3869" s="35"/>
      <c r="AG3869" s="35"/>
      <c r="AH3869" s="35"/>
      <c r="AI3869" s="35"/>
      <c r="AJ3869" s="35"/>
      <c r="AK3869" s="35"/>
      <c r="AL3869" s="35"/>
      <c r="AM3869" s="35"/>
      <c r="AN3869" s="35"/>
      <c r="AO3869" s="35"/>
      <c r="AP3869" s="35"/>
      <c r="AQ3869" s="35"/>
      <c r="AR3869" s="35"/>
      <c r="AS3869" s="35"/>
      <c r="AT3869" s="35"/>
      <c r="AU3869" s="35"/>
      <c r="AV3869" s="35"/>
      <c r="AW3869" s="35"/>
      <c r="AX3869" s="35"/>
      <c r="AY3869" s="35"/>
      <c r="AZ3869" s="35"/>
      <c r="BA3869" s="35"/>
      <c r="BB3869" s="22">
        <f t="shared" si="1166"/>
        <v>0</v>
      </c>
      <c r="BC3869" s="23">
        <v>0</v>
      </c>
      <c r="BD3869" s="130">
        <f t="shared" si="1167"/>
        <v>130</v>
      </c>
      <c r="BE3869" s="130">
        <f t="shared" si="1168"/>
        <v>138</v>
      </c>
      <c r="BF3869" s="195">
        <f t="shared" si="1169"/>
        <v>94.20289855072464</v>
      </c>
      <c r="BG3869" s="373">
        <f t="shared" si="1170"/>
        <v>8</v>
      </c>
    </row>
    <row r="3870" spans="1:59" s="46" customFormat="1" ht="15.95" customHeight="1">
      <c r="A3870" s="369" t="s">
        <v>3608</v>
      </c>
      <c r="B3870" s="31" t="s">
        <v>1654</v>
      </c>
      <c r="C3870" s="32" t="s">
        <v>1983</v>
      </c>
      <c r="D3870" s="231"/>
      <c r="E3870" s="231"/>
      <c r="F3870" s="231"/>
      <c r="G3870" s="231"/>
      <c r="H3870" s="231"/>
      <c r="I3870" s="231"/>
      <c r="J3870" s="231"/>
      <c r="K3870" s="231"/>
      <c r="L3870" s="288"/>
      <c r="M3870" s="231"/>
      <c r="N3870" s="231"/>
      <c r="O3870" s="231"/>
      <c r="P3870" s="231"/>
      <c r="Q3870" s="231"/>
      <c r="R3870" s="231"/>
      <c r="S3870" s="231"/>
      <c r="T3870" s="231"/>
      <c r="U3870" s="231"/>
      <c r="V3870" s="231"/>
      <c r="W3870" s="231"/>
      <c r="X3870" s="231"/>
      <c r="Y3870" s="231"/>
      <c r="Z3870" s="231"/>
      <c r="AA3870" s="231"/>
      <c r="AB3870" s="22">
        <f t="shared" si="1165"/>
        <v>0</v>
      </c>
      <c r="AC3870" s="23">
        <v>1</v>
      </c>
      <c r="AD3870" s="35"/>
      <c r="AE3870" s="35"/>
      <c r="AF3870" s="35"/>
      <c r="AG3870" s="35"/>
      <c r="AH3870" s="35"/>
      <c r="AI3870" s="35"/>
      <c r="AJ3870" s="35"/>
      <c r="AK3870" s="35"/>
      <c r="AL3870" s="35"/>
      <c r="AM3870" s="35"/>
      <c r="AN3870" s="35"/>
      <c r="AO3870" s="35"/>
      <c r="AP3870" s="35"/>
      <c r="AQ3870" s="35"/>
      <c r="AR3870" s="35"/>
      <c r="AS3870" s="35"/>
      <c r="AT3870" s="35"/>
      <c r="AU3870" s="35"/>
      <c r="AV3870" s="35"/>
      <c r="AW3870" s="35"/>
      <c r="AX3870" s="35"/>
      <c r="AY3870" s="35"/>
      <c r="AZ3870" s="35"/>
      <c r="BA3870" s="35"/>
      <c r="BB3870" s="22">
        <f t="shared" si="1166"/>
        <v>0</v>
      </c>
      <c r="BC3870" s="23">
        <v>0</v>
      </c>
      <c r="BD3870" s="130">
        <f t="shared" si="1167"/>
        <v>0</v>
      </c>
      <c r="BE3870" s="130">
        <f t="shared" si="1168"/>
        <v>1</v>
      </c>
      <c r="BF3870" s="195">
        <f t="shared" si="1169"/>
        <v>0</v>
      </c>
      <c r="BG3870" s="373">
        <f t="shared" si="1170"/>
        <v>1</v>
      </c>
    </row>
    <row r="3871" spans="1:59" s="46" customFormat="1" ht="15.95" customHeight="1">
      <c r="A3871" s="369" t="s">
        <v>4024</v>
      </c>
      <c r="B3871" s="31" t="s">
        <v>3052</v>
      </c>
      <c r="C3871" s="32" t="s">
        <v>818</v>
      </c>
      <c r="D3871" s="336"/>
      <c r="E3871" s="336"/>
      <c r="F3871" s="336"/>
      <c r="G3871" s="336"/>
      <c r="H3871" s="336"/>
      <c r="I3871" s="336"/>
      <c r="J3871" s="336"/>
      <c r="K3871" s="336"/>
      <c r="L3871" s="336"/>
      <c r="M3871" s="336"/>
      <c r="N3871" s="336"/>
      <c r="O3871" s="336"/>
      <c r="P3871" s="336"/>
      <c r="Q3871" s="336"/>
      <c r="R3871" s="336"/>
      <c r="S3871" s="336"/>
      <c r="T3871" s="336"/>
      <c r="U3871" s="336"/>
      <c r="V3871" s="336"/>
      <c r="W3871" s="336"/>
      <c r="X3871" s="336"/>
      <c r="Y3871" s="336"/>
      <c r="Z3871" s="336"/>
      <c r="AA3871" s="336"/>
      <c r="AB3871" s="22">
        <f t="shared" si="1165"/>
        <v>0</v>
      </c>
      <c r="AC3871" s="23">
        <v>2</v>
      </c>
      <c r="AD3871" s="35"/>
      <c r="AE3871" s="35"/>
      <c r="AF3871" s="35"/>
      <c r="AG3871" s="35"/>
      <c r="AH3871" s="35"/>
      <c r="AI3871" s="35"/>
      <c r="AJ3871" s="35"/>
      <c r="AK3871" s="35"/>
      <c r="AL3871" s="35"/>
      <c r="AM3871" s="35"/>
      <c r="AN3871" s="35"/>
      <c r="AO3871" s="35"/>
      <c r="AP3871" s="35"/>
      <c r="AQ3871" s="35"/>
      <c r="AR3871" s="35"/>
      <c r="AS3871" s="35"/>
      <c r="AT3871" s="35"/>
      <c r="AU3871" s="35"/>
      <c r="AV3871" s="35"/>
      <c r="AW3871" s="35"/>
      <c r="AX3871" s="35"/>
      <c r="AY3871" s="35"/>
      <c r="AZ3871" s="35"/>
      <c r="BA3871" s="35"/>
      <c r="BB3871" s="22">
        <f t="shared" si="1166"/>
        <v>0</v>
      </c>
      <c r="BC3871" s="23">
        <v>0</v>
      </c>
      <c r="BD3871" s="130">
        <f t="shared" si="1167"/>
        <v>0</v>
      </c>
      <c r="BE3871" s="130">
        <f t="shared" si="1168"/>
        <v>2</v>
      </c>
      <c r="BF3871" s="195">
        <f t="shared" si="1169"/>
        <v>0</v>
      </c>
      <c r="BG3871" s="373">
        <f t="shared" si="1170"/>
        <v>2</v>
      </c>
    </row>
    <row r="3872" spans="1:59" s="46" customFormat="1" ht="15.95" customHeight="1">
      <c r="A3872" s="640" t="s">
        <v>1730</v>
      </c>
      <c r="B3872" s="641"/>
      <c r="C3872" s="641"/>
      <c r="D3872" s="98">
        <f t="shared" ref="D3872:AI3872" si="1171">SUM(D3873:D3903)</f>
        <v>5981</v>
      </c>
      <c r="E3872" s="98">
        <f t="shared" si="1171"/>
        <v>0</v>
      </c>
      <c r="F3872" s="98">
        <f t="shared" si="1171"/>
        <v>0</v>
      </c>
      <c r="G3872" s="98">
        <f t="shared" si="1171"/>
        <v>423</v>
      </c>
      <c r="H3872" s="98">
        <f t="shared" si="1171"/>
        <v>5808</v>
      </c>
      <c r="I3872" s="98">
        <f t="shared" si="1171"/>
        <v>0</v>
      </c>
      <c r="J3872" s="98">
        <f t="shared" si="1171"/>
        <v>0</v>
      </c>
      <c r="K3872" s="98">
        <f t="shared" si="1171"/>
        <v>385</v>
      </c>
      <c r="L3872" s="98">
        <f t="shared" si="1171"/>
        <v>10910</v>
      </c>
      <c r="M3872" s="98">
        <f t="shared" si="1171"/>
        <v>0</v>
      </c>
      <c r="N3872" s="98">
        <f t="shared" si="1171"/>
        <v>0</v>
      </c>
      <c r="O3872" s="98">
        <f t="shared" si="1171"/>
        <v>674</v>
      </c>
      <c r="P3872" s="98">
        <f t="shared" si="1171"/>
        <v>9696</v>
      </c>
      <c r="Q3872" s="98">
        <f t="shared" si="1171"/>
        <v>0</v>
      </c>
      <c r="R3872" s="98">
        <f t="shared" si="1171"/>
        <v>0</v>
      </c>
      <c r="S3872" s="98">
        <f t="shared" si="1171"/>
        <v>543</v>
      </c>
      <c r="T3872" s="98">
        <f t="shared" si="1171"/>
        <v>0</v>
      </c>
      <c r="U3872" s="98">
        <f t="shared" si="1171"/>
        <v>0</v>
      </c>
      <c r="V3872" s="98">
        <f t="shared" si="1171"/>
        <v>0</v>
      </c>
      <c r="W3872" s="98">
        <f t="shared" si="1171"/>
        <v>0</v>
      </c>
      <c r="X3872" s="98">
        <f t="shared" si="1171"/>
        <v>0</v>
      </c>
      <c r="Y3872" s="98">
        <f t="shared" si="1171"/>
        <v>0</v>
      </c>
      <c r="Z3872" s="98">
        <f t="shared" si="1171"/>
        <v>0</v>
      </c>
      <c r="AA3872" s="98">
        <f t="shared" si="1171"/>
        <v>0</v>
      </c>
      <c r="AB3872" s="98">
        <f t="shared" si="1171"/>
        <v>34420</v>
      </c>
      <c r="AC3872" s="127">
        <f t="shared" si="1171"/>
        <v>33032</v>
      </c>
      <c r="AD3872" s="98">
        <f t="shared" si="1171"/>
        <v>0</v>
      </c>
      <c r="AE3872" s="98">
        <f t="shared" si="1171"/>
        <v>0</v>
      </c>
      <c r="AF3872" s="98">
        <f t="shared" si="1171"/>
        <v>0</v>
      </c>
      <c r="AG3872" s="98">
        <f t="shared" si="1171"/>
        <v>0</v>
      </c>
      <c r="AH3872" s="98">
        <f t="shared" si="1171"/>
        <v>0</v>
      </c>
      <c r="AI3872" s="98">
        <f t="shared" si="1171"/>
        <v>0</v>
      </c>
      <c r="AJ3872" s="98">
        <f t="shared" ref="AJ3872:BC3872" si="1172">SUM(AJ3873:AJ3903)</f>
        <v>0</v>
      </c>
      <c r="AK3872" s="98">
        <f t="shared" si="1172"/>
        <v>0</v>
      </c>
      <c r="AL3872" s="98">
        <f t="shared" si="1172"/>
        <v>0</v>
      </c>
      <c r="AM3872" s="98">
        <f t="shared" si="1172"/>
        <v>0</v>
      </c>
      <c r="AN3872" s="98">
        <f t="shared" si="1172"/>
        <v>0</v>
      </c>
      <c r="AO3872" s="98">
        <f t="shared" si="1172"/>
        <v>0</v>
      </c>
      <c r="AP3872" s="98">
        <f t="shared" si="1172"/>
        <v>0</v>
      </c>
      <c r="AQ3872" s="98">
        <f t="shared" si="1172"/>
        <v>0</v>
      </c>
      <c r="AR3872" s="98">
        <f t="shared" si="1172"/>
        <v>0</v>
      </c>
      <c r="AS3872" s="98">
        <f t="shared" si="1172"/>
        <v>0</v>
      </c>
      <c r="AT3872" s="98">
        <f t="shared" si="1172"/>
        <v>0</v>
      </c>
      <c r="AU3872" s="98">
        <f t="shared" si="1172"/>
        <v>0</v>
      </c>
      <c r="AV3872" s="98">
        <f t="shared" si="1172"/>
        <v>0</v>
      </c>
      <c r="AW3872" s="98">
        <f t="shared" si="1172"/>
        <v>0</v>
      </c>
      <c r="AX3872" s="98">
        <f t="shared" si="1172"/>
        <v>0</v>
      </c>
      <c r="AY3872" s="98">
        <f t="shared" si="1172"/>
        <v>0</v>
      </c>
      <c r="AZ3872" s="98">
        <f t="shared" si="1172"/>
        <v>0</v>
      </c>
      <c r="BA3872" s="98">
        <f t="shared" si="1172"/>
        <v>0</v>
      </c>
      <c r="BB3872" s="98">
        <f t="shared" si="1172"/>
        <v>0</v>
      </c>
      <c r="BC3872" s="103">
        <f t="shared" si="1172"/>
        <v>0</v>
      </c>
      <c r="BD3872" s="130">
        <f t="shared" ref="BD3872:BD3908" si="1173">AB3872+BB3872</f>
        <v>34420</v>
      </c>
      <c r="BE3872" s="130">
        <f t="shared" ref="BE3872:BE3908" si="1174">AC3872+BC3872</f>
        <v>33032</v>
      </c>
      <c r="BF3872" s="195">
        <f t="shared" si="1155"/>
        <v>104.20198595301527</v>
      </c>
      <c r="BG3872" s="375">
        <f t="shared" si="1156"/>
        <v>-1388</v>
      </c>
    </row>
    <row r="3873" spans="1:61" s="46" customFormat="1" ht="21" customHeight="1">
      <c r="A3873" s="424">
        <v>1</v>
      </c>
      <c r="B3873" s="418" t="s">
        <v>2246</v>
      </c>
      <c r="C3873" s="419" t="s">
        <v>2247</v>
      </c>
      <c r="D3873" s="366"/>
      <c r="E3873" s="366"/>
      <c r="F3873" s="366"/>
      <c r="G3873" s="366">
        <v>423</v>
      </c>
      <c r="H3873" s="366"/>
      <c r="I3873" s="366"/>
      <c r="J3873" s="366"/>
      <c r="K3873" s="366">
        <v>385</v>
      </c>
      <c r="L3873" s="366"/>
      <c r="M3873" s="366"/>
      <c r="N3873" s="366"/>
      <c r="O3873" s="366">
        <v>674</v>
      </c>
      <c r="P3873" s="366"/>
      <c r="Q3873" s="366"/>
      <c r="R3873" s="366"/>
      <c r="S3873" s="366">
        <v>543</v>
      </c>
      <c r="T3873" s="366"/>
      <c r="U3873" s="366"/>
      <c r="V3873" s="366"/>
      <c r="W3873" s="366"/>
      <c r="X3873" s="366"/>
      <c r="Y3873" s="366"/>
      <c r="Z3873" s="366"/>
      <c r="AA3873" s="366"/>
      <c r="AB3873" s="22">
        <f t="shared" ref="AB3873:AB3903" si="1175">SUM(D3873:AA3873)</f>
        <v>2025</v>
      </c>
      <c r="AC3873" s="23">
        <v>30</v>
      </c>
      <c r="AD3873" s="35"/>
      <c r="AE3873" s="35"/>
      <c r="AF3873" s="35"/>
      <c r="AG3873" s="35"/>
      <c r="AH3873" s="35"/>
      <c r="AI3873" s="35"/>
      <c r="AJ3873" s="35"/>
      <c r="AK3873" s="35"/>
      <c r="AL3873" s="35"/>
      <c r="AM3873" s="35"/>
      <c r="AN3873" s="35"/>
      <c r="AO3873" s="35"/>
      <c r="AP3873" s="35"/>
      <c r="AQ3873" s="35"/>
      <c r="AR3873" s="35"/>
      <c r="AS3873" s="35"/>
      <c r="AT3873" s="35"/>
      <c r="AU3873" s="35"/>
      <c r="AV3873" s="35"/>
      <c r="AW3873" s="35"/>
      <c r="AX3873" s="35"/>
      <c r="AY3873" s="35"/>
      <c r="AZ3873" s="35"/>
      <c r="BA3873" s="35"/>
      <c r="BB3873" s="22">
        <f t="shared" ref="BB3873:BB3903" si="1176">SUM(AD3873:BA3873)</f>
        <v>0</v>
      </c>
      <c r="BC3873" s="23">
        <v>0</v>
      </c>
      <c r="BD3873" s="130">
        <f t="shared" ref="BD3873:BD3903" si="1177">AB3873+BB3873</f>
        <v>2025</v>
      </c>
      <c r="BE3873" s="130">
        <f t="shared" si="1174"/>
        <v>30</v>
      </c>
      <c r="BF3873" s="195">
        <f t="shared" ref="BF3873:BF3903" si="1178">BD3873/BE3873*100</f>
        <v>6750</v>
      </c>
      <c r="BG3873" s="373">
        <f t="shared" ref="BG3873:BG3879" si="1179">BE3873-BD3873</f>
        <v>-1995</v>
      </c>
      <c r="BH3873" s="426" t="s">
        <v>3675</v>
      </c>
      <c r="BI3873" s="421"/>
    </row>
    <row r="3874" spans="1:61" s="46" customFormat="1" ht="15.95" customHeight="1">
      <c r="A3874" s="367">
        <v>2</v>
      </c>
      <c r="B3874" s="31" t="s">
        <v>1731</v>
      </c>
      <c r="C3874" s="32" t="s">
        <v>1732</v>
      </c>
      <c r="D3874" s="390">
        <v>1</v>
      </c>
      <c r="E3874" s="390"/>
      <c r="F3874" s="390"/>
      <c r="G3874" s="390"/>
      <c r="H3874" s="390">
        <v>3</v>
      </c>
      <c r="I3874" s="390"/>
      <c r="J3874" s="390"/>
      <c r="K3874" s="390"/>
      <c r="L3874" s="390">
        <v>1</v>
      </c>
      <c r="M3874" s="390"/>
      <c r="N3874" s="390"/>
      <c r="O3874" s="390"/>
      <c r="P3874" s="390">
        <v>8</v>
      </c>
      <c r="Q3874" s="390"/>
      <c r="R3874" s="390"/>
      <c r="S3874" s="390"/>
      <c r="T3874" s="390"/>
      <c r="U3874" s="390"/>
      <c r="V3874" s="390"/>
      <c r="W3874" s="390"/>
      <c r="X3874" s="390"/>
      <c r="Y3874" s="390"/>
      <c r="Z3874" s="390"/>
      <c r="AA3874" s="390"/>
      <c r="AB3874" s="22">
        <f t="shared" si="1175"/>
        <v>13</v>
      </c>
      <c r="AC3874" s="23">
        <v>23</v>
      </c>
      <c r="AD3874" s="35"/>
      <c r="AE3874" s="35"/>
      <c r="AF3874" s="35"/>
      <c r="AG3874" s="35"/>
      <c r="AH3874" s="35"/>
      <c r="AI3874" s="35"/>
      <c r="AJ3874" s="35"/>
      <c r="AK3874" s="35"/>
      <c r="AL3874" s="35"/>
      <c r="AM3874" s="35"/>
      <c r="AN3874" s="35"/>
      <c r="AO3874" s="35"/>
      <c r="AP3874" s="35"/>
      <c r="AQ3874" s="35"/>
      <c r="AR3874" s="35"/>
      <c r="AS3874" s="35"/>
      <c r="AT3874" s="35"/>
      <c r="AU3874" s="35"/>
      <c r="AV3874" s="35"/>
      <c r="AW3874" s="35"/>
      <c r="AX3874" s="35"/>
      <c r="AY3874" s="35"/>
      <c r="AZ3874" s="35"/>
      <c r="BA3874" s="35"/>
      <c r="BB3874" s="22">
        <f t="shared" si="1176"/>
        <v>0</v>
      </c>
      <c r="BC3874" s="23">
        <v>0</v>
      </c>
      <c r="BD3874" s="130">
        <f t="shared" si="1177"/>
        <v>13</v>
      </c>
      <c r="BE3874" s="130">
        <f t="shared" si="1174"/>
        <v>23</v>
      </c>
      <c r="BF3874" s="195">
        <f t="shared" si="1178"/>
        <v>56.521739130434781</v>
      </c>
      <c r="BG3874" s="373">
        <f t="shared" si="1179"/>
        <v>10</v>
      </c>
    </row>
    <row r="3875" spans="1:61" s="46" customFormat="1" ht="15.95" customHeight="1">
      <c r="A3875" s="367">
        <v>3</v>
      </c>
      <c r="B3875" s="31" t="s">
        <v>2835</v>
      </c>
      <c r="C3875" s="32" t="s">
        <v>2836</v>
      </c>
      <c r="D3875" s="366"/>
      <c r="E3875" s="366"/>
      <c r="F3875" s="366"/>
      <c r="G3875" s="366"/>
      <c r="H3875" s="366"/>
      <c r="I3875" s="366"/>
      <c r="J3875" s="366"/>
      <c r="K3875" s="366"/>
      <c r="L3875" s="366"/>
      <c r="M3875" s="366"/>
      <c r="N3875" s="366"/>
      <c r="O3875" s="366"/>
      <c r="P3875" s="366"/>
      <c r="Q3875" s="366"/>
      <c r="R3875" s="366"/>
      <c r="S3875" s="366"/>
      <c r="T3875" s="366"/>
      <c r="U3875" s="366"/>
      <c r="V3875" s="366"/>
      <c r="W3875" s="366"/>
      <c r="X3875" s="366"/>
      <c r="Y3875" s="366"/>
      <c r="Z3875" s="366"/>
      <c r="AA3875" s="366"/>
      <c r="AB3875" s="22">
        <f t="shared" si="1175"/>
        <v>0</v>
      </c>
      <c r="AC3875" s="23">
        <v>2</v>
      </c>
      <c r="AD3875" s="35"/>
      <c r="AE3875" s="35"/>
      <c r="AF3875" s="35"/>
      <c r="AG3875" s="35"/>
      <c r="AH3875" s="35"/>
      <c r="AI3875" s="35"/>
      <c r="AJ3875" s="35"/>
      <c r="AK3875" s="35"/>
      <c r="AL3875" s="35"/>
      <c r="AM3875" s="35"/>
      <c r="AN3875" s="35"/>
      <c r="AO3875" s="35"/>
      <c r="AP3875" s="35"/>
      <c r="AQ3875" s="35"/>
      <c r="AR3875" s="35"/>
      <c r="AS3875" s="35"/>
      <c r="AT3875" s="35"/>
      <c r="AU3875" s="35"/>
      <c r="AV3875" s="35"/>
      <c r="AW3875" s="35"/>
      <c r="AX3875" s="35"/>
      <c r="AY3875" s="35"/>
      <c r="AZ3875" s="35"/>
      <c r="BA3875" s="35"/>
      <c r="BB3875" s="22">
        <f t="shared" si="1176"/>
        <v>0</v>
      </c>
      <c r="BC3875" s="23">
        <v>0</v>
      </c>
      <c r="BD3875" s="130">
        <f t="shared" si="1177"/>
        <v>0</v>
      </c>
      <c r="BE3875" s="130">
        <f t="shared" si="1174"/>
        <v>2</v>
      </c>
      <c r="BF3875" s="195">
        <f t="shared" si="1178"/>
        <v>0</v>
      </c>
      <c r="BG3875" s="373">
        <f t="shared" si="1179"/>
        <v>2</v>
      </c>
    </row>
    <row r="3876" spans="1:61" s="46" customFormat="1" ht="15.95" customHeight="1">
      <c r="A3876" s="367">
        <v>4</v>
      </c>
      <c r="B3876" s="31" t="s">
        <v>1048</v>
      </c>
      <c r="C3876" s="32" t="s">
        <v>1596</v>
      </c>
      <c r="D3876" s="366">
        <v>15</v>
      </c>
      <c r="E3876" s="366"/>
      <c r="F3876" s="366"/>
      <c r="G3876" s="366"/>
      <c r="H3876" s="366">
        <v>24</v>
      </c>
      <c r="I3876" s="366"/>
      <c r="J3876" s="366"/>
      <c r="K3876" s="366"/>
      <c r="L3876" s="366">
        <v>36</v>
      </c>
      <c r="M3876" s="366"/>
      <c r="N3876" s="366"/>
      <c r="O3876" s="366"/>
      <c r="P3876" s="366">
        <v>26</v>
      </c>
      <c r="Q3876" s="366"/>
      <c r="R3876" s="366"/>
      <c r="S3876" s="366"/>
      <c r="T3876" s="366"/>
      <c r="U3876" s="366"/>
      <c r="V3876" s="366"/>
      <c r="W3876" s="366"/>
      <c r="X3876" s="366"/>
      <c r="Y3876" s="366"/>
      <c r="Z3876" s="366"/>
      <c r="AA3876" s="366"/>
      <c r="AB3876" s="22">
        <f t="shared" si="1175"/>
        <v>101</v>
      </c>
      <c r="AC3876" s="23">
        <v>313</v>
      </c>
      <c r="AD3876" s="35"/>
      <c r="AE3876" s="35"/>
      <c r="AF3876" s="35"/>
      <c r="AG3876" s="35"/>
      <c r="AH3876" s="35"/>
      <c r="AI3876" s="35"/>
      <c r="AJ3876" s="35"/>
      <c r="AK3876" s="35"/>
      <c r="AL3876" s="35"/>
      <c r="AM3876" s="35"/>
      <c r="AN3876" s="35"/>
      <c r="AO3876" s="35"/>
      <c r="AP3876" s="35"/>
      <c r="AQ3876" s="35"/>
      <c r="AR3876" s="35"/>
      <c r="AS3876" s="35"/>
      <c r="AT3876" s="35"/>
      <c r="AU3876" s="35"/>
      <c r="AV3876" s="35"/>
      <c r="AW3876" s="35"/>
      <c r="AX3876" s="35"/>
      <c r="AY3876" s="35"/>
      <c r="AZ3876" s="35"/>
      <c r="BA3876" s="35"/>
      <c r="BB3876" s="22">
        <f t="shared" si="1176"/>
        <v>0</v>
      </c>
      <c r="BC3876" s="23">
        <v>0</v>
      </c>
      <c r="BD3876" s="130">
        <f t="shared" si="1177"/>
        <v>101</v>
      </c>
      <c r="BE3876" s="130">
        <f t="shared" si="1174"/>
        <v>313</v>
      </c>
      <c r="BF3876" s="195">
        <f t="shared" si="1178"/>
        <v>32.26837060702875</v>
      </c>
      <c r="BG3876" s="373">
        <f t="shared" si="1179"/>
        <v>212</v>
      </c>
    </row>
    <row r="3877" spans="1:61" s="46" customFormat="1" ht="15.95" customHeight="1">
      <c r="A3877" s="367">
        <v>5</v>
      </c>
      <c r="B3877" s="31" t="s">
        <v>1375</v>
      </c>
      <c r="C3877" s="32" t="s">
        <v>1376</v>
      </c>
      <c r="D3877" s="366">
        <f>2+319</f>
        <v>321</v>
      </c>
      <c r="E3877" s="366"/>
      <c r="F3877" s="366"/>
      <c r="G3877" s="366"/>
      <c r="H3877" s="366">
        <f>1+314+1</f>
        <v>316</v>
      </c>
      <c r="I3877" s="366"/>
      <c r="J3877" s="366"/>
      <c r="K3877" s="366"/>
      <c r="L3877" s="366">
        <v>602</v>
      </c>
      <c r="M3877" s="366"/>
      <c r="N3877" s="366"/>
      <c r="O3877" s="366"/>
      <c r="P3877" s="366">
        <v>507</v>
      </c>
      <c r="Q3877" s="366"/>
      <c r="R3877" s="366"/>
      <c r="S3877" s="366"/>
      <c r="T3877" s="366"/>
      <c r="U3877" s="366"/>
      <c r="V3877" s="366"/>
      <c r="W3877" s="366"/>
      <c r="X3877" s="366"/>
      <c r="Y3877" s="366"/>
      <c r="Z3877" s="366"/>
      <c r="AA3877" s="366"/>
      <c r="AB3877" s="22">
        <f t="shared" si="1175"/>
        <v>1746</v>
      </c>
      <c r="AC3877" s="23">
        <v>1864</v>
      </c>
      <c r="AD3877" s="35"/>
      <c r="AE3877" s="35"/>
      <c r="AF3877" s="35"/>
      <c r="AG3877" s="35"/>
      <c r="AH3877" s="35"/>
      <c r="AI3877" s="35"/>
      <c r="AJ3877" s="35"/>
      <c r="AK3877" s="35"/>
      <c r="AL3877" s="35"/>
      <c r="AM3877" s="35"/>
      <c r="AN3877" s="35"/>
      <c r="AO3877" s="35"/>
      <c r="AP3877" s="35"/>
      <c r="AQ3877" s="35"/>
      <c r="AR3877" s="35"/>
      <c r="AS3877" s="35"/>
      <c r="AT3877" s="35"/>
      <c r="AU3877" s="35"/>
      <c r="AV3877" s="35"/>
      <c r="AW3877" s="35"/>
      <c r="AX3877" s="35"/>
      <c r="AY3877" s="35"/>
      <c r="AZ3877" s="35"/>
      <c r="BA3877" s="35"/>
      <c r="BB3877" s="22">
        <f t="shared" si="1176"/>
        <v>0</v>
      </c>
      <c r="BC3877" s="23">
        <v>0</v>
      </c>
      <c r="BD3877" s="130">
        <f t="shared" si="1177"/>
        <v>1746</v>
      </c>
      <c r="BE3877" s="130">
        <f t="shared" si="1174"/>
        <v>1864</v>
      </c>
      <c r="BF3877" s="195">
        <f t="shared" si="1178"/>
        <v>93.669527896995703</v>
      </c>
      <c r="BG3877" s="373">
        <f t="shared" si="1179"/>
        <v>118</v>
      </c>
    </row>
    <row r="3878" spans="1:61" s="46" customFormat="1" ht="15.95" customHeight="1">
      <c r="A3878" s="367">
        <v>6</v>
      </c>
      <c r="B3878" s="31" t="s">
        <v>1602</v>
      </c>
      <c r="C3878" s="32" t="s">
        <v>1603</v>
      </c>
      <c r="D3878" s="366">
        <f>2+321</f>
        <v>323</v>
      </c>
      <c r="E3878" s="366"/>
      <c r="F3878" s="366"/>
      <c r="G3878" s="366"/>
      <c r="H3878" s="366">
        <f>1+306+1</f>
        <v>308</v>
      </c>
      <c r="I3878" s="366"/>
      <c r="J3878" s="366"/>
      <c r="K3878" s="366"/>
      <c r="L3878" s="366">
        <v>639</v>
      </c>
      <c r="M3878" s="366"/>
      <c r="N3878" s="366"/>
      <c r="O3878" s="366"/>
      <c r="P3878" s="366">
        <v>606</v>
      </c>
      <c r="Q3878" s="366"/>
      <c r="R3878" s="366"/>
      <c r="S3878" s="366"/>
      <c r="T3878" s="366"/>
      <c r="U3878" s="366"/>
      <c r="V3878" s="366"/>
      <c r="W3878" s="366"/>
      <c r="X3878" s="366"/>
      <c r="Y3878" s="366"/>
      <c r="Z3878" s="366"/>
      <c r="AA3878" s="366"/>
      <c r="AB3878" s="22">
        <f t="shared" si="1175"/>
        <v>1876</v>
      </c>
      <c r="AC3878" s="23">
        <v>1892</v>
      </c>
      <c r="AD3878" s="35"/>
      <c r="AE3878" s="35"/>
      <c r="AF3878" s="35"/>
      <c r="AG3878" s="35"/>
      <c r="AH3878" s="35"/>
      <c r="AI3878" s="35"/>
      <c r="AJ3878" s="35"/>
      <c r="AK3878" s="35"/>
      <c r="AL3878" s="35"/>
      <c r="AM3878" s="35"/>
      <c r="AN3878" s="35"/>
      <c r="AO3878" s="35"/>
      <c r="AP3878" s="35"/>
      <c r="AQ3878" s="35"/>
      <c r="AR3878" s="35"/>
      <c r="AS3878" s="35"/>
      <c r="AT3878" s="35"/>
      <c r="AU3878" s="35"/>
      <c r="AV3878" s="35"/>
      <c r="AW3878" s="35"/>
      <c r="AX3878" s="35"/>
      <c r="AY3878" s="35"/>
      <c r="AZ3878" s="35"/>
      <c r="BA3878" s="35"/>
      <c r="BB3878" s="22">
        <f t="shared" si="1176"/>
        <v>0</v>
      </c>
      <c r="BC3878" s="23">
        <v>0</v>
      </c>
      <c r="BD3878" s="130">
        <f t="shared" si="1177"/>
        <v>1876</v>
      </c>
      <c r="BE3878" s="130">
        <f t="shared" si="1174"/>
        <v>1892</v>
      </c>
      <c r="BF3878" s="195">
        <f t="shared" si="1178"/>
        <v>99.154334038054969</v>
      </c>
      <c r="BG3878" s="373">
        <f t="shared" si="1179"/>
        <v>16</v>
      </c>
    </row>
    <row r="3879" spans="1:61" s="46" customFormat="1" ht="15.95" customHeight="1">
      <c r="A3879" s="367">
        <v>7</v>
      </c>
      <c r="B3879" s="31" t="s">
        <v>1604</v>
      </c>
      <c r="C3879" s="36" t="s">
        <v>1605</v>
      </c>
      <c r="D3879" s="407">
        <v>1</v>
      </c>
      <c r="E3879" s="407"/>
      <c r="F3879" s="407"/>
      <c r="G3879" s="407"/>
      <c r="H3879" s="407">
        <v>3</v>
      </c>
      <c r="I3879" s="407"/>
      <c r="J3879" s="407"/>
      <c r="K3879" s="407"/>
      <c r="L3879" s="407">
        <v>2</v>
      </c>
      <c r="M3879" s="407"/>
      <c r="N3879" s="407"/>
      <c r="O3879" s="407"/>
      <c r="P3879" s="407">
        <v>8</v>
      </c>
      <c r="Q3879" s="407"/>
      <c r="R3879" s="407"/>
      <c r="S3879" s="407"/>
      <c r="T3879" s="407"/>
      <c r="U3879" s="407"/>
      <c r="V3879" s="407"/>
      <c r="W3879" s="407"/>
      <c r="X3879" s="407"/>
      <c r="Y3879" s="407"/>
      <c r="Z3879" s="407"/>
      <c r="AA3879" s="407"/>
      <c r="AB3879" s="22">
        <f t="shared" si="1175"/>
        <v>14</v>
      </c>
      <c r="AC3879" s="23">
        <v>27</v>
      </c>
      <c r="AD3879" s="35"/>
      <c r="AE3879" s="35"/>
      <c r="AF3879" s="35"/>
      <c r="AG3879" s="35"/>
      <c r="AH3879" s="35"/>
      <c r="AI3879" s="35"/>
      <c r="AJ3879" s="35"/>
      <c r="AK3879" s="35"/>
      <c r="AL3879" s="35"/>
      <c r="AM3879" s="35"/>
      <c r="AN3879" s="35"/>
      <c r="AO3879" s="35"/>
      <c r="AP3879" s="35"/>
      <c r="AQ3879" s="35"/>
      <c r="AR3879" s="35"/>
      <c r="AS3879" s="35"/>
      <c r="AT3879" s="35"/>
      <c r="AU3879" s="35"/>
      <c r="AV3879" s="35"/>
      <c r="AW3879" s="35"/>
      <c r="AX3879" s="35"/>
      <c r="AY3879" s="35"/>
      <c r="AZ3879" s="35"/>
      <c r="BA3879" s="35"/>
      <c r="BB3879" s="22">
        <f t="shared" si="1176"/>
        <v>0</v>
      </c>
      <c r="BC3879" s="23">
        <v>0</v>
      </c>
      <c r="BD3879" s="130">
        <f t="shared" si="1177"/>
        <v>14</v>
      </c>
      <c r="BE3879" s="130">
        <f t="shared" si="1174"/>
        <v>27</v>
      </c>
      <c r="BF3879" s="195">
        <f t="shared" si="1178"/>
        <v>51.851851851851848</v>
      </c>
      <c r="BG3879" s="373">
        <f t="shared" si="1179"/>
        <v>13</v>
      </c>
    </row>
    <row r="3880" spans="1:61" s="46" customFormat="1" ht="15.95" customHeight="1">
      <c r="A3880" s="367">
        <v>8</v>
      </c>
      <c r="B3880" s="31" t="s">
        <v>854</v>
      </c>
      <c r="C3880" s="32" t="s">
        <v>3706</v>
      </c>
      <c r="D3880" s="366">
        <v>4</v>
      </c>
      <c r="E3880" s="366"/>
      <c r="F3880" s="366"/>
      <c r="G3880" s="366"/>
      <c r="H3880" s="366">
        <v>1</v>
      </c>
      <c r="I3880" s="366"/>
      <c r="J3880" s="366"/>
      <c r="K3880" s="366"/>
      <c r="L3880" s="366"/>
      <c r="M3880" s="366"/>
      <c r="N3880" s="366"/>
      <c r="O3880" s="366"/>
      <c r="P3880" s="366"/>
      <c r="Q3880" s="366"/>
      <c r="R3880" s="366"/>
      <c r="S3880" s="366"/>
      <c r="T3880" s="366"/>
      <c r="U3880" s="366"/>
      <c r="V3880" s="366"/>
      <c r="W3880" s="366"/>
      <c r="X3880" s="366"/>
      <c r="Y3880" s="366"/>
      <c r="Z3880" s="366"/>
      <c r="AA3880" s="366"/>
      <c r="AB3880" s="22">
        <f t="shared" si="1175"/>
        <v>5</v>
      </c>
      <c r="AC3880" s="23">
        <v>0</v>
      </c>
      <c r="AD3880" s="35"/>
      <c r="AE3880" s="35"/>
      <c r="AF3880" s="35"/>
      <c r="AG3880" s="35"/>
      <c r="AH3880" s="35"/>
      <c r="AI3880" s="35"/>
      <c r="AJ3880" s="35"/>
      <c r="AK3880" s="35"/>
      <c r="AL3880" s="35"/>
      <c r="AM3880" s="35"/>
      <c r="AN3880" s="35"/>
      <c r="AO3880" s="35"/>
      <c r="AP3880" s="35"/>
      <c r="AQ3880" s="35"/>
      <c r="AR3880" s="35"/>
      <c r="AS3880" s="35"/>
      <c r="AT3880" s="35"/>
      <c r="AU3880" s="35"/>
      <c r="AV3880" s="35"/>
      <c r="AW3880" s="35"/>
      <c r="AX3880" s="35"/>
      <c r="AY3880" s="35"/>
      <c r="AZ3880" s="35"/>
      <c r="BA3880" s="35"/>
      <c r="BB3880" s="22">
        <f t="shared" si="1176"/>
        <v>0</v>
      </c>
      <c r="BC3880" s="23">
        <v>0</v>
      </c>
      <c r="BD3880" s="130">
        <f t="shared" si="1177"/>
        <v>5</v>
      </c>
      <c r="BE3880" s="130">
        <f t="shared" si="1174"/>
        <v>0</v>
      </c>
      <c r="BF3880" s="195" t="e">
        <f t="shared" si="1178"/>
        <v>#DIV/0!</v>
      </c>
      <c r="BG3880" s="373"/>
    </row>
    <row r="3881" spans="1:61" s="46" customFormat="1" ht="15.95" customHeight="1">
      <c r="A3881" s="367">
        <v>9</v>
      </c>
      <c r="B3881" s="31" t="s">
        <v>858</v>
      </c>
      <c r="C3881" s="32" t="s">
        <v>859</v>
      </c>
      <c r="D3881" s="528"/>
      <c r="E3881" s="528"/>
      <c r="F3881" s="528"/>
      <c r="G3881" s="528"/>
      <c r="H3881" s="528">
        <v>2</v>
      </c>
      <c r="I3881" s="528"/>
      <c r="J3881" s="528"/>
      <c r="K3881" s="528"/>
      <c r="L3881" s="528"/>
      <c r="M3881" s="528"/>
      <c r="N3881" s="528"/>
      <c r="O3881" s="528"/>
      <c r="P3881" s="528"/>
      <c r="Q3881" s="528"/>
      <c r="R3881" s="528"/>
      <c r="S3881" s="528"/>
      <c r="T3881" s="528"/>
      <c r="U3881" s="528"/>
      <c r="V3881" s="528"/>
      <c r="W3881" s="528"/>
      <c r="X3881" s="528"/>
      <c r="Y3881" s="528"/>
      <c r="Z3881" s="528"/>
      <c r="AA3881" s="528"/>
      <c r="AB3881" s="22">
        <f t="shared" si="1175"/>
        <v>2</v>
      </c>
      <c r="AC3881" s="23">
        <v>0</v>
      </c>
      <c r="AD3881" s="35"/>
      <c r="AE3881" s="35"/>
      <c r="AF3881" s="35"/>
      <c r="AG3881" s="35"/>
      <c r="AH3881" s="35"/>
      <c r="AI3881" s="35"/>
      <c r="AJ3881" s="35"/>
      <c r="AK3881" s="35"/>
      <c r="AL3881" s="35"/>
      <c r="AM3881" s="35"/>
      <c r="AN3881" s="35"/>
      <c r="AO3881" s="35"/>
      <c r="AP3881" s="35"/>
      <c r="AQ3881" s="35"/>
      <c r="AR3881" s="35"/>
      <c r="AS3881" s="35"/>
      <c r="AT3881" s="35"/>
      <c r="AU3881" s="35"/>
      <c r="AV3881" s="35"/>
      <c r="AW3881" s="35"/>
      <c r="AX3881" s="35"/>
      <c r="AY3881" s="35"/>
      <c r="AZ3881" s="35"/>
      <c r="BA3881" s="35"/>
      <c r="BB3881" s="22">
        <f t="shared" si="1176"/>
        <v>0</v>
      </c>
      <c r="BC3881" s="23">
        <v>0</v>
      </c>
      <c r="BD3881" s="130">
        <f t="shared" si="1177"/>
        <v>2</v>
      </c>
      <c r="BE3881" s="130">
        <f t="shared" si="1174"/>
        <v>0</v>
      </c>
      <c r="BF3881" s="195" t="e">
        <f t="shared" si="1178"/>
        <v>#DIV/0!</v>
      </c>
      <c r="BG3881" s="373"/>
    </row>
    <row r="3882" spans="1:61" s="46" customFormat="1" ht="15.95" customHeight="1">
      <c r="A3882" s="367">
        <v>10</v>
      </c>
      <c r="B3882" s="31" t="s">
        <v>1654</v>
      </c>
      <c r="C3882" s="32" t="s">
        <v>1983</v>
      </c>
      <c r="D3882" s="552"/>
      <c r="E3882" s="552"/>
      <c r="F3882" s="552"/>
      <c r="G3882" s="552"/>
      <c r="H3882" s="552"/>
      <c r="I3882" s="552"/>
      <c r="J3882" s="552"/>
      <c r="K3882" s="552"/>
      <c r="L3882" s="552">
        <v>2</v>
      </c>
      <c r="M3882" s="552"/>
      <c r="N3882" s="552"/>
      <c r="O3882" s="552"/>
      <c r="P3882" s="552">
        <v>1</v>
      </c>
      <c r="Q3882" s="552"/>
      <c r="R3882" s="552"/>
      <c r="S3882" s="552"/>
      <c r="T3882" s="552"/>
      <c r="U3882" s="552"/>
      <c r="V3882" s="552"/>
      <c r="W3882" s="552"/>
      <c r="X3882" s="552"/>
      <c r="Y3882" s="552"/>
      <c r="Z3882" s="552"/>
      <c r="AA3882" s="552"/>
      <c r="AB3882" s="22">
        <f t="shared" si="1175"/>
        <v>3</v>
      </c>
      <c r="AC3882" s="23">
        <v>0</v>
      </c>
      <c r="AD3882" s="35"/>
      <c r="AE3882" s="35"/>
      <c r="AF3882" s="35"/>
      <c r="AG3882" s="35"/>
      <c r="AH3882" s="35"/>
      <c r="AI3882" s="35"/>
      <c r="AJ3882" s="35"/>
      <c r="AK3882" s="35"/>
      <c r="AL3882" s="35"/>
      <c r="AM3882" s="35"/>
      <c r="AN3882" s="35"/>
      <c r="AO3882" s="35"/>
      <c r="AP3882" s="35"/>
      <c r="AQ3882" s="35"/>
      <c r="AR3882" s="35"/>
      <c r="AS3882" s="35"/>
      <c r="AT3882" s="35"/>
      <c r="AU3882" s="35"/>
      <c r="AV3882" s="35"/>
      <c r="AW3882" s="35"/>
      <c r="AX3882" s="35"/>
      <c r="AY3882" s="35"/>
      <c r="AZ3882" s="35"/>
      <c r="BA3882" s="35"/>
      <c r="BB3882" s="22">
        <f t="shared" si="1176"/>
        <v>0</v>
      </c>
      <c r="BC3882" s="23">
        <v>0</v>
      </c>
      <c r="BD3882" s="130">
        <f t="shared" si="1177"/>
        <v>3</v>
      </c>
      <c r="BE3882" s="130">
        <f t="shared" si="1174"/>
        <v>0</v>
      </c>
      <c r="BF3882" s="195" t="e">
        <f t="shared" si="1178"/>
        <v>#DIV/0!</v>
      </c>
      <c r="BG3882" s="373"/>
    </row>
    <row r="3883" spans="1:61" s="46" customFormat="1" ht="15.95" customHeight="1">
      <c r="A3883" s="367">
        <v>11</v>
      </c>
      <c r="B3883" s="31" t="s">
        <v>1658</v>
      </c>
      <c r="C3883" s="32" t="s">
        <v>2255</v>
      </c>
      <c r="D3883" s="528"/>
      <c r="E3883" s="528"/>
      <c r="F3883" s="528"/>
      <c r="G3883" s="528"/>
      <c r="H3883" s="528">
        <v>31</v>
      </c>
      <c r="I3883" s="528"/>
      <c r="J3883" s="528"/>
      <c r="K3883" s="528"/>
      <c r="L3883" s="528"/>
      <c r="M3883" s="528"/>
      <c r="N3883" s="528"/>
      <c r="O3883" s="528"/>
      <c r="P3883" s="528"/>
      <c r="Q3883" s="528"/>
      <c r="R3883" s="528"/>
      <c r="S3883" s="528"/>
      <c r="T3883" s="528"/>
      <c r="U3883" s="528"/>
      <c r="V3883" s="528"/>
      <c r="W3883" s="528"/>
      <c r="X3883" s="528"/>
      <c r="Y3883" s="528"/>
      <c r="Z3883" s="528"/>
      <c r="AA3883" s="528"/>
      <c r="AB3883" s="22">
        <f t="shared" si="1175"/>
        <v>31</v>
      </c>
      <c r="AC3883" s="23">
        <v>0</v>
      </c>
      <c r="AD3883" s="35"/>
      <c r="AE3883" s="35"/>
      <c r="AF3883" s="35"/>
      <c r="AG3883" s="35"/>
      <c r="AH3883" s="35"/>
      <c r="AI3883" s="35"/>
      <c r="AJ3883" s="35"/>
      <c r="AK3883" s="35"/>
      <c r="AL3883" s="35"/>
      <c r="AM3883" s="35"/>
      <c r="AN3883" s="35"/>
      <c r="AO3883" s="35"/>
      <c r="AP3883" s="35"/>
      <c r="AQ3883" s="35"/>
      <c r="AR3883" s="35"/>
      <c r="AS3883" s="35"/>
      <c r="AT3883" s="35"/>
      <c r="AU3883" s="35"/>
      <c r="AV3883" s="35"/>
      <c r="AW3883" s="35"/>
      <c r="AX3883" s="35"/>
      <c r="AY3883" s="35"/>
      <c r="AZ3883" s="35"/>
      <c r="BA3883" s="35"/>
      <c r="BB3883" s="22">
        <f t="shared" si="1176"/>
        <v>0</v>
      </c>
      <c r="BC3883" s="23">
        <v>0</v>
      </c>
      <c r="BD3883" s="130">
        <f t="shared" si="1177"/>
        <v>31</v>
      </c>
      <c r="BE3883" s="130">
        <f t="shared" si="1174"/>
        <v>0</v>
      </c>
      <c r="BF3883" s="195" t="e">
        <f t="shared" si="1178"/>
        <v>#DIV/0!</v>
      </c>
      <c r="BG3883" s="373"/>
    </row>
    <row r="3884" spans="1:61" s="46" customFormat="1" ht="24.75" customHeight="1">
      <c r="A3884" s="367">
        <v>12</v>
      </c>
      <c r="B3884" s="31" t="s">
        <v>1034</v>
      </c>
      <c r="C3884" s="34" t="s">
        <v>2018</v>
      </c>
      <c r="D3884" s="528"/>
      <c r="E3884" s="528"/>
      <c r="F3884" s="528"/>
      <c r="G3884" s="528"/>
      <c r="H3884" s="528">
        <v>19</v>
      </c>
      <c r="I3884" s="528"/>
      <c r="J3884" s="528"/>
      <c r="K3884" s="528"/>
      <c r="L3884" s="528"/>
      <c r="M3884" s="528"/>
      <c r="N3884" s="528"/>
      <c r="O3884" s="528"/>
      <c r="P3884" s="528"/>
      <c r="Q3884" s="528"/>
      <c r="R3884" s="528"/>
      <c r="S3884" s="528"/>
      <c r="T3884" s="528"/>
      <c r="U3884" s="528"/>
      <c r="V3884" s="528"/>
      <c r="W3884" s="528"/>
      <c r="X3884" s="528"/>
      <c r="Y3884" s="528"/>
      <c r="Z3884" s="528"/>
      <c r="AA3884" s="528"/>
      <c r="AB3884" s="22">
        <f t="shared" si="1175"/>
        <v>19</v>
      </c>
      <c r="AC3884" s="23">
        <v>0</v>
      </c>
      <c r="AD3884" s="35"/>
      <c r="AE3884" s="35"/>
      <c r="AF3884" s="35"/>
      <c r="AG3884" s="35"/>
      <c r="AH3884" s="35"/>
      <c r="AI3884" s="35"/>
      <c r="AJ3884" s="35"/>
      <c r="AK3884" s="35"/>
      <c r="AL3884" s="35"/>
      <c r="AM3884" s="35"/>
      <c r="AN3884" s="35"/>
      <c r="AO3884" s="35"/>
      <c r="AP3884" s="35"/>
      <c r="AQ3884" s="35"/>
      <c r="AR3884" s="35"/>
      <c r="AS3884" s="35"/>
      <c r="AT3884" s="35"/>
      <c r="AU3884" s="35"/>
      <c r="AV3884" s="35"/>
      <c r="AW3884" s="35"/>
      <c r="AX3884" s="35"/>
      <c r="AY3884" s="35"/>
      <c r="AZ3884" s="35"/>
      <c r="BA3884" s="35"/>
      <c r="BB3884" s="22">
        <f t="shared" si="1176"/>
        <v>0</v>
      </c>
      <c r="BC3884" s="23">
        <v>0</v>
      </c>
      <c r="BD3884" s="130">
        <f t="shared" si="1177"/>
        <v>19</v>
      </c>
      <c r="BE3884" s="130">
        <f t="shared" si="1174"/>
        <v>0</v>
      </c>
      <c r="BF3884" s="195" t="e">
        <f t="shared" si="1178"/>
        <v>#DIV/0!</v>
      </c>
      <c r="BG3884" s="373"/>
    </row>
    <row r="3885" spans="1:61" s="46" customFormat="1" ht="15.95" customHeight="1">
      <c r="A3885" s="367">
        <v>13</v>
      </c>
      <c r="B3885" s="451" t="s">
        <v>3058</v>
      </c>
      <c r="C3885" s="452" t="s">
        <v>3059</v>
      </c>
      <c r="D3885" s="366">
        <f>2+301</f>
        <v>303</v>
      </c>
      <c r="E3885" s="366"/>
      <c r="F3885" s="366"/>
      <c r="G3885" s="366"/>
      <c r="H3885" s="366">
        <f>1+287+1</f>
        <v>289</v>
      </c>
      <c r="I3885" s="366"/>
      <c r="J3885" s="366"/>
      <c r="K3885" s="366"/>
      <c r="L3885" s="366">
        <v>565</v>
      </c>
      <c r="M3885" s="366"/>
      <c r="N3885" s="366"/>
      <c r="O3885" s="366"/>
      <c r="P3885" s="366">
        <v>470</v>
      </c>
      <c r="Q3885" s="366"/>
      <c r="R3885" s="366"/>
      <c r="S3885" s="366"/>
      <c r="T3885" s="366"/>
      <c r="U3885" s="366"/>
      <c r="V3885" s="366"/>
      <c r="W3885" s="366"/>
      <c r="X3885" s="366"/>
      <c r="Y3885" s="366"/>
      <c r="Z3885" s="366"/>
      <c r="AA3885" s="366"/>
      <c r="AB3885" s="22">
        <f t="shared" si="1175"/>
        <v>1627</v>
      </c>
      <c r="AC3885" s="23">
        <v>1562</v>
      </c>
      <c r="AD3885" s="35"/>
      <c r="AE3885" s="35"/>
      <c r="AF3885" s="35"/>
      <c r="AG3885" s="35"/>
      <c r="AH3885" s="35"/>
      <c r="AI3885" s="35"/>
      <c r="AJ3885" s="35"/>
      <c r="AK3885" s="35"/>
      <c r="AL3885" s="35"/>
      <c r="AM3885" s="35"/>
      <c r="AN3885" s="35"/>
      <c r="AO3885" s="35"/>
      <c r="AP3885" s="35"/>
      <c r="AQ3885" s="35"/>
      <c r="AR3885" s="35"/>
      <c r="AS3885" s="35"/>
      <c r="AT3885" s="35"/>
      <c r="AU3885" s="35"/>
      <c r="AV3885" s="35"/>
      <c r="AW3885" s="35"/>
      <c r="AX3885" s="35"/>
      <c r="AY3885" s="35"/>
      <c r="AZ3885" s="35"/>
      <c r="BA3885" s="35"/>
      <c r="BB3885" s="22">
        <f t="shared" si="1176"/>
        <v>0</v>
      </c>
      <c r="BC3885" s="23">
        <v>0</v>
      </c>
      <c r="BD3885" s="130">
        <f t="shared" si="1177"/>
        <v>1627</v>
      </c>
      <c r="BE3885" s="130">
        <f t="shared" si="1174"/>
        <v>1562</v>
      </c>
      <c r="BF3885" s="195">
        <f t="shared" si="1178"/>
        <v>104.16133162612036</v>
      </c>
      <c r="BG3885" s="373">
        <f t="shared" ref="BG3885:BG3903" si="1180">BE3885-BD3885</f>
        <v>-65</v>
      </c>
    </row>
    <row r="3886" spans="1:61" s="46" customFormat="1" ht="15.95" customHeight="1">
      <c r="A3886" s="367">
        <v>14</v>
      </c>
      <c r="B3886" s="437" t="s">
        <v>3077</v>
      </c>
      <c r="C3886" s="439" t="s">
        <v>3078</v>
      </c>
      <c r="D3886" s="366">
        <f>2+301</f>
        <v>303</v>
      </c>
      <c r="E3886" s="366"/>
      <c r="F3886" s="366"/>
      <c r="G3886" s="366"/>
      <c r="H3886" s="366">
        <f>1+287+1</f>
        <v>289</v>
      </c>
      <c r="I3886" s="366"/>
      <c r="J3886" s="366"/>
      <c r="K3886" s="366"/>
      <c r="L3886" s="366">
        <v>563</v>
      </c>
      <c r="M3886" s="366"/>
      <c r="N3886" s="366"/>
      <c r="O3886" s="366"/>
      <c r="P3886" s="366">
        <v>470</v>
      </c>
      <c r="Q3886" s="366"/>
      <c r="R3886" s="366"/>
      <c r="S3886" s="366"/>
      <c r="T3886" s="366"/>
      <c r="U3886" s="366"/>
      <c r="V3886" s="366"/>
      <c r="W3886" s="366"/>
      <c r="X3886" s="366"/>
      <c r="Y3886" s="366"/>
      <c r="Z3886" s="366"/>
      <c r="AA3886" s="366"/>
      <c r="AB3886" s="22">
        <f t="shared" si="1175"/>
        <v>1625</v>
      </c>
      <c r="AC3886" s="23">
        <v>1559</v>
      </c>
      <c r="AD3886" s="35"/>
      <c r="AE3886" s="35"/>
      <c r="AF3886" s="35"/>
      <c r="AG3886" s="35"/>
      <c r="AH3886" s="35"/>
      <c r="AI3886" s="35"/>
      <c r="AJ3886" s="35"/>
      <c r="AK3886" s="35"/>
      <c r="AL3886" s="35"/>
      <c r="AM3886" s="35"/>
      <c r="AN3886" s="35"/>
      <c r="AO3886" s="35"/>
      <c r="AP3886" s="35"/>
      <c r="AQ3886" s="35"/>
      <c r="AR3886" s="35"/>
      <c r="AS3886" s="35"/>
      <c r="AT3886" s="35"/>
      <c r="AU3886" s="35"/>
      <c r="AV3886" s="35"/>
      <c r="AW3886" s="35"/>
      <c r="AX3886" s="35"/>
      <c r="AY3886" s="35"/>
      <c r="AZ3886" s="35"/>
      <c r="BA3886" s="35"/>
      <c r="BB3886" s="22">
        <f t="shared" si="1176"/>
        <v>0</v>
      </c>
      <c r="BC3886" s="23">
        <v>0</v>
      </c>
      <c r="BD3886" s="130">
        <f t="shared" si="1177"/>
        <v>1625</v>
      </c>
      <c r="BE3886" s="130">
        <f t="shared" si="1174"/>
        <v>1559</v>
      </c>
      <c r="BF3886" s="195">
        <f t="shared" si="1178"/>
        <v>104.23348300192433</v>
      </c>
      <c r="BG3886" s="373">
        <f t="shared" si="1180"/>
        <v>-66</v>
      </c>
    </row>
    <row r="3887" spans="1:61" s="46" customFormat="1" ht="15.95" customHeight="1">
      <c r="A3887" s="367">
        <v>15</v>
      </c>
      <c r="B3887" s="411" t="s">
        <v>3079</v>
      </c>
      <c r="C3887" s="448" t="s">
        <v>3080</v>
      </c>
      <c r="D3887" s="366">
        <f>2+302</f>
        <v>304</v>
      </c>
      <c r="E3887" s="366"/>
      <c r="F3887" s="366"/>
      <c r="G3887" s="366"/>
      <c r="H3887" s="366">
        <f>1+292+1</f>
        <v>294</v>
      </c>
      <c r="I3887" s="366"/>
      <c r="J3887" s="366"/>
      <c r="K3887" s="366"/>
      <c r="L3887" s="366">
        <v>579</v>
      </c>
      <c r="M3887" s="366"/>
      <c r="N3887" s="366"/>
      <c r="O3887" s="366"/>
      <c r="P3887" s="366">
        <v>476</v>
      </c>
      <c r="Q3887" s="366"/>
      <c r="R3887" s="366"/>
      <c r="S3887" s="366"/>
      <c r="T3887" s="366"/>
      <c r="U3887" s="366"/>
      <c r="V3887" s="366"/>
      <c r="W3887" s="366"/>
      <c r="X3887" s="366"/>
      <c r="Y3887" s="366"/>
      <c r="Z3887" s="366"/>
      <c r="AA3887" s="366"/>
      <c r="AB3887" s="22">
        <f t="shared" si="1175"/>
        <v>1653</v>
      </c>
      <c r="AC3887" s="23">
        <v>1646</v>
      </c>
      <c r="AD3887" s="35"/>
      <c r="AE3887" s="35"/>
      <c r="AF3887" s="35"/>
      <c r="AG3887" s="35"/>
      <c r="AH3887" s="35"/>
      <c r="AI3887" s="35"/>
      <c r="AJ3887" s="35"/>
      <c r="AK3887" s="35"/>
      <c r="AL3887" s="35"/>
      <c r="AM3887" s="35"/>
      <c r="AN3887" s="35"/>
      <c r="AO3887" s="35"/>
      <c r="AP3887" s="35"/>
      <c r="AQ3887" s="35"/>
      <c r="AR3887" s="35"/>
      <c r="AS3887" s="35"/>
      <c r="AT3887" s="35"/>
      <c r="AU3887" s="35"/>
      <c r="AV3887" s="35"/>
      <c r="AW3887" s="35"/>
      <c r="AX3887" s="35"/>
      <c r="AY3887" s="35"/>
      <c r="AZ3887" s="35"/>
      <c r="BA3887" s="35"/>
      <c r="BB3887" s="22">
        <f t="shared" si="1176"/>
        <v>0</v>
      </c>
      <c r="BC3887" s="23">
        <v>0</v>
      </c>
      <c r="BD3887" s="130">
        <f t="shared" si="1177"/>
        <v>1653</v>
      </c>
      <c r="BE3887" s="130">
        <f t="shared" si="1174"/>
        <v>1646</v>
      </c>
      <c r="BF3887" s="195">
        <f t="shared" si="1178"/>
        <v>100.42527339003647</v>
      </c>
      <c r="BG3887" s="373">
        <f t="shared" si="1180"/>
        <v>-7</v>
      </c>
    </row>
    <row r="3888" spans="1:61" s="46" customFormat="1" ht="15.95" customHeight="1">
      <c r="A3888" s="367">
        <v>16</v>
      </c>
      <c r="B3888" s="437" t="s">
        <v>3081</v>
      </c>
      <c r="C3888" s="439" t="s">
        <v>3082</v>
      </c>
      <c r="D3888" s="366">
        <f>2+302</f>
        <v>304</v>
      </c>
      <c r="E3888" s="366"/>
      <c r="F3888" s="366"/>
      <c r="G3888" s="366"/>
      <c r="H3888" s="366">
        <f>1+292+1</f>
        <v>294</v>
      </c>
      <c r="I3888" s="366"/>
      <c r="J3888" s="366"/>
      <c r="K3888" s="366"/>
      <c r="L3888" s="366">
        <v>579</v>
      </c>
      <c r="M3888" s="366"/>
      <c r="N3888" s="366"/>
      <c r="O3888" s="366"/>
      <c r="P3888" s="366">
        <v>476</v>
      </c>
      <c r="Q3888" s="366"/>
      <c r="R3888" s="366"/>
      <c r="S3888" s="366"/>
      <c r="T3888" s="366"/>
      <c r="U3888" s="366"/>
      <c r="V3888" s="366"/>
      <c r="W3888" s="366"/>
      <c r="X3888" s="366"/>
      <c r="Y3888" s="366"/>
      <c r="Z3888" s="366"/>
      <c r="AA3888" s="366"/>
      <c r="AB3888" s="22">
        <f t="shared" si="1175"/>
        <v>1653</v>
      </c>
      <c r="AC3888" s="23">
        <v>1647</v>
      </c>
      <c r="AD3888" s="35"/>
      <c r="AE3888" s="35"/>
      <c r="AF3888" s="35"/>
      <c r="AG3888" s="35"/>
      <c r="AH3888" s="35"/>
      <c r="AI3888" s="35"/>
      <c r="AJ3888" s="35"/>
      <c r="AK3888" s="35"/>
      <c r="AL3888" s="35"/>
      <c r="AM3888" s="35"/>
      <c r="AN3888" s="35"/>
      <c r="AO3888" s="35"/>
      <c r="AP3888" s="35"/>
      <c r="AQ3888" s="35"/>
      <c r="AR3888" s="35"/>
      <c r="AS3888" s="35"/>
      <c r="AT3888" s="35"/>
      <c r="AU3888" s="35"/>
      <c r="AV3888" s="35"/>
      <c r="AW3888" s="35"/>
      <c r="AX3888" s="35"/>
      <c r="AY3888" s="35"/>
      <c r="AZ3888" s="35"/>
      <c r="BA3888" s="35"/>
      <c r="BB3888" s="22">
        <f t="shared" si="1176"/>
        <v>0</v>
      </c>
      <c r="BC3888" s="23">
        <v>0</v>
      </c>
      <c r="BD3888" s="130">
        <f t="shared" si="1177"/>
        <v>1653</v>
      </c>
      <c r="BE3888" s="130">
        <f t="shared" si="1174"/>
        <v>1647</v>
      </c>
      <c r="BF3888" s="195">
        <f t="shared" si="1178"/>
        <v>100.36429872495447</v>
      </c>
      <c r="BG3888" s="373">
        <f t="shared" si="1180"/>
        <v>-6</v>
      </c>
    </row>
    <row r="3889" spans="1:59" s="46" customFormat="1" ht="15.95" customHeight="1">
      <c r="A3889" s="367">
        <v>17</v>
      </c>
      <c r="B3889" s="411" t="s">
        <v>3083</v>
      </c>
      <c r="C3889" s="448" t="s">
        <v>3084</v>
      </c>
      <c r="D3889" s="366">
        <f>2+302</f>
        <v>304</v>
      </c>
      <c r="E3889" s="366"/>
      <c r="F3889" s="366"/>
      <c r="G3889" s="366"/>
      <c r="H3889" s="366">
        <f>1+292+1</f>
        <v>294</v>
      </c>
      <c r="I3889" s="366"/>
      <c r="J3889" s="366"/>
      <c r="K3889" s="366"/>
      <c r="L3889" s="366">
        <v>579</v>
      </c>
      <c r="M3889" s="366"/>
      <c r="N3889" s="366"/>
      <c r="O3889" s="366"/>
      <c r="P3889" s="366">
        <v>476</v>
      </c>
      <c r="Q3889" s="366"/>
      <c r="R3889" s="366"/>
      <c r="S3889" s="366"/>
      <c r="T3889" s="366"/>
      <c r="U3889" s="366"/>
      <c r="V3889" s="366"/>
      <c r="W3889" s="366"/>
      <c r="X3889" s="366"/>
      <c r="Y3889" s="366"/>
      <c r="Z3889" s="366"/>
      <c r="AA3889" s="366"/>
      <c r="AB3889" s="22">
        <f t="shared" si="1175"/>
        <v>1653</v>
      </c>
      <c r="AC3889" s="23">
        <v>1647</v>
      </c>
      <c r="AD3889" s="35"/>
      <c r="AE3889" s="35"/>
      <c r="AF3889" s="35"/>
      <c r="AG3889" s="35"/>
      <c r="AH3889" s="35"/>
      <c r="AI3889" s="35"/>
      <c r="AJ3889" s="35"/>
      <c r="AK3889" s="35"/>
      <c r="AL3889" s="35"/>
      <c r="AM3889" s="35"/>
      <c r="AN3889" s="35"/>
      <c r="AO3889" s="35"/>
      <c r="AP3889" s="35"/>
      <c r="AQ3889" s="35"/>
      <c r="AR3889" s="35"/>
      <c r="AS3889" s="35"/>
      <c r="AT3889" s="35"/>
      <c r="AU3889" s="35"/>
      <c r="AV3889" s="35"/>
      <c r="AW3889" s="35"/>
      <c r="AX3889" s="35"/>
      <c r="AY3889" s="35"/>
      <c r="AZ3889" s="35"/>
      <c r="BA3889" s="35"/>
      <c r="BB3889" s="22">
        <f t="shared" si="1176"/>
        <v>0</v>
      </c>
      <c r="BC3889" s="23">
        <v>0</v>
      </c>
      <c r="BD3889" s="130">
        <f t="shared" si="1177"/>
        <v>1653</v>
      </c>
      <c r="BE3889" s="130">
        <f t="shared" si="1174"/>
        <v>1647</v>
      </c>
      <c r="BF3889" s="195">
        <f t="shared" si="1178"/>
        <v>100.36429872495447</v>
      </c>
      <c r="BG3889" s="373">
        <f t="shared" si="1180"/>
        <v>-6</v>
      </c>
    </row>
    <row r="3890" spans="1:59" s="46" customFormat="1" ht="15.95" customHeight="1">
      <c r="A3890" s="367">
        <v>18</v>
      </c>
      <c r="B3890" s="437" t="s">
        <v>3085</v>
      </c>
      <c r="C3890" s="439" t="s">
        <v>3086</v>
      </c>
      <c r="D3890" s="366">
        <f>2+425</f>
        <v>427</v>
      </c>
      <c r="E3890" s="366"/>
      <c r="F3890" s="366"/>
      <c r="G3890" s="366"/>
      <c r="H3890" s="366">
        <f>1+406+1</f>
        <v>408</v>
      </c>
      <c r="I3890" s="366"/>
      <c r="J3890" s="366"/>
      <c r="K3890" s="366"/>
      <c r="L3890" s="366">
        <v>739</v>
      </c>
      <c r="M3890" s="366"/>
      <c r="N3890" s="366"/>
      <c r="O3890" s="366"/>
      <c r="P3890" s="366">
        <v>695</v>
      </c>
      <c r="Q3890" s="366"/>
      <c r="R3890" s="366"/>
      <c r="S3890" s="366"/>
      <c r="T3890" s="366"/>
      <c r="U3890" s="366"/>
      <c r="V3890" s="366"/>
      <c r="W3890" s="366"/>
      <c r="X3890" s="366"/>
      <c r="Y3890" s="366"/>
      <c r="Z3890" s="366"/>
      <c r="AA3890" s="366"/>
      <c r="AB3890" s="22">
        <f t="shared" si="1175"/>
        <v>2269</v>
      </c>
      <c r="AC3890" s="23">
        <v>2371</v>
      </c>
      <c r="AD3890" s="35"/>
      <c r="AE3890" s="35"/>
      <c r="AF3890" s="35"/>
      <c r="AG3890" s="35"/>
      <c r="AH3890" s="35"/>
      <c r="AI3890" s="35"/>
      <c r="AJ3890" s="35"/>
      <c r="AK3890" s="35"/>
      <c r="AL3890" s="35"/>
      <c r="AM3890" s="35"/>
      <c r="AN3890" s="35"/>
      <c r="AO3890" s="35"/>
      <c r="AP3890" s="35"/>
      <c r="AQ3890" s="35"/>
      <c r="AR3890" s="35"/>
      <c r="AS3890" s="35"/>
      <c r="AT3890" s="35"/>
      <c r="AU3890" s="35"/>
      <c r="AV3890" s="35"/>
      <c r="AW3890" s="35"/>
      <c r="AX3890" s="35"/>
      <c r="AY3890" s="35"/>
      <c r="AZ3890" s="35"/>
      <c r="BA3890" s="35"/>
      <c r="BB3890" s="22">
        <f t="shared" si="1176"/>
        <v>0</v>
      </c>
      <c r="BC3890" s="23">
        <v>0</v>
      </c>
      <c r="BD3890" s="130">
        <f t="shared" si="1177"/>
        <v>2269</v>
      </c>
      <c r="BE3890" s="130">
        <f t="shared" si="1174"/>
        <v>2371</v>
      </c>
      <c r="BF3890" s="195">
        <f t="shared" si="1178"/>
        <v>95.69801771404471</v>
      </c>
      <c r="BG3890" s="373">
        <f t="shared" si="1180"/>
        <v>102</v>
      </c>
    </row>
    <row r="3891" spans="1:59" s="46" customFormat="1" ht="15.95" customHeight="1">
      <c r="A3891" s="367">
        <v>19</v>
      </c>
      <c r="B3891" s="411" t="s">
        <v>3087</v>
      </c>
      <c r="C3891" s="448" t="s">
        <v>3088</v>
      </c>
      <c r="D3891" s="366">
        <f>2+425</f>
        <v>427</v>
      </c>
      <c r="E3891" s="366"/>
      <c r="F3891" s="366"/>
      <c r="G3891" s="366"/>
      <c r="H3891" s="366">
        <f>1+406+1</f>
        <v>408</v>
      </c>
      <c r="I3891" s="366"/>
      <c r="J3891" s="366"/>
      <c r="K3891" s="366"/>
      <c r="L3891" s="366">
        <v>739</v>
      </c>
      <c r="M3891" s="366"/>
      <c r="N3891" s="366"/>
      <c r="O3891" s="366"/>
      <c r="P3891" s="366">
        <v>695</v>
      </c>
      <c r="Q3891" s="366"/>
      <c r="R3891" s="366"/>
      <c r="S3891" s="366"/>
      <c r="T3891" s="366"/>
      <c r="U3891" s="366"/>
      <c r="V3891" s="366"/>
      <c r="W3891" s="366"/>
      <c r="X3891" s="366"/>
      <c r="Y3891" s="366"/>
      <c r="Z3891" s="366"/>
      <c r="AA3891" s="366"/>
      <c r="AB3891" s="22">
        <f t="shared" si="1175"/>
        <v>2269</v>
      </c>
      <c r="AC3891" s="23">
        <v>2371</v>
      </c>
      <c r="AD3891" s="35"/>
      <c r="AE3891" s="35"/>
      <c r="AF3891" s="35"/>
      <c r="AG3891" s="35"/>
      <c r="AH3891" s="35"/>
      <c r="AI3891" s="35"/>
      <c r="AJ3891" s="35"/>
      <c r="AK3891" s="35"/>
      <c r="AL3891" s="35"/>
      <c r="AM3891" s="35"/>
      <c r="AN3891" s="35"/>
      <c r="AO3891" s="35"/>
      <c r="AP3891" s="35"/>
      <c r="AQ3891" s="35"/>
      <c r="AR3891" s="35"/>
      <c r="AS3891" s="35"/>
      <c r="AT3891" s="35"/>
      <c r="AU3891" s="35"/>
      <c r="AV3891" s="35"/>
      <c r="AW3891" s="35"/>
      <c r="AX3891" s="35"/>
      <c r="AY3891" s="35"/>
      <c r="AZ3891" s="35"/>
      <c r="BA3891" s="35"/>
      <c r="BB3891" s="22">
        <f t="shared" si="1176"/>
        <v>0</v>
      </c>
      <c r="BC3891" s="23">
        <v>0</v>
      </c>
      <c r="BD3891" s="130">
        <f t="shared" si="1177"/>
        <v>2269</v>
      </c>
      <c r="BE3891" s="130">
        <f t="shared" si="1174"/>
        <v>2371</v>
      </c>
      <c r="BF3891" s="195">
        <f t="shared" si="1178"/>
        <v>95.69801771404471</v>
      </c>
      <c r="BG3891" s="373">
        <f t="shared" si="1180"/>
        <v>102</v>
      </c>
    </row>
    <row r="3892" spans="1:59" s="46" customFormat="1" ht="15.95" customHeight="1">
      <c r="A3892" s="367">
        <v>20</v>
      </c>
      <c r="B3892" s="437" t="s">
        <v>3089</v>
      </c>
      <c r="C3892" s="439" t="s">
        <v>3090</v>
      </c>
      <c r="D3892" s="366">
        <f>2+425</f>
        <v>427</v>
      </c>
      <c r="E3892" s="366"/>
      <c r="F3892" s="366"/>
      <c r="G3892" s="366"/>
      <c r="H3892" s="366">
        <f>1+406+1</f>
        <v>408</v>
      </c>
      <c r="I3892" s="366"/>
      <c r="J3892" s="366"/>
      <c r="K3892" s="366"/>
      <c r="L3892" s="366">
        <v>739</v>
      </c>
      <c r="M3892" s="366"/>
      <c r="N3892" s="366"/>
      <c r="O3892" s="366"/>
      <c r="P3892" s="366">
        <v>695</v>
      </c>
      <c r="Q3892" s="366"/>
      <c r="R3892" s="366"/>
      <c r="S3892" s="366"/>
      <c r="T3892" s="366"/>
      <c r="U3892" s="366"/>
      <c r="V3892" s="366"/>
      <c r="W3892" s="366"/>
      <c r="X3892" s="366"/>
      <c r="Y3892" s="366"/>
      <c r="Z3892" s="366"/>
      <c r="AA3892" s="366"/>
      <c r="AB3892" s="22">
        <f t="shared" si="1175"/>
        <v>2269</v>
      </c>
      <c r="AC3892" s="23">
        <v>2371</v>
      </c>
      <c r="AD3892" s="35"/>
      <c r="AE3892" s="35"/>
      <c r="AF3892" s="35"/>
      <c r="AG3892" s="35"/>
      <c r="AH3892" s="35"/>
      <c r="AI3892" s="35"/>
      <c r="AJ3892" s="35"/>
      <c r="AK3892" s="35"/>
      <c r="AL3892" s="35"/>
      <c r="AM3892" s="35"/>
      <c r="AN3892" s="35"/>
      <c r="AO3892" s="35"/>
      <c r="AP3892" s="35"/>
      <c r="AQ3892" s="35"/>
      <c r="AR3892" s="35"/>
      <c r="AS3892" s="35"/>
      <c r="AT3892" s="35"/>
      <c r="AU3892" s="35"/>
      <c r="AV3892" s="35"/>
      <c r="AW3892" s="35"/>
      <c r="AX3892" s="35"/>
      <c r="AY3892" s="35"/>
      <c r="AZ3892" s="35"/>
      <c r="BA3892" s="35"/>
      <c r="BB3892" s="22">
        <f t="shared" si="1176"/>
        <v>0</v>
      </c>
      <c r="BC3892" s="23">
        <v>0</v>
      </c>
      <c r="BD3892" s="130">
        <f t="shared" si="1177"/>
        <v>2269</v>
      </c>
      <c r="BE3892" s="130">
        <f t="shared" si="1174"/>
        <v>2371</v>
      </c>
      <c r="BF3892" s="195">
        <f t="shared" si="1178"/>
        <v>95.69801771404471</v>
      </c>
      <c r="BG3892" s="373">
        <f t="shared" si="1180"/>
        <v>102</v>
      </c>
    </row>
    <row r="3893" spans="1:59" s="46" customFormat="1" ht="15.95" customHeight="1">
      <c r="A3893" s="367">
        <v>21</v>
      </c>
      <c r="B3893" s="411" t="s">
        <v>3091</v>
      </c>
      <c r="C3893" s="448" t="s">
        <v>3092</v>
      </c>
      <c r="D3893" s="366">
        <f>2+422</f>
        <v>424</v>
      </c>
      <c r="E3893" s="366"/>
      <c r="F3893" s="366"/>
      <c r="G3893" s="366"/>
      <c r="H3893" s="366">
        <f>1+403+1</f>
        <v>405</v>
      </c>
      <c r="I3893" s="366"/>
      <c r="J3893" s="366"/>
      <c r="K3893" s="366"/>
      <c r="L3893" s="366">
        <v>736</v>
      </c>
      <c r="M3893" s="366"/>
      <c r="N3893" s="366"/>
      <c r="O3893" s="366"/>
      <c r="P3893" s="366">
        <v>684</v>
      </c>
      <c r="Q3893" s="366"/>
      <c r="R3893" s="366"/>
      <c r="S3893" s="366"/>
      <c r="T3893" s="366"/>
      <c r="U3893" s="366"/>
      <c r="V3893" s="366"/>
      <c r="W3893" s="366"/>
      <c r="X3893" s="366"/>
      <c r="Y3893" s="366"/>
      <c r="Z3893" s="366"/>
      <c r="AA3893" s="366"/>
      <c r="AB3893" s="22">
        <f t="shared" si="1175"/>
        <v>2249</v>
      </c>
      <c r="AC3893" s="23">
        <v>2330</v>
      </c>
      <c r="AD3893" s="35"/>
      <c r="AE3893" s="35"/>
      <c r="AF3893" s="35"/>
      <c r="AG3893" s="35"/>
      <c r="AH3893" s="35"/>
      <c r="AI3893" s="35"/>
      <c r="AJ3893" s="35"/>
      <c r="AK3893" s="35"/>
      <c r="AL3893" s="35"/>
      <c r="AM3893" s="35"/>
      <c r="AN3893" s="35"/>
      <c r="AO3893" s="35"/>
      <c r="AP3893" s="35"/>
      <c r="AQ3893" s="35"/>
      <c r="AR3893" s="35"/>
      <c r="AS3893" s="35"/>
      <c r="AT3893" s="35"/>
      <c r="AU3893" s="35"/>
      <c r="AV3893" s="35"/>
      <c r="AW3893" s="35"/>
      <c r="AX3893" s="35"/>
      <c r="AY3893" s="35"/>
      <c r="AZ3893" s="35"/>
      <c r="BA3893" s="35"/>
      <c r="BB3893" s="22">
        <f t="shared" si="1176"/>
        <v>0</v>
      </c>
      <c r="BC3893" s="23">
        <v>0</v>
      </c>
      <c r="BD3893" s="130">
        <f t="shared" si="1177"/>
        <v>2249</v>
      </c>
      <c r="BE3893" s="130">
        <f t="shared" si="1174"/>
        <v>2330</v>
      </c>
      <c r="BF3893" s="195">
        <f t="shared" si="1178"/>
        <v>96.523605150214593</v>
      </c>
      <c r="BG3893" s="373">
        <f t="shared" si="1180"/>
        <v>81</v>
      </c>
    </row>
    <row r="3894" spans="1:59" s="46" customFormat="1" ht="15.95" customHeight="1">
      <c r="A3894" s="367">
        <v>22</v>
      </c>
      <c r="B3894" s="437" t="s">
        <v>3093</v>
      </c>
      <c r="C3894" s="439" t="s">
        <v>3094</v>
      </c>
      <c r="D3894" s="366">
        <f>2+421</f>
        <v>423</v>
      </c>
      <c r="E3894" s="366"/>
      <c r="F3894" s="366"/>
      <c r="G3894" s="366"/>
      <c r="H3894" s="366">
        <f>1+400+1</f>
        <v>402</v>
      </c>
      <c r="I3894" s="366"/>
      <c r="J3894" s="366"/>
      <c r="K3894" s="366"/>
      <c r="L3894" s="366">
        <v>727</v>
      </c>
      <c r="M3894" s="366"/>
      <c r="N3894" s="366"/>
      <c r="O3894" s="366"/>
      <c r="P3894" s="366">
        <v>679</v>
      </c>
      <c r="Q3894" s="366"/>
      <c r="R3894" s="366"/>
      <c r="S3894" s="366"/>
      <c r="T3894" s="366"/>
      <c r="U3894" s="366"/>
      <c r="V3894" s="366"/>
      <c r="W3894" s="366"/>
      <c r="X3894" s="366"/>
      <c r="Y3894" s="366"/>
      <c r="Z3894" s="366"/>
      <c r="AA3894" s="366"/>
      <c r="AB3894" s="22">
        <f t="shared" si="1175"/>
        <v>2231</v>
      </c>
      <c r="AC3894" s="23">
        <v>2311</v>
      </c>
      <c r="AD3894" s="35"/>
      <c r="AE3894" s="35"/>
      <c r="AF3894" s="35"/>
      <c r="AG3894" s="35"/>
      <c r="AH3894" s="35"/>
      <c r="AI3894" s="35"/>
      <c r="AJ3894" s="35"/>
      <c r="AK3894" s="35"/>
      <c r="AL3894" s="35"/>
      <c r="AM3894" s="35"/>
      <c r="AN3894" s="35"/>
      <c r="AO3894" s="35"/>
      <c r="AP3894" s="35"/>
      <c r="AQ3894" s="35"/>
      <c r="AR3894" s="35"/>
      <c r="AS3894" s="35"/>
      <c r="AT3894" s="35"/>
      <c r="AU3894" s="35"/>
      <c r="AV3894" s="35"/>
      <c r="AW3894" s="35"/>
      <c r="AX3894" s="35"/>
      <c r="AY3894" s="35"/>
      <c r="AZ3894" s="35"/>
      <c r="BA3894" s="35"/>
      <c r="BB3894" s="22">
        <f t="shared" si="1176"/>
        <v>0</v>
      </c>
      <c r="BC3894" s="23">
        <v>0</v>
      </c>
      <c r="BD3894" s="130">
        <f t="shared" si="1177"/>
        <v>2231</v>
      </c>
      <c r="BE3894" s="130">
        <f t="shared" si="1174"/>
        <v>2311</v>
      </c>
      <c r="BF3894" s="195">
        <f t="shared" si="1178"/>
        <v>96.538295110341849</v>
      </c>
      <c r="BG3894" s="373">
        <f t="shared" si="1180"/>
        <v>80</v>
      </c>
    </row>
    <row r="3895" spans="1:59" s="46" customFormat="1" ht="15.95" customHeight="1">
      <c r="A3895" s="367">
        <v>23</v>
      </c>
      <c r="B3895" s="411" t="s">
        <v>3095</v>
      </c>
      <c r="C3895" s="448" t="s">
        <v>3096</v>
      </c>
      <c r="D3895" s="366">
        <v>120</v>
      </c>
      <c r="E3895" s="366"/>
      <c r="F3895" s="366"/>
      <c r="G3895" s="366"/>
      <c r="H3895" s="366">
        <v>113</v>
      </c>
      <c r="I3895" s="366"/>
      <c r="J3895" s="366"/>
      <c r="K3895" s="366"/>
      <c r="L3895" s="366">
        <v>164</v>
      </c>
      <c r="M3895" s="366"/>
      <c r="N3895" s="366"/>
      <c r="O3895" s="366"/>
      <c r="P3895" s="366">
        <v>209</v>
      </c>
      <c r="Q3895" s="366"/>
      <c r="R3895" s="366"/>
      <c r="S3895" s="366"/>
      <c r="T3895" s="366"/>
      <c r="U3895" s="366"/>
      <c r="V3895" s="366"/>
      <c r="W3895" s="366"/>
      <c r="X3895" s="366"/>
      <c r="Y3895" s="366"/>
      <c r="Z3895" s="366"/>
      <c r="AA3895" s="366"/>
      <c r="AB3895" s="22">
        <f t="shared" si="1175"/>
        <v>606</v>
      </c>
      <c r="AC3895" s="23">
        <v>780</v>
      </c>
      <c r="AD3895" s="35"/>
      <c r="AE3895" s="35"/>
      <c r="AF3895" s="35"/>
      <c r="AG3895" s="35"/>
      <c r="AH3895" s="35"/>
      <c r="AI3895" s="35"/>
      <c r="AJ3895" s="35"/>
      <c r="AK3895" s="35"/>
      <c r="AL3895" s="35"/>
      <c r="AM3895" s="35"/>
      <c r="AN3895" s="35"/>
      <c r="AO3895" s="35"/>
      <c r="AP3895" s="35"/>
      <c r="AQ3895" s="35"/>
      <c r="AR3895" s="35"/>
      <c r="AS3895" s="35"/>
      <c r="AT3895" s="35"/>
      <c r="AU3895" s="35"/>
      <c r="AV3895" s="35"/>
      <c r="AW3895" s="35"/>
      <c r="AX3895" s="35"/>
      <c r="AY3895" s="35"/>
      <c r="AZ3895" s="35"/>
      <c r="BA3895" s="35"/>
      <c r="BB3895" s="22">
        <f t="shared" si="1176"/>
        <v>0</v>
      </c>
      <c r="BC3895" s="23">
        <v>0</v>
      </c>
      <c r="BD3895" s="130">
        <f t="shared" si="1177"/>
        <v>606</v>
      </c>
      <c r="BE3895" s="130">
        <f t="shared" si="1174"/>
        <v>780</v>
      </c>
      <c r="BF3895" s="195">
        <f t="shared" si="1178"/>
        <v>77.692307692307693</v>
      </c>
      <c r="BG3895" s="373">
        <f t="shared" si="1180"/>
        <v>174</v>
      </c>
    </row>
    <row r="3896" spans="1:59" s="46" customFormat="1" ht="15.95" customHeight="1">
      <c r="A3896" s="367">
        <v>24</v>
      </c>
      <c r="B3896" s="411" t="s">
        <v>3060</v>
      </c>
      <c r="C3896" s="448" t="s">
        <v>3061</v>
      </c>
      <c r="D3896" s="366">
        <f>2+301</f>
        <v>303</v>
      </c>
      <c r="E3896" s="366"/>
      <c r="F3896" s="366"/>
      <c r="G3896" s="366"/>
      <c r="H3896" s="366">
        <f>1+287+1</f>
        <v>289</v>
      </c>
      <c r="I3896" s="366"/>
      <c r="J3896" s="366"/>
      <c r="K3896" s="366"/>
      <c r="L3896" s="366">
        <v>563</v>
      </c>
      <c r="M3896" s="366"/>
      <c r="N3896" s="366"/>
      <c r="O3896" s="366"/>
      <c r="P3896" s="366">
        <v>470</v>
      </c>
      <c r="Q3896" s="366"/>
      <c r="R3896" s="366"/>
      <c r="S3896" s="366"/>
      <c r="T3896" s="366"/>
      <c r="U3896" s="366"/>
      <c r="V3896" s="366"/>
      <c r="W3896" s="366"/>
      <c r="X3896" s="366"/>
      <c r="Y3896" s="366"/>
      <c r="Z3896" s="366"/>
      <c r="AA3896" s="366"/>
      <c r="AB3896" s="22">
        <f t="shared" si="1175"/>
        <v>1625</v>
      </c>
      <c r="AC3896" s="23">
        <v>1545</v>
      </c>
      <c r="AD3896" s="35"/>
      <c r="AE3896" s="35"/>
      <c r="AF3896" s="35"/>
      <c r="AG3896" s="35"/>
      <c r="AH3896" s="35"/>
      <c r="AI3896" s="35"/>
      <c r="AJ3896" s="35"/>
      <c r="AK3896" s="35"/>
      <c r="AL3896" s="35"/>
      <c r="AM3896" s="35"/>
      <c r="AN3896" s="35"/>
      <c r="AO3896" s="35"/>
      <c r="AP3896" s="35"/>
      <c r="AQ3896" s="35"/>
      <c r="AR3896" s="35"/>
      <c r="AS3896" s="35"/>
      <c r="AT3896" s="35"/>
      <c r="AU3896" s="35"/>
      <c r="AV3896" s="35"/>
      <c r="AW3896" s="35"/>
      <c r="AX3896" s="35"/>
      <c r="AY3896" s="35"/>
      <c r="AZ3896" s="35"/>
      <c r="BA3896" s="35"/>
      <c r="BB3896" s="22">
        <f t="shared" si="1176"/>
        <v>0</v>
      </c>
      <c r="BC3896" s="23">
        <v>0</v>
      </c>
      <c r="BD3896" s="130">
        <f t="shared" si="1177"/>
        <v>1625</v>
      </c>
      <c r="BE3896" s="130">
        <f t="shared" si="1174"/>
        <v>1545</v>
      </c>
      <c r="BF3896" s="195">
        <f t="shared" si="1178"/>
        <v>105.17799352750809</v>
      </c>
      <c r="BG3896" s="373">
        <f t="shared" si="1180"/>
        <v>-80</v>
      </c>
    </row>
    <row r="3897" spans="1:59" s="46" customFormat="1" ht="15.95" customHeight="1">
      <c r="A3897" s="367">
        <v>25</v>
      </c>
      <c r="B3897" s="437" t="s">
        <v>3097</v>
      </c>
      <c r="C3897" s="439" t="s">
        <v>3098</v>
      </c>
      <c r="D3897" s="366">
        <f>2+301</f>
        <v>303</v>
      </c>
      <c r="E3897" s="366"/>
      <c r="F3897" s="366"/>
      <c r="G3897" s="366"/>
      <c r="H3897" s="366">
        <f>1+287+1</f>
        <v>289</v>
      </c>
      <c r="I3897" s="366"/>
      <c r="J3897" s="366"/>
      <c r="K3897" s="366"/>
      <c r="L3897" s="366">
        <v>563</v>
      </c>
      <c r="M3897" s="366"/>
      <c r="N3897" s="366"/>
      <c r="O3897" s="366"/>
      <c r="P3897" s="366">
        <v>470</v>
      </c>
      <c r="Q3897" s="366"/>
      <c r="R3897" s="366"/>
      <c r="S3897" s="366"/>
      <c r="T3897" s="366"/>
      <c r="U3897" s="366"/>
      <c r="V3897" s="366"/>
      <c r="W3897" s="366"/>
      <c r="X3897" s="366"/>
      <c r="Y3897" s="366"/>
      <c r="Z3897" s="366"/>
      <c r="AA3897" s="366"/>
      <c r="AB3897" s="22">
        <f t="shared" si="1175"/>
        <v>1625</v>
      </c>
      <c r="AC3897" s="23">
        <v>1531</v>
      </c>
      <c r="AD3897" s="35"/>
      <c r="AE3897" s="35"/>
      <c r="AF3897" s="35"/>
      <c r="AG3897" s="35"/>
      <c r="AH3897" s="35"/>
      <c r="AI3897" s="35"/>
      <c r="AJ3897" s="35"/>
      <c r="AK3897" s="35"/>
      <c r="AL3897" s="35"/>
      <c r="AM3897" s="35"/>
      <c r="AN3897" s="35"/>
      <c r="AO3897" s="35"/>
      <c r="AP3897" s="35"/>
      <c r="AQ3897" s="35"/>
      <c r="AR3897" s="35"/>
      <c r="AS3897" s="35"/>
      <c r="AT3897" s="35"/>
      <c r="AU3897" s="35"/>
      <c r="AV3897" s="35"/>
      <c r="AW3897" s="35"/>
      <c r="AX3897" s="35"/>
      <c r="AY3897" s="35"/>
      <c r="AZ3897" s="35"/>
      <c r="BA3897" s="35"/>
      <c r="BB3897" s="22">
        <f t="shared" si="1176"/>
        <v>0</v>
      </c>
      <c r="BC3897" s="23">
        <v>0</v>
      </c>
      <c r="BD3897" s="130">
        <f t="shared" si="1177"/>
        <v>1625</v>
      </c>
      <c r="BE3897" s="130">
        <f t="shared" si="1174"/>
        <v>1531</v>
      </c>
      <c r="BF3897" s="195">
        <f t="shared" si="1178"/>
        <v>106.13977792292619</v>
      </c>
      <c r="BG3897" s="373">
        <f t="shared" si="1180"/>
        <v>-94</v>
      </c>
    </row>
    <row r="3898" spans="1:59" s="46" customFormat="1" ht="15.95" customHeight="1">
      <c r="A3898" s="367">
        <v>26</v>
      </c>
      <c r="B3898" s="411" t="s">
        <v>3099</v>
      </c>
      <c r="C3898" s="448" t="s">
        <v>3100</v>
      </c>
      <c r="D3898" s="366">
        <f>2+301</f>
        <v>303</v>
      </c>
      <c r="E3898" s="366"/>
      <c r="F3898" s="366"/>
      <c r="G3898" s="366"/>
      <c r="H3898" s="366">
        <f>1+287+1</f>
        <v>289</v>
      </c>
      <c r="I3898" s="366"/>
      <c r="J3898" s="366"/>
      <c r="K3898" s="366"/>
      <c r="L3898" s="366">
        <v>563</v>
      </c>
      <c r="M3898" s="366"/>
      <c r="N3898" s="366"/>
      <c r="O3898" s="366"/>
      <c r="P3898" s="366">
        <v>470</v>
      </c>
      <c r="Q3898" s="366"/>
      <c r="R3898" s="366"/>
      <c r="S3898" s="366"/>
      <c r="T3898" s="366"/>
      <c r="U3898" s="366"/>
      <c r="V3898" s="366"/>
      <c r="W3898" s="366"/>
      <c r="X3898" s="366"/>
      <c r="Y3898" s="366"/>
      <c r="Z3898" s="366"/>
      <c r="AA3898" s="366"/>
      <c r="AB3898" s="22">
        <f t="shared" si="1175"/>
        <v>1625</v>
      </c>
      <c r="AC3898" s="23">
        <v>1531</v>
      </c>
      <c r="AD3898" s="35"/>
      <c r="AE3898" s="35"/>
      <c r="AF3898" s="35"/>
      <c r="AG3898" s="35"/>
      <c r="AH3898" s="35"/>
      <c r="AI3898" s="35"/>
      <c r="AJ3898" s="35"/>
      <c r="AK3898" s="35"/>
      <c r="AL3898" s="35"/>
      <c r="AM3898" s="35"/>
      <c r="AN3898" s="35"/>
      <c r="AO3898" s="35"/>
      <c r="AP3898" s="35"/>
      <c r="AQ3898" s="35"/>
      <c r="AR3898" s="35"/>
      <c r="AS3898" s="35"/>
      <c r="AT3898" s="35"/>
      <c r="AU3898" s="35"/>
      <c r="AV3898" s="35"/>
      <c r="AW3898" s="35"/>
      <c r="AX3898" s="35"/>
      <c r="AY3898" s="35"/>
      <c r="AZ3898" s="35"/>
      <c r="BA3898" s="35"/>
      <c r="BB3898" s="22">
        <f t="shared" si="1176"/>
        <v>0</v>
      </c>
      <c r="BC3898" s="23">
        <v>0</v>
      </c>
      <c r="BD3898" s="130">
        <f t="shared" si="1177"/>
        <v>1625</v>
      </c>
      <c r="BE3898" s="130">
        <f t="shared" si="1174"/>
        <v>1531</v>
      </c>
      <c r="BF3898" s="195">
        <f t="shared" si="1178"/>
        <v>106.13977792292619</v>
      </c>
      <c r="BG3898" s="373">
        <f t="shared" si="1180"/>
        <v>-94</v>
      </c>
    </row>
    <row r="3899" spans="1:59" s="46" customFormat="1" ht="15.95" customHeight="1">
      <c r="A3899" s="367">
        <v>27</v>
      </c>
      <c r="B3899" s="437" t="s">
        <v>3101</v>
      </c>
      <c r="C3899" s="439" t="s">
        <v>3102</v>
      </c>
      <c r="D3899" s="366">
        <f>2+301</f>
        <v>303</v>
      </c>
      <c r="E3899" s="366"/>
      <c r="F3899" s="366"/>
      <c r="G3899" s="366"/>
      <c r="H3899" s="366">
        <f>1+287+1</f>
        <v>289</v>
      </c>
      <c r="I3899" s="366"/>
      <c r="J3899" s="366"/>
      <c r="K3899" s="366"/>
      <c r="L3899" s="366">
        <v>563</v>
      </c>
      <c r="M3899" s="366"/>
      <c r="N3899" s="366"/>
      <c r="O3899" s="366"/>
      <c r="P3899" s="366">
        <v>470</v>
      </c>
      <c r="Q3899" s="366"/>
      <c r="R3899" s="366"/>
      <c r="S3899" s="366"/>
      <c r="T3899" s="366"/>
      <c r="U3899" s="366"/>
      <c r="V3899" s="366"/>
      <c r="W3899" s="366"/>
      <c r="X3899" s="366"/>
      <c r="Y3899" s="366"/>
      <c r="Z3899" s="366"/>
      <c r="AA3899" s="366"/>
      <c r="AB3899" s="22">
        <f t="shared" si="1175"/>
        <v>1625</v>
      </c>
      <c r="AC3899" s="23">
        <v>1531</v>
      </c>
      <c r="AD3899" s="35"/>
      <c r="AE3899" s="35"/>
      <c r="AF3899" s="35"/>
      <c r="AG3899" s="35"/>
      <c r="AH3899" s="35"/>
      <c r="AI3899" s="35"/>
      <c r="AJ3899" s="35"/>
      <c r="AK3899" s="35"/>
      <c r="AL3899" s="35"/>
      <c r="AM3899" s="35"/>
      <c r="AN3899" s="35"/>
      <c r="AO3899" s="35"/>
      <c r="AP3899" s="35"/>
      <c r="AQ3899" s="35"/>
      <c r="AR3899" s="35"/>
      <c r="AS3899" s="35"/>
      <c r="AT3899" s="35"/>
      <c r="AU3899" s="35"/>
      <c r="AV3899" s="35"/>
      <c r="AW3899" s="35"/>
      <c r="AX3899" s="35"/>
      <c r="AY3899" s="35"/>
      <c r="AZ3899" s="35"/>
      <c r="BA3899" s="35"/>
      <c r="BB3899" s="22">
        <f t="shared" si="1176"/>
        <v>0</v>
      </c>
      <c r="BC3899" s="23">
        <v>0</v>
      </c>
      <c r="BD3899" s="130">
        <f t="shared" si="1177"/>
        <v>1625</v>
      </c>
      <c r="BE3899" s="130">
        <f t="shared" si="1174"/>
        <v>1531</v>
      </c>
      <c r="BF3899" s="195">
        <f t="shared" si="1178"/>
        <v>106.13977792292619</v>
      </c>
      <c r="BG3899" s="373">
        <f t="shared" si="1180"/>
        <v>-94</v>
      </c>
    </row>
    <row r="3900" spans="1:59" s="46" customFormat="1" ht="15.95" customHeight="1">
      <c r="A3900" s="367">
        <v>28</v>
      </c>
      <c r="B3900" s="437" t="s">
        <v>3103</v>
      </c>
      <c r="C3900" s="439" t="s">
        <v>3104</v>
      </c>
      <c r="D3900" s="366">
        <v>16</v>
      </c>
      <c r="E3900" s="366"/>
      <c r="F3900" s="366"/>
      <c r="G3900" s="366"/>
      <c r="H3900" s="366">
        <v>13</v>
      </c>
      <c r="I3900" s="366"/>
      <c r="J3900" s="366"/>
      <c r="K3900" s="366"/>
      <c r="L3900" s="366">
        <v>63</v>
      </c>
      <c r="M3900" s="366"/>
      <c r="N3900" s="366"/>
      <c r="O3900" s="366"/>
      <c r="P3900" s="366">
        <v>120</v>
      </c>
      <c r="Q3900" s="366"/>
      <c r="R3900" s="366"/>
      <c r="S3900" s="366"/>
      <c r="T3900" s="366"/>
      <c r="U3900" s="366"/>
      <c r="V3900" s="366"/>
      <c r="W3900" s="366"/>
      <c r="X3900" s="366"/>
      <c r="Y3900" s="366"/>
      <c r="Z3900" s="366"/>
      <c r="AA3900" s="366"/>
      <c r="AB3900" s="22">
        <f t="shared" si="1175"/>
        <v>212</v>
      </c>
      <c r="AC3900" s="23">
        <v>247</v>
      </c>
      <c r="AD3900" s="35"/>
      <c r="AE3900" s="35"/>
      <c r="AF3900" s="35"/>
      <c r="AG3900" s="35"/>
      <c r="AH3900" s="35"/>
      <c r="AI3900" s="35"/>
      <c r="AJ3900" s="35"/>
      <c r="AK3900" s="35"/>
      <c r="AL3900" s="35"/>
      <c r="AM3900" s="35"/>
      <c r="AN3900" s="35"/>
      <c r="AO3900" s="35"/>
      <c r="AP3900" s="35"/>
      <c r="AQ3900" s="35"/>
      <c r="AR3900" s="35"/>
      <c r="AS3900" s="35"/>
      <c r="AT3900" s="35"/>
      <c r="AU3900" s="35"/>
      <c r="AV3900" s="35"/>
      <c r="AW3900" s="35"/>
      <c r="AX3900" s="35"/>
      <c r="AY3900" s="35"/>
      <c r="AZ3900" s="35"/>
      <c r="BA3900" s="35"/>
      <c r="BB3900" s="22">
        <f t="shared" si="1176"/>
        <v>0</v>
      </c>
      <c r="BC3900" s="23">
        <v>0</v>
      </c>
      <c r="BD3900" s="130">
        <f t="shared" si="1177"/>
        <v>212</v>
      </c>
      <c r="BE3900" s="130">
        <f t="shared" si="1174"/>
        <v>247</v>
      </c>
      <c r="BF3900" s="195">
        <f t="shared" si="1178"/>
        <v>85.829959514170042</v>
      </c>
      <c r="BG3900" s="373">
        <f t="shared" si="1180"/>
        <v>35</v>
      </c>
    </row>
    <row r="3901" spans="1:59" s="46" customFormat="1" ht="15.95" customHeight="1">
      <c r="A3901" s="367">
        <v>29</v>
      </c>
      <c r="B3901" s="411" t="s">
        <v>3054</v>
      </c>
      <c r="C3901" s="448" t="s">
        <v>3055</v>
      </c>
      <c r="D3901" s="366">
        <f>2+319</f>
        <v>321</v>
      </c>
      <c r="E3901" s="366"/>
      <c r="F3901" s="366"/>
      <c r="G3901" s="366"/>
      <c r="H3901" s="366">
        <f>1+314+1</f>
        <v>316</v>
      </c>
      <c r="I3901" s="366"/>
      <c r="J3901" s="366"/>
      <c r="K3901" s="366"/>
      <c r="L3901" s="366">
        <v>602</v>
      </c>
      <c r="M3901" s="366"/>
      <c r="N3901" s="366"/>
      <c r="O3901" s="366"/>
      <c r="P3901" s="366">
        <v>507</v>
      </c>
      <c r="Q3901" s="366"/>
      <c r="R3901" s="366"/>
      <c r="S3901" s="366"/>
      <c r="T3901" s="366"/>
      <c r="U3901" s="366"/>
      <c r="V3901" s="366"/>
      <c r="W3901" s="366"/>
      <c r="X3901" s="366"/>
      <c r="Y3901" s="366"/>
      <c r="Z3901" s="366"/>
      <c r="AA3901" s="366"/>
      <c r="AB3901" s="22">
        <f t="shared" si="1175"/>
        <v>1746</v>
      </c>
      <c r="AC3901" s="23">
        <v>1872</v>
      </c>
      <c r="AD3901" s="35"/>
      <c r="AE3901" s="35"/>
      <c r="AF3901" s="35"/>
      <c r="AG3901" s="35"/>
      <c r="AH3901" s="35"/>
      <c r="AI3901" s="35"/>
      <c r="AJ3901" s="35"/>
      <c r="AK3901" s="35"/>
      <c r="AL3901" s="35"/>
      <c r="AM3901" s="35"/>
      <c r="AN3901" s="35"/>
      <c r="AO3901" s="35"/>
      <c r="AP3901" s="35"/>
      <c r="AQ3901" s="35"/>
      <c r="AR3901" s="35"/>
      <c r="AS3901" s="35"/>
      <c r="AT3901" s="35"/>
      <c r="AU3901" s="35"/>
      <c r="AV3901" s="35"/>
      <c r="AW3901" s="35"/>
      <c r="AX3901" s="35"/>
      <c r="AY3901" s="35"/>
      <c r="AZ3901" s="35"/>
      <c r="BA3901" s="35"/>
      <c r="BB3901" s="22">
        <f t="shared" si="1176"/>
        <v>0</v>
      </c>
      <c r="BC3901" s="23">
        <v>0</v>
      </c>
      <c r="BD3901" s="130">
        <f t="shared" si="1177"/>
        <v>1746</v>
      </c>
      <c r="BE3901" s="130">
        <f t="shared" si="1174"/>
        <v>1872</v>
      </c>
      <c r="BF3901" s="195">
        <f t="shared" si="1178"/>
        <v>93.269230769230774</v>
      </c>
      <c r="BG3901" s="373">
        <f t="shared" si="1180"/>
        <v>126</v>
      </c>
    </row>
    <row r="3902" spans="1:59" s="46" customFormat="1" ht="15.95" customHeight="1">
      <c r="A3902" s="367">
        <v>30</v>
      </c>
      <c r="B3902" s="437" t="s">
        <v>3105</v>
      </c>
      <c r="C3902" s="439" t="s">
        <v>3106</v>
      </c>
      <c r="D3902" s="366">
        <v>1</v>
      </c>
      <c r="E3902" s="366"/>
      <c r="F3902" s="366"/>
      <c r="G3902" s="366"/>
      <c r="H3902" s="366">
        <v>3</v>
      </c>
      <c r="I3902" s="366"/>
      <c r="J3902" s="366"/>
      <c r="K3902" s="366"/>
      <c r="L3902" s="366">
        <v>2</v>
      </c>
      <c r="M3902" s="366"/>
      <c r="N3902" s="366"/>
      <c r="O3902" s="366"/>
      <c r="P3902" s="366">
        <v>8</v>
      </c>
      <c r="Q3902" s="366"/>
      <c r="R3902" s="366"/>
      <c r="S3902" s="366"/>
      <c r="T3902" s="366"/>
      <c r="U3902" s="366"/>
      <c r="V3902" s="366"/>
      <c r="W3902" s="366"/>
      <c r="X3902" s="366"/>
      <c r="Y3902" s="366"/>
      <c r="Z3902" s="366"/>
      <c r="AA3902" s="366"/>
      <c r="AB3902" s="22">
        <f t="shared" si="1175"/>
        <v>14</v>
      </c>
      <c r="AC3902" s="23">
        <v>27</v>
      </c>
      <c r="AD3902" s="35"/>
      <c r="AE3902" s="35"/>
      <c r="AF3902" s="35"/>
      <c r="AG3902" s="35"/>
      <c r="AH3902" s="35"/>
      <c r="AI3902" s="35"/>
      <c r="AJ3902" s="35"/>
      <c r="AK3902" s="35"/>
      <c r="AL3902" s="35"/>
      <c r="AM3902" s="35"/>
      <c r="AN3902" s="35"/>
      <c r="AO3902" s="35"/>
      <c r="AP3902" s="35"/>
      <c r="AQ3902" s="35"/>
      <c r="AR3902" s="35"/>
      <c r="AS3902" s="35"/>
      <c r="AT3902" s="35"/>
      <c r="AU3902" s="35"/>
      <c r="AV3902" s="35"/>
      <c r="AW3902" s="35"/>
      <c r="AX3902" s="35"/>
      <c r="AY3902" s="35"/>
      <c r="AZ3902" s="35"/>
      <c r="BA3902" s="35"/>
      <c r="BB3902" s="22">
        <f t="shared" si="1176"/>
        <v>0</v>
      </c>
      <c r="BC3902" s="23">
        <v>0</v>
      </c>
      <c r="BD3902" s="130">
        <f t="shared" si="1177"/>
        <v>14</v>
      </c>
      <c r="BE3902" s="130">
        <f t="shared" si="1174"/>
        <v>27</v>
      </c>
      <c r="BF3902" s="195">
        <f t="shared" si="1178"/>
        <v>51.851851851851848</v>
      </c>
      <c r="BG3902" s="373">
        <f t="shared" si="1180"/>
        <v>13</v>
      </c>
    </row>
    <row r="3903" spans="1:59" s="46" customFormat="1" ht="15.95" customHeight="1">
      <c r="A3903" s="367">
        <v>31</v>
      </c>
      <c r="B3903" s="31" t="s">
        <v>3052</v>
      </c>
      <c r="C3903" s="36" t="s">
        <v>818</v>
      </c>
      <c r="D3903" s="366"/>
      <c r="E3903" s="366"/>
      <c r="F3903" s="366"/>
      <c r="G3903" s="366"/>
      <c r="H3903" s="366">
        <v>9</v>
      </c>
      <c r="I3903" s="366"/>
      <c r="J3903" s="366"/>
      <c r="K3903" s="366"/>
      <c r="L3903" s="366"/>
      <c r="M3903" s="366"/>
      <c r="N3903" s="366"/>
      <c r="O3903" s="366"/>
      <c r="P3903" s="366"/>
      <c r="Q3903" s="366"/>
      <c r="R3903" s="366"/>
      <c r="S3903" s="366"/>
      <c r="T3903" s="366"/>
      <c r="U3903" s="366"/>
      <c r="V3903" s="366"/>
      <c r="W3903" s="366"/>
      <c r="X3903" s="366"/>
      <c r="Y3903" s="366"/>
      <c r="Z3903" s="366"/>
      <c r="AA3903" s="366"/>
      <c r="AB3903" s="22">
        <f t="shared" si="1175"/>
        <v>9</v>
      </c>
      <c r="AC3903" s="23">
        <v>2</v>
      </c>
      <c r="AD3903" s="35"/>
      <c r="AE3903" s="35"/>
      <c r="AF3903" s="35"/>
      <c r="AG3903" s="35"/>
      <c r="AH3903" s="35"/>
      <c r="AI3903" s="35"/>
      <c r="AJ3903" s="35"/>
      <c r="AK3903" s="35"/>
      <c r="AL3903" s="35"/>
      <c r="AM3903" s="35"/>
      <c r="AN3903" s="35"/>
      <c r="AO3903" s="35"/>
      <c r="AP3903" s="35"/>
      <c r="AQ3903" s="35"/>
      <c r="AR3903" s="35"/>
      <c r="AS3903" s="35"/>
      <c r="AT3903" s="35"/>
      <c r="AU3903" s="35"/>
      <c r="AV3903" s="35"/>
      <c r="AW3903" s="35"/>
      <c r="AX3903" s="35"/>
      <c r="AY3903" s="35"/>
      <c r="AZ3903" s="35"/>
      <c r="BA3903" s="35"/>
      <c r="BB3903" s="22">
        <f t="shared" si="1176"/>
        <v>0</v>
      </c>
      <c r="BC3903" s="23">
        <v>0</v>
      </c>
      <c r="BD3903" s="130">
        <f t="shared" si="1177"/>
        <v>9</v>
      </c>
      <c r="BE3903" s="130">
        <f t="shared" si="1174"/>
        <v>2</v>
      </c>
      <c r="BF3903" s="195">
        <f t="shared" si="1178"/>
        <v>450</v>
      </c>
      <c r="BG3903" s="373">
        <f t="shared" si="1180"/>
        <v>-7</v>
      </c>
    </row>
    <row r="3904" spans="1:59" s="46" customFormat="1" ht="15.95" customHeight="1">
      <c r="A3904" s="640" t="s">
        <v>1738</v>
      </c>
      <c r="B3904" s="641"/>
      <c r="C3904" s="641"/>
      <c r="D3904" s="98">
        <f>SUM(D3905:D3907)</f>
        <v>9</v>
      </c>
      <c r="E3904" s="98">
        <f t="shared" ref="E3904:BC3904" si="1181">SUM(E3905:E3907)</f>
        <v>0</v>
      </c>
      <c r="F3904" s="98">
        <f t="shared" si="1181"/>
        <v>0</v>
      </c>
      <c r="G3904" s="98">
        <f t="shared" si="1181"/>
        <v>8</v>
      </c>
      <c r="H3904" s="98">
        <f t="shared" si="1181"/>
        <v>105</v>
      </c>
      <c r="I3904" s="98">
        <f t="shared" si="1181"/>
        <v>0</v>
      </c>
      <c r="J3904" s="98">
        <f t="shared" si="1181"/>
        <v>0</v>
      </c>
      <c r="K3904" s="98">
        <f t="shared" si="1181"/>
        <v>107</v>
      </c>
      <c r="L3904" s="98">
        <f t="shared" si="1181"/>
        <v>496</v>
      </c>
      <c r="M3904" s="98">
        <f t="shared" si="1181"/>
        <v>0</v>
      </c>
      <c r="N3904" s="98">
        <f t="shared" si="1181"/>
        <v>0</v>
      </c>
      <c r="O3904" s="98">
        <f t="shared" si="1181"/>
        <v>474</v>
      </c>
      <c r="P3904" s="98">
        <f t="shared" si="1181"/>
        <v>338</v>
      </c>
      <c r="Q3904" s="98">
        <f t="shared" si="1181"/>
        <v>0</v>
      </c>
      <c r="R3904" s="98">
        <f t="shared" si="1181"/>
        <v>0</v>
      </c>
      <c r="S3904" s="98">
        <f t="shared" si="1181"/>
        <v>0</v>
      </c>
      <c r="T3904" s="98">
        <f t="shared" si="1181"/>
        <v>0</v>
      </c>
      <c r="U3904" s="98">
        <f t="shared" si="1181"/>
        <v>0</v>
      </c>
      <c r="V3904" s="98">
        <f t="shared" si="1181"/>
        <v>0</v>
      </c>
      <c r="W3904" s="98">
        <f t="shared" si="1181"/>
        <v>0</v>
      </c>
      <c r="X3904" s="98">
        <f t="shared" si="1181"/>
        <v>0</v>
      </c>
      <c r="Y3904" s="98">
        <f t="shared" ref="Y3904:Z3904" si="1182">SUM(Y3905:Y3907)</f>
        <v>0</v>
      </c>
      <c r="Z3904" s="98">
        <f t="shared" si="1182"/>
        <v>0</v>
      </c>
      <c r="AA3904" s="98">
        <f t="shared" si="1181"/>
        <v>0</v>
      </c>
      <c r="AB3904" s="98">
        <f t="shared" si="1181"/>
        <v>1537</v>
      </c>
      <c r="AC3904" s="127">
        <f t="shared" si="1181"/>
        <v>523</v>
      </c>
      <c r="AD3904" s="98">
        <f t="shared" si="1181"/>
        <v>0</v>
      </c>
      <c r="AE3904" s="98">
        <f t="shared" si="1181"/>
        <v>0</v>
      </c>
      <c r="AF3904" s="98">
        <f t="shared" si="1181"/>
        <v>0</v>
      </c>
      <c r="AG3904" s="98">
        <f t="shared" si="1181"/>
        <v>0</v>
      </c>
      <c r="AH3904" s="98">
        <f t="shared" si="1181"/>
        <v>0</v>
      </c>
      <c r="AI3904" s="98">
        <f t="shared" si="1181"/>
        <v>0</v>
      </c>
      <c r="AJ3904" s="98">
        <f t="shared" si="1181"/>
        <v>0</v>
      </c>
      <c r="AK3904" s="98">
        <f t="shared" si="1181"/>
        <v>0</v>
      </c>
      <c r="AL3904" s="98">
        <f t="shared" si="1181"/>
        <v>0</v>
      </c>
      <c r="AM3904" s="98">
        <f t="shared" si="1181"/>
        <v>0</v>
      </c>
      <c r="AN3904" s="98">
        <f t="shared" si="1181"/>
        <v>0</v>
      </c>
      <c r="AO3904" s="98">
        <f t="shared" si="1181"/>
        <v>0</v>
      </c>
      <c r="AP3904" s="98">
        <f t="shared" si="1181"/>
        <v>0</v>
      </c>
      <c r="AQ3904" s="98">
        <f t="shared" si="1181"/>
        <v>0</v>
      </c>
      <c r="AR3904" s="98">
        <f t="shared" si="1181"/>
        <v>0</v>
      </c>
      <c r="AS3904" s="98">
        <f t="shared" si="1181"/>
        <v>0</v>
      </c>
      <c r="AT3904" s="98">
        <f t="shared" si="1181"/>
        <v>0</v>
      </c>
      <c r="AU3904" s="98">
        <f t="shared" si="1181"/>
        <v>0</v>
      </c>
      <c r="AV3904" s="98">
        <f t="shared" si="1181"/>
        <v>0</v>
      </c>
      <c r="AW3904" s="98">
        <f t="shared" si="1181"/>
        <v>0</v>
      </c>
      <c r="AX3904" s="98">
        <f t="shared" si="1181"/>
        <v>0</v>
      </c>
      <c r="AY3904" s="98">
        <f t="shared" ref="AY3904:AZ3904" si="1183">SUM(AY3905:AY3907)</f>
        <v>0</v>
      </c>
      <c r="AZ3904" s="98">
        <f t="shared" si="1183"/>
        <v>0</v>
      </c>
      <c r="BA3904" s="98">
        <f t="shared" si="1181"/>
        <v>0</v>
      </c>
      <c r="BB3904" s="98">
        <f t="shared" si="1181"/>
        <v>0</v>
      </c>
      <c r="BC3904" s="127">
        <f t="shared" si="1181"/>
        <v>0</v>
      </c>
      <c r="BD3904" s="130">
        <f t="shared" si="1173"/>
        <v>1537</v>
      </c>
      <c r="BE3904" s="130">
        <f t="shared" si="1174"/>
        <v>523</v>
      </c>
      <c r="BF3904" s="195">
        <f t="shared" ref="BF3904:BF3943" si="1184">BD3904/BE3904*100</f>
        <v>293.88145315487571</v>
      </c>
      <c r="BG3904" s="375">
        <f t="shared" ref="BG3904:BG3943" si="1185">BE3904-BD3904</f>
        <v>-1014</v>
      </c>
    </row>
    <row r="3905" spans="1:61" s="46" customFormat="1" ht="21" customHeight="1">
      <c r="A3905" s="435" t="s">
        <v>1701</v>
      </c>
      <c r="B3905" s="418" t="s">
        <v>2246</v>
      </c>
      <c r="C3905" s="436" t="s">
        <v>2247</v>
      </c>
      <c r="D3905" s="231"/>
      <c r="E3905" s="231"/>
      <c r="F3905" s="231"/>
      <c r="G3905" s="231">
        <v>8</v>
      </c>
      <c r="H3905" s="231">
        <v>105</v>
      </c>
      <c r="I3905" s="231"/>
      <c r="J3905" s="231"/>
      <c r="K3905" s="231">
        <v>107</v>
      </c>
      <c r="L3905" s="231"/>
      <c r="M3905" s="231"/>
      <c r="N3905" s="231"/>
      <c r="O3905" s="231">
        <v>474</v>
      </c>
      <c r="P3905" s="231"/>
      <c r="Q3905" s="231"/>
      <c r="R3905" s="231"/>
      <c r="S3905" s="231"/>
      <c r="T3905" s="231"/>
      <c r="U3905" s="231"/>
      <c r="V3905" s="231"/>
      <c r="W3905" s="231"/>
      <c r="X3905" s="231"/>
      <c r="Y3905" s="231"/>
      <c r="Z3905" s="231"/>
      <c r="AA3905" s="231"/>
      <c r="AB3905" s="22">
        <f>SUM(D3905:AA3905)</f>
        <v>694</v>
      </c>
      <c r="AC3905" s="127">
        <v>238</v>
      </c>
      <c r="AD3905" s="405"/>
      <c r="AE3905" s="405"/>
      <c r="AF3905" s="405"/>
      <c r="AG3905" s="405"/>
      <c r="AH3905" s="405"/>
      <c r="AI3905" s="405"/>
      <c r="AJ3905" s="405"/>
      <c r="AK3905" s="405"/>
      <c r="AL3905" s="405"/>
      <c r="AM3905" s="405"/>
      <c r="AN3905" s="405"/>
      <c r="AO3905" s="405"/>
      <c r="AP3905" s="405"/>
      <c r="AQ3905" s="405"/>
      <c r="AR3905" s="405"/>
      <c r="AS3905" s="405"/>
      <c r="AT3905" s="405"/>
      <c r="AU3905" s="405"/>
      <c r="AV3905" s="405"/>
      <c r="AW3905" s="405"/>
      <c r="AX3905" s="405"/>
      <c r="AY3905" s="405"/>
      <c r="AZ3905" s="405"/>
      <c r="BA3905" s="405"/>
      <c r="BB3905" s="22">
        <f>SUM(AD3905:BA3905)</f>
        <v>0</v>
      </c>
      <c r="BC3905" s="103">
        <v>0</v>
      </c>
      <c r="BD3905" s="130">
        <f t="shared" ref="BD3905:BE3907" si="1186">AB3905+BB3905</f>
        <v>694</v>
      </c>
      <c r="BE3905" s="130">
        <f t="shared" si="1186"/>
        <v>238</v>
      </c>
      <c r="BF3905" s="195">
        <f>BD3905/BE3905*100</f>
        <v>291.59663865546219</v>
      </c>
      <c r="BG3905" s="373">
        <f>BE3905-BD3905</f>
        <v>-456</v>
      </c>
      <c r="BH3905" s="426" t="s">
        <v>3675</v>
      </c>
      <c r="BI3905" s="421"/>
    </row>
    <row r="3906" spans="1:61" s="46" customFormat="1" ht="26.25" customHeight="1">
      <c r="A3906" s="176">
        <v>2</v>
      </c>
      <c r="B3906" s="31" t="s">
        <v>886</v>
      </c>
      <c r="C3906" s="34" t="s">
        <v>1703</v>
      </c>
      <c r="D3906" s="390">
        <v>9</v>
      </c>
      <c r="E3906" s="390"/>
      <c r="F3906" s="390"/>
      <c r="G3906" s="390"/>
      <c r="H3906" s="390"/>
      <c r="I3906" s="390"/>
      <c r="J3906" s="390"/>
      <c r="K3906" s="390"/>
      <c r="L3906" s="390">
        <v>496</v>
      </c>
      <c r="M3906" s="390"/>
      <c r="N3906" s="390"/>
      <c r="O3906" s="390"/>
      <c r="P3906" s="390">
        <v>338</v>
      </c>
      <c r="Q3906" s="390"/>
      <c r="R3906" s="390"/>
      <c r="S3906" s="390"/>
      <c r="T3906" s="390"/>
      <c r="U3906" s="390"/>
      <c r="V3906" s="390"/>
      <c r="W3906" s="390"/>
      <c r="X3906" s="390"/>
      <c r="Y3906" s="390"/>
      <c r="Z3906" s="390"/>
      <c r="AA3906" s="390"/>
      <c r="AB3906" s="22">
        <f>SUM(D3906:AA3906)</f>
        <v>843</v>
      </c>
      <c r="AC3906" s="23">
        <v>284</v>
      </c>
      <c r="AD3906" s="35"/>
      <c r="AE3906" s="35"/>
      <c r="AF3906" s="35"/>
      <c r="AG3906" s="35"/>
      <c r="AH3906" s="35"/>
      <c r="AI3906" s="35"/>
      <c r="AJ3906" s="35"/>
      <c r="AK3906" s="35"/>
      <c r="AL3906" s="35"/>
      <c r="AM3906" s="35"/>
      <c r="AN3906" s="35"/>
      <c r="AO3906" s="35"/>
      <c r="AP3906" s="35"/>
      <c r="AQ3906" s="35"/>
      <c r="AR3906" s="35"/>
      <c r="AS3906" s="35"/>
      <c r="AT3906" s="35"/>
      <c r="AU3906" s="35"/>
      <c r="AV3906" s="35"/>
      <c r="AW3906" s="35"/>
      <c r="AX3906" s="35"/>
      <c r="AY3906" s="35"/>
      <c r="AZ3906" s="35"/>
      <c r="BA3906" s="35"/>
      <c r="BB3906" s="22">
        <f>SUM(AD3906:BA3906)</f>
        <v>0</v>
      </c>
      <c r="BC3906" s="23">
        <v>0</v>
      </c>
      <c r="BD3906" s="130">
        <f t="shared" si="1186"/>
        <v>843</v>
      </c>
      <c r="BE3906" s="130">
        <f t="shared" si="1186"/>
        <v>284</v>
      </c>
      <c r="BF3906" s="195">
        <f>BD3906/BE3906*100</f>
        <v>296.83098591549293</v>
      </c>
      <c r="BG3906" s="373">
        <f>BE3906-BD3906</f>
        <v>-559</v>
      </c>
    </row>
    <row r="3907" spans="1:61" s="46" customFormat="1" ht="20.25" customHeight="1">
      <c r="A3907" s="180" t="s">
        <v>1704</v>
      </c>
      <c r="B3907" s="31" t="s">
        <v>849</v>
      </c>
      <c r="C3907" s="36" t="s">
        <v>2252</v>
      </c>
      <c r="D3907" s="231"/>
      <c r="E3907" s="231"/>
      <c r="F3907" s="231"/>
      <c r="G3907" s="231"/>
      <c r="H3907" s="231"/>
      <c r="I3907" s="231"/>
      <c r="J3907" s="231"/>
      <c r="K3907" s="231"/>
      <c r="L3907" s="231"/>
      <c r="M3907" s="231"/>
      <c r="N3907" s="231"/>
      <c r="O3907" s="231"/>
      <c r="P3907" s="231"/>
      <c r="Q3907" s="231"/>
      <c r="R3907" s="231"/>
      <c r="S3907" s="231"/>
      <c r="T3907" s="231"/>
      <c r="U3907" s="231"/>
      <c r="V3907" s="231"/>
      <c r="W3907" s="231"/>
      <c r="X3907" s="231"/>
      <c r="Y3907" s="231"/>
      <c r="Z3907" s="231"/>
      <c r="AA3907" s="231"/>
      <c r="AB3907" s="22">
        <f>SUM(D3907:AA3907)</f>
        <v>0</v>
      </c>
      <c r="AC3907" s="127">
        <v>1</v>
      </c>
      <c r="AD3907" s="407"/>
      <c r="AE3907" s="407"/>
      <c r="AF3907" s="407"/>
      <c r="AG3907" s="407"/>
      <c r="AH3907" s="407"/>
      <c r="AI3907" s="407"/>
      <c r="AJ3907" s="407"/>
      <c r="AK3907" s="407"/>
      <c r="AL3907" s="407"/>
      <c r="AM3907" s="407"/>
      <c r="AN3907" s="407"/>
      <c r="AO3907" s="407"/>
      <c r="AP3907" s="407"/>
      <c r="AQ3907" s="407"/>
      <c r="AR3907" s="407"/>
      <c r="AS3907" s="407"/>
      <c r="AT3907" s="407"/>
      <c r="AU3907" s="407"/>
      <c r="AV3907" s="407"/>
      <c r="AW3907" s="407"/>
      <c r="AX3907" s="407"/>
      <c r="AY3907" s="407"/>
      <c r="AZ3907" s="407"/>
      <c r="BA3907" s="407"/>
      <c r="BB3907" s="22">
        <f>SUM(AD3907:BA3907)</f>
        <v>0</v>
      </c>
      <c r="BC3907" s="103">
        <v>0</v>
      </c>
      <c r="BD3907" s="130">
        <f t="shared" si="1186"/>
        <v>0</v>
      </c>
      <c r="BE3907" s="130">
        <f t="shared" si="1186"/>
        <v>1</v>
      </c>
      <c r="BF3907" s="195">
        <f>BD3907/BE3907*100</f>
        <v>0</v>
      </c>
      <c r="BG3907" s="373">
        <f>BE3907-BD3907</f>
        <v>1</v>
      </c>
    </row>
    <row r="3908" spans="1:61" s="46" customFormat="1" ht="15.95" customHeight="1">
      <c r="A3908" s="642" t="s">
        <v>1739</v>
      </c>
      <c r="B3908" s="643"/>
      <c r="C3908" s="643"/>
      <c r="D3908" s="98">
        <f t="shared" ref="D3908:AI3908" si="1187">SUM(D3909:D3913)</f>
        <v>0</v>
      </c>
      <c r="E3908" s="98">
        <f t="shared" si="1187"/>
        <v>0</v>
      </c>
      <c r="F3908" s="98">
        <f t="shared" si="1187"/>
        <v>0</v>
      </c>
      <c r="G3908" s="98">
        <f t="shared" si="1187"/>
        <v>0</v>
      </c>
      <c r="H3908" s="98">
        <f t="shared" si="1187"/>
        <v>4</v>
      </c>
      <c r="I3908" s="98">
        <f t="shared" si="1187"/>
        <v>0</v>
      </c>
      <c r="J3908" s="98">
        <f t="shared" si="1187"/>
        <v>0</v>
      </c>
      <c r="K3908" s="98">
        <f t="shared" si="1187"/>
        <v>0</v>
      </c>
      <c r="L3908" s="98">
        <f t="shared" si="1187"/>
        <v>10</v>
      </c>
      <c r="M3908" s="98">
        <f t="shared" si="1187"/>
        <v>0</v>
      </c>
      <c r="N3908" s="98">
        <f t="shared" si="1187"/>
        <v>0</v>
      </c>
      <c r="O3908" s="98">
        <f t="shared" si="1187"/>
        <v>0</v>
      </c>
      <c r="P3908" s="98">
        <f t="shared" si="1187"/>
        <v>8</v>
      </c>
      <c r="Q3908" s="98">
        <f t="shared" si="1187"/>
        <v>0</v>
      </c>
      <c r="R3908" s="98">
        <f t="shared" si="1187"/>
        <v>0</v>
      </c>
      <c r="S3908" s="98">
        <f t="shared" si="1187"/>
        <v>0</v>
      </c>
      <c r="T3908" s="98">
        <f t="shared" si="1187"/>
        <v>0</v>
      </c>
      <c r="U3908" s="98">
        <f t="shared" si="1187"/>
        <v>0</v>
      </c>
      <c r="V3908" s="98">
        <f t="shared" si="1187"/>
        <v>0</v>
      </c>
      <c r="W3908" s="98">
        <f t="shared" si="1187"/>
        <v>0</v>
      </c>
      <c r="X3908" s="98">
        <f t="shared" si="1187"/>
        <v>0</v>
      </c>
      <c r="Y3908" s="98">
        <f t="shared" si="1187"/>
        <v>0</v>
      </c>
      <c r="Z3908" s="98">
        <f t="shared" si="1187"/>
        <v>0</v>
      </c>
      <c r="AA3908" s="98">
        <f t="shared" si="1187"/>
        <v>0</v>
      </c>
      <c r="AB3908" s="98">
        <f t="shared" si="1187"/>
        <v>22</v>
      </c>
      <c r="AC3908" s="127">
        <f t="shared" si="1187"/>
        <v>1</v>
      </c>
      <c r="AD3908" s="98">
        <f t="shared" si="1187"/>
        <v>0</v>
      </c>
      <c r="AE3908" s="98">
        <f t="shared" si="1187"/>
        <v>0</v>
      </c>
      <c r="AF3908" s="98">
        <f t="shared" si="1187"/>
        <v>0</v>
      </c>
      <c r="AG3908" s="98">
        <f t="shared" si="1187"/>
        <v>0</v>
      </c>
      <c r="AH3908" s="98">
        <f t="shared" si="1187"/>
        <v>0</v>
      </c>
      <c r="AI3908" s="98">
        <f t="shared" si="1187"/>
        <v>0</v>
      </c>
      <c r="AJ3908" s="98">
        <f t="shared" ref="AJ3908:BC3908" si="1188">SUM(AJ3909:AJ3913)</f>
        <v>0</v>
      </c>
      <c r="AK3908" s="98">
        <f t="shared" si="1188"/>
        <v>0</v>
      </c>
      <c r="AL3908" s="98">
        <f t="shared" si="1188"/>
        <v>0</v>
      </c>
      <c r="AM3908" s="98">
        <f t="shared" si="1188"/>
        <v>0</v>
      </c>
      <c r="AN3908" s="98">
        <f t="shared" si="1188"/>
        <v>0</v>
      </c>
      <c r="AO3908" s="98">
        <f t="shared" si="1188"/>
        <v>0</v>
      </c>
      <c r="AP3908" s="98">
        <f t="shared" si="1188"/>
        <v>0</v>
      </c>
      <c r="AQ3908" s="98">
        <f t="shared" si="1188"/>
        <v>0</v>
      </c>
      <c r="AR3908" s="98">
        <f t="shared" si="1188"/>
        <v>0</v>
      </c>
      <c r="AS3908" s="98">
        <f t="shared" si="1188"/>
        <v>0</v>
      </c>
      <c r="AT3908" s="98">
        <f t="shared" si="1188"/>
        <v>0</v>
      </c>
      <c r="AU3908" s="98">
        <f t="shared" si="1188"/>
        <v>0</v>
      </c>
      <c r="AV3908" s="98">
        <f t="shared" si="1188"/>
        <v>0</v>
      </c>
      <c r="AW3908" s="98">
        <f t="shared" si="1188"/>
        <v>0</v>
      </c>
      <c r="AX3908" s="98">
        <f t="shared" si="1188"/>
        <v>0</v>
      </c>
      <c r="AY3908" s="98">
        <f t="shared" si="1188"/>
        <v>0</v>
      </c>
      <c r="AZ3908" s="98">
        <f t="shared" si="1188"/>
        <v>0</v>
      </c>
      <c r="BA3908" s="98">
        <f t="shared" si="1188"/>
        <v>0</v>
      </c>
      <c r="BB3908" s="98">
        <f t="shared" si="1188"/>
        <v>0</v>
      </c>
      <c r="BC3908" s="23">
        <f t="shared" si="1188"/>
        <v>3</v>
      </c>
      <c r="BD3908" s="130">
        <f t="shared" si="1173"/>
        <v>22</v>
      </c>
      <c r="BE3908" s="130">
        <f t="shared" si="1174"/>
        <v>4</v>
      </c>
      <c r="BF3908" s="195">
        <f t="shared" si="1184"/>
        <v>550</v>
      </c>
      <c r="BG3908" s="375">
        <f t="shared" si="1185"/>
        <v>-18</v>
      </c>
    </row>
    <row r="3909" spans="1:61" s="46" customFormat="1" ht="15.95" customHeight="1">
      <c r="A3909" s="416">
        <v>1</v>
      </c>
      <c r="B3909" s="37" t="s">
        <v>932</v>
      </c>
      <c r="C3909" s="132" t="s">
        <v>2049</v>
      </c>
      <c r="D3909" s="231"/>
      <c r="E3909" s="231"/>
      <c r="F3909" s="231"/>
      <c r="G3909" s="231"/>
      <c r="H3909" s="231"/>
      <c r="I3909" s="231"/>
      <c r="J3909" s="231"/>
      <c r="K3909" s="231"/>
      <c r="L3909" s="231"/>
      <c r="M3909" s="231"/>
      <c r="N3909" s="231"/>
      <c r="O3909" s="231"/>
      <c r="P3909" s="231"/>
      <c r="Q3909" s="231"/>
      <c r="R3909" s="231"/>
      <c r="S3909" s="231"/>
      <c r="T3909" s="231"/>
      <c r="U3909" s="231"/>
      <c r="V3909" s="231"/>
      <c r="W3909" s="231"/>
      <c r="X3909" s="231"/>
      <c r="Y3909" s="231"/>
      <c r="Z3909" s="231"/>
      <c r="AA3909" s="231"/>
      <c r="AB3909" s="22">
        <f t="shared" ref="AB3909:AB3913" si="1189">SUM(D3909:AA3909)</f>
        <v>0</v>
      </c>
      <c r="AC3909" s="23">
        <v>0</v>
      </c>
      <c r="AD3909" s="35"/>
      <c r="AE3909" s="35"/>
      <c r="AF3909" s="35"/>
      <c r="AG3909" s="35"/>
      <c r="AH3909" s="35"/>
      <c r="AI3909" s="35"/>
      <c r="AJ3909" s="35"/>
      <c r="AK3909" s="35"/>
      <c r="AL3909" s="35"/>
      <c r="AM3909" s="35"/>
      <c r="AN3909" s="35"/>
      <c r="AO3909" s="35"/>
      <c r="AP3909" s="35"/>
      <c r="AQ3909" s="35"/>
      <c r="AR3909" s="35"/>
      <c r="AS3909" s="35"/>
      <c r="AT3909" s="35"/>
      <c r="AU3909" s="35"/>
      <c r="AV3909" s="35"/>
      <c r="AW3909" s="35"/>
      <c r="AX3909" s="35"/>
      <c r="AY3909" s="35"/>
      <c r="AZ3909" s="35"/>
      <c r="BA3909" s="35"/>
      <c r="BB3909" s="22">
        <f t="shared" ref="BB3909:BB3913" si="1190">SUM(AD3909:BA3909)</f>
        <v>0</v>
      </c>
      <c r="BC3909" s="23">
        <v>1</v>
      </c>
      <c r="BD3909" s="130">
        <f t="shared" ref="BD3909:BE3913" si="1191">AB3909+BB3909</f>
        <v>0</v>
      </c>
      <c r="BE3909" s="130">
        <f t="shared" si="1191"/>
        <v>1</v>
      </c>
      <c r="BF3909" s="195">
        <f t="shared" ref="BF3909:BF3913" si="1192">BD3909/BE3909*100</f>
        <v>0</v>
      </c>
      <c r="BG3909" s="373">
        <f>BE3909-BD3909</f>
        <v>1</v>
      </c>
    </row>
    <row r="3910" spans="1:61" s="46" customFormat="1" ht="15.95" customHeight="1">
      <c r="A3910" s="176">
        <v>2</v>
      </c>
      <c r="B3910" s="31" t="s">
        <v>887</v>
      </c>
      <c r="C3910" s="34" t="s">
        <v>1740</v>
      </c>
      <c r="D3910" s="390"/>
      <c r="E3910" s="390"/>
      <c r="F3910" s="390"/>
      <c r="G3910" s="390"/>
      <c r="H3910" s="390"/>
      <c r="I3910" s="390"/>
      <c r="J3910" s="390"/>
      <c r="K3910" s="390"/>
      <c r="L3910" s="390"/>
      <c r="M3910" s="390"/>
      <c r="N3910" s="390"/>
      <c r="O3910" s="390"/>
      <c r="P3910" s="390"/>
      <c r="Q3910" s="390"/>
      <c r="R3910" s="390"/>
      <c r="S3910" s="390"/>
      <c r="T3910" s="390"/>
      <c r="U3910" s="390"/>
      <c r="V3910" s="390"/>
      <c r="W3910" s="390"/>
      <c r="X3910" s="390"/>
      <c r="Y3910" s="390"/>
      <c r="Z3910" s="390"/>
      <c r="AA3910" s="390"/>
      <c r="AB3910" s="22">
        <f t="shared" si="1189"/>
        <v>0</v>
      </c>
      <c r="AC3910" s="23">
        <v>0</v>
      </c>
      <c r="AD3910" s="35"/>
      <c r="AE3910" s="35"/>
      <c r="AF3910" s="35"/>
      <c r="AG3910" s="35"/>
      <c r="AH3910" s="35"/>
      <c r="AI3910" s="35"/>
      <c r="AJ3910" s="35"/>
      <c r="AK3910" s="35"/>
      <c r="AL3910" s="35"/>
      <c r="AM3910" s="35"/>
      <c r="AN3910" s="35"/>
      <c r="AO3910" s="35"/>
      <c r="AP3910" s="35"/>
      <c r="AQ3910" s="35"/>
      <c r="AR3910" s="35"/>
      <c r="AS3910" s="35"/>
      <c r="AT3910" s="35"/>
      <c r="AU3910" s="35"/>
      <c r="AV3910" s="35"/>
      <c r="AW3910" s="35"/>
      <c r="AX3910" s="35"/>
      <c r="AY3910" s="35"/>
      <c r="AZ3910" s="35"/>
      <c r="BA3910" s="35"/>
      <c r="BB3910" s="22">
        <f t="shared" si="1190"/>
        <v>0</v>
      </c>
      <c r="BC3910" s="23">
        <v>1</v>
      </c>
      <c r="BD3910" s="130">
        <f t="shared" si="1191"/>
        <v>0</v>
      </c>
      <c r="BE3910" s="130">
        <f t="shared" si="1191"/>
        <v>1</v>
      </c>
      <c r="BF3910" s="195">
        <f t="shared" si="1192"/>
        <v>0</v>
      </c>
      <c r="BG3910" s="373">
        <f>BE3910-BD3910</f>
        <v>1</v>
      </c>
    </row>
    <row r="3911" spans="1:61" s="46" customFormat="1" ht="15.95" customHeight="1">
      <c r="A3911" s="176">
        <v>3</v>
      </c>
      <c r="B3911" s="31" t="s">
        <v>756</v>
      </c>
      <c r="C3911" s="32" t="s">
        <v>757</v>
      </c>
      <c r="D3911" s="528"/>
      <c r="E3911" s="528"/>
      <c r="F3911" s="528"/>
      <c r="G3911" s="528"/>
      <c r="H3911" s="528">
        <v>4</v>
      </c>
      <c r="I3911" s="528"/>
      <c r="J3911" s="528"/>
      <c r="K3911" s="528"/>
      <c r="L3911" s="528">
        <v>10</v>
      </c>
      <c r="M3911" s="528"/>
      <c r="N3911" s="528"/>
      <c r="O3911" s="528"/>
      <c r="P3911" s="528">
        <v>8</v>
      </c>
      <c r="Q3911" s="528"/>
      <c r="R3911" s="528"/>
      <c r="S3911" s="528"/>
      <c r="T3911" s="528"/>
      <c r="U3911" s="528"/>
      <c r="V3911" s="528"/>
      <c r="W3911" s="528"/>
      <c r="X3911" s="528"/>
      <c r="Y3911" s="528"/>
      <c r="Z3911" s="528"/>
      <c r="AA3911" s="528"/>
      <c r="AB3911" s="22">
        <f t="shared" si="1189"/>
        <v>22</v>
      </c>
      <c r="AC3911" s="23">
        <v>0</v>
      </c>
      <c r="AD3911" s="35"/>
      <c r="AE3911" s="35"/>
      <c r="AF3911" s="35"/>
      <c r="AG3911" s="35"/>
      <c r="AH3911" s="35"/>
      <c r="AI3911" s="35"/>
      <c r="AJ3911" s="35"/>
      <c r="AK3911" s="35"/>
      <c r="AL3911" s="35"/>
      <c r="AM3911" s="35"/>
      <c r="AN3911" s="35"/>
      <c r="AO3911" s="35"/>
      <c r="AP3911" s="35"/>
      <c r="AQ3911" s="35"/>
      <c r="AR3911" s="35"/>
      <c r="AS3911" s="35"/>
      <c r="AT3911" s="35"/>
      <c r="AU3911" s="35"/>
      <c r="AV3911" s="35"/>
      <c r="AW3911" s="35"/>
      <c r="AX3911" s="35"/>
      <c r="AY3911" s="35"/>
      <c r="AZ3911" s="35"/>
      <c r="BA3911" s="35"/>
      <c r="BB3911" s="22">
        <f t="shared" si="1190"/>
        <v>0</v>
      </c>
      <c r="BC3911" s="23">
        <v>0</v>
      </c>
      <c r="BD3911" s="130">
        <f t="shared" si="1191"/>
        <v>22</v>
      </c>
      <c r="BE3911" s="130">
        <f t="shared" si="1191"/>
        <v>0</v>
      </c>
      <c r="BF3911" s="195" t="e">
        <f t="shared" si="1192"/>
        <v>#DIV/0!</v>
      </c>
      <c r="BG3911" s="373"/>
    </row>
    <row r="3912" spans="1:61" s="46" customFormat="1" ht="21.75" customHeight="1">
      <c r="A3912" s="176">
        <v>4</v>
      </c>
      <c r="B3912" s="135" t="s">
        <v>1379</v>
      </c>
      <c r="C3912" s="198" t="s">
        <v>2349</v>
      </c>
      <c r="D3912" s="197"/>
      <c r="E3912" s="197"/>
      <c r="F3912" s="197"/>
      <c r="G3912" s="197"/>
      <c r="H3912" s="197"/>
      <c r="I3912" s="197"/>
      <c r="J3912" s="197"/>
      <c r="K3912" s="197"/>
      <c r="L3912" s="197"/>
      <c r="M3912" s="197"/>
      <c r="N3912" s="197"/>
      <c r="O3912" s="197"/>
      <c r="P3912" s="197"/>
      <c r="Q3912" s="197"/>
      <c r="R3912" s="197"/>
      <c r="S3912" s="197"/>
      <c r="T3912" s="197"/>
      <c r="U3912" s="197"/>
      <c r="V3912" s="197"/>
      <c r="W3912" s="197"/>
      <c r="X3912" s="197"/>
      <c r="Y3912" s="197"/>
      <c r="Z3912" s="197"/>
      <c r="AA3912" s="197"/>
      <c r="AB3912" s="196">
        <f t="shared" si="1189"/>
        <v>0</v>
      </c>
      <c r="AC3912" s="23">
        <v>0</v>
      </c>
      <c r="AD3912" s="196"/>
      <c r="AE3912" s="196"/>
      <c r="AF3912" s="196"/>
      <c r="AG3912" s="196"/>
      <c r="AH3912" s="196"/>
      <c r="AI3912" s="196"/>
      <c r="AJ3912" s="196"/>
      <c r="AK3912" s="196"/>
      <c r="AL3912" s="196"/>
      <c r="AM3912" s="196"/>
      <c r="AN3912" s="196"/>
      <c r="AO3912" s="196"/>
      <c r="AP3912" s="196"/>
      <c r="AQ3912" s="196"/>
      <c r="AR3912" s="196"/>
      <c r="AS3912" s="196"/>
      <c r="AT3912" s="196"/>
      <c r="AU3912" s="196"/>
      <c r="AV3912" s="196"/>
      <c r="AW3912" s="196"/>
      <c r="AX3912" s="196"/>
      <c r="AY3912" s="196"/>
      <c r="AZ3912" s="196"/>
      <c r="BA3912" s="196"/>
      <c r="BB3912" s="196">
        <f t="shared" si="1190"/>
        <v>0</v>
      </c>
      <c r="BC3912" s="23">
        <v>1</v>
      </c>
      <c r="BD3912" s="130">
        <f t="shared" si="1191"/>
        <v>0</v>
      </c>
      <c r="BE3912" s="130">
        <f t="shared" si="1191"/>
        <v>1</v>
      </c>
      <c r="BF3912" s="195">
        <f t="shared" si="1192"/>
        <v>0</v>
      </c>
      <c r="BG3912" s="373">
        <f>BE3912-BD3912</f>
        <v>1</v>
      </c>
    </row>
    <row r="3913" spans="1:61" s="46" customFormat="1" ht="15.75" customHeight="1">
      <c r="A3913" s="176">
        <v>5</v>
      </c>
      <c r="B3913" s="31" t="s">
        <v>1209</v>
      </c>
      <c r="C3913" s="32" t="s">
        <v>3609</v>
      </c>
      <c r="D3913" s="390"/>
      <c r="E3913" s="390"/>
      <c r="F3913" s="390"/>
      <c r="G3913" s="390"/>
      <c r="H3913" s="390"/>
      <c r="I3913" s="390"/>
      <c r="J3913" s="390"/>
      <c r="K3913" s="390"/>
      <c r="L3913" s="390"/>
      <c r="M3913" s="390"/>
      <c r="N3913" s="390"/>
      <c r="O3913" s="390"/>
      <c r="P3913" s="390"/>
      <c r="Q3913" s="390"/>
      <c r="R3913" s="390"/>
      <c r="S3913" s="390"/>
      <c r="T3913" s="390"/>
      <c r="U3913" s="390"/>
      <c r="V3913" s="390"/>
      <c r="W3913" s="390"/>
      <c r="X3913" s="390"/>
      <c r="Y3913" s="390"/>
      <c r="Z3913" s="390"/>
      <c r="AA3913" s="390"/>
      <c r="AB3913" s="22">
        <f t="shared" si="1189"/>
        <v>0</v>
      </c>
      <c r="AC3913" s="23">
        <v>1</v>
      </c>
      <c r="AD3913" s="35"/>
      <c r="AE3913" s="35"/>
      <c r="AF3913" s="35"/>
      <c r="AG3913" s="35"/>
      <c r="AH3913" s="35"/>
      <c r="AI3913" s="35"/>
      <c r="AJ3913" s="35"/>
      <c r="AK3913" s="35"/>
      <c r="AL3913" s="35"/>
      <c r="AM3913" s="35"/>
      <c r="AN3913" s="35"/>
      <c r="AO3913" s="35"/>
      <c r="AP3913" s="35"/>
      <c r="AQ3913" s="35"/>
      <c r="AR3913" s="35"/>
      <c r="AS3913" s="35"/>
      <c r="AT3913" s="35"/>
      <c r="AU3913" s="35"/>
      <c r="AV3913" s="35"/>
      <c r="AW3913" s="35"/>
      <c r="AX3913" s="35"/>
      <c r="AY3913" s="35"/>
      <c r="AZ3913" s="35"/>
      <c r="BA3913" s="35"/>
      <c r="BB3913" s="22">
        <f t="shared" si="1190"/>
        <v>0</v>
      </c>
      <c r="BC3913" s="23">
        <v>0</v>
      </c>
      <c r="BD3913" s="130">
        <f t="shared" si="1191"/>
        <v>0</v>
      </c>
      <c r="BE3913" s="130">
        <f t="shared" si="1191"/>
        <v>1</v>
      </c>
      <c r="BF3913" s="195">
        <f t="shared" si="1192"/>
        <v>0</v>
      </c>
      <c r="BG3913" s="373">
        <f>BE3913-BD3913</f>
        <v>1</v>
      </c>
    </row>
    <row r="3914" spans="1:61" s="46" customFormat="1" ht="14.25" customHeight="1">
      <c r="A3914" s="642" t="s">
        <v>2106</v>
      </c>
      <c r="B3914" s="643"/>
      <c r="C3914" s="643"/>
      <c r="D3914" s="98">
        <f t="shared" ref="D3914:BC3914" si="1193">SUM(D3915:D3916)</f>
        <v>447</v>
      </c>
      <c r="E3914" s="98">
        <f t="shared" si="1193"/>
        <v>0</v>
      </c>
      <c r="F3914" s="98">
        <f t="shared" si="1193"/>
        <v>0</v>
      </c>
      <c r="G3914" s="98">
        <f t="shared" si="1193"/>
        <v>3436</v>
      </c>
      <c r="H3914" s="98">
        <f>SUM(H3915:H3916)</f>
        <v>1018</v>
      </c>
      <c r="I3914" s="98">
        <f t="shared" si="1193"/>
        <v>0</v>
      </c>
      <c r="J3914" s="98">
        <f t="shared" si="1193"/>
        <v>0</v>
      </c>
      <c r="K3914" s="98">
        <f t="shared" si="1193"/>
        <v>197</v>
      </c>
      <c r="L3914" s="98">
        <f t="shared" si="1193"/>
        <v>1345</v>
      </c>
      <c r="M3914" s="98">
        <f t="shared" si="1193"/>
        <v>0</v>
      </c>
      <c r="N3914" s="98">
        <f t="shared" si="1193"/>
        <v>0</v>
      </c>
      <c r="O3914" s="98">
        <f t="shared" si="1193"/>
        <v>3229</v>
      </c>
      <c r="P3914" s="98">
        <f t="shared" si="1193"/>
        <v>1209</v>
      </c>
      <c r="Q3914" s="98">
        <f t="shared" si="1193"/>
        <v>0</v>
      </c>
      <c r="R3914" s="98">
        <f t="shared" si="1193"/>
        <v>0</v>
      </c>
      <c r="S3914" s="98">
        <f t="shared" si="1193"/>
        <v>5101</v>
      </c>
      <c r="T3914" s="98">
        <f t="shared" si="1193"/>
        <v>0</v>
      </c>
      <c r="U3914" s="98">
        <f t="shared" si="1193"/>
        <v>0</v>
      </c>
      <c r="V3914" s="98">
        <f t="shared" si="1193"/>
        <v>0</v>
      </c>
      <c r="W3914" s="98">
        <f t="shared" si="1193"/>
        <v>0</v>
      </c>
      <c r="X3914" s="98">
        <f t="shared" ref="X3914:AA3914" si="1194">SUM(X3915:X3916)</f>
        <v>0</v>
      </c>
      <c r="Y3914" s="98">
        <f t="shared" ref="Y3914:Z3914" si="1195">SUM(Y3915:Y3916)</f>
        <v>0</v>
      </c>
      <c r="Z3914" s="98">
        <f t="shared" si="1195"/>
        <v>0</v>
      </c>
      <c r="AA3914" s="98">
        <f t="shared" si="1194"/>
        <v>0</v>
      </c>
      <c r="AB3914" s="98">
        <f t="shared" si="1193"/>
        <v>15982</v>
      </c>
      <c r="AC3914" s="127">
        <f t="shared" si="1193"/>
        <v>21506</v>
      </c>
      <c r="AD3914" s="98">
        <f t="shared" si="1193"/>
        <v>1</v>
      </c>
      <c r="AE3914" s="98">
        <f t="shared" si="1193"/>
        <v>0</v>
      </c>
      <c r="AF3914" s="98">
        <f t="shared" si="1193"/>
        <v>0</v>
      </c>
      <c r="AG3914" s="98">
        <f t="shared" si="1193"/>
        <v>0</v>
      </c>
      <c r="AH3914" s="98">
        <f t="shared" si="1193"/>
        <v>79</v>
      </c>
      <c r="AI3914" s="98">
        <f t="shared" si="1193"/>
        <v>0</v>
      </c>
      <c r="AJ3914" s="98">
        <f t="shared" si="1193"/>
        <v>0</v>
      </c>
      <c r="AK3914" s="98">
        <f t="shared" si="1193"/>
        <v>0</v>
      </c>
      <c r="AL3914" s="98">
        <f t="shared" si="1193"/>
        <v>278</v>
      </c>
      <c r="AM3914" s="98">
        <f t="shared" si="1193"/>
        <v>0</v>
      </c>
      <c r="AN3914" s="98">
        <f t="shared" si="1193"/>
        <v>0</v>
      </c>
      <c r="AO3914" s="98">
        <f t="shared" si="1193"/>
        <v>0</v>
      </c>
      <c r="AP3914" s="98">
        <f t="shared" si="1193"/>
        <v>73</v>
      </c>
      <c r="AQ3914" s="98">
        <f t="shared" si="1193"/>
        <v>0</v>
      </c>
      <c r="AR3914" s="98">
        <f t="shared" si="1193"/>
        <v>0</v>
      </c>
      <c r="AS3914" s="98">
        <f t="shared" si="1193"/>
        <v>0</v>
      </c>
      <c r="AT3914" s="98">
        <f t="shared" si="1193"/>
        <v>0</v>
      </c>
      <c r="AU3914" s="98">
        <f t="shared" si="1193"/>
        <v>0</v>
      </c>
      <c r="AV3914" s="98">
        <f t="shared" si="1193"/>
        <v>0</v>
      </c>
      <c r="AW3914" s="98">
        <f t="shared" si="1193"/>
        <v>0</v>
      </c>
      <c r="AX3914" s="98">
        <f t="shared" ref="AX3914:BA3914" si="1196">SUM(AX3915:AX3916)</f>
        <v>0</v>
      </c>
      <c r="AY3914" s="98">
        <f t="shared" ref="AY3914:AZ3914" si="1197">SUM(AY3915:AY3916)</f>
        <v>0</v>
      </c>
      <c r="AZ3914" s="98">
        <f t="shared" si="1197"/>
        <v>0</v>
      </c>
      <c r="BA3914" s="98">
        <f t="shared" si="1196"/>
        <v>0</v>
      </c>
      <c r="BB3914" s="98">
        <f t="shared" si="1193"/>
        <v>431</v>
      </c>
      <c r="BC3914" s="127">
        <f t="shared" si="1193"/>
        <v>7</v>
      </c>
      <c r="BD3914" s="130">
        <f t="shared" ref="BD3914:BD3969" si="1198">AB3914+BB3914</f>
        <v>16413</v>
      </c>
      <c r="BE3914" s="130">
        <f t="shared" ref="BE3914:BE3969" si="1199">AC3914+BC3914</f>
        <v>21513</v>
      </c>
      <c r="BF3914" s="195">
        <f t="shared" si="1184"/>
        <v>76.293403988286158</v>
      </c>
      <c r="BG3914" s="375">
        <f t="shared" si="1185"/>
        <v>5100</v>
      </c>
    </row>
    <row r="3915" spans="1:61" s="46" customFormat="1" ht="14.25" customHeight="1">
      <c r="A3915" s="176">
        <v>1</v>
      </c>
      <c r="B3915" s="31" t="s">
        <v>756</v>
      </c>
      <c r="C3915" s="32" t="s">
        <v>757</v>
      </c>
      <c r="D3915" s="231">
        <f>42+405</f>
        <v>447</v>
      </c>
      <c r="E3915" s="231"/>
      <c r="F3915" s="231"/>
      <c r="G3915" s="231"/>
      <c r="H3915" s="231">
        <f>194+824</f>
        <v>1018</v>
      </c>
      <c r="I3915" s="231"/>
      <c r="J3915" s="231"/>
      <c r="K3915" s="231"/>
      <c r="L3915" s="288">
        <f>347+998</f>
        <v>1345</v>
      </c>
      <c r="M3915" s="231"/>
      <c r="N3915" s="231"/>
      <c r="O3915" s="231"/>
      <c r="P3915" s="231">
        <f>282+927</f>
        <v>1209</v>
      </c>
      <c r="Q3915" s="231"/>
      <c r="R3915" s="231"/>
      <c r="S3915" s="231"/>
      <c r="T3915" s="231"/>
      <c r="U3915" s="231"/>
      <c r="V3915" s="231"/>
      <c r="W3915" s="231"/>
      <c r="X3915" s="231"/>
      <c r="Y3915" s="231"/>
      <c r="Z3915" s="231"/>
      <c r="AA3915" s="231"/>
      <c r="AB3915" s="22">
        <f>SUM(D3915:AA3915)</f>
        <v>4019</v>
      </c>
      <c r="AC3915" s="23">
        <v>3432</v>
      </c>
      <c r="AD3915" s="35">
        <v>1</v>
      </c>
      <c r="AE3915" s="35"/>
      <c r="AF3915" s="35"/>
      <c r="AG3915" s="35"/>
      <c r="AH3915" s="35">
        <v>79</v>
      </c>
      <c r="AI3915" s="35"/>
      <c r="AJ3915" s="35"/>
      <c r="AK3915" s="35"/>
      <c r="AL3915" s="35">
        <f>277+1</f>
        <v>278</v>
      </c>
      <c r="AM3915" s="35"/>
      <c r="AN3915" s="35"/>
      <c r="AO3915" s="35"/>
      <c r="AP3915" s="35">
        <v>73</v>
      </c>
      <c r="AQ3915" s="35"/>
      <c r="AR3915" s="35"/>
      <c r="AS3915" s="35"/>
      <c r="AT3915" s="35"/>
      <c r="AU3915" s="35"/>
      <c r="AV3915" s="35"/>
      <c r="AW3915" s="35"/>
      <c r="AX3915" s="35"/>
      <c r="AY3915" s="35"/>
      <c r="AZ3915" s="35"/>
      <c r="BA3915" s="35"/>
      <c r="BB3915" s="22">
        <f t="shared" ref="BB3915:BB3916" si="1200">SUM(AD3915:BA3915)</f>
        <v>431</v>
      </c>
      <c r="BC3915" s="23">
        <v>7</v>
      </c>
      <c r="BD3915" s="130">
        <f t="shared" si="1198"/>
        <v>4450</v>
      </c>
      <c r="BE3915" s="130">
        <f t="shared" si="1199"/>
        <v>3439</v>
      </c>
      <c r="BF3915" s="195">
        <f t="shared" si="1184"/>
        <v>129.39808083745274</v>
      </c>
      <c r="BG3915" s="373">
        <f t="shared" si="1185"/>
        <v>-1011</v>
      </c>
    </row>
    <row r="3916" spans="1:61" s="46" customFormat="1" ht="21" customHeight="1">
      <c r="A3916" s="417">
        <v>2</v>
      </c>
      <c r="B3916" s="418" t="s">
        <v>1266</v>
      </c>
      <c r="C3916" s="419" t="s">
        <v>1267</v>
      </c>
      <c r="D3916" s="231"/>
      <c r="E3916" s="231"/>
      <c r="F3916" s="231"/>
      <c r="G3916" s="231">
        <f>1299+1843+5+29+260</f>
        <v>3436</v>
      </c>
      <c r="H3916" s="231"/>
      <c r="I3916" s="231"/>
      <c r="J3916" s="231"/>
      <c r="K3916" s="231">
        <f>3+19+175</f>
        <v>197</v>
      </c>
      <c r="L3916" s="231"/>
      <c r="M3916" s="231"/>
      <c r="N3916" s="231"/>
      <c r="O3916" s="231">
        <f>5+5+366+2853</f>
        <v>3229</v>
      </c>
      <c r="P3916" s="231"/>
      <c r="Q3916" s="231"/>
      <c r="R3916" s="231"/>
      <c r="S3916" s="231">
        <f>206+659+6+1299+2931</f>
        <v>5101</v>
      </c>
      <c r="T3916" s="231"/>
      <c r="U3916" s="231"/>
      <c r="V3916" s="231"/>
      <c r="W3916" s="231"/>
      <c r="X3916" s="231"/>
      <c r="Y3916" s="231"/>
      <c r="Z3916" s="231"/>
      <c r="AA3916" s="231"/>
      <c r="AB3916" s="22">
        <f>SUM(D3916:AA3916)</f>
        <v>11963</v>
      </c>
      <c r="AC3916" s="23">
        <f>3612+14462</f>
        <v>18074</v>
      </c>
      <c r="AD3916" s="35"/>
      <c r="AE3916" s="35"/>
      <c r="AF3916" s="35"/>
      <c r="AG3916" s="35"/>
      <c r="AH3916" s="35"/>
      <c r="AI3916" s="35"/>
      <c r="AJ3916" s="35"/>
      <c r="AK3916" s="35"/>
      <c r="AL3916" s="35"/>
      <c r="AM3916" s="35"/>
      <c r="AN3916" s="35"/>
      <c r="AO3916" s="35"/>
      <c r="AP3916" s="35"/>
      <c r="AQ3916" s="35"/>
      <c r="AR3916" s="35"/>
      <c r="AS3916" s="35"/>
      <c r="AT3916" s="35"/>
      <c r="AU3916" s="35"/>
      <c r="AV3916" s="35"/>
      <c r="AW3916" s="35"/>
      <c r="AX3916" s="35"/>
      <c r="AY3916" s="35"/>
      <c r="AZ3916" s="35"/>
      <c r="BA3916" s="35"/>
      <c r="BB3916" s="22">
        <f t="shared" si="1200"/>
        <v>0</v>
      </c>
      <c r="BC3916" s="23">
        <v>0</v>
      </c>
      <c r="BD3916" s="130">
        <f t="shared" si="1198"/>
        <v>11963</v>
      </c>
      <c r="BE3916" s="130">
        <f t="shared" si="1199"/>
        <v>18074</v>
      </c>
      <c r="BF3916" s="195">
        <f t="shared" si="1184"/>
        <v>66.189000774593339</v>
      </c>
      <c r="BG3916" s="373">
        <f t="shared" si="1185"/>
        <v>6111</v>
      </c>
      <c r="BH3916" s="426" t="s">
        <v>3675</v>
      </c>
      <c r="BI3916" s="421"/>
    </row>
    <row r="3917" spans="1:61" s="46" customFormat="1" ht="14.25" customHeight="1">
      <c r="A3917" s="648" t="s">
        <v>1741</v>
      </c>
      <c r="B3917" s="649"/>
      <c r="C3917" s="649"/>
      <c r="D3917" s="52">
        <f t="shared" ref="D3917:AI3917" si="1201">D3918+D3943+D3969+D3987+D4004+D4024+D4044+D4066+D4095+D4098+D4114+D4123+D4125+D4161+D4186+D4220+D4250+D4270+D4272+D4288+D4303+D4348+D4352+D4354</f>
        <v>10194</v>
      </c>
      <c r="E3917" s="52">
        <f t="shared" si="1201"/>
        <v>0</v>
      </c>
      <c r="F3917" s="52">
        <f t="shared" si="1201"/>
        <v>0</v>
      </c>
      <c r="G3917" s="52">
        <f t="shared" si="1201"/>
        <v>2486</v>
      </c>
      <c r="H3917" s="52">
        <f t="shared" si="1201"/>
        <v>12981</v>
      </c>
      <c r="I3917" s="52">
        <f t="shared" si="1201"/>
        <v>0</v>
      </c>
      <c r="J3917" s="52">
        <f t="shared" si="1201"/>
        <v>0</v>
      </c>
      <c r="K3917" s="52">
        <f t="shared" si="1201"/>
        <v>0</v>
      </c>
      <c r="L3917" s="52">
        <f t="shared" si="1201"/>
        <v>25367</v>
      </c>
      <c r="M3917" s="52">
        <f t="shared" si="1201"/>
        <v>0</v>
      </c>
      <c r="N3917" s="52">
        <f t="shared" si="1201"/>
        <v>0</v>
      </c>
      <c r="O3917" s="52">
        <f t="shared" si="1201"/>
        <v>0</v>
      </c>
      <c r="P3917" s="52">
        <f t="shared" si="1201"/>
        <v>16507</v>
      </c>
      <c r="Q3917" s="52">
        <f t="shared" si="1201"/>
        <v>0</v>
      </c>
      <c r="R3917" s="52">
        <f t="shared" si="1201"/>
        <v>0</v>
      </c>
      <c r="S3917" s="52">
        <f t="shared" si="1201"/>
        <v>0</v>
      </c>
      <c r="T3917" s="52">
        <f t="shared" si="1201"/>
        <v>0</v>
      </c>
      <c r="U3917" s="52">
        <f t="shared" si="1201"/>
        <v>0</v>
      </c>
      <c r="V3917" s="52">
        <f t="shared" si="1201"/>
        <v>0</v>
      </c>
      <c r="W3917" s="52">
        <f t="shared" si="1201"/>
        <v>0</v>
      </c>
      <c r="X3917" s="52">
        <f t="shared" si="1201"/>
        <v>0</v>
      </c>
      <c r="Y3917" s="52">
        <f t="shared" si="1201"/>
        <v>0</v>
      </c>
      <c r="Z3917" s="52">
        <f t="shared" si="1201"/>
        <v>0</v>
      </c>
      <c r="AA3917" s="52">
        <f t="shared" si="1201"/>
        <v>0</v>
      </c>
      <c r="AB3917" s="52">
        <f t="shared" si="1201"/>
        <v>67535</v>
      </c>
      <c r="AC3917" s="127">
        <f t="shared" si="1201"/>
        <v>104362</v>
      </c>
      <c r="AD3917" s="52">
        <f t="shared" si="1201"/>
        <v>1122</v>
      </c>
      <c r="AE3917" s="52">
        <f t="shared" si="1201"/>
        <v>0</v>
      </c>
      <c r="AF3917" s="52">
        <f t="shared" si="1201"/>
        <v>0</v>
      </c>
      <c r="AG3917" s="52">
        <f t="shared" si="1201"/>
        <v>0</v>
      </c>
      <c r="AH3917" s="52">
        <f t="shared" si="1201"/>
        <v>2556</v>
      </c>
      <c r="AI3917" s="52">
        <f t="shared" si="1201"/>
        <v>0</v>
      </c>
      <c r="AJ3917" s="52">
        <f t="shared" ref="AJ3917:BC3917" si="1202">AJ3918+AJ3943+AJ3969+AJ3987+AJ4004+AJ4024+AJ4044+AJ4066+AJ4095+AJ4098+AJ4114+AJ4123+AJ4125+AJ4161+AJ4186+AJ4220+AJ4250+AJ4270+AJ4272+AJ4288+AJ4303+AJ4348+AJ4352+AJ4354</f>
        <v>0</v>
      </c>
      <c r="AK3917" s="52">
        <f t="shared" si="1202"/>
        <v>0</v>
      </c>
      <c r="AL3917" s="52">
        <f t="shared" si="1202"/>
        <v>9752</v>
      </c>
      <c r="AM3917" s="52">
        <f t="shared" si="1202"/>
        <v>0</v>
      </c>
      <c r="AN3917" s="52">
        <f t="shared" si="1202"/>
        <v>0</v>
      </c>
      <c r="AO3917" s="52">
        <f t="shared" si="1202"/>
        <v>0</v>
      </c>
      <c r="AP3917" s="52">
        <f t="shared" si="1202"/>
        <v>6605</v>
      </c>
      <c r="AQ3917" s="52">
        <f t="shared" si="1202"/>
        <v>0</v>
      </c>
      <c r="AR3917" s="52">
        <f t="shared" si="1202"/>
        <v>0</v>
      </c>
      <c r="AS3917" s="52">
        <f t="shared" si="1202"/>
        <v>0</v>
      </c>
      <c r="AT3917" s="52">
        <f t="shared" si="1202"/>
        <v>0</v>
      </c>
      <c r="AU3917" s="52">
        <f t="shared" si="1202"/>
        <v>0</v>
      </c>
      <c r="AV3917" s="52">
        <f t="shared" si="1202"/>
        <v>0</v>
      </c>
      <c r="AW3917" s="52">
        <f t="shared" si="1202"/>
        <v>0</v>
      </c>
      <c r="AX3917" s="52">
        <f t="shared" si="1202"/>
        <v>0</v>
      </c>
      <c r="AY3917" s="52">
        <f t="shared" si="1202"/>
        <v>0</v>
      </c>
      <c r="AZ3917" s="52">
        <f t="shared" si="1202"/>
        <v>0</v>
      </c>
      <c r="BA3917" s="52">
        <f t="shared" si="1202"/>
        <v>0</v>
      </c>
      <c r="BB3917" s="52">
        <f t="shared" si="1202"/>
        <v>20035</v>
      </c>
      <c r="BC3917" s="127">
        <f t="shared" si="1202"/>
        <v>59252</v>
      </c>
      <c r="BD3917" s="130">
        <f t="shared" si="1198"/>
        <v>87570</v>
      </c>
      <c r="BE3917" s="130">
        <f t="shared" si="1199"/>
        <v>163614</v>
      </c>
      <c r="BF3917" s="195">
        <f t="shared" si="1184"/>
        <v>53.522314716344567</v>
      </c>
      <c r="BG3917" s="373">
        <f t="shared" si="1185"/>
        <v>76044</v>
      </c>
    </row>
    <row r="3918" spans="1:61" s="46" customFormat="1" ht="14.25" customHeight="1">
      <c r="A3918" s="648" t="s">
        <v>1742</v>
      </c>
      <c r="B3918" s="649"/>
      <c r="C3918" s="649"/>
      <c r="D3918" s="52">
        <f t="shared" ref="D3918:AI3918" si="1203">SUM(D3919:D3942)</f>
        <v>0</v>
      </c>
      <c r="E3918" s="52">
        <f t="shared" si="1203"/>
        <v>0</v>
      </c>
      <c r="F3918" s="52">
        <f t="shared" si="1203"/>
        <v>0</v>
      </c>
      <c r="G3918" s="52">
        <f t="shared" si="1203"/>
        <v>0</v>
      </c>
      <c r="H3918" s="52">
        <f t="shared" si="1203"/>
        <v>306</v>
      </c>
      <c r="I3918" s="52">
        <f t="shared" si="1203"/>
        <v>0</v>
      </c>
      <c r="J3918" s="52">
        <f t="shared" si="1203"/>
        <v>0</v>
      </c>
      <c r="K3918" s="52">
        <f t="shared" si="1203"/>
        <v>0</v>
      </c>
      <c r="L3918" s="52">
        <f t="shared" si="1203"/>
        <v>2191</v>
      </c>
      <c r="M3918" s="52">
        <f t="shared" si="1203"/>
        <v>0</v>
      </c>
      <c r="N3918" s="52">
        <f t="shared" si="1203"/>
        <v>0</v>
      </c>
      <c r="O3918" s="52">
        <f t="shared" si="1203"/>
        <v>0</v>
      </c>
      <c r="P3918" s="52">
        <f t="shared" si="1203"/>
        <v>1864</v>
      </c>
      <c r="Q3918" s="52">
        <f t="shared" si="1203"/>
        <v>0</v>
      </c>
      <c r="R3918" s="52">
        <f t="shared" si="1203"/>
        <v>0</v>
      </c>
      <c r="S3918" s="52">
        <f t="shared" si="1203"/>
        <v>0</v>
      </c>
      <c r="T3918" s="52">
        <f t="shared" si="1203"/>
        <v>0</v>
      </c>
      <c r="U3918" s="52">
        <f t="shared" si="1203"/>
        <v>0</v>
      </c>
      <c r="V3918" s="52">
        <f t="shared" si="1203"/>
        <v>0</v>
      </c>
      <c r="W3918" s="52">
        <f t="shared" si="1203"/>
        <v>0</v>
      </c>
      <c r="X3918" s="52">
        <f t="shared" si="1203"/>
        <v>0</v>
      </c>
      <c r="Y3918" s="52">
        <f t="shared" si="1203"/>
        <v>0</v>
      </c>
      <c r="Z3918" s="52">
        <f t="shared" si="1203"/>
        <v>0</v>
      </c>
      <c r="AA3918" s="52">
        <f t="shared" si="1203"/>
        <v>0</v>
      </c>
      <c r="AB3918" s="52">
        <f t="shared" si="1203"/>
        <v>4361</v>
      </c>
      <c r="AC3918" s="127">
        <f t="shared" si="1203"/>
        <v>10010</v>
      </c>
      <c r="AD3918" s="52">
        <f t="shared" si="1203"/>
        <v>0</v>
      </c>
      <c r="AE3918" s="52">
        <f t="shared" si="1203"/>
        <v>0</v>
      </c>
      <c r="AF3918" s="52">
        <f t="shared" si="1203"/>
        <v>0</v>
      </c>
      <c r="AG3918" s="52">
        <f t="shared" si="1203"/>
        <v>0</v>
      </c>
      <c r="AH3918" s="52">
        <f t="shared" si="1203"/>
        <v>104</v>
      </c>
      <c r="AI3918" s="52">
        <f t="shared" si="1203"/>
        <v>0</v>
      </c>
      <c r="AJ3918" s="52">
        <f t="shared" ref="AJ3918:BC3918" si="1204">SUM(AJ3919:AJ3942)</f>
        <v>0</v>
      </c>
      <c r="AK3918" s="52">
        <f t="shared" si="1204"/>
        <v>0</v>
      </c>
      <c r="AL3918" s="52">
        <f t="shared" si="1204"/>
        <v>1152</v>
      </c>
      <c r="AM3918" s="52">
        <f t="shared" si="1204"/>
        <v>0</v>
      </c>
      <c r="AN3918" s="52">
        <f t="shared" si="1204"/>
        <v>0</v>
      </c>
      <c r="AO3918" s="52">
        <f t="shared" si="1204"/>
        <v>0</v>
      </c>
      <c r="AP3918" s="52">
        <f t="shared" si="1204"/>
        <v>898</v>
      </c>
      <c r="AQ3918" s="52">
        <f t="shared" si="1204"/>
        <v>0</v>
      </c>
      <c r="AR3918" s="52">
        <f t="shared" si="1204"/>
        <v>0</v>
      </c>
      <c r="AS3918" s="52">
        <f t="shared" si="1204"/>
        <v>0</v>
      </c>
      <c r="AT3918" s="52">
        <f t="shared" si="1204"/>
        <v>0</v>
      </c>
      <c r="AU3918" s="52">
        <f t="shared" si="1204"/>
        <v>0</v>
      </c>
      <c r="AV3918" s="52">
        <f t="shared" si="1204"/>
        <v>0</v>
      </c>
      <c r="AW3918" s="52">
        <f t="shared" si="1204"/>
        <v>0</v>
      </c>
      <c r="AX3918" s="52">
        <f t="shared" si="1204"/>
        <v>0</v>
      </c>
      <c r="AY3918" s="52">
        <f t="shared" si="1204"/>
        <v>0</v>
      </c>
      <c r="AZ3918" s="52">
        <f t="shared" si="1204"/>
        <v>0</v>
      </c>
      <c r="BA3918" s="52">
        <f t="shared" si="1204"/>
        <v>0</v>
      </c>
      <c r="BB3918" s="52">
        <f t="shared" si="1204"/>
        <v>2154</v>
      </c>
      <c r="BC3918" s="127">
        <f t="shared" si="1204"/>
        <v>5351</v>
      </c>
      <c r="BD3918" s="130">
        <f t="shared" si="1198"/>
        <v>6515</v>
      </c>
      <c r="BE3918" s="130">
        <f t="shared" si="1199"/>
        <v>15361</v>
      </c>
      <c r="BF3918" s="195">
        <f t="shared" si="1184"/>
        <v>42.412603346136315</v>
      </c>
      <c r="BG3918" s="375">
        <f t="shared" si="1185"/>
        <v>8846</v>
      </c>
    </row>
    <row r="3919" spans="1:61" s="46" customFormat="1" ht="21" customHeight="1">
      <c r="A3919" s="417">
        <v>1</v>
      </c>
      <c r="B3919" s="418" t="s">
        <v>1743</v>
      </c>
      <c r="C3919" s="419" t="s">
        <v>1744</v>
      </c>
      <c r="D3919" s="55"/>
      <c r="E3919" s="55"/>
      <c r="F3919" s="55"/>
      <c r="G3919" s="55"/>
      <c r="H3919" s="56">
        <v>7</v>
      </c>
      <c r="I3919" s="55"/>
      <c r="J3919" s="55"/>
      <c r="K3919" s="55"/>
      <c r="L3919" s="55">
        <v>112</v>
      </c>
      <c r="M3919" s="55"/>
      <c r="N3919" s="55"/>
      <c r="O3919" s="55"/>
      <c r="P3919" s="55">
        <v>55</v>
      </c>
      <c r="Q3919" s="55"/>
      <c r="R3919" s="55"/>
      <c r="S3919" s="55"/>
      <c r="T3919" s="55"/>
      <c r="U3919" s="55"/>
      <c r="V3919" s="55"/>
      <c r="W3919" s="55"/>
      <c r="X3919" s="55"/>
      <c r="Y3919" s="55"/>
      <c r="Z3919" s="55"/>
      <c r="AA3919" s="55"/>
      <c r="AB3919" s="22">
        <f t="shared" ref="AB3919:AB3942" si="1205">SUM(D3919:AA3919)</f>
        <v>174</v>
      </c>
      <c r="AC3919" s="23">
        <f>21+357</f>
        <v>378</v>
      </c>
      <c r="AD3919" s="56"/>
      <c r="AE3919" s="56"/>
      <c r="AF3919" s="56"/>
      <c r="AG3919" s="56"/>
      <c r="AH3919" s="56"/>
      <c r="AI3919" s="56"/>
      <c r="AJ3919" s="56"/>
      <c r="AK3919" s="56"/>
      <c r="AL3919" s="56"/>
      <c r="AM3919" s="56"/>
      <c r="AN3919" s="56"/>
      <c r="AO3919" s="56"/>
      <c r="AP3919" s="56"/>
      <c r="AQ3919" s="56"/>
      <c r="AR3919" s="56"/>
      <c r="AS3919" s="56"/>
      <c r="AT3919" s="56"/>
      <c r="AU3919" s="56"/>
      <c r="AV3919" s="56"/>
      <c r="AW3919" s="56"/>
      <c r="AX3919" s="56"/>
      <c r="AY3919" s="56"/>
      <c r="AZ3919" s="56"/>
      <c r="BA3919" s="56"/>
      <c r="BB3919" s="22">
        <f t="shared" ref="BB3919:BB3942" si="1206">SUM(AD3919:BA3919)</f>
        <v>0</v>
      </c>
      <c r="BC3919" s="23">
        <v>0</v>
      </c>
      <c r="BD3919" s="130">
        <f t="shared" ref="BD3919:BD3942" si="1207">AB3919+BB3919</f>
        <v>174</v>
      </c>
      <c r="BE3919" s="130">
        <f t="shared" si="1199"/>
        <v>378</v>
      </c>
      <c r="BF3919" s="195">
        <f t="shared" ref="BF3919:BF3942" si="1208">BD3919/BE3919*100</f>
        <v>46.031746031746032</v>
      </c>
      <c r="BG3919" s="373">
        <f>BE3919-BD3919</f>
        <v>204</v>
      </c>
      <c r="BH3919" s="426" t="s">
        <v>3675</v>
      </c>
      <c r="BI3919" s="420"/>
    </row>
    <row r="3920" spans="1:61" s="46" customFormat="1" ht="21" customHeight="1">
      <c r="A3920" s="417">
        <v>2</v>
      </c>
      <c r="B3920" s="418" t="s">
        <v>1790</v>
      </c>
      <c r="C3920" s="419" t="s">
        <v>1791</v>
      </c>
      <c r="D3920" s="55"/>
      <c r="E3920" s="55"/>
      <c r="F3920" s="55"/>
      <c r="G3920" s="55"/>
      <c r="H3920" s="56"/>
      <c r="I3920" s="55"/>
      <c r="J3920" s="55"/>
      <c r="K3920" s="55"/>
      <c r="L3920" s="55">
        <v>2</v>
      </c>
      <c r="M3920" s="55"/>
      <c r="N3920" s="55"/>
      <c r="O3920" s="55"/>
      <c r="P3920" s="55"/>
      <c r="Q3920" s="55"/>
      <c r="R3920" s="55"/>
      <c r="S3920" s="55"/>
      <c r="T3920" s="55"/>
      <c r="U3920" s="55"/>
      <c r="V3920" s="55"/>
      <c r="W3920" s="55"/>
      <c r="X3920" s="55"/>
      <c r="Y3920" s="55"/>
      <c r="Z3920" s="55"/>
      <c r="AA3920" s="55"/>
      <c r="AB3920" s="22">
        <f t="shared" si="1205"/>
        <v>2</v>
      </c>
      <c r="AC3920" s="23">
        <v>0</v>
      </c>
      <c r="AD3920" s="56"/>
      <c r="AE3920" s="56"/>
      <c r="AF3920" s="56"/>
      <c r="AG3920" s="56"/>
      <c r="AH3920" s="56"/>
      <c r="AI3920" s="56"/>
      <c r="AJ3920" s="56"/>
      <c r="AK3920" s="56"/>
      <c r="AL3920" s="56"/>
      <c r="AM3920" s="56"/>
      <c r="AN3920" s="56"/>
      <c r="AO3920" s="56"/>
      <c r="AP3920" s="56"/>
      <c r="AQ3920" s="56"/>
      <c r="AR3920" s="56"/>
      <c r="AS3920" s="56"/>
      <c r="AT3920" s="56"/>
      <c r="AU3920" s="56"/>
      <c r="AV3920" s="56"/>
      <c r="AW3920" s="56"/>
      <c r="AX3920" s="56"/>
      <c r="AY3920" s="56"/>
      <c r="AZ3920" s="56"/>
      <c r="BA3920" s="56"/>
      <c r="BB3920" s="22">
        <f t="shared" si="1206"/>
        <v>0</v>
      </c>
      <c r="BC3920" s="23">
        <v>0</v>
      </c>
      <c r="BD3920" s="130">
        <f t="shared" si="1207"/>
        <v>2</v>
      </c>
      <c r="BE3920" s="130">
        <f t="shared" si="1199"/>
        <v>0</v>
      </c>
      <c r="BF3920" s="195" t="e">
        <f t="shared" si="1208"/>
        <v>#DIV/0!</v>
      </c>
      <c r="BG3920" s="373"/>
      <c r="BH3920" s="426" t="s">
        <v>3675</v>
      </c>
      <c r="BI3920" s="420"/>
    </row>
    <row r="3921" spans="1:61" s="46" customFormat="1" ht="21" customHeight="1">
      <c r="A3921" s="417">
        <v>3</v>
      </c>
      <c r="B3921" s="418" t="s">
        <v>1813</v>
      </c>
      <c r="C3921" s="419" t="s">
        <v>2292</v>
      </c>
      <c r="D3921" s="55"/>
      <c r="E3921" s="55"/>
      <c r="F3921" s="55"/>
      <c r="G3921" s="55"/>
      <c r="H3921" s="56"/>
      <c r="I3921" s="55"/>
      <c r="J3921" s="55"/>
      <c r="K3921" s="55"/>
      <c r="L3921" s="55">
        <v>19</v>
      </c>
      <c r="M3921" s="55"/>
      <c r="N3921" s="55"/>
      <c r="O3921" s="55"/>
      <c r="P3921" s="55"/>
      <c r="Q3921" s="55"/>
      <c r="R3921" s="55"/>
      <c r="S3921" s="55"/>
      <c r="T3921" s="55"/>
      <c r="U3921" s="55"/>
      <c r="V3921" s="55"/>
      <c r="W3921" s="55"/>
      <c r="X3921" s="55"/>
      <c r="Y3921" s="55"/>
      <c r="Z3921" s="55"/>
      <c r="AA3921" s="55"/>
      <c r="AB3921" s="22">
        <f t="shared" si="1205"/>
        <v>19</v>
      </c>
      <c r="AC3921" s="23">
        <v>0</v>
      </c>
      <c r="AD3921" s="56"/>
      <c r="AE3921" s="56"/>
      <c r="AF3921" s="56"/>
      <c r="AG3921" s="56"/>
      <c r="AH3921" s="56"/>
      <c r="AI3921" s="56"/>
      <c r="AJ3921" s="56"/>
      <c r="AK3921" s="56"/>
      <c r="AL3921" s="56"/>
      <c r="AM3921" s="56"/>
      <c r="AN3921" s="56"/>
      <c r="AO3921" s="56"/>
      <c r="AP3921" s="56"/>
      <c r="AQ3921" s="56"/>
      <c r="AR3921" s="56"/>
      <c r="AS3921" s="56"/>
      <c r="AT3921" s="56"/>
      <c r="AU3921" s="56"/>
      <c r="AV3921" s="56"/>
      <c r="AW3921" s="56"/>
      <c r="AX3921" s="56"/>
      <c r="AY3921" s="56"/>
      <c r="AZ3921" s="56"/>
      <c r="BA3921" s="56"/>
      <c r="BB3921" s="22">
        <f t="shared" si="1206"/>
        <v>0</v>
      </c>
      <c r="BC3921" s="23">
        <v>0</v>
      </c>
      <c r="BD3921" s="130">
        <f t="shared" si="1207"/>
        <v>19</v>
      </c>
      <c r="BE3921" s="130">
        <f t="shared" si="1199"/>
        <v>0</v>
      </c>
      <c r="BF3921" s="195" t="e">
        <f t="shared" si="1208"/>
        <v>#DIV/0!</v>
      </c>
      <c r="BG3921" s="373"/>
      <c r="BH3921" s="426" t="s">
        <v>3675</v>
      </c>
      <c r="BI3921" s="420"/>
    </row>
    <row r="3922" spans="1:61" s="46" customFormat="1" ht="21" customHeight="1">
      <c r="A3922" s="417">
        <v>4</v>
      </c>
      <c r="B3922" s="418" t="s">
        <v>1814</v>
      </c>
      <c r="C3922" s="419" t="s">
        <v>1815</v>
      </c>
      <c r="D3922" s="55"/>
      <c r="E3922" s="55"/>
      <c r="F3922" s="55"/>
      <c r="G3922" s="55"/>
      <c r="H3922" s="56"/>
      <c r="I3922" s="55"/>
      <c r="J3922" s="55"/>
      <c r="K3922" s="55"/>
      <c r="L3922" s="55"/>
      <c r="M3922" s="55"/>
      <c r="N3922" s="55"/>
      <c r="O3922" s="55"/>
      <c r="P3922" s="55"/>
      <c r="Q3922" s="55"/>
      <c r="R3922" s="55"/>
      <c r="S3922" s="55"/>
      <c r="T3922" s="55"/>
      <c r="U3922" s="55"/>
      <c r="V3922" s="55"/>
      <c r="W3922" s="55"/>
      <c r="X3922" s="55"/>
      <c r="Y3922" s="55"/>
      <c r="Z3922" s="55"/>
      <c r="AA3922" s="55"/>
      <c r="AB3922" s="22">
        <f t="shared" si="1205"/>
        <v>0</v>
      </c>
      <c r="AC3922" s="23">
        <v>12</v>
      </c>
      <c r="AD3922" s="56"/>
      <c r="AE3922" s="56"/>
      <c r="AF3922" s="56"/>
      <c r="AG3922" s="56"/>
      <c r="AH3922" s="56"/>
      <c r="AI3922" s="56"/>
      <c r="AJ3922" s="56"/>
      <c r="AK3922" s="56"/>
      <c r="AL3922" s="285"/>
      <c r="AM3922" s="56"/>
      <c r="AN3922" s="56"/>
      <c r="AO3922" s="56"/>
      <c r="AP3922" s="56"/>
      <c r="AQ3922" s="56"/>
      <c r="AR3922" s="56"/>
      <c r="AS3922" s="56"/>
      <c r="AT3922" s="56"/>
      <c r="AU3922" s="56"/>
      <c r="AV3922" s="56"/>
      <c r="AW3922" s="56"/>
      <c r="AX3922" s="56"/>
      <c r="AY3922" s="56"/>
      <c r="AZ3922" s="56"/>
      <c r="BA3922" s="56"/>
      <c r="BB3922" s="22">
        <f t="shared" si="1206"/>
        <v>0</v>
      </c>
      <c r="BC3922" s="23">
        <v>0</v>
      </c>
      <c r="BD3922" s="130">
        <f t="shared" si="1207"/>
        <v>0</v>
      </c>
      <c r="BE3922" s="130">
        <f t="shared" si="1199"/>
        <v>12</v>
      </c>
      <c r="BF3922" s="195">
        <f t="shared" si="1208"/>
        <v>0</v>
      </c>
      <c r="BG3922" s="373">
        <f t="shared" ref="BG3922:BG3942" si="1209">BE3922-BD3922</f>
        <v>12</v>
      </c>
      <c r="BH3922" s="426" t="s">
        <v>3675</v>
      </c>
      <c r="BI3922" s="421"/>
    </row>
    <row r="3923" spans="1:61" s="46" customFormat="1" ht="21" customHeight="1">
      <c r="A3923" s="417">
        <v>5</v>
      </c>
      <c r="B3923" s="418" t="s">
        <v>1747</v>
      </c>
      <c r="C3923" s="419" t="s">
        <v>1748</v>
      </c>
      <c r="D3923" s="55"/>
      <c r="E3923" s="55"/>
      <c r="F3923" s="55"/>
      <c r="G3923" s="55"/>
      <c r="H3923" s="56">
        <v>60</v>
      </c>
      <c r="I3923" s="55"/>
      <c r="J3923" s="55"/>
      <c r="K3923" s="55"/>
      <c r="L3923" s="55">
        <v>560</v>
      </c>
      <c r="M3923" s="55"/>
      <c r="N3923" s="55"/>
      <c r="O3923" s="55"/>
      <c r="P3923" s="55">
        <v>465</v>
      </c>
      <c r="Q3923" s="55"/>
      <c r="R3923" s="55"/>
      <c r="S3923" s="55"/>
      <c r="T3923" s="55"/>
      <c r="U3923" s="55"/>
      <c r="V3923" s="55"/>
      <c r="W3923" s="55"/>
      <c r="X3923" s="55"/>
      <c r="Y3923" s="55"/>
      <c r="Z3923" s="55"/>
      <c r="AA3923" s="55"/>
      <c r="AB3923" s="22">
        <f t="shared" si="1205"/>
        <v>1085</v>
      </c>
      <c r="AC3923" s="23">
        <v>2035</v>
      </c>
      <c r="AD3923" s="56"/>
      <c r="AE3923" s="56"/>
      <c r="AF3923" s="56"/>
      <c r="AG3923" s="56"/>
      <c r="AH3923" s="56"/>
      <c r="AI3923" s="56"/>
      <c r="AJ3923" s="56"/>
      <c r="AK3923" s="56"/>
      <c r="AL3923" s="285"/>
      <c r="AM3923" s="56"/>
      <c r="AN3923" s="56"/>
      <c r="AO3923" s="56"/>
      <c r="AP3923" s="56"/>
      <c r="AQ3923" s="56"/>
      <c r="AR3923" s="56"/>
      <c r="AS3923" s="56"/>
      <c r="AT3923" s="56"/>
      <c r="AU3923" s="56"/>
      <c r="AV3923" s="56"/>
      <c r="AW3923" s="56"/>
      <c r="AX3923" s="56"/>
      <c r="AY3923" s="56"/>
      <c r="AZ3923" s="56"/>
      <c r="BA3923" s="56"/>
      <c r="BB3923" s="22">
        <f t="shared" si="1206"/>
        <v>0</v>
      </c>
      <c r="BC3923" s="23">
        <v>0</v>
      </c>
      <c r="BD3923" s="130">
        <f t="shared" si="1207"/>
        <v>1085</v>
      </c>
      <c r="BE3923" s="130">
        <f t="shared" si="1199"/>
        <v>2035</v>
      </c>
      <c r="BF3923" s="195">
        <f t="shared" si="1208"/>
        <v>53.316953316953317</v>
      </c>
      <c r="BG3923" s="373">
        <f t="shared" si="1209"/>
        <v>950</v>
      </c>
      <c r="BH3923" s="426" t="s">
        <v>3675</v>
      </c>
      <c r="BI3923" s="420"/>
    </row>
    <row r="3924" spans="1:61" s="46" customFormat="1" ht="21" customHeight="1">
      <c r="A3924" s="417">
        <v>6</v>
      </c>
      <c r="B3924" s="418" t="s">
        <v>1749</v>
      </c>
      <c r="C3924" s="419" t="s">
        <v>1750</v>
      </c>
      <c r="D3924" s="55"/>
      <c r="E3924" s="55"/>
      <c r="F3924" s="55"/>
      <c r="G3924" s="55"/>
      <c r="H3924" s="56"/>
      <c r="I3924" s="55"/>
      <c r="J3924" s="55"/>
      <c r="K3924" s="55"/>
      <c r="L3924" s="55">
        <v>91</v>
      </c>
      <c r="M3924" s="55"/>
      <c r="N3924" s="55"/>
      <c r="O3924" s="55"/>
      <c r="P3924" s="55">
        <v>4</v>
      </c>
      <c r="Q3924" s="55"/>
      <c r="R3924" s="55"/>
      <c r="S3924" s="55"/>
      <c r="T3924" s="55"/>
      <c r="U3924" s="55"/>
      <c r="V3924" s="55"/>
      <c r="W3924" s="55"/>
      <c r="X3924" s="55"/>
      <c r="Y3924" s="55"/>
      <c r="Z3924" s="55"/>
      <c r="AA3924" s="55"/>
      <c r="AB3924" s="22">
        <f t="shared" si="1205"/>
        <v>95</v>
      </c>
      <c r="AC3924" s="23">
        <v>185</v>
      </c>
      <c r="AD3924" s="56"/>
      <c r="AE3924" s="56"/>
      <c r="AF3924" s="56"/>
      <c r="AG3924" s="56"/>
      <c r="AH3924" s="56"/>
      <c r="AI3924" s="56"/>
      <c r="AJ3924" s="56"/>
      <c r="AK3924" s="56"/>
      <c r="AL3924" s="285"/>
      <c r="AM3924" s="56"/>
      <c r="AN3924" s="56"/>
      <c r="AO3924" s="56"/>
      <c r="AP3924" s="56"/>
      <c r="AQ3924" s="56"/>
      <c r="AR3924" s="56"/>
      <c r="AS3924" s="56"/>
      <c r="AT3924" s="56"/>
      <c r="AU3924" s="56"/>
      <c r="AV3924" s="56"/>
      <c r="AW3924" s="56"/>
      <c r="AX3924" s="56"/>
      <c r="AY3924" s="56"/>
      <c r="AZ3924" s="56"/>
      <c r="BA3924" s="56"/>
      <c r="BB3924" s="22">
        <f t="shared" si="1206"/>
        <v>0</v>
      </c>
      <c r="BC3924" s="23">
        <v>0</v>
      </c>
      <c r="BD3924" s="130">
        <f t="shared" si="1207"/>
        <v>95</v>
      </c>
      <c r="BE3924" s="130">
        <f t="shared" si="1199"/>
        <v>185</v>
      </c>
      <c r="BF3924" s="195">
        <f t="shared" si="1208"/>
        <v>51.351351351351347</v>
      </c>
      <c r="BG3924" s="373">
        <f t="shared" si="1209"/>
        <v>90</v>
      </c>
      <c r="BH3924" s="426" t="s">
        <v>3675</v>
      </c>
      <c r="BI3924" s="421"/>
    </row>
    <row r="3925" spans="1:61" s="46" customFormat="1" ht="21" customHeight="1">
      <c r="A3925" s="417">
        <v>7</v>
      </c>
      <c r="B3925" s="418" t="s">
        <v>1801</v>
      </c>
      <c r="C3925" s="419" t="s">
        <v>1802</v>
      </c>
      <c r="D3925" s="55"/>
      <c r="E3925" s="55"/>
      <c r="F3925" s="55"/>
      <c r="G3925" s="55"/>
      <c r="H3925" s="56"/>
      <c r="I3925" s="55"/>
      <c r="J3925" s="55"/>
      <c r="K3925" s="55"/>
      <c r="L3925" s="55"/>
      <c r="M3925" s="55"/>
      <c r="N3925" s="55"/>
      <c r="O3925" s="55"/>
      <c r="P3925" s="55">
        <v>3</v>
      </c>
      <c r="Q3925" s="55"/>
      <c r="R3925" s="55"/>
      <c r="S3925" s="55"/>
      <c r="T3925" s="55"/>
      <c r="U3925" s="55"/>
      <c r="V3925" s="55"/>
      <c r="W3925" s="55"/>
      <c r="X3925" s="55"/>
      <c r="Y3925" s="55"/>
      <c r="Z3925" s="55"/>
      <c r="AA3925" s="55"/>
      <c r="AB3925" s="22">
        <f t="shared" si="1205"/>
        <v>3</v>
      </c>
      <c r="AC3925" s="23">
        <v>38</v>
      </c>
      <c r="AD3925" s="56"/>
      <c r="AE3925" s="56"/>
      <c r="AF3925" s="56"/>
      <c r="AG3925" s="56"/>
      <c r="AH3925" s="56"/>
      <c r="AI3925" s="56"/>
      <c r="AJ3925" s="56"/>
      <c r="AK3925" s="56"/>
      <c r="AL3925" s="285"/>
      <c r="AM3925" s="56"/>
      <c r="AN3925" s="56"/>
      <c r="AO3925" s="56"/>
      <c r="AP3925" s="56"/>
      <c r="AQ3925" s="56"/>
      <c r="AR3925" s="56"/>
      <c r="AS3925" s="56"/>
      <c r="AT3925" s="56"/>
      <c r="AU3925" s="56"/>
      <c r="AV3925" s="56"/>
      <c r="AW3925" s="56"/>
      <c r="AX3925" s="56"/>
      <c r="AY3925" s="56"/>
      <c r="AZ3925" s="56"/>
      <c r="BA3925" s="56"/>
      <c r="BB3925" s="22">
        <f t="shared" si="1206"/>
        <v>0</v>
      </c>
      <c r="BC3925" s="23">
        <v>0</v>
      </c>
      <c r="BD3925" s="130">
        <f t="shared" si="1207"/>
        <v>3</v>
      </c>
      <c r="BE3925" s="130">
        <f t="shared" si="1199"/>
        <v>38</v>
      </c>
      <c r="BF3925" s="195">
        <f t="shared" si="1208"/>
        <v>7.8947368421052628</v>
      </c>
      <c r="BG3925" s="373">
        <f t="shared" si="1209"/>
        <v>35</v>
      </c>
      <c r="BH3925" s="426" t="s">
        <v>3675</v>
      </c>
      <c r="BI3925" s="421"/>
    </row>
    <row r="3926" spans="1:61" s="46" customFormat="1" ht="21" customHeight="1">
      <c r="A3926" s="417">
        <v>8</v>
      </c>
      <c r="B3926" s="432" t="s">
        <v>1801</v>
      </c>
      <c r="C3926" s="419" t="s">
        <v>1802</v>
      </c>
      <c r="D3926" s="55"/>
      <c r="E3926" s="55"/>
      <c r="F3926" s="55"/>
      <c r="G3926" s="55"/>
      <c r="H3926" s="56"/>
      <c r="I3926" s="55"/>
      <c r="J3926" s="55"/>
      <c r="K3926" s="55"/>
      <c r="L3926" s="55">
        <v>7</v>
      </c>
      <c r="M3926" s="55"/>
      <c r="N3926" s="55"/>
      <c r="O3926" s="55"/>
      <c r="P3926" s="55"/>
      <c r="Q3926" s="55"/>
      <c r="R3926" s="55"/>
      <c r="S3926" s="55"/>
      <c r="T3926" s="55"/>
      <c r="U3926" s="55"/>
      <c r="V3926" s="55"/>
      <c r="W3926" s="55"/>
      <c r="X3926" s="55"/>
      <c r="Y3926" s="55"/>
      <c r="Z3926" s="55"/>
      <c r="AA3926" s="55"/>
      <c r="AB3926" s="22">
        <f t="shared" si="1205"/>
        <v>7</v>
      </c>
      <c r="AC3926" s="23">
        <v>42</v>
      </c>
      <c r="AD3926" s="56"/>
      <c r="AE3926" s="56"/>
      <c r="AF3926" s="56"/>
      <c r="AG3926" s="56"/>
      <c r="AH3926" s="56"/>
      <c r="AI3926" s="56"/>
      <c r="AJ3926" s="56"/>
      <c r="AK3926" s="56"/>
      <c r="AL3926" s="285"/>
      <c r="AM3926" s="56"/>
      <c r="AN3926" s="56"/>
      <c r="AO3926" s="56"/>
      <c r="AP3926" s="56"/>
      <c r="AQ3926" s="56"/>
      <c r="AR3926" s="56"/>
      <c r="AS3926" s="56"/>
      <c r="AT3926" s="56"/>
      <c r="AU3926" s="56"/>
      <c r="AV3926" s="56"/>
      <c r="AW3926" s="56"/>
      <c r="AX3926" s="56"/>
      <c r="AY3926" s="56"/>
      <c r="AZ3926" s="56"/>
      <c r="BA3926" s="56"/>
      <c r="BB3926" s="22">
        <f t="shared" si="1206"/>
        <v>0</v>
      </c>
      <c r="BC3926" s="23">
        <v>0</v>
      </c>
      <c r="BD3926" s="130">
        <f t="shared" si="1207"/>
        <v>7</v>
      </c>
      <c r="BE3926" s="130">
        <f t="shared" si="1199"/>
        <v>42</v>
      </c>
      <c r="BF3926" s="195">
        <f t="shared" si="1208"/>
        <v>16.666666666666664</v>
      </c>
      <c r="BG3926" s="373">
        <f t="shared" si="1209"/>
        <v>35</v>
      </c>
      <c r="BH3926" s="426" t="s">
        <v>3675</v>
      </c>
      <c r="BI3926" s="421"/>
    </row>
    <row r="3927" spans="1:61" s="46" customFormat="1" ht="21" customHeight="1">
      <c r="A3927" s="417">
        <v>9</v>
      </c>
      <c r="B3927" s="418" t="s">
        <v>1751</v>
      </c>
      <c r="C3927" s="419" t="s">
        <v>1752</v>
      </c>
      <c r="D3927" s="55"/>
      <c r="E3927" s="55"/>
      <c r="F3927" s="55"/>
      <c r="G3927" s="55"/>
      <c r="H3927" s="56">
        <v>36</v>
      </c>
      <c r="I3927" s="55"/>
      <c r="J3927" s="55"/>
      <c r="K3927" s="55"/>
      <c r="L3927" s="55">
        <v>66</v>
      </c>
      <c r="M3927" s="55"/>
      <c r="N3927" s="55"/>
      <c r="O3927" s="55"/>
      <c r="P3927" s="55">
        <v>39</v>
      </c>
      <c r="Q3927" s="55"/>
      <c r="R3927" s="55"/>
      <c r="S3927" s="55"/>
      <c r="T3927" s="55"/>
      <c r="U3927" s="55"/>
      <c r="V3927" s="55"/>
      <c r="W3927" s="55"/>
      <c r="X3927" s="55"/>
      <c r="Y3927" s="55"/>
      <c r="Z3927" s="55"/>
      <c r="AA3927" s="55"/>
      <c r="AB3927" s="22">
        <f t="shared" si="1205"/>
        <v>141</v>
      </c>
      <c r="AC3927" s="23">
        <f>705+1385</f>
        <v>2090</v>
      </c>
      <c r="AD3927" s="56"/>
      <c r="AE3927" s="56"/>
      <c r="AF3927" s="56"/>
      <c r="AG3927" s="56"/>
      <c r="AH3927" s="56"/>
      <c r="AI3927" s="56"/>
      <c r="AJ3927" s="56"/>
      <c r="AK3927" s="56"/>
      <c r="AL3927" s="285"/>
      <c r="AM3927" s="56"/>
      <c r="AN3927" s="56"/>
      <c r="AO3927" s="56"/>
      <c r="AP3927" s="56"/>
      <c r="AQ3927" s="56"/>
      <c r="AR3927" s="56"/>
      <c r="AS3927" s="56"/>
      <c r="AT3927" s="56"/>
      <c r="AU3927" s="56"/>
      <c r="AV3927" s="56"/>
      <c r="AW3927" s="56"/>
      <c r="AX3927" s="56"/>
      <c r="AY3927" s="56"/>
      <c r="AZ3927" s="56"/>
      <c r="BA3927" s="56"/>
      <c r="BB3927" s="22">
        <f t="shared" si="1206"/>
        <v>0</v>
      </c>
      <c r="BC3927" s="23">
        <v>0</v>
      </c>
      <c r="BD3927" s="130">
        <f t="shared" si="1207"/>
        <v>141</v>
      </c>
      <c r="BE3927" s="130">
        <f t="shared" si="1199"/>
        <v>2090</v>
      </c>
      <c r="BF3927" s="195">
        <f t="shared" si="1208"/>
        <v>6.7464114832535875</v>
      </c>
      <c r="BG3927" s="373">
        <f t="shared" si="1209"/>
        <v>1949</v>
      </c>
      <c r="BH3927" s="426" t="s">
        <v>3675</v>
      </c>
      <c r="BI3927" s="421"/>
    </row>
    <row r="3928" spans="1:61" s="46" customFormat="1" ht="21" customHeight="1">
      <c r="A3928" s="417">
        <v>10</v>
      </c>
      <c r="B3928" s="418" t="s">
        <v>1753</v>
      </c>
      <c r="C3928" s="419" t="s">
        <v>1754</v>
      </c>
      <c r="D3928" s="55"/>
      <c r="E3928" s="55"/>
      <c r="F3928" s="55"/>
      <c r="G3928" s="55"/>
      <c r="H3928" s="56">
        <v>36</v>
      </c>
      <c r="I3928" s="55"/>
      <c r="J3928" s="55"/>
      <c r="K3928" s="55"/>
      <c r="L3928" s="55">
        <v>302</v>
      </c>
      <c r="M3928" s="55"/>
      <c r="N3928" s="55"/>
      <c r="O3928" s="55"/>
      <c r="P3928" s="55">
        <v>304</v>
      </c>
      <c r="Q3928" s="55"/>
      <c r="R3928" s="55"/>
      <c r="S3928" s="55"/>
      <c r="T3928" s="55"/>
      <c r="U3928" s="55"/>
      <c r="V3928" s="55"/>
      <c r="W3928" s="55"/>
      <c r="X3928" s="55"/>
      <c r="Y3928" s="55"/>
      <c r="Z3928" s="55"/>
      <c r="AA3928" s="55"/>
      <c r="AB3928" s="22">
        <f t="shared" si="1205"/>
        <v>642</v>
      </c>
      <c r="AC3928" s="23">
        <v>1207</v>
      </c>
      <c r="AD3928" s="56"/>
      <c r="AE3928" s="56"/>
      <c r="AF3928" s="56"/>
      <c r="AG3928" s="56"/>
      <c r="AH3928" s="56"/>
      <c r="AI3928" s="56"/>
      <c r="AJ3928" s="56"/>
      <c r="AK3928" s="56"/>
      <c r="AL3928" s="285"/>
      <c r="AM3928" s="56"/>
      <c r="AN3928" s="56"/>
      <c r="AO3928" s="56"/>
      <c r="AP3928" s="56"/>
      <c r="AQ3928" s="56"/>
      <c r="AR3928" s="56"/>
      <c r="AS3928" s="56"/>
      <c r="AT3928" s="56"/>
      <c r="AU3928" s="56"/>
      <c r="AV3928" s="56"/>
      <c r="AW3928" s="56"/>
      <c r="AX3928" s="56"/>
      <c r="AY3928" s="56"/>
      <c r="AZ3928" s="56"/>
      <c r="BA3928" s="56"/>
      <c r="BB3928" s="22">
        <f t="shared" si="1206"/>
        <v>0</v>
      </c>
      <c r="BC3928" s="23">
        <v>0</v>
      </c>
      <c r="BD3928" s="130">
        <f t="shared" si="1207"/>
        <v>642</v>
      </c>
      <c r="BE3928" s="130">
        <f t="shared" si="1199"/>
        <v>1207</v>
      </c>
      <c r="BF3928" s="195">
        <f t="shared" si="1208"/>
        <v>53.189726594863295</v>
      </c>
      <c r="BG3928" s="373">
        <f t="shared" si="1209"/>
        <v>565</v>
      </c>
      <c r="BH3928" s="426" t="s">
        <v>3675</v>
      </c>
      <c r="BI3928" s="420"/>
    </row>
    <row r="3929" spans="1:61" s="46" customFormat="1" ht="14.25" customHeight="1">
      <c r="A3929" s="181">
        <v>11</v>
      </c>
      <c r="B3929" s="53" t="s">
        <v>1824</v>
      </c>
      <c r="C3929" s="54" t="s">
        <v>2886</v>
      </c>
      <c r="D3929" s="55"/>
      <c r="E3929" s="55"/>
      <c r="F3929" s="55"/>
      <c r="G3929" s="55"/>
      <c r="H3929" s="56"/>
      <c r="I3929" s="55"/>
      <c r="J3929" s="55"/>
      <c r="K3929" s="55"/>
      <c r="L3929" s="55"/>
      <c r="M3929" s="55"/>
      <c r="N3929" s="55"/>
      <c r="O3929" s="55"/>
      <c r="P3929" s="55"/>
      <c r="Q3929" s="55"/>
      <c r="R3929" s="55"/>
      <c r="S3929" s="55"/>
      <c r="T3929" s="55"/>
      <c r="U3929" s="55"/>
      <c r="V3929" s="55"/>
      <c r="W3929" s="55"/>
      <c r="X3929" s="55"/>
      <c r="Y3929" s="55"/>
      <c r="Z3929" s="55"/>
      <c r="AA3929" s="55"/>
      <c r="AB3929" s="22">
        <f t="shared" si="1205"/>
        <v>0</v>
      </c>
      <c r="AC3929" s="23">
        <v>0</v>
      </c>
      <c r="AD3929" s="56"/>
      <c r="AE3929" s="56"/>
      <c r="AF3929" s="56"/>
      <c r="AG3929" s="56"/>
      <c r="AH3929" s="56"/>
      <c r="AI3929" s="56"/>
      <c r="AJ3929" s="56"/>
      <c r="AK3929" s="56"/>
      <c r="AL3929" s="285"/>
      <c r="AM3929" s="56"/>
      <c r="AN3929" s="56"/>
      <c r="AO3929" s="56"/>
      <c r="AP3929" s="56"/>
      <c r="AQ3929" s="56"/>
      <c r="AR3929" s="56"/>
      <c r="AS3929" s="56"/>
      <c r="AT3929" s="56"/>
      <c r="AU3929" s="56"/>
      <c r="AV3929" s="56"/>
      <c r="AW3929" s="56"/>
      <c r="AX3929" s="56"/>
      <c r="AY3929" s="56"/>
      <c r="AZ3929" s="56"/>
      <c r="BA3929" s="56"/>
      <c r="BB3929" s="22">
        <f t="shared" si="1206"/>
        <v>0</v>
      </c>
      <c r="BC3929" s="23">
        <v>32</v>
      </c>
      <c r="BD3929" s="130">
        <f t="shared" si="1207"/>
        <v>0</v>
      </c>
      <c r="BE3929" s="130">
        <f t="shared" si="1199"/>
        <v>32</v>
      </c>
      <c r="BF3929" s="195">
        <f t="shared" si="1208"/>
        <v>0</v>
      </c>
      <c r="BG3929" s="373">
        <f t="shared" si="1209"/>
        <v>32</v>
      </c>
      <c r="BH3929" s="7"/>
    </row>
    <row r="3930" spans="1:61" s="46" customFormat="1" ht="21" customHeight="1">
      <c r="A3930" s="417">
        <v>12</v>
      </c>
      <c r="B3930" s="418" t="s">
        <v>1775</v>
      </c>
      <c r="C3930" s="419" t="s">
        <v>1959</v>
      </c>
      <c r="D3930" s="55"/>
      <c r="E3930" s="55"/>
      <c r="F3930" s="55"/>
      <c r="G3930" s="55"/>
      <c r="H3930" s="56"/>
      <c r="I3930" s="55"/>
      <c r="J3930" s="55"/>
      <c r="K3930" s="55"/>
      <c r="L3930" s="55"/>
      <c r="M3930" s="55"/>
      <c r="N3930" s="55"/>
      <c r="O3930" s="55"/>
      <c r="P3930" s="55"/>
      <c r="Q3930" s="55"/>
      <c r="R3930" s="55"/>
      <c r="S3930" s="55"/>
      <c r="T3930" s="55"/>
      <c r="U3930" s="55"/>
      <c r="V3930" s="55"/>
      <c r="W3930" s="55"/>
      <c r="X3930" s="55"/>
      <c r="Y3930" s="55"/>
      <c r="Z3930" s="55"/>
      <c r="AA3930" s="55"/>
      <c r="AB3930" s="22">
        <f t="shared" si="1205"/>
        <v>0</v>
      </c>
      <c r="AC3930" s="23">
        <v>10</v>
      </c>
      <c r="AD3930" s="56"/>
      <c r="AE3930" s="56"/>
      <c r="AF3930" s="56"/>
      <c r="AG3930" s="56"/>
      <c r="AH3930" s="56"/>
      <c r="AI3930" s="56"/>
      <c r="AJ3930" s="56"/>
      <c r="AK3930" s="56"/>
      <c r="AL3930" s="285"/>
      <c r="AM3930" s="56"/>
      <c r="AN3930" s="56"/>
      <c r="AO3930" s="56"/>
      <c r="AP3930" s="56"/>
      <c r="AQ3930" s="56"/>
      <c r="AR3930" s="56"/>
      <c r="AS3930" s="56"/>
      <c r="AT3930" s="56"/>
      <c r="AU3930" s="56"/>
      <c r="AV3930" s="56"/>
      <c r="AW3930" s="56"/>
      <c r="AX3930" s="56"/>
      <c r="AY3930" s="56"/>
      <c r="AZ3930" s="56"/>
      <c r="BA3930" s="56"/>
      <c r="BB3930" s="22">
        <f t="shared" si="1206"/>
        <v>0</v>
      </c>
      <c r="BC3930" s="23">
        <v>0</v>
      </c>
      <c r="BD3930" s="130">
        <f t="shared" si="1207"/>
        <v>0</v>
      </c>
      <c r="BE3930" s="130">
        <f t="shared" si="1199"/>
        <v>10</v>
      </c>
      <c r="BF3930" s="195">
        <f t="shared" si="1208"/>
        <v>0</v>
      </c>
      <c r="BG3930" s="373">
        <f t="shared" si="1209"/>
        <v>10</v>
      </c>
      <c r="BH3930" s="426" t="s">
        <v>3675</v>
      </c>
      <c r="BI3930" s="421"/>
    </row>
    <row r="3931" spans="1:61" s="46" customFormat="1" ht="21" customHeight="1">
      <c r="A3931" s="417">
        <v>13</v>
      </c>
      <c r="B3931" s="418" t="s">
        <v>1756</v>
      </c>
      <c r="C3931" s="419" t="s">
        <v>1757</v>
      </c>
      <c r="D3931" s="55"/>
      <c r="E3931" s="55"/>
      <c r="F3931" s="55"/>
      <c r="G3931" s="55"/>
      <c r="H3931" s="56">
        <v>167</v>
      </c>
      <c r="I3931" s="55"/>
      <c r="J3931" s="55"/>
      <c r="K3931" s="55"/>
      <c r="L3931" s="55">
        <v>1032</v>
      </c>
      <c r="M3931" s="55"/>
      <c r="N3931" s="55"/>
      <c r="O3931" s="55"/>
      <c r="P3931" s="55">
        <v>994</v>
      </c>
      <c r="Q3931" s="55"/>
      <c r="R3931" s="55"/>
      <c r="S3931" s="55"/>
      <c r="T3931" s="55"/>
      <c r="U3931" s="55"/>
      <c r="V3931" s="55"/>
      <c r="W3931" s="55"/>
      <c r="X3931" s="55"/>
      <c r="Y3931" s="55"/>
      <c r="Z3931" s="55"/>
      <c r="AA3931" s="55"/>
      <c r="AB3931" s="22">
        <f t="shared" si="1205"/>
        <v>2193</v>
      </c>
      <c r="AC3931" s="23">
        <v>4013</v>
      </c>
      <c r="AD3931" s="56"/>
      <c r="AE3931" s="56"/>
      <c r="AF3931" s="56"/>
      <c r="AG3931" s="56"/>
      <c r="AH3931" s="56"/>
      <c r="AI3931" s="56"/>
      <c r="AJ3931" s="56"/>
      <c r="AK3931" s="56"/>
      <c r="AL3931" s="285"/>
      <c r="AM3931" s="56"/>
      <c r="AN3931" s="56"/>
      <c r="AO3931" s="56"/>
      <c r="AP3931" s="56"/>
      <c r="AQ3931" s="56"/>
      <c r="AR3931" s="56"/>
      <c r="AS3931" s="56"/>
      <c r="AT3931" s="56"/>
      <c r="AU3931" s="56"/>
      <c r="AV3931" s="56"/>
      <c r="AW3931" s="56"/>
      <c r="AX3931" s="56"/>
      <c r="AY3931" s="56"/>
      <c r="AZ3931" s="56"/>
      <c r="BA3931" s="56"/>
      <c r="BB3931" s="22">
        <f t="shared" si="1206"/>
        <v>0</v>
      </c>
      <c r="BC3931" s="23">
        <v>0</v>
      </c>
      <c r="BD3931" s="130">
        <f t="shared" si="1207"/>
        <v>2193</v>
      </c>
      <c r="BE3931" s="130">
        <f t="shared" si="1199"/>
        <v>4013</v>
      </c>
      <c r="BF3931" s="195">
        <f t="shared" si="1208"/>
        <v>54.647395963119862</v>
      </c>
      <c r="BG3931" s="373">
        <f t="shared" si="1209"/>
        <v>1820</v>
      </c>
      <c r="BH3931" s="426" t="s">
        <v>3675</v>
      </c>
      <c r="BI3931" s="421"/>
    </row>
    <row r="3932" spans="1:61" s="46" customFormat="1" ht="14.25" customHeight="1">
      <c r="A3932" s="181">
        <v>14</v>
      </c>
      <c r="B3932" s="53" t="s">
        <v>1804</v>
      </c>
      <c r="C3932" s="54" t="s">
        <v>2244</v>
      </c>
      <c r="D3932" s="55"/>
      <c r="E3932" s="55"/>
      <c r="F3932" s="55"/>
      <c r="G3932" s="55"/>
      <c r="H3932" s="55"/>
      <c r="I3932" s="55"/>
      <c r="J3932" s="55"/>
      <c r="K3932" s="55"/>
      <c r="L3932" s="55"/>
      <c r="M3932" s="55"/>
      <c r="N3932" s="55"/>
      <c r="O3932" s="55"/>
      <c r="P3932" s="55"/>
      <c r="Q3932" s="55"/>
      <c r="R3932" s="55"/>
      <c r="S3932" s="55"/>
      <c r="T3932" s="55"/>
      <c r="U3932" s="55"/>
      <c r="V3932" s="55"/>
      <c r="W3932" s="55"/>
      <c r="X3932" s="55"/>
      <c r="Y3932" s="55"/>
      <c r="Z3932" s="55"/>
      <c r="AA3932" s="55"/>
      <c r="AB3932" s="22">
        <f t="shared" si="1205"/>
        <v>0</v>
      </c>
      <c r="AC3932" s="23">
        <v>0</v>
      </c>
      <c r="AD3932" s="56"/>
      <c r="AE3932" s="56"/>
      <c r="AF3932" s="56"/>
      <c r="AG3932" s="56"/>
      <c r="AH3932" s="56"/>
      <c r="AI3932" s="56"/>
      <c r="AJ3932" s="56"/>
      <c r="AK3932" s="56"/>
      <c r="AL3932" s="285"/>
      <c r="AM3932" s="56"/>
      <c r="AN3932" s="56"/>
      <c r="AO3932" s="56"/>
      <c r="AP3932" s="56"/>
      <c r="AQ3932" s="56"/>
      <c r="AR3932" s="56"/>
      <c r="AS3932" s="56"/>
      <c r="AT3932" s="56"/>
      <c r="AU3932" s="56"/>
      <c r="AV3932" s="56"/>
      <c r="AW3932" s="56"/>
      <c r="AX3932" s="56"/>
      <c r="AY3932" s="56"/>
      <c r="AZ3932" s="56"/>
      <c r="BA3932" s="56"/>
      <c r="BB3932" s="22">
        <f t="shared" si="1206"/>
        <v>0</v>
      </c>
      <c r="BC3932" s="23">
        <v>1</v>
      </c>
      <c r="BD3932" s="130">
        <f t="shared" si="1207"/>
        <v>0</v>
      </c>
      <c r="BE3932" s="130">
        <f t="shared" si="1199"/>
        <v>1</v>
      </c>
      <c r="BF3932" s="195">
        <f t="shared" si="1208"/>
        <v>0</v>
      </c>
      <c r="BG3932" s="373">
        <f t="shared" si="1209"/>
        <v>1</v>
      </c>
    </row>
    <row r="3933" spans="1:61" s="46" customFormat="1" ht="14.25" customHeight="1">
      <c r="A3933" s="453">
        <v>15</v>
      </c>
      <c r="B3933" s="454" t="s">
        <v>1763</v>
      </c>
      <c r="C3933" s="455" t="s">
        <v>1764</v>
      </c>
      <c r="D3933" s="55"/>
      <c r="E3933" s="55"/>
      <c r="F3933" s="55"/>
      <c r="G3933" s="55"/>
      <c r="H3933" s="55"/>
      <c r="I3933" s="55"/>
      <c r="J3933" s="55"/>
      <c r="K3933" s="55"/>
      <c r="L3933" s="55"/>
      <c r="M3933" s="55"/>
      <c r="N3933" s="55"/>
      <c r="O3933" s="55"/>
      <c r="P3933" s="55"/>
      <c r="Q3933" s="55"/>
      <c r="R3933" s="55"/>
      <c r="S3933" s="55"/>
      <c r="T3933" s="55"/>
      <c r="U3933" s="55"/>
      <c r="V3933" s="55"/>
      <c r="W3933" s="55"/>
      <c r="X3933" s="55"/>
      <c r="Y3933" s="55"/>
      <c r="Z3933" s="55"/>
      <c r="AA3933" s="55"/>
      <c r="AB3933" s="22">
        <f t="shared" si="1205"/>
        <v>0</v>
      </c>
      <c r="AC3933" s="23">
        <v>0</v>
      </c>
      <c r="AD3933" s="56"/>
      <c r="AE3933" s="56"/>
      <c r="AF3933" s="56"/>
      <c r="AG3933" s="56"/>
      <c r="AH3933" s="56">
        <v>49</v>
      </c>
      <c r="AI3933" s="56"/>
      <c r="AJ3933" s="56"/>
      <c r="AK3933" s="56"/>
      <c r="AL3933" s="285">
        <v>392</v>
      </c>
      <c r="AM3933" s="56"/>
      <c r="AN3933" s="56"/>
      <c r="AO3933" s="56"/>
      <c r="AP3933" s="56">
        <v>420</v>
      </c>
      <c r="AQ3933" s="56"/>
      <c r="AR3933" s="56"/>
      <c r="AS3933" s="56"/>
      <c r="AT3933" s="56"/>
      <c r="AU3933" s="56"/>
      <c r="AV3933" s="56"/>
      <c r="AW3933" s="56"/>
      <c r="AX3933" s="56"/>
      <c r="AY3933" s="56"/>
      <c r="AZ3933" s="56"/>
      <c r="BA3933" s="56"/>
      <c r="BB3933" s="22">
        <f t="shared" si="1206"/>
        <v>861</v>
      </c>
      <c r="BC3933" s="23">
        <v>2205</v>
      </c>
      <c r="BD3933" s="130">
        <f t="shared" si="1207"/>
        <v>861</v>
      </c>
      <c r="BE3933" s="130">
        <f t="shared" si="1199"/>
        <v>2205</v>
      </c>
      <c r="BF3933" s="195">
        <f t="shared" si="1208"/>
        <v>39.047619047619051</v>
      </c>
      <c r="BG3933" s="373">
        <f t="shared" si="1209"/>
        <v>1344</v>
      </c>
    </row>
    <row r="3934" spans="1:61" s="46" customFormat="1" ht="14.25" customHeight="1">
      <c r="A3934" s="453">
        <v>16</v>
      </c>
      <c r="B3934" s="454" t="s">
        <v>1765</v>
      </c>
      <c r="C3934" s="455" t="s">
        <v>1766</v>
      </c>
      <c r="D3934" s="55"/>
      <c r="E3934" s="55"/>
      <c r="F3934" s="55"/>
      <c r="G3934" s="55"/>
      <c r="H3934" s="55"/>
      <c r="I3934" s="55"/>
      <c r="J3934" s="55"/>
      <c r="K3934" s="55"/>
      <c r="L3934" s="55"/>
      <c r="M3934" s="55"/>
      <c r="N3934" s="55"/>
      <c r="O3934" s="55"/>
      <c r="P3934" s="55"/>
      <c r="Q3934" s="55"/>
      <c r="R3934" s="55"/>
      <c r="S3934" s="55"/>
      <c r="T3934" s="55"/>
      <c r="U3934" s="55"/>
      <c r="V3934" s="55"/>
      <c r="W3934" s="55"/>
      <c r="X3934" s="55"/>
      <c r="Y3934" s="55"/>
      <c r="Z3934" s="55"/>
      <c r="AA3934" s="55"/>
      <c r="AB3934" s="22">
        <f t="shared" si="1205"/>
        <v>0</v>
      </c>
      <c r="AC3934" s="23">
        <v>0</v>
      </c>
      <c r="AD3934" s="56"/>
      <c r="AE3934" s="56"/>
      <c r="AF3934" s="56"/>
      <c r="AG3934" s="56"/>
      <c r="AH3934" s="56"/>
      <c r="AI3934" s="56"/>
      <c r="AJ3934" s="56"/>
      <c r="AK3934" s="56"/>
      <c r="AL3934" s="285"/>
      <c r="AM3934" s="56"/>
      <c r="AN3934" s="56"/>
      <c r="AO3934" s="56"/>
      <c r="AP3934" s="56"/>
      <c r="AQ3934" s="56"/>
      <c r="AR3934" s="56"/>
      <c r="AS3934" s="56"/>
      <c r="AT3934" s="56"/>
      <c r="AU3934" s="56"/>
      <c r="AV3934" s="56"/>
      <c r="AW3934" s="56"/>
      <c r="AX3934" s="56"/>
      <c r="AY3934" s="56"/>
      <c r="AZ3934" s="56"/>
      <c r="BA3934" s="56"/>
      <c r="BB3934" s="22">
        <f t="shared" si="1206"/>
        <v>0</v>
      </c>
      <c r="BC3934" s="23">
        <v>1</v>
      </c>
      <c r="BD3934" s="130">
        <f t="shared" si="1207"/>
        <v>0</v>
      </c>
      <c r="BE3934" s="130">
        <f t="shared" si="1199"/>
        <v>1</v>
      </c>
      <c r="BF3934" s="195">
        <f t="shared" si="1208"/>
        <v>0</v>
      </c>
      <c r="BG3934" s="373">
        <f t="shared" si="1209"/>
        <v>1</v>
      </c>
    </row>
    <row r="3935" spans="1:61" s="46" customFormat="1" ht="14.25" customHeight="1">
      <c r="A3935" s="453">
        <v>17</v>
      </c>
      <c r="B3935" s="456" t="s">
        <v>1118</v>
      </c>
      <c r="C3935" s="460" t="s">
        <v>3107</v>
      </c>
      <c r="D3935" s="55"/>
      <c r="E3935" s="55"/>
      <c r="F3935" s="55"/>
      <c r="G3935" s="55"/>
      <c r="H3935" s="55"/>
      <c r="I3935" s="55"/>
      <c r="J3935" s="55"/>
      <c r="K3935" s="55"/>
      <c r="L3935" s="55"/>
      <c r="M3935" s="55"/>
      <c r="N3935" s="55"/>
      <c r="O3935" s="55"/>
      <c r="P3935" s="55"/>
      <c r="Q3935" s="55"/>
      <c r="R3935" s="55"/>
      <c r="S3935" s="55"/>
      <c r="T3935" s="55"/>
      <c r="U3935" s="55"/>
      <c r="V3935" s="55"/>
      <c r="W3935" s="55"/>
      <c r="X3935" s="55"/>
      <c r="Y3935" s="55"/>
      <c r="Z3935" s="55"/>
      <c r="AA3935" s="55"/>
      <c r="AB3935" s="22">
        <f t="shared" si="1205"/>
        <v>0</v>
      </c>
      <c r="AC3935" s="23">
        <v>0</v>
      </c>
      <c r="AD3935" s="56"/>
      <c r="AE3935" s="56"/>
      <c r="AF3935" s="56"/>
      <c r="AG3935" s="56"/>
      <c r="AH3935" s="56"/>
      <c r="AI3935" s="56"/>
      <c r="AJ3935" s="56"/>
      <c r="AK3935" s="56"/>
      <c r="AL3935" s="285"/>
      <c r="AM3935" s="56"/>
      <c r="AN3935" s="56"/>
      <c r="AO3935" s="56"/>
      <c r="AP3935" s="56"/>
      <c r="AQ3935" s="56"/>
      <c r="AR3935" s="56"/>
      <c r="AS3935" s="56"/>
      <c r="AT3935" s="56"/>
      <c r="AU3935" s="56"/>
      <c r="AV3935" s="56"/>
      <c r="AW3935" s="56"/>
      <c r="AX3935" s="56"/>
      <c r="AY3935" s="56"/>
      <c r="AZ3935" s="56"/>
      <c r="BA3935" s="56"/>
      <c r="BB3935" s="22">
        <f t="shared" si="1206"/>
        <v>0</v>
      </c>
      <c r="BC3935" s="23">
        <v>2</v>
      </c>
      <c r="BD3935" s="130">
        <f t="shared" si="1207"/>
        <v>0</v>
      </c>
      <c r="BE3935" s="130">
        <f t="shared" si="1199"/>
        <v>2</v>
      </c>
      <c r="BF3935" s="195">
        <f t="shared" si="1208"/>
        <v>0</v>
      </c>
      <c r="BG3935" s="373">
        <f t="shared" si="1209"/>
        <v>2</v>
      </c>
    </row>
    <row r="3936" spans="1:61" s="46" customFormat="1" ht="14.25" customHeight="1">
      <c r="A3936" s="181">
        <v>18</v>
      </c>
      <c r="B3936" s="454" t="s">
        <v>1665</v>
      </c>
      <c r="C3936" s="455" t="s">
        <v>1666</v>
      </c>
      <c r="D3936" s="55"/>
      <c r="E3936" s="55"/>
      <c r="F3936" s="55"/>
      <c r="G3936" s="55"/>
      <c r="H3936" s="55"/>
      <c r="I3936" s="55"/>
      <c r="J3936" s="55"/>
      <c r="K3936" s="55"/>
      <c r="L3936" s="55"/>
      <c r="M3936" s="55"/>
      <c r="N3936" s="55"/>
      <c r="O3936" s="55"/>
      <c r="P3936" s="55"/>
      <c r="Q3936" s="55"/>
      <c r="R3936" s="55"/>
      <c r="S3936" s="55"/>
      <c r="T3936" s="55"/>
      <c r="U3936" s="55"/>
      <c r="V3936" s="55"/>
      <c r="W3936" s="55"/>
      <c r="X3936" s="55"/>
      <c r="Y3936" s="55"/>
      <c r="Z3936" s="55"/>
      <c r="AA3936" s="55"/>
      <c r="AB3936" s="22">
        <f t="shared" si="1205"/>
        <v>0</v>
      </c>
      <c r="AC3936" s="23">
        <v>0</v>
      </c>
      <c r="AD3936" s="56"/>
      <c r="AE3936" s="56"/>
      <c r="AF3936" s="56"/>
      <c r="AG3936" s="56"/>
      <c r="AH3936" s="56">
        <v>1</v>
      </c>
      <c r="AI3936" s="56"/>
      <c r="AJ3936" s="56"/>
      <c r="AK3936" s="56"/>
      <c r="AL3936" s="285">
        <v>191</v>
      </c>
      <c r="AM3936" s="56"/>
      <c r="AN3936" s="56"/>
      <c r="AO3936" s="56"/>
      <c r="AP3936" s="56">
        <v>27</v>
      </c>
      <c r="AQ3936" s="56"/>
      <c r="AR3936" s="56"/>
      <c r="AS3936" s="56"/>
      <c r="AT3936" s="56"/>
      <c r="AU3936" s="56"/>
      <c r="AV3936" s="56"/>
      <c r="AW3936" s="56"/>
      <c r="AX3936" s="56"/>
      <c r="AY3936" s="56"/>
      <c r="AZ3936" s="56"/>
      <c r="BA3936" s="56"/>
      <c r="BB3936" s="22">
        <f t="shared" si="1206"/>
        <v>219</v>
      </c>
      <c r="BC3936" s="23">
        <v>995</v>
      </c>
      <c r="BD3936" s="130">
        <f t="shared" si="1207"/>
        <v>219</v>
      </c>
      <c r="BE3936" s="130">
        <f t="shared" si="1199"/>
        <v>995</v>
      </c>
      <c r="BF3936" s="195">
        <f t="shared" si="1208"/>
        <v>22.010050251256281</v>
      </c>
      <c r="BG3936" s="373">
        <f t="shared" si="1209"/>
        <v>776</v>
      </c>
    </row>
    <row r="3937" spans="1:61" s="46" customFormat="1" ht="14.25" customHeight="1">
      <c r="A3937" s="453">
        <v>19</v>
      </c>
      <c r="B3937" s="53" t="s">
        <v>1767</v>
      </c>
      <c r="C3937" s="54" t="s">
        <v>1768</v>
      </c>
      <c r="D3937" s="55"/>
      <c r="E3937" s="55"/>
      <c r="F3937" s="55"/>
      <c r="G3937" s="55"/>
      <c r="H3937" s="55"/>
      <c r="I3937" s="55"/>
      <c r="J3937" s="55"/>
      <c r="K3937" s="55"/>
      <c r="L3937" s="55"/>
      <c r="M3937" s="55"/>
      <c r="N3937" s="55"/>
      <c r="O3937" s="55"/>
      <c r="P3937" s="55"/>
      <c r="Q3937" s="55"/>
      <c r="R3937" s="55"/>
      <c r="S3937" s="55"/>
      <c r="T3937" s="55"/>
      <c r="U3937" s="55"/>
      <c r="V3937" s="55"/>
      <c r="W3937" s="55"/>
      <c r="X3937" s="55"/>
      <c r="Y3937" s="55"/>
      <c r="Z3937" s="55"/>
      <c r="AA3937" s="55"/>
      <c r="AB3937" s="22">
        <f t="shared" si="1205"/>
        <v>0</v>
      </c>
      <c r="AC3937" s="23">
        <v>0</v>
      </c>
      <c r="AD3937" s="56"/>
      <c r="AE3937" s="56"/>
      <c r="AF3937" s="56"/>
      <c r="AG3937" s="56"/>
      <c r="AH3937" s="56">
        <v>54</v>
      </c>
      <c r="AI3937" s="56"/>
      <c r="AJ3937" s="56"/>
      <c r="AK3937" s="56"/>
      <c r="AL3937" s="56">
        <v>560</v>
      </c>
      <c r="AM3937" s="56"/>
      <c r="AN3937" s="56"/>
      <c r="AO3937" s="56"/>
      <c r="AP3937" s="56">
        <v>451</v>
      </c>
      <c r="AQ3937" s="56"/>
      <c r="AR3937" s="56"/>
      <c r="AS3937" s="56"/>
      <c r="AT3937" s="56"/>
      <c r="AU3937" s="56"/>
      <c r="AV3937" s="56"/>
      <c r="AW3937" s="56"/>
      <c r="AX3937" s="56"/>
      <c r="AY3937" s="56"/>
      <c r="AZ3937" s="56"/>
      <c r="BA3937" s="56"/>
      <c r="BB3937" s="22">
        <f t="shared" si="1206"/>
        <v>1065</v>
      </c>
      <c r="BC3937" s="23">
        <v>2035</v>
      </c>
      <c r="BD3937" s="130">
        <f t="shared" si="1207"/>
        <v>1065</v>
      </c>
      <c r="BE3937" s="130">
        <f t="shared" si="1199"/>
        <v>2035</v>
      </c>
      <c r="BF3937" s="195">
        <f t="shared" si="1208"/>
        <v>52.334152334152343</v>
      </c>
      <c r="BG3937" s="373">
        <f t="shared" si="1209"/>
        <v>970</v>
      </c>
    </row>
    <row r="3938" spans="1:61" s="46" customFormat="1" ht="14.25" customHeight="1">
      <c r="A3938" s="453">
        <v>20</v>
      </c>
      <c r="B3938" s="53" t="s">
        <v>1769</v>
      </c>
      <c r="C3938" s="54" t="s">
        <v>2802</v>
      </c>
      <c r="D3938" s="55"/>
      <c r="E3938" s="55"/>
      <c r="F3938" s="55"/>
      <c r="G3938" s="55"/>
      <c r="H3938" s="55"/>
      <c r="I3938" s="55"/>
      <c r="J3938" s="55"/>
      <c r="K3938" s="55"/>
      <c r="L3938" s="55"/>
      <c r="M3938" s="55"/>
      <c r="N3938" s="55"/>
      <c r="O3938" s="55"/>
      <c r="P3938" s="55"/>
      <c r="Q3938" s="55"/>
      <c r="R3938" s="55"/>
      <c r="S3938" s="55"/>
      <c r="T3938" s="55"/>
      <c r="U3938" s="55"/>
      <c r="V3938" s="55"/>
      <c r="W3938" s="55"/>
      <c r="X3938" s="55"/>
      <c r="Y3938" s="55"/>
      <c r="Z3938" s="55"/>
      <c r="AA3938" s="55"/>
      <c r="AB3938" s="22">
        <f t="shared" si="1205"/>
        <v>0</v>
      </c>
      <c r="AC3938" s="23">
        <v>0</v>
      </c>
      <c r="AD3938" s="56"/>
      <c r="AE3938" s="56"/>
      <c r="AF3938" s="56"/>
      <c r="AG3938" s="56"/>
      <c r="AH3938" s="56"/>
      <c r="AI3938" s="56"/>
      <c r="AJ3938" s="56"/>
      <c r="AK3938" s="56"/>
      <c r="AL3938" s="56"/>
      <c r="AM3938" s="56"/>
      <c r="AN3938" s="56"/>
      <c r="AO3938" s="56"/>
      <c r="AP3938" s="56"/>
      <c r="AQ3938" s="56"/>
      <c r="AR3938" s="56"/>
      <c r="AS3938" s="56"/>
      <c r="AT3938" s="56"/>
      <c r="AU3938" s="56"/>
      <c r="AV3938" s="56"/>
      <c r="AW3938" s="56"/>
      <c r="AX3938" s="56"/>
      <c r="AY3938" s="56"/>
      <c r="AZ3938" s="56"/>
      <c r="BA3938" s="56"/>
      <c r="BB3938" s="22">
        <f t="shared" si="1206"/>
        <v>0</v>
      </c>
      <c r="BC3938" s="23">
        <v>16</v>
      </c>
      <c r="BD3938" s="130">
        <f t="shared" si="1207"/>
        <v>0</v>
      </c>
      <c r="BE3938" s="130">
        <f t="shared" si="1199"/>
        <v>16</v>
      </c>
      <c r="BF3938" s="195">
        <f t="shared" si="1208"/>
        <v>0</v>
      </c>
      <c r="BG3938" s="373">
        <f t="shared" si="1209"/>
        <v>16</v>
      </c>
    </row>
    <row r="3939" spans="1:61" s="46" customFormat="1" ht="14.25" customHeight="1">
      <c r="A3939" s="181">
        <v>21</v>
      </c>
      <c r="B3939" s="53" t="s">
        <v>1771</v>
      </c>
      <c r="C3939" s="54" t="s">
        <v>2690</v>
      </c>
      <c r="D3939" s="55"/>
      <c r="E3939" s="55"/>
      <c r="F3939" s="55"/>
      <c r="G3939" s="55"/>
      <c r="H3939" s="55"/>
      <c r="I3939" s="55"/>
      <c r="J3939" s="55"/>
      <c r="K3939" s="55"/>
      <c r="L3939" s="55"/>
      <c r="M3939" s="55"/>
      <c r="N3939" s="55"/>
      <c r="O3939" s="55"/>
      <c r="P3939" s="55"/>
      <c r="Q3939" s="55"/>
      <c r="R3939" s="55"/>
      <c r="S3939" s="55"/>
      <c r="T3939" s="55"/>
      <c r="U3939" s="55"/>
      <c r="V3939" s="55"/>
      <c r="W3939" s="55"/>
      <c r="X3939" s="55"/>
      <c r="Y3939" s="55"/>
      <c r="Z3939" s="55"/>
      <c r="AA3939" s="55"/>
      <c r="AB3939" s="22">
        <f t="shared" si="1205"/>
        <v>0</v>
      </c>
      <c r="AC3939" s="23">
        <v>0</v>
      </c>
      <c r="AD3939" s="56"/>
      <c r="AE3939" s="56"/>
      <c r="AF3939" s="56"/>
      <c r="AG3939" s="56"/>
      <c r="AH3939" s="56"/>
      <c r="AI3939" s="56"/>
      <c r="AJ3939" s="56"/>
      <c r="AK3939" s="56"/>
      <c r="AL3939" s="56">
        <v>2</v>
      </c>
      <c r="AM3939" s="56"/>
      <c r="AN3939" s="56"/>
      <c r="AO3939" s="56"/>
      <c r="AP3939" s="56"/>
      <c r="AQ3939" s="56"/>
      <c r="AR3939" s="56"/>
      <c r="AS3939" s="56"/>
      <c r="AT3939" s="56"/>
      <c r="AU3939" s="56"/>
      <c r="AV3939" s="56"/>
      <c r="AW3939" s="56"/>
      <c r="AX3939" s="56"/>
      <c r="AY3939" s="56"/>
      <c r="AZ3939" s="56"/>
      <c r="BA3939" s="56"/>
      <c r="BB3939" s="22">
        <f t="shared" si="1206"/>
        <v>2</v>
      </c>
      <c r="BC3939" s="23">
        <v>6</v>
      </c>
      <c r="BD3939" s="130">
        <f t="shared" si="1207"/>
        <v>2</v>
      </c>
      <c r="BE3939" s="130">
        <f t="shared" si="1199"/>
        <v>6</v>
      </c>
      <c r="BF3939" s="195">
        <f t="shared" si="1208"/>
        <v>33.333333333333329</v>
      </c>
      <c r="BG3939" s="373">
        <f t="shared" si="1209"/>
        <v>4</v>
      </c>
    </row>
    <row r="3940" spans="1:61" s="46" customFormat="1" ht="14.25" customHeight="1">
      <c r="A3940" s="453">
        <v>22</v>
      </c>
      <c r="B3940" s="53" t="s">
        <v>1795</v>
      </c>
      <c r="C3940" s="54" t="s">
        <v>1796</v>
      </c>
      <c r="D3940" s="55"/>
      <c r="E3940" s="55"/>
      <c r="F3940" s="55"/>
      <c r="G3940" s="55"/>
      <c r="H3940" s="55"/>
      <c r="I3940" s="55"/>
      <c r="J3940" s="55"/>
      <c r="K3940" s="55"/>
      <c r="L3940" s="55"/>
      <c r="M3940" s="55"/>
      <c r="N3940" s="55"/>
      <c r="O3940" s="55"/>
      <c r="P3940" s="55"/>
      <c r="Q3940" s="55"/>
      <c r="R3940" s="55"/>
      <c r="S3940" s="55"/>
      <c r="T3940" s="55"/>
      <c r="U3940" s="55"/>
      <c r="V3940" s="55"/>
      <c r="W3940" s="55"/>
      <c r="X3940" s="55"/>
      <c r="Y3940" s="55"/>
      <c r="Z3940" s="55"/>
      <c r="AA3940" s="55"/>
      <c r="AB3940" s="22">
        <f t="shared" si="1205"/>
        <v>0</v>
      </c>
      <c r="AC3940" s="23">
        <v>0</v>
      </c>
      <c r="AD3940" s="56"/>
      <c r="AE3940" s="56"/>
      <c r="AF3940" s="56"/>
      <c r="AG3940" s="56"/>
      <c r="AH3940" s="56"/>
      <c r="AI3940" s="56"/>
      <c r="AJ3940" s="56"/>
      <c r="AK3940" s="56"/>
      <c r="AL3940" s="56">
        <v>7</v>
      </c>
      <c r="AM3940" s="56"/>
      <c r="AN3940" s="56"/>
      <c r="AO3940" s="56"/>
      <c r="AP3940" s="56"/>
      <c r="AQ3940" s="56"/>
      <c r="AR3940" s="56"/>
      <c r="AS3940" s="56"/>
      <c r="AT3940" s="56"/>
      <c r="AU3940" s="56"/>
      <c r="AV3940" s="56"/>
      <c r="AW3940" s="56"/>
      <c r="AX3940" s="56"/>
      <c r="AY3940" s="56"/>
      <c r="AZ3940" s="56"/>
      <c r="BA3940" s="56"/>
      <c r="BB3940" s="22">
        <f t="shared" si="1206"/>
        <v>7</v>
      </c>
      <c r="BC3940" s="23">
        <v>13</v>
      </c>
      <c r="BD3940" s="130">
        <f t="shared" si="1207"/>
        <v>7</v>
      </c>
      <c r="BE3940" s="130">
        <f t="shared" si="1199"/>
        <v>13</v>
      </c>
      <c r="BF3940" s="195">
        <f t="shared" si="1208"/>
        <v>53.846153846153847</v>
      </c>
      <c r="BG3940" s="373">
        <f t="shared" si="1209"/>
        <v>6</v>
      </c>
    </row>
    <row r="3941" spans="1:61" s="46" customFormat="1" ht="14.25" customHeight="1">
      <c r="A3941" s="453">
        <v>23</v>
      </c>
      <c r="B3941" s="454" t="s">
        <v>1773</v>
      </c>
      <c r="C3941" s="455" t="s">
        <v>1797</v>
      </c>
      <c r="D3941" s="55"/>
      <c r="E3941" s="55"/>
      <c r="F3941" s="55"/>
      <c r="G3941" s="55"/>
      <c r="H3941" s="55"/>
      <c r="I3941" s="55"/>
      <c r="J3941" s="55"/>
      <c r="K3941" s="55"/>
      <c r="L3941" s="55"/>
      <c r="M3941" s="55"/>
      <c r="N3941" s="55"/>
      <c r="O3941" s="55"/>
      <c r="P3941" s="55"/>
      <c r="Q3941" s="55"/>
      <c r="R3941" s="55"/>
      <c r="S3941" s="55"/>
      <c r="T3941" s="55"/>
      <c r="U3941" s="55"/>
      <c r="V3941" s="55"/>
      <c r="W3941" s="55"/>
      <c r="X3941" s="55"/>
      <c r="Y3941" s="55"/>
      <c r="Z3941" s="55"/>
      <c r="AA3941" s="55"/>
      <c r="AB3941" s="22">
        <f t="shared" si="1205"/>
        <v>0</v>
      </c>
      <c r="AC3941" s="23">
        <v>0</v>
      </c>
      <c r="AD3941" s="56"/>
      <c r="AE3941" s="56"/>
      <c r="AF3941" s="56"/>
      <c r="AG3941" s="56"/>
      <c r="AH3941" s="56"/>
      <c r="AI3941" s="56"/>
      <c r="AJ3941" s="56"/>
      <c r="AK3941" s="56"/>
      <c r="AL3941" s="56"/>
      <c r="AM3941" s="56"/>
      <c r="AN3941" s="56"/>
      <c r="AO3941" s="56"/>
      <c r="AP3941" s="56"/>
      <c r="AQ3941" s="56"/>
      <c r="AR3941" s="56"/>
      <c r="AS3941" s="56"/>
      <c r="AT3941" s="56"/>
      <c r="AU3941" s="56"/>
      <c r="AV3941" s="56"/>
      <c r="AW3941" s="56"/>
      <c r="AX3941" s="56"/>
      <c r="AY3941" s="56"/>
      <c r="AZ3941" s="56"/>
      <c r="BA3941" s="56"/>
      <c r="BB3941" s="22">
        <f t="shared" si="1206"/>
        <v>0</v>
      </c>
      <c r="BC3941" s="23">
        <v>45</v>
      </c>
      <c r="BD3941" s="130">
        <f t="shared" si="1207"/>
        <v>0</v>
      </c>
      <c r="BE3941" s="130">
        <f t="shared" si="1199"/>
        <v>45</v>
      </c>
      <c r="BF3941" s="195">
        <f t="shared" si="1208"/>
        <v>0</v>
      </c>
      <c r="BG3941" s="373">
        <f t="shared" si="1209"/>
        <v>45</v>
      </c>
    </row>
    <row r="3942" spans="1:61" s="46" customFormat="1" ht="14.25" customHeight="1">
      <c r="A3942" s="181">
        <v>24</v>
      </c>
      <c r="B3942" s="53"/>
      <c r="C3942" s="54"/>
      <c r="D3942" s="55"/>
      <c r="E3942" s="55"/>
      <c r="F3942" s="55"/>
      <c r="G3942" s="55"/>
      <c r="H3942" s="55"/>
      <c r="I3942" s="55"/>
      <c r="J3942" s="55"/>
      <c r="K3942" s="55"/>
      <c r="L3942" s="55"/>
      <c r="M3942" s="55"/>
      <c r="N3942" s="55"/>
      <c r="O3942" s="55"/>
      <c r="P3942" s="55"/>
      <c r="Q3942" s="55"/>
      <c r="R3942" s="55"/>
      <c r="S3942" s="55"/>
      <c r="T3942" s="55"/>
      <c r="U3942" s="55"/>
      <c r="V3942" s="55"/>
      <c r="W3942" s="55"/>
      <c r="X3942" s="55"/>
      <c r="Y3942" s="55"/>
      <c r="Z3942" s="55"/>
      <c r="AA3942" s="55"/>
      <c r="AB3942" s="22">
        <f t="shared" si="1205"/>
        <v>0</v>
      </c>
      <c r="AC3942" s="23">
        <v>0</v>
      </c>
      <c r="AD3942" s="56"/>
      <c r="AE3942" s="56"/>
      <c r="AF3942" s="56"/>
      <c r="AG3942" s="56"/>
      <c r="AH3942" s="56"/>
      <c r="AI3942" s="56"/>
      <c r="AJ3942" s="56"/>
      <c r="AK3942" s="56"/>
      <c r="AL3942" s="56"/>
      <c r="AM3942" s="56"/>
      <c r="AN3942" s="56"/>
      <c r="AO3942" s="56"/>
      <c r="AP3942" s="56"/>
      <c r="AQ3942" s="56"/>
      <c r="AR3942" s="56"/>
      <c r="AS3942" s="56"/>
      <c r="AT3942" s="56"/>
      <c r="AU3942" s="56"/>
      <c r="AV3942" s="56"/>
      <c r="AW3942" s="56"/>
      <c r="AX3942" s="56"/>
      <c r="AY3942" s="56"/>
      <c r="AZ3942" s="56"/>
      <c r="BA3942" s="56"/>
      <c r="BB3942" s="22">
        <f t="shared" si="1206"/>
        <v>0</v>
      </c>
      <c r="BC3942" s="23">
        <v>0</v>
      </c>
      <c r="BD3942" s="130">
        <f t="shared" si="1207"/>
        <v>0</v>
      </c>
      <c r="BE3942" s="130">
        <f t="shared" si="1199"/>
        <v>0</v>
      </c>
      <c r="BF3942" s="195" t="e">
        <f t="shared" si="1208"/>
        <v>#DIV/0!</v>
      </c>
      <c r="BG3942" s="373">
        <f t="shared" si="1209"/>
        <v>0</v>
      </c>
    </row>
    <row r="3943" spans="1:61" s="46" customFormat="1" ht="14.25" customHeight="1">
      <c r="A3943" s="648" t="s">
        <v>1774</v>
      </c>
      <c r="B3943" s="649"/>
      <c r="C3943" s="649"/>
      <c r="D3943" s="52">
        <f t="shared" ref="D3943:AI3943" si="1210">SUM(D3944:D3968)</f>
        <v>3980</v>
      </c>
      <c r="E3943" s="52">
        <f t="shared" si="1210"/>
        <v>0</v>
      </c>
      <c r="F3943" s="52">
        <f t="shared" si="1210"/>
        <v>0</v>
      </c>
      <c r="G3943" s="52">
        <f t="shared" si="1210"/>
        <v>2486</v>
      </c>
      <c r="H3943" s="52">
        <f t="shared" si="1210"/>
        <v>4326</v>
      </c>
      <c r="I3943" s="52">
        <f t="shared" si="1210"/>
        <v>0</v>
      </c>
      <c r="J3943" s="52">
        <f t="shared" si="1210"/>
        <v>0</v>
      </c>
      <c r="K3943" s="52">
        <f t="shared" si="1210"/>
        <v>0</v>
      </c>
      <c r="L3943" s="52">
        <f t="shared" si="1210"/>
        <v>3928</v>
      </c>
      <c r="M3943" s="52">
        <f t="shared" si="1210"/>
        <v>0</v>
      </c>
      <c r="N3943" s="52">
        <f t="shared" si="1210"/>
        <v>0</v>
      </c>
      <c r="O3943" s="52">
        <f t="shared" si="1210"/>
        <v>0</v>
      </c>
      <c r="P3943" s="52">
        <f t="shared" si="1210"/>
        <v>344</v>
      </c>
      <c r="Q3943" s="52">
        <f t="shared" si="1210"/>
        <v>0</v>
      </c>
      <c r="R3943" s="52">
        <f t="shared" si="1210"/>
        <v>0</v>
      </c>
      <c r="S3943" s="52">
        <f t="shared" si="1210"/>
        <v>0</v>
      </c>
      <c r="T3943" s="52">
        <f t="shared" si="1210"/>
        <v>0</v>
      </c>
      <c r="U3943" s="52">
        <f t="shared" si="1210"/>
        <v>0</v>
      </c>
      <c r="V3943" s="52">
        <f t="shared" si="1210"/>
        <v>0</v>
      </c>
      <c r="W3943" s="52">
        <f t="shared" si="1210"/>
        <v>0</v>
      </c>
      <c r="X3943" s="52">
        <f t="shared" si="1210"/>
        <v>0</v>
      </c>
      <c r="Y3943" s="52">
        <f t="shared" si="1210"/>
        <v>0</v>
      </c>
      <c r="Z3943" s="52">
        <f t="shared" si="1210"/>
        <v>0</v>
      </c>
      <c r="AA3943" s="52">
        <f t="shared" si="1210"/>
        <v>0</v>
      </c>
      <c r="AB3943" s="52">
        <f t="shared" si="1210"/>
        <v>15064</v>
      </c>
      <c r="AC3943" s="127">
        <f t="shared" si="1210"/>
        <v>1838</v>
      </c>
      <c r="AD3943" s="52">
        <f t="shared" si="1210"/>
        <v>861</v>
      </c>
      <c r="AE3943" s="52">
        <f t="shared" si="1210"/>
        <v>0</v>
      </c>
      <c r="AF3943" s="52">
        <f t="shared" si="1210"/>
        <v>0</v>
      </c>
      <c r="AG3943" s="52">
        <f t="shared" si="1210"/>
        <v>0</v>
      </c>
      <c r="AH3943" s="52">
        <f t="shared" si="1210"/>
        <v>889</v>
      </c>
      <c r="AI3943" s="52">
        <f t="shared" si="1210"/>
        <v>0</v>
      </c>
      <c r="AJ3943" s="52">
        <f t="shared" ref="AJ3943:BC3943" si="1211">SUM(AJ3944:AJ3968)</f>
        <v>0</v>
      </c>
      <c r="AK3943" s="52">
        <f t="shared" si="1211"/>
        <v>0</v>
      </c>
      <c r="AL3943" s="52">
        <f t="shared" si="1211"/>
        <v>1244</v>
      </c>
      <c r="AM3943" s="52">
        <f t="shared" si="1211"/>
        <v>0</v>
      </c>
      <c r="AN3943" s="52">
        <f t="shared" si="1211"/>
        <v>0</v>
      </c>
      <c r="AO3943" s="52">
        <f t="shared" si="1211"/>
        <v>0</v>
      </c>
      <c r="AP3943" s="52">
        <f t="shared" si="1211"/>
        <v>348</v>
      </c>
      <c r="AQ3943" s="52">
        <f t="shared" si="1211"/>
        <v>0</v>
      </c>
      <c r="AR3943" s="52">
        <f t="shared" si="1211"/>
        <v>0</v>
      </c>
      <c r="AS3943" s="52">
        <f t="shared" si="1211"/>
        <v>0</v>
      </c>
      <c r="AT3943" s="52">
        <f t="shared" si="1211"/>
        <v>0</v>
      </c>
      <c r="AU3943" s="52">
        <f t="shared" si="1211"/>
        <v>0</v>
      </c>
      <c r="AV3943" s="52">
        <f t="shared" si="1211"/>
        <v>0</v>
      </c>
      <c r="AW3943" s="52">
        <f t="shared" si="1211"/>
        <v>0</v>
      </c>
      <c r="AX3943" s="52">
        <f t="shared" si="1211"/>
        <v>0</v>
      </c>
      <c r="AY3943" s="52">
        <f t="shared" si="1211"/>
        <v>0</v>
      </c>
      <c r="AZ3943" s="52">
        <f t="shared" si="1211"/>
        <v>0</v>
      </c>
      <c r="BA3943" s="52">
        <f t="shared" si="1211"/>
        <v>0</v>
      </c>
      <c r="BB3943" s="52">
        <f t="shared" si="1211"/>
        <v>3342</v>
      </c>
      <c r="BC3943" s="127">
        <f t="shared" si="1211"/>
        <v>2344</v>
      </c>
      <c r="BD3943" s="130">
        <f t="shared" si="1198"/>
        <v>18406</v>
      </c>
      <c r="BE3943" s="130">
        <f t="shared" si="1199"/>
        <v>4182</v>
      </c>
      <c r="BF3943" s="195">
        <f t="shared" si="1184"/>
        <v>440.12434241989479</v>
      </c>
      <c r="BG3943" s="375">
        <f t="shared" si="1185"/>
        <v>-14224</v>
      </c>
    </row>
    <row r="3944" spans="1:61" s="46" customFormat="1" ht="21" customHeight="1">
      <c r="A3944" s="417">
        <v>1</v>
      </c>
      <c r="B3944" s="418" t="s">
        <v>2275</v>
      </c>
      <c r="C3944" s="419" t="s">
        <v>3711</v>
      </c>
      <c r="D3944" s="55"/>
      <c r="E3944" s="55"/>
      <c r="F3944" s="55"/>
      <c r="G3944" s="55"/>
      <c r="H3944" s="56">
        <v>2</v>
      </c>
      <c r="I3944" s="55"/>
      <c r="J3944" s="55"/>
      <c r="K3944" s="55"/>
      <c r="L3944" s="55"/>
      <c r="M3944" s="55"/>
      <c r="N3944" s="55"/>
      <c r="O3944" s="55"/>
      <c r="P3944" s="55"/>
      <c r="Q3944" s="55"/>
      <c r="R3944" s="55"/>
      <c r="S3944" s="55"/>
      <c r="T3944" s="55"/>
      <c r="U3944" s="55"/>
      <c r="V3944" s="55"/>
      <c r="W3944" s="55"/>
      <c r="X3944" s="55"/>
      <c r="Y3944" s="55"/>
      <c r="Z3944" s="55"/>
      <c r="AA3944" s="55"/>
      <c r="AB3944" s="22">
        <f t="shared" ref="AB3944:AB3968" si="1212">SUM(D3944:AA3944)</f>
        <v>2</v>
      </c>
      <c r="AC3944" s="23">
        <v>48</v>
      </c>
      <c r="AD3944" s="56"/>
      <c r="AE3944" s="56"/>
      <c r="AF3944" s="56"/>
      <c r="AG3944" s="56"/>
      <c r="AH3944" s="56"/>
      <c r="AI3944" s="56"/>
      <c r="AJ3944" s="56"/>
      <c r="AK3944" s="56"/>
      <c r="AL3944" s="56"/>
      <c r="AM3944" s="56"/>
      <c r="AN3944" s="56"/>
      <c r="AO3944" s="56"/>
      <c r="AP3944" s="56"/>
      <c r="AQ3944" s="56"/>
      <c r="AR3944" s="56"/>
      <c r="AS3944" s="56"/>
      <c r="AT3944" s="56"/>
      <c r="AU3944" s="56"/>
      <c r="AV3944" s="56"/>
      <c r="AW3944" s="56"/>
      <c r="AX3944" s="56"/>
      <c r="AY3944" s="56"/>
      <c r="AZ3944" s="56"/>
      <c r="BA3944" s="56"/>
      <c r="BB3944" s="22">
        <f t="shared" ref="BB3944:BB3968" si="1213">SUM(AD3944:BA3944)</f>
        <v>0</v>
      </c>
      <c r="BC3944" s="23">
        <v>0</v>
      </c>
      <c r="BD3944" s="130">
        <f t="shared" ref="BD3944:BD3968" si="1214">AB3944+BB3944</f>
        <v>2</v>
      </c>
      <c r="BE3944" s="130">
        <f t="shared" si="1199"/>
        <v>48</v>
      </c>
      <c r="BF3944" s="195">
        <f t="shared" ref="BF3944:BF3968" si="1215">BD3944/BE3944*100</f>
        <v>4.1666666666666661</v>
      </c>
      <c r="BG3944" s="373">
        <f>BE3944-BD3944</f>
        <v>46</v>
      </c>
      <c r="BH3944" s="426" t="s">
        <v>3675</v>
      </c>
      <c r="BI3944" s="421"/>
    </row>
    <row r="3945" spans="1:61" s="46" customFormat="1" ht="21" customHeight="1">
      <c r="A3945" s="417">
        <v>2</v>
      </c>
      <c r="B3945" s="418" t="s">
        <v>1743</v>
      </c>
      <c r="C3945" s="419" t="s">
        <v>1744</v>
      </c>
      <c r="D3945" s="55"/>
      <c r="E3945" s="55"/>
      <c r="F3945" s="55"/>
      <c r="G3945" s="56">
        <f>434+1+924</f>
        <v>1359</v>
      </c>
      <c r="H3945" s="56">
        <f>289+472+3</f>
        <v>764</v>
      </c>
      <c r="I3945" s="55"/>
      <c r="J3945" s="55"/>
      <c r="K3945" s="55"/>
      <c r="L3945" s="55">
        <f>189+479+51</f>
        <v>719</v>
      </c>
      <c r="M3945" s="55"/>
      <c r="N3945" s="55"/>
      <c r="O3945" s="55"/>
      <c r="P3945" s="55">
        <v>35</v>
      </c>
      <c r="Q3945" s="55"/>
      <c r="R3945" s="55"/>
      <c r="S3945" s="55"/>
      <c r="T3945" s="55"/>
      <c r="U3945" s="55"/>
      <c r="V3945" s="55"/>
      <c r="W3945" s="55"/>
      <c r="X3945" s="55"/>
      <c r="Y3945" s="55"/>
      <c r="Z3945" s="55"/>
      <c r="AA3945" s="55"/>
      <c r="AB3945" s="22">
        <f t="shared" si="1212"/>
        <v>2877</v>
      </c>
      <c r="AC3945" s="23">
        <v>210</v>
      </c>
      <c r="AD3945" s="56"/>
      <c r="AE3945" s="56"/>
      <c r="AF3945" s="56"/>
      <c r="AG3945" s="56"/>
      <c r="AH3945" s="56"/>
      <c r="AI3945" s="56"/>
      <c r="AJ3945" s="56"/>
      <c r="AK3945" s="56"/>
      <c r="AL3945" s="56"/>
      <c r="AM3945" s="56"/>
      <c r="AN3945" s="56"/>
      <c r="AO3945" s="56"/>
      <c r="AP3945" s="56"/>
      <c r="AQ3945" s="56"/>
      <c r="AR3945" s="56"/>
      <c r="AS3945" s="56"/>
      <c r="AT3945" s="56"/>
      <c r="AU3945" s="56"/>
      <c r="AV3945" s="56"/>
      <c r="AW3945" s="56"/>
      <c r="AX3945" s="56"/>
      <c r="AY3945" s="56"/>
      <c r="AZ3945" s="56"/>
      <c r="BA3945" s="56"/>
      <c r="BB3945" s="22">
        <f t="shared" si="1213"/>
        <v>0</v>
      </c>
      <c r="BC3945" s="23">
        <v>0</v>
      </c>
      <c r="BD3945" s="130">
        <f t="shared" si="1214"/>
        <v>2877</v>
      </c>
      <c r="BE3945" s="130">
        <f t="shared" si="1199"/>
        <v>210</v>
      </c>
      <c r="BF3945" s="195">
        <f t="shared" si="1215"/>
        <v>1370</v>
      </c>
      <c r="BG3945" s="373">
        <f>BE3945-BD3945</f>
        <v>-2667</v>
      </c>
      <c r="BH3945" s="426" t="s">
        <v>3675</v>
      </c>
      <c r="BI3945" s="420"/>
    </row>
    <row r="3946" spans="1:61" s="46" customFormat="1" ht="21" customHeight="1">
      <c r="A3946" s="417">
        <v>3</v>
      </c>
      <c r="B3946" s="418" t="s">
        <v>1745</v>
      </c>
      <c r="C3946" s="419" t="s">
        <v>1746</v>
      </c>
      <c r="D3946" s="55"/>
      <c r="E3946" s="55"/>
      <c r="F3946" s="55"/>
      <c r="G3946" s="56"/>
      <c r="H3946" s="56"/>
      <c r="I3946" s="55"/>
      <c r="J3946" s="55"/>
      <c r="K3946" s="55"/>
      <c r="L3946" s="55"/>
      <c r="M3946" s="55"/>
      <c r="N3946" s="55"/>
      <c r="O3946" s="55"/>
      <c r="P3946" s="55"/>
      <c r="Q3946" s="55"/>
      <c r="R3946" s="55"/>
      <c r="S3946" s="55"/>
      <c r="T3946" s="55"/>
      <c r="U3946" s="55"/>
      <c r="V3946" s="55"/>
      <c r="W3946" s="55"/>
      <c r="X3946" s="55"/>
      <c r="Y3946" s="55"/>
      <c r="Z3946" s="55"/>
      <c r="AA3946" s="55"/>
      <c r="AB3946" s="22">
        <f t="shared" si="1212"/>
        <v>0</v>
      </c>
      <c r="AC3946" s="23">
        <v>0</v>
      </c>
      <c r="AD3946" s="56"/>
      <c r="AE3946" s="56"/>
      <c r="AF3946" s="56"/>
      <c r="AG3946" s="56"/>
      <c r="AH3946" s="56"/>
      <c r="AI3946" s="56"/>
      <c r="AJ3946" s="56"/>
      <c r="AK3946" s="56"/>
      <c r="AL3946" s="56"/>
      <c r="AM3946" s="56"/>
      <c r="AN3946" s="56"/>
      <c r="AO3946" s="56"/>
      <c r="AP3946" s="56"/>
      <c r="AQ3946" s="56"/>
      <c r="AR3946" s="56"/>
      <c r="AS3946" s="56"/>
      <c r="AT3946" s="56"/>
      <c r="AU3946" s="56"/>
      <c r="AV3946" s="56"/>
      <c r="AW3946" s="56"/>
      <c r="AX3946" s="56"/>
      <c r="AY3946" s="56"/>
      <c r="AZ3946" s="56"/>
      <c r="BA3946" s="56"/>
      <c r="BB3946" s="22">
        <f t="shared" si="1213"/>
        <v>0</v>
      </c>
      <c r="BC3946" s="23">
        <v>1</v>
      </c>
      <c r="BD3946" s="130">
        <f t="shared" si="1214"/>
        <v>0</v>
      </c>
      <c r="BE3946" s="130">
        <f t="shared" si="1199"/>
        <v>1</v>
      </c>
      <c r="BF3946" s="195">
        <f t="shared" si="1215"/>
        <v>0</v>
      </c>
      <c r="BG3946" s="373">
        <f>BE3946-BD3946</f>
        <v>1</v>
      </c>
      <c r="BH3946" s="426" t="s">
        <v>3675</v>
      </c>
      <c r="BI3946" s="420"/>
    </row>
    <row r="3947" spans="1:61" s="46" customFormat="1" ht="21" customHeight="1">
      <c r="A3947" s="417">
        <v>4</v>
      </c>
      <c r="B3947" s="418" t="s">
        <v>1790</v>
      </c>
      <c r="C3947" s="419" t="s">
        <v>1791</v>
      </c>
      <c r="D3947" s="55"/>
      <c r="E3947" s="55"/>
      <c r="F3947" s="55"/>
      <c r="G3947" s="56">
        <v>2</v>
      </c>
      <c r="H3947" s="56"/>
      <c r="I3947" s="55"/>
      <c r="J3947" s="55"/>
      <c r="K3947" s="55"/>
      <c r="L3947" s="55"/>
      <c r="M3947" s="55"/>
      <c r="N3947" s="55"/>
      <c r="O3947" s="55"/>
      <c r="P3947" s="55"/>
      <c r="Q3947" s="55"/>
      <c r="R3947" s="55"/>
      <c r="S3947" s="55"/>
      <c r="T3947" s="55"/>
      <c r="U3947" s="55"/>
      <c r="V3947" s="55"/>
      <c r="W3947" s="55"/>
      <c r="X3947" s="55"/>
      <c r="Y3947" s="55"/>
      <c r="Z3947" s="55"/>
      <c r="AA3947" s="55"/>
      <c r="AB3947" s="22">
        <f t="shared" si="1212"/>
        <v>2</v>
      </c>
      <c r="AC3947" s="23">
        <v>0</v>
      </c>
      <c r="AD3947" s="56"/>
      <c r="AE3947" s="56"/>
      <c r="AF3947" s="56"/>
      <c r="AG3947" s="56"/>
      <c r="AH3947" s="56"/>
      <c r="AI3947" s="56"/>
      <c r="AJ3947" s="56"/>
      <c r="AK3947" s="56"/>
      <c r="AL3947" s="56"/>
      <c r="AM3947" s="56"/>
      <c r="AN3947" s="56"/>
      <c r="AO3947" s="56"/>
      <c r="AP3947" s="56"/>
      <c r="AQ3947" s="56"/>
      <c r="AR3947" s="56"/>
      <c r="AS3947" s="56"/>
      <c r="AT3947" s="56"/>
      <c r="AU3947" s="56"/>
      <c r="AV3947" s="56"/>
      <c r="AW3947" s="56"/>
      <c r="AX3947" s="56"/>
      <c r="AY3947" s="56"/>
      <c r="AZ3947" s="56"/>
      <c r="BA3947" s="56"/>
      <c r="BB3947" s="22">
        <f t="shared" si="1213"/>
        <v>0</v>
      </c>
      <c r="BC3947" s="23">
        <v>0</v>
      </c>
      <c r="BD3947" s="130">
        <f t="shared" si="1214"/>
        <v>2</v>
      </c>
      <c r="BE3947" s="130">
        <f t="shared" si="1199"/>
        <v>0</v>
      </c>
      <c r="BF3947" s="195" t="e">
        <f t="shared" si="1215"/>
        <v>#DIV/0!</v>
      </c>
      <c r="BG3947" s="373"/>
      <c r="BH3947" s="426" t="s">
        <v>3675</v>
      </c>
      <c r="BI3947" s="420"/>
    </row>
    <row r="3948" spans="1:61" s="46" customFormat="1" ht="21" customHeight="1">
      <c r="A3948" s="417">
        <v>5</v>
      </c>
      <c r="B3948" s="418" t="s">
        <v>1813</v>
      </c>
      <c r="C3948" s="419" t="s">
        <v>2292</v>
      </c>
      <c r="D3948" s="55"/>
      <c r="E3948" s="55"/>
      <c r="F3948" s="55"/>
      <c r="G3948" s="56">
        <v>1</v>
      </c>
      <c r="H3948" s="56">
        <v>1</v>
      </c>
      <c r="I3948" s="55"/>
      <c r="J3948" s="55"/>
      <c r="K3948" s="55"/>
      <c r="L3948" s="55">
        <v>9</v>
      </c>
      <c r="M3948" s="55"/>
      <c r="N3948" s="55"/>
      <c r="O3948" s="55"/>
      <c r="P3948" s="55">
        <v>2</v>
      </c>
      <c r="Q3948" s="55"/>
      <c r="R3948" s="55"/>
      <c r="S3948" s="55"/>
      <c r="T3948" s="55"/>
      <c r="U3948" s="55"/>
      <c r="V3948" s="55"/>
      <c r="W3948" s="55"/>
      <c r="X3948" s="55"/>
      <c r="Y3948" s="55"/>
      <c r="Z3948" s="55"/>
      <c r="AA3948" s="55"/>
      <c r="AB3948" s="22">
        <f t="shared" si="1212"/>
        <v>13</v>
      </c>
      <c r="AC3948" s="23">
        <f>2+4</f>
        <v>6</v>
      </c>
      <c r="AD3948" s="56"/>
      <c r="AE3948" s="56"/>
      <c r="AF3948" s="56"/>
      <c r="AG3948" s="56"/>
      <c r="AH3948" s="56"/>
      <c r="AI3948" s="56"/>
      <c r="AJ3948" s="56"/>
      <c r="AK3948" s="56"/>
      <c r="AL3948" s="56"/>
      <c r="AM3948" s="56"/>
      <c r="AN3948" s="56"/>
      <c r="AO3948" s="56"/>
      <c r="AP3948" s="56"/>
      <c r="AQ3948" s="56"/>
      <c r="AR3948" s="56"/>
      <c r="AS3948" s="56"/>
      <c r="AT3948" s="56"/>
      <c r="AU3948" s="56"/>
      <c r="AV3948" s="56"/>
      <c r="AW3948" s="56"/>
      <c r="AX3948" s="56"/>
      <c r="AY3948" s="56"/>
      <c r="AZ3948" s="56"/>
      <c r="BA3948" s="56"/>
      <c r="BB3948" s="22">
        <f t="shared" si="1213"/>
        <v>0</v>
      </c>
      <c r="BC3948" s="23">
        <v>0</v>
      </c>
      <c r="BD3948" s="130">
        <f t="shared" si="1214"/>
        <v>13</v>
      </c>
      <c r="BE3948" s="130">
        <f t="shared" si="1199"/>
        <v>6</v>
      </c>
      <c r="BF3948" s="195">
        <f t="shared" si="1215"/>
        <v>216.66666666666666</v>
      </c>
      <c r="BG3948" s="373">
        <f t="shared" ref="BG3948:BG3968" si="1216">BE3948-BD3948</f>
        <v>-7</v>
      </c>
      <c r="BH3948" s="426" t="s">
        <v>3675</v>
      </c>
      <c r="BI3948" s="421"/>
    </row>
    <row r="3949" spans="1:61" s="46" customFormat="1" ht="21" customHeight="1">
      <c r="A3949" s="417">
        <v>6</v>
      </c>
      <c r="B3949" s="418" t="s">
        <v>1747</v>
      </c>
      <c r="C3949" s="419" t="s">
        <v>1748</v>
      </c>
      <c r="D3949" s="55"/>
      <c r="E3949" s="55"/>
      <c r="F3949" s="55"/>
      <c r="G3949" s="56">
        <f>630+179</f>
        <v>809</v>
      </c>
      <c r="H3949" s="56">
        <f>550+59+42</f>
        <v>651</v>
      </c>
      <c r="I3949" s="55"/>
      <c r="J3949" s="55"/>
      <c r="K3949" s="55"/>
      <c r="L3949" s="55">
        <f>275+66+333</f>
        <v>674</v>
      </c>
      <c r="M3949" s="55"/>
      <c r="N3949" s="55"/>
      <c r="O3949" s="55"/>
      <c r="P3949" s="55">
        <v>187</v>
      </c>
      <c r="Q3949" s="55"/>
      <c r="R3949" s="55"/>
      <c r="S3949" s="55"/>
      <c r="T3949" s="55"/>
      <c r="U3949" s="55"/>
      <c r="V3949" s="55"/>
      <c r="W3949" s="55"/>
      <c r="X3949" s="55"/>
      <c r="Y3949" s="55"/>
      <c r="Z3949" s="55"/>
      <c r="AA3949" s="55"/>
      <c r="AB3949" s="22">
        <f t="shared" si="1212"/>
        <v>2321</v>
      </c>
      <c r="AC3949" s="23">
        <v>675</v>
      </c>
      <c r="AD3949" s="56"/>
      <c r="AE3949" s="56"/>
      <c r="AF3949" s="56"/>
      <c r="AG3949" s="56"/>
      <c r="AH3949" s="56"/>
      <c r="AI3949" s="56"/>
      <c r="AJ3949" s="56"/>
      <c r="AK3949" s="56"/>
      <c r="AL3949" s="285"/>
      <c r="AM3949" s="56"/>
      <c r="AN3949" s="56"/>
      <c r="AO3949" s="56"/>
      <c r="AP3949" s="56"/>
      <c r="AQ3949" s="56"/>
      <c r="AR3949" s="56"/>
      <c r="AS3949" s="56"/>
      <c r="AT3949" s="56"/>
      <c r="AU3949" s="56"/>
      <c r="AV3949" s="56"/>
      <c r="AW3949" s="56"/>
      <c r="AX3949" s="56"/>
      <c r="AY3949" s="56"/>
      <c r="AZ3949" s="56"/>
      <c r="BA3949" s="56"/>
      <c r="BB3949" s="22">
        <f t="shared" si="1213"/>
        <v>0</v>
      </c>
      <c r="BC3949" s="23">
        <v>0</v>
      </c>
      <c r="BD3949" s="130">
        <f t="shared" si="1214"/>
        <v>2321</v>
      </c>
      <c r="BE3949" s="130">
        <f t="shared" si="1199"/>
        <v>675</v>
      </c>
      <c r="BF3949" s="195">
        <f t="shared" si="1215"/>
        <v>343.85185185185185</v>
      </c>
      <c r="BG3949" s="373">
        <f t="shared" si="1216"/>
        <v>-1646</v>
      </c>
      <c r="BH3949" s="426" t="s">
        <v>3675</v>
      </c>
      <c r="BI3949" s="420"/>
    </row>
    <row r="3950" spans="1:61" s="46" customFormat="1" ht="21" customHeight="1">
      <c r="A3950" s="417">
        <v>7</v>
      </c>
      <c r="B3950" s="418" t="s">
        <v>1749</v>
      </c>
      <c r="C3950" s="419" t="s">
        <v>1750</v>
      </c>
      <c r="D3950" s="55"/>
      <c r="E3950" s="55"/>
      <c r="F3950" s="55"/>
      <c r="G3950" s="56">
        <f>163+122</f>
        <v>285</v>
      </c>
      <c r="H3950" s="56">
        <f>117+26</f>
        <v>143</v>
      </c>
      <c r="I3950" s="55"/>
      <c r="J3950" s="55"/>
      <c r="K3950" s="55"/>
      <c r="L3950" s="55">
        <f>50+38+37</f>
        <v>125</v>
      </c>
      <c r="M3950" s="55"/>
      <c r="N3950" s="55"/>
      <c r="O3950" s="55"/>
      <c r="P3950" s="55">
        <v>27</v>
      </c>
      <c r="Q3950" s="55"/>
      <c r="R3950" s="55"/>
      <c r="S3950" s="55"/>
      <c r="T3950" s="55"/>
      <c r="U3950" s="55"/>
      <c r="V3950" s="55"/>
      <c r="W3950" s="55"/>
      <c r="X3950" s="55"/>
      <c r="Y3950" s="55"/>
      <c r="Z3950" s="55"/>
      <c r="AA3950" s="55"/>
      <c r="AB3950" s="22">
        <f t="shared" si="1212"/>
        <v>580</v>
      </c>
      <c r="AC3950" s="23">
        <v>28</v>
      </c>
      <c r="AD3950" s="56"/>
      <c r="AE3950" s="56"/>
      <c r="AF3950" s="56"/>
      <c r="AG3950" s="56"/>
      <c r="AH3950" s="56"/>
      <c r="AI3950" s="56"/>
      <c r="AJ3950" s="56"/>
      <c r="AK3950" s="56"/>
      <c r="AL3950" s="56"/>
      <c r="AM3950" s="56"/>
      <c r="AN3950" s="56"/>
      <c r="AO3950" s="56"/>
      <c r="AP3950" s="56"/>
      <c r="AQ3950" s="56"/>
      <c r="AR3950" s="56"/>
      <c r="AS3950" s="56"/>
      <c r="AT3950" s="56"/>
      <c r="AU3950" s="56"/>
      <c r="AV3950" s="56"/>
      <c r="AW3950" s="56"/>
      <c r="AX3950" s="56"/>
      <c r="AY3950" s="56"/>
      <c r="AZ3950" s="56"/>
      <c r="BA3950" s="56"/>
      <c r="BB3950" s="22">
        <f t="shared" si="1213"/>
        <v>0</v>
      </c>
      <c r="BC3950" s="23">
        <v>0</v>
      </c>
      <c r="BD3950" s="130">
        <f t="shared" si="1214"/>
        <v>580</v>
      </c>
      <c r="BE3950" s="130">
        <f t="shared" si="1199"/>
        <v>28</v>
      </c>
      <c r="BF3950" s="195">
        <f t="shared" si="1215"/>
        <v>2071.4285714285716</v>
      </c>
      <c r="BG3950" s="373">
        <f t="shared" si="1216"/>
        <v>-552</v>
      </c>
      <c r="BH3950" s="426" t="s">
        <v>3675</v>
      </c>
      <c r="BI3950" s="421"/>
    </row>
    <row r="3951" spans="1:61" s="46" customFormat="1" ht="21" customHeight="1">
      <c r="A3951" s="417">
        <v>8</v>
      </c>
      <c r="B3951" s="418" t="s">
        <v>1801</v>
      </c>
      <c r="C3951" s="419" t="s">
        <v>1802</v>
      </c>
      <c r="D3951" s="55"/>
      <c r="E3951" s="55"/>
      <c r="F3951" s="55"/>
      <c r="G3951" s="56">
        <v>9</v>
      </c>
      <c r="H3951" s="56"/>
      <c r="I3951" s="55"/>
      <c r="J3951" s="55"/>
      <c r="K3951" s="55"/>
      <c r="L3951" s="55"/>
      <c r="M3951" s="55"/>
      <c r="N3951" s="55"/>
      <c r="O3951" s="55"/>
      <c r="P3951" s="55"/>
      <c r="Q3951" s="55"/>
      <c r="R3951" s="55"/>
      <c r="S3951" s="55"/>
      <c r="T3951" s="55"/>
      <c r="U3951" s="55"/>
      <c r="V3951" s="55"/>
      <c r="W3951" s="55"/>
      <c r="X3951" s="55"/>
      <c r="Y3951" s="55"/>
      <c r="Z3951" s="55"/>
      <c r="AA3951" s="55"/>
      <c r="AB3951" s="22">
        <f t="shared" si="1212"/>
        <v>9</v>
      </c>
      <c r="AC3951" s="23">
        <v>47</v>
      </c>
      <c r="AD3951" s="56"/>
      <c r="AE3951" s="56"/>
      <c r="AF3951" s="56"/>
      <c r="AG3951" s="56"/>
      <c r="AH3951" s="56"/>
      <c r="AI3951" s="56"/>
      <c r="AJ3951" s="56"/>
      <c r="AK3951" s="56"/>
      <c r="AL3951" s="56"/>
      <c r="AM3951" s="56"/>
      <c r="AN3951" s="56"/>
      <c r="AO3951" s="56"/>
      <c r="AP3951" s="56"/>
      <c r="AQ3951" s="56"/>
      <c r="AR3951" s="56"/>
      <c r="AS3951" s="56"/>
      <c r="AT3951" s="56"/>
      <c r="AU3951" s="56"/>
      <c r="AV3951" s="56"/>
      <c r="AW3951" s="56"/>
      <c r="AX3951" s="56"/>
      <c r="AY3951" s="56"/>
      <c r="AZ3951" s="56"/>
      <c r="BA3951" s="56"/>
      <c r="BB3951" s="22">
        <f t="shared" si="1213"/>
        <v>0</v>
      </c>
      <c r="BC3951" s="23">
        <v>0</v>
      </c>
      <c r="BD3951" s="130">
        <f t="shared" si="1214"/>
        <v>9</v>
      </c>
      <c r="BE3951" s="130">
        <f t="shared" si="1199"/>
        <v>47</v>
      </c>
      <c r="BF3951" s="195">
        <f t="shared" si="1215"/>
        <v>19.148936170212767</v>
      </c>
      <c r="BG3951" s="373">
        <f t="shared" si="1216"/>
        <v>38</v>
      </c>
      <c r="BH3951" s="426" t="s">
        <v>3675</v>
      </c>
      <c r="BI3951" s="421"/>
    </row>
    <row r="3952" spans="1:61" s="46" customFormat="1" ht="21" customHeight="1">
      <c r="A3952" s="417">
        <v>9</v>
      </c>
      <c r="B3952" s="432" t="s">
        <v>1801</v>
      </c>
      <c r="C3952" s="419" t="s">
        <v>1802</v>
      </c>
      <c r="D3952" s="55"/>
      <c r="E3952" s="55"/>
      <c r="F3952" s="55"/>
      <c r="G3952" s="56"/>
      <c r="H3952" s="56"/>
      <c r="I3952" s="55"/>
      <c r="J3952" s="55"/>
      <c r="K3952" s="55"/>
      <c r="L3952" s="55"/>
      <c r="M3952" s="55"/>
      <c r="N3952" s="55"/>
      <c r="O3952" s="55"/>
      <c r="P3952" s="55"/>
      <c r="Q3952" s="55"/>
      <c r="R3952" s="55"/>
      <c r="S3952" s="55"/>
      <c r="T3952" s="55"/>
      <c r="U3952" s="55"/>
      <c r="V3952" s="55"/>
      <c r="W3952" s="55"/>
      <c r="X3952" s="55"/>
      <c r="Y3952" s="55"/>
      <c r="Z3952" s="55"/>
      <c r="AA3952" s="55"/>
      <c r="AB3952" s="22">
        <f t="shared" si="1212"/>
        <v>0</v>
      </c>
      <c r="AC3952" s="23">
        <v>18</v>
      </c>
      <c r="AD3952" s="56"/>
      <c r="AE3952" s="56"/>
      <c r="AF3952" s="56"/>
      <c r="AG3952" s="56"/>
      <c r="AH3952" s="56"/>
      <c r="AI3952" s="56"/>
      <c r="AJ3952" s="56"/>
      <c r="AK3952" s="56"/>
      <c r="AL3952" s="56"/>
      <c r="AM3952" s="56"/>
      <c r="AN3952" s="56"/>
      <c r="AO3952" s="56"/>
      <c r="AP3952" s="56"/>
      <c r="AQ3952" s="56"/>
      <c r="AR3952" s="56"/>
      <c r="AS3952" s="56"/>
      <c r="AT3952" s="56"/>
      <c r="AU3952" s="56"/>
      <c r="AV3952" s="56"/>
      <c r="AW3952" s="56"/>
      <c r="AX3952" s="56"/>
      <c r="AY3952" s="56"/>
      <c r="AZ3952" s="56"/>
      <c r="BA3952" s="56"/>
      <c r="BB3952" s="22">
        <f t="shared" si="1213"/>
        <v>0</v>
      </c>
      <c r="BC3952" s="23">
        <v>0</v>
      </c>
      <c r="BD3952" s="130">
        <f t="shared" si="1214"/>
        <v>0</v>
      </c>
      <c r="BE3952" s="130">
        <f t="shared" si="1199"/>
        <v>18</v>
      </c>
      <c r="BF3952" s="195">
        <f t="shared" si="1215"/>
        <v>0</v>
      </c>
      <c r="BG3952" s="373">
        <f t="shared" si="1216"/>
        <v>18</v>
      </c>
      <c r="BH3952" s="426" t="s">
        <v>3675</v>
      </c>
      <c r="BI3952" s="421"/>
    </row>
    <row r="3953" spans="1:61" s="46" customFormat="1" ht="21" customHeight="1">
      <c r="A3953" s="417">
        <v>10</v>
      </c>
      <c r="B3953" s="418" t="s">
        <v>1751</v>
      </c>
      <c r="C3953" s="419" t="s">
        <v>1752</v>
      </c>
      <c r="D3953" s="55"/>
      <c r="E3953" s="55"/>
      <c r="F3953" s="55"/>
      <c r="G3953" s="56">
        <f>13+8</f>
        <v>21</v>
      </c>
      <c r="H3953" s="56">
        <v>14</v>
      </c>
      <c r="I3953" s="55"/>
      <c r="J3953" s="55"/>
      <c r="K3953" s="55"/>
      <c r="L3953" s="55">
        <f>1+6</f>
        <v>7</v>
      </c>
      <c r="M3953" s="55"/>
      <c r="N3953" s="55"/>
      <c r="O3953" s="55"/>
      <c r="P3953" s="55">
        <v>1</v>
      </c>
      <c r="Q3953" s="55"/>
      <c r="R3953" s="55"/>
      <c r="S3953" s="55"/>
      <c r="T3953" s="55"/>
      <c r="U3953" s="55"/>
      <c r="V3953" s="55"/>
      <c r="W3953" s="55"/>
      <c r="X3953" s="55"/>
      <c r="Y3953" s="55"/>
      <c r="Z3953" s="55"/>
      <c r="AA3953" s="55"/>
      <c r="AB3953" s="22">
        <f t="shared" si="1212"/>
        <v>43</v>
      </c>
      <c r="AC3953" s="23">
        <v>190</v>
      </c>
      <c r="AD3953" s="56"/>
      <c r="AE3953" s="56"/>
      <c r="AF3953" s="56"/>
      <c r="AG3953" s="56"/>
      <c r="AH3953" s="56"/>
      <c r="AI3953" s="56"/>
      <c r="AJ3953" s="56"/>
      <c r="AK3953" s="56"/>
      <c r="AL3953" s="56"/>
      <c r="AM3953" s="56"/>
      <c r="AN3953" s="56"/>
      <c r="AO3953" s="56"/>
      <c r="AP3953" s="56"/>
      <c r="AQ3953" s="56"/>
      <c r="AR3953" s="56"/>
      <c r="AS3953" s="56"/>
      <c r="AT3953" s="56"/>
      <c r="AU3953" s="56"/>
      <c r="AV3953" s="56"/>
      <c r="AW3953" s="56"/>
      <c r="AX3953" s="56"/>
      <c r="AY3953" s="56"/>
      <c r="AZ3953" s="56"/>
      <c r="BA3953" s="56"/>
      <c r="BB3953" s="22">
        <f t="shared" si="1213"/>
        <v>0</v>
      </c>
      <c r="BC3953" s="23">
        <v>0</v>
      </c>
      <c r="BD3953" s="130">
        <f t="shared" si="1214"/>
        <v>43</v>
      </c>
      <c r="BE3953" s="130">
        <f t="shared" si="1199"/>
        <v>190</v>
      </c>
      <c r="BF3953" s="195">
        <f t="shared" si="1215"/>
        <v>22.631578947368421</v>
      </c>
      <c r="BG3953" s="373">
        <f t="shared" si="1216"/>
        <v>147</v>
      </c>
      <c r="BH3953" s="426" t="s">
        <v>3675</v>
      </c>
      <c r="BI3953" s="421"/>
    </row>
    <row r="3954" spans="1:61" s="46" customFormat="1" ht="21" customHeight="1">
      <c r="A3954" s="417">
        <v>11</v>
      </c>
      <c r="B3954" s="418" t="s">
        <v>1753</v>
      </c>
      <c r="C3954" s="419" t="s">
        <v>1754</v>
      </c>
      <c r="D3954" s="55">
        <v>282</v>
      </c>
      <c r="E3954" s="55"/>
      <c r="F3954" s="55"/>
      <c r="G3954" s="55"/>
      <c r="H3954" s="56">
        <f>183+31</f>
        <v>214</v>
      </c>
      <c r="I3954" s="55"/>
      <c r="J3954" s="55"/>
      <c r="K3954" s="55"/>
      <c r="L3954" s="55">
        <f>114+1+200</f>
        <v>315</v>
      </c>
      <c r="M3954" s="55"/>
      <c r="N3954" s="55"/>
      <c r="O3954" s="55"/>
      <c r="P3954" s="55">
        <v>50</v>
      </c>
      <c r="Q3954" s="55"/>
      <c r="R3954" s="55"/>
      <c r="S3954" s="55"/>
      <c r="T3954" s="55"/>
      <c r="U3954" s="55"/>
      <c r="V3954" s="55"/>
      <c r="W3954" s="55"/>
      <c r="X3954" s="55"/>
      <c r="Y3954" s="55"/>
      <c r="Z3954" s="55"/>
      <c r="AA3954" s="55"/>
      <c r="AB3954" s="22">
        <f t="shared" si="1212"/>
        <v>861</v>
      </c>
      <c r="AC3954" s="23">
        <v>417</v>
      </c>
      <c r="AD3954" s="56"/>
      <c r="AE3954" s="56"/>
      <c r="AF3954" s="56"/>
      <c r="AG3954" s="56"/>
      <c r="AH3954" s="56"/>
      <c r="AI3954" s="56"/>
      <c r="AJ3954" s="56"/>
      <c r="AK3954" s="56"/>
      <c r="AL3954" s="56"/>
      <c r="AM3954" s="56"/>
      <c r="AN3954" s="56"/>
      <c r="AO3954" s="56"/>
      <c r="AP3954" s="56"/>
      <c r="AQ3954" s="56"/>
      <c r="AR3954" s="56"/>
      <c r="AS3954" s="56"/>
      <c r="AT3954" s="56"/>
      <c r="AU3954" s="56"/>
      <c r="AV3954" s="56"/>
      <c r="AW3954" s="56"/>
      <c r="AX3954" s="56"/>
      <c r="AY3954" s="56"/>
      <c r="AZ3954" s="56"/>
      <c r="BA3954" s="56"/>
      <c r="BB3954" s="22">
        <f t="shared" si="1213"/>
        <v>0</v>
      </c>
      <c r="BC3954" s="23">
        <v>0</v>
      </c>
      <c r="BD3954" s="130">
        <f t="shared" si="1214"/>
        <v>861</v>
      </c>
      <c r="BE3954" s="130">
        <f t="shared" si="1199"/>
        <v>417</v>
      </c>
      <c r="BF3954" s="195">
        <f t="shared" si="1215"/>
        <v>206.4748201438849</v>
      </c>
      <c r="BG3954" s="373">
        <f t="shared" si="1216"/>
        <v>-444</v>
      </c>
      <c r="BH3954" s="426" t="s">
        <v>3675</v>
      </c>
      <c r="BI3954" s="420"/>
    </row>
    <row r="3955" spans="1:61" s="46" customFormat="1" ht="14.25" customHeight="1">
      <c r="A3955" s="181">
        <v>12</v>
      </c>
      <c r="B3955" s="53" t="s">
        <v>1755</v>
      </c>
      <c r="C3955" s="54" t="s">
        <v>2889</v>
      </c>
      <c r="D3955" s="55"/>
      <c r="E3955" s="55"/>
      <c r="F3955" s="55"/>
      <c r="G3955" s="55"/>
      <c r="H3955" s="55"/>
      <c r="I3955" s="55"/>
      <c r="J3955" s="55"/>
      <c r="K3955" s="55"/>
      <c r="L3955" s="55"/>
      <c r="M3955" s="55"/>
      <c r="N3955" s="55"/>
      <c r="O3955" s="55"/>
      <c r="P3955" s="55"/>
      <c r="Q3955" s="55"/>
      <c r="R3955" s="55"/>
      <c r="S3955" s="55"/>
      <c r="T3955" s="55"/>
      <c r="U3955" s="55"/>
      <c r="V3955" s="55"/>
      <c r="W3955" s="55"/>
      <c r="X3955" s="55"/>
      <c r="Y3955" s="55"/>
      <c r="Z3955" s="55"/>
      <c r="AA3955" s="55"/>
      <c r="AB3955" s="22">
        <f t="shared" si="1212"/>
        <v>0</v>
      </c>
      <c r="AC3955" s="23">
        <v>0</v>
      </c>
      <c r="AD3955" s="56"/>
      <c r="AE3955" s="56"/>
      <c r="AF3955" s="56"/>
      <c r="AG3955" s="56"/>
      <c r="AH3955" s="56"/>
      <c r="AI3955" s="56"/>
      <c r="AJ3955" s="56"/>
      <c r="AK3955" s="56"/>
      <c r="AL3955" s="56"/>
      <c r="AM3955" s="56"/>
      <c r="AN3955" s="56"/>
      <c r="AO3955" s="56"/>
      <c r="AP3955" s="56"/>
      <c r="AQ3955" s="56"/>
      <c r="AR3955" s="56"/>
      <c r="AS3955" s="56"/>
      <c r="AT3955" s="56"/>
      <c r="AU3955" s="56"/>
      <c r="AV3955" s="56"/>
      <c r="AW3955" s="56"/>
      <c r="AX3955" s="56"/>
      <c r="AY3955" s="56"/>
      <c r="AZ3955" s="56"/>
      <c r="BA3955" s="56"/>
      <c r="BB3955" s="22">
        <f t="shared" si="1213"/>
        <v>0</v>
      </c>
      <c r="BC3955" s="23">
        <v>0</v>
      </c>
      <c r="BD3955" s="130">
        <f t="shared" si="1214"/>
        <v>0</v>
      </c>
      <c r="BE3955" s="130">
        <f t="shared" si="1199"/>
        <v>0</v>
      </c>
      <c r="BF3955" s="195" t="e">
        <f t="shared" si="1215"/>
        <v>#DIV/0!</v>
      </c>
      <c r="BG3955" s="373">
        <f t="shared" si="1216"/>
        <v>0</v>
      </c>
      <c r="BI3955" s="46" t="s">
        <v>3616</v>
      </c>
    </row>
    <row r="3956" spans="1:61" s="46" customFormat="1" ht="21" customHeight="1">
      <c r="A3956" s="417">
        <v>13</v>
      </c>
      <c r="B3956" s="418" t="s">
        <v>1775</v>
      </c>
      <c r="C3956" s="419" t="s">
        <v>1776</v>
      </c>
      <c r="D3956" s="55"/>
      <c r="E3956" s="55"/>
      <c r="F3956" s="55"/>
      <c r="G3956" s="55"/>
      <c r="H3956" s="55"/>
      <c r="I3956" s="55"/>
      <c r="J3956" s="55"/>
      <c r="K3956" s="55"/>
      <c r="L3956" s="55"/>
      <c r="M3956" s="55"/>
      <c r="N3956" s="55"/>
      <c r="O3956" s="55"/>
      <c r="P3956" s="55"/>
      <c r="Q3956" s="55"/>
      <c r="R3956" s="55"/>
      <c r="S3956" s="55"/>
      <c r="T3956" s="55"/>
      <c r="U3956" s="55"/>
      <c r="V3956" s="55"/>
      <c r="W3956" s="55"/>
      <c r="X3956" s="55"/>
      <c r="Y3956" s="55"/>
      <c r="Z3956" s="55"/>
      <c r="AA3956" s="55"/>
      <c r="AB3956" s="22">
        <f t="shared" si="1212"/>
        <v>0</v>
      </c>
      <c r="AC3956" s="23">
        <v>13</v>
      </c>
      <c r="AD3956" s="56"/>
      <c r="AE3956" s="56"/>
      <c r="AF3956" s="56"/>
      <c r="AG3956" s="56"/>
      <c r="AH3956" s="56"/>
      <c r="AI3956" s="56"/>
      <c r="AJ3956" s="56"/>
      <c r="AK3956" s="56"/>
      <c r="AL3956" s="56"/>
      <c r="AM3956" s="56"/>
      <c r="AN3956" s="56"/>
      <c r="AO3956" s="56"/>
      <c r="AP3956" s="56"/>
      <c r="AQ3956" s="56"/>
      <c r="AR3956" s="56"/>
      <c r="AS3956" s="56"/>
      <c r="AT3956" s="56"/>
      <c r="AU3956" s="56"/>
      <c r="AV3956" s="56"/>
      <c r="AW3956" s="56"/>
      <c r="AX3956" s="56"/>
      <c r="AY3956" s="56"/>
      <c r="AZ3956" s="56"/>
      <c r="BA3956" s="56"/>
      <c r="BB3956" s="22">
        <f t="shared" si="1213"/>
        <v>0</v>
      </c>
      <c r="BC3956" s="23">
        <v>0</v>
      </c>
      <c r="BD3956" s="130">
        <f t="shared" si="1214"/>
        <v>0</v>
      </c>
      <c r="BE3956" s="130">
        <f t="shared" si="1199"/>
        <v>13</v>
      </c>
      <c r="BF3956" s="195">
        <f t="shared" si="1215"/>
        <v>0</v>
      </c>
      <c r="BG3956" s="373">
        <f t="shared" si="1216"/>
        <v>13</v>
      </c>
      <c r="BH3956" s="426" t="s">
        <v>3675</v>
      </c>
      <c r="BI3956" s="421"/>
    </row>
    <row r="3957" spans="1:61" s="46" customFormat="1" ht="21" customHeight="1">
      <c r="A3957" s="417">
        <v>14</v>
      </c>
      <c r="B3957" s="418" t="s">
        <v>2148</v>
      </c>
      <c r="C3957" s="419" t="s">
        <v>2149</v>
      </c>
      <c r="D3957" s="55"/>
      <c r="E3957" s="55"/>
      <c r="F3957" s="55"/>
      <c r="G3957" s="55"/>
      <c r="H3957" s="55"/>
      <c r="I3957" s="55"/>
      <c r="J3957" s="55"/>
      <c r="K3957" s="55"/>
      <c r="L3957" s="55"/>
      <c r="M3957" s="55"/>
      <c r="N3957" s="55"/>
      <c r="O3957" s="55"/>
      <c r="P3957" s="55"/>
      <c r="Q3957" s="55"/>
      <c r="R3957" s="55"/>
      <c r="S3957" s="55"/>
      <c r="T3957" s="55"/>
      <c r="U3957" s="55"/>
      <c r="V3957" s="55"/>
      <c r="W3957" s="55"/>
      <c r="X3957" s="55"/>
      <c r="Y3957" s="55"/>
      <c r="Z3957" s="55"/>
      <c r="AA3957" s="55"/>
      <c r="AB3957" s="22">
        <f t="shared" si="1212"/>
        <v>0</v>
      </c>
      <c r="AC3957" s="23">
        <v>1</v>
      </c>
      <c r="AD3957" s="56"/>
      <c r="AE3957" s="56"/>
      <c r="AF3957" s="56"/>
      <c r="AG3957" s="56"/>
      <c r="AH3957" s="56"/>
      <c r="AI3957" s="56"/>
      <c r="AJ3957" s="56"/>
      <c r="AK3957" s="56"/>
      <c r="AL3957" s="56"/>
      <c r="AM3957" s="56"/>
      <c r="AN3957" s="56"/>
      <c r="AO3957" s="56"/>
      <c r="AP3957" s="56"/>
      <c r="AQ3957" s="56"/>
      <c r="AR3957" s="56"/>
      <c r="AS3957" s="56"/>
      <c r="AT3957" s="56"/>
      <c r="AU3957" s="56"/>
      <c r="AV3957" s="56"/>
      <c r="AW3957" s="56"/>
      <c r="AX3957" s="56"/>
      <c r="AY3957" s="56"/>
      <c r="AZ3957" s="56"/>
      <c r="BA3957" s="56"/>
      <c r="BB3957" s="22">
        <f t="shared" si="1213"/>
        <v>0</v>
      </c>
      <c r="BC3957" s="23">
        <v>0</v>
      </c>
      <c r="BD3957" s="130">
        <f t="shared" si="1214"/>
        <v>0</v>
      </c>
      <c r="BE3957" s="130">
        <f t="shared" si="1199"/>
        <v>1</v>
      </c>
      <c r="BF3957" s="195">
        <f t="shared" si="1215"/>
        <v>0</v>
      </c>
      <c r="BG3957" s="373">
        <f t="shared" si="1216"/>
        <v>1</v>
      </c>
      <c r="BH3957" s="426" t="s">
        <v>3675</v>
      </c>
      <c r="BI3957" s="420"/>
    </row>
    <row r="3958" spans="1:61" s="46" customFormat="1" ht="21" customHeight="1">
      <c r="A3958" s="417">
        <v>15</v>
      </c>
      <c r="B3958" s="418" t="s">
        <v>1756</v>
      </c>
      <c r="C3958" s="419" t="s">
        <v>1757</v>
      </c>
      <c r="D3958" s="55">
        <v>3698</v>
      </c>
      <c r="E3958" s="55"/>
      <c r="F3958" s="55"/>
      <c r="G3958" s="55"/>
      <c r="H3958" s="56">
        <f>311+2221+5</f>
        <v>2537</v>
      </c>
      <c r="I3958" s="55"/>
      <c r="J3958" s="55"/>
      <c r="K3958" s="55"/>
      <c r="L3958" s="55">
        <f>167+1873+39</f>
        <v>2079</v>
      </c>
      <c r="M3958" s="55"/>
      <c r="N3958" s="55"/>
      <c r="O3958" s="55"/>
      <c r="P3958" s="55">
        <v>42</v>
      </c>
      <c r="Q3958" s="55"/>
      <c r="R3958" s="55"/>
      <c r="S3958" s="55"/>
      <c r="T3958" s="55"/>
      <c r="U3958" s="55"/>
      <c r="V3958" s="55"/>
      <c r="W3958" s="55"/>
      <c r="X3958" s="55"/>
      <c r="Y3958" s="55"/>
      <c r="Z3958" s="55"/>
      <c r="AA3958" s="55"/>
      <c r="AB3958" s="22">
        <f t="shared" si="1212"/>
        <v>8356</v>
      </c>
      <c r="AC3958" s="23">
        <v>185</v>
      </c>
      <c r="AD3958" s="56"/>
      <c r="AE3958" s="56"/>
      <c r="AF3958" s="56"/>
      <c r="AG3958" s="56"/>
      <c r="AH3958" s="56"/>
      <c r="AI3958" s="56"/>
      <c r="AJ3958" s="56"/>
      <c r="AK3958" s="56"/>
      <c r="AL3958" s="56"/>
      <c r="AM3958" s="56"/>
      <c r="AN3958" s="56"/>
      <c r="AO3958" s="56"/>
      <c r="AP3958" s="56"/>
      <c r="AQ3958" s="56"/>
      <c r="AR3958" s="56"/>
      <c r="AS3958" s="56"/>
      <c r="AT3958" s="56"/>
      <c r="AU3958" s="56"/>
      <c r="AV3958" s="56"/>
      <c r="AW3958" s="56"/>
      <c r="AX3958" s="56"/>
      <c r="AY3958" s="56"/>
      <c r="AZ3958" s="56"/>
      <c r="BA3958" s="56"/>
      <c r="BB3958" s="22">
        <f t="shared" si="1213"/>
        <v>0</v>
      </c>
      <c r="BC3958" s="23">
        <v>0</v>
      </c>
      <c r="BD3958" s="130">
        <f t="shared" si="1214"/>
        <v>8356</v>
      </c>
      <c r="BE3958" s="130">
        <f t="shared" si="1199"/>
        <v>185</v>
      </c>
      <c r="BF3958" s="195">
        <f t="shared" si="1215"/>
        <v>4516.7567567567567</v>
      </c>
      <c r="BG3958" s="373">
        <f t="shared" si="1216"/>
        <v>-8171</v>
      </c>
      <c r="BH3958" s="426" t="s">
        <v>3675</v>
      </c>
      <c r="BI3958" s="421"/>
    </row>
    <row r="3959" spans="1:61" s="46" customFormat="1" ht="14.25" customHeight="1">
      <c r="A3959" s="453">
        <v>17</v>
      </c>
      <c r="B3959" s="454" t="s">
        <v>1763</v>
      </c>
      <c r="C3959" s="458" t="s">
        <v>1764</v>
      </c>
      <c r="D3959" s="55"/>
      <c r="E3959" s="55"/>
      <c r="F3959" s="55"/>
      <c r="G3959" s="55"/>
      <c r="H3959" s="55"/>
      <c r="I3959" s="55"/>
      <c r="J3959" s="55"/>
      <c r="K3959" s="55"/>
      <c r="L3959" s="55"/>
      <c r="M3959" s="55"/>
      <c r="N3959" s="55"/>
      <c r="O3959" s="55"/>
      <c r="P3959" s="55"/>
      <c r="Q3959" s="55"/>
      <c r="R3959" s="55"/>
      <c r="S3959" s="55"/>
      <c r="T3959" s="55"/>
      <c r="U3959" s="55"/>
      <c r="V3959" s="55"/>
      <c r="W3959" s="55"/>
      <c r="X3959" s="55"/>
      <c r="Y3959" s="55"/>
      <c r="Z3959" s="55"/>
      <c r="AA3959" s="55"/>
      <c r="AB3959" s="22">
        <f t="shared" si="1212"/>
        <v>0</v>
      </c>
      <c r="AC3959" s="23">
        <v>0</v>
      </c>
      <c r="AD3959" s="56">
        <v>25</v>
      </c>
      <c r="AE3959" s="56"/>
      <c r="AF3959" s="56"/>
      <c r="AG3959" s="56"/>
      <c r="AH3959" s="56">
        <f>104+28</f>
        <v>132</v>
      </c>
      <c r="AI3959" s="56"/>
      <c r="AJ3959" s="56"/>
      <c r="AK3959" s="56"/>
      <c r="AL3959" s="285">
        <f>19+251</f>
        <v>270</v>
      </c>
      <c r="AM3959" s="56"/>
      <c r="AN3959" s="56"/>
      <c r="AO3959" s="56"/>
      <c r="AP3959" s="56">
        <v>12</v>
      </c>
      <c r="AQ3959" s="56"/>
      <c r="AR3959" s="56"/>
      <c r="AS3959" s="56"/>
      <c r="AT3959" s="56"/>
      <c r="AU3959" s="56"/>
      <c r="AV3959" s="56"/>
      <c r="AW3959" s="56"/>
      <c r="AX3959" s="56"/>
      <c r="AY3959" s="56"/>
      <c r="AZ3959" s="56"/>
      <c r="BA3959" s="56"/>
      <c r="BB3959" s="22">
        <f t="shared" si="1213"/>
        <v>439</v>
      </c>
      <c r="BC3959" s="23">
        <v>453</v>
      </c>
      <c r="BD3959" s="130">
        <f t="shared" si="1214"/>
        <v>439</v>
      </c>
      <c r="BE3959" s="130">
        <f t="shared" si="1199"/>
        <v>453</v>
      </c>
      <c r="BF3959" s="195">
        <f t="shared" si="1215"/>
        <v>96.909492273730677</v>
      </c>
      <c r="BG3959" s="373">
        <f t="shared" si="1216"/>
        <v>14</v>
      </c>
    </row>
    <row r="3960" spans="1:61" s="46" customFormat="1" ht="14.25" customHeight="1">
      <c r="A3960" s="453">
        <v>18</v>
      </c>
      <c r="B3960" s="454" t="s">
        <v>1765</v>
      </c>
      <c r="C3960" s="455" t="s">
        <v>1766</v>
      </c>
      <c r="D3960" s="55"/>
      <c r="E3960" s="55"/>
      <c r="F3960" s="55"/>
      <c r="G3960" s="55"/>
      <c r="H3960" s="55"/>
      <c r="I3960" s="55"/>
      <c r="J3960" s="55"/>
      <c r="K3960" s="55"/>
      <c r="L3960" s="55"/>
      <c r="M3960" s="55"/>
      <c r="N3960" s="55"/>
      <c r="O3960" s="55"/>
      <c r="P3960" s="55"/>
      <c r="Q3960" s="55"/>
      <c r="R3960" s="55"/>
      <c r="S3960" s="55"/>
      <c r="T3960" s="55"/>
      <c r="U3960" s="55"/>
      <c r="V3960" s="55"/>
      <c r="W3960" s="55"/>
      <c r="X3960" s="55"/>
      <c r="Y3960" s="55"/>
      <c r="Z3960" s="55"/>
      <c r="AA3960" s="55"/>
      <c r="AB3960" s="22">
        <f t="shared" si="1212"/>
        <v>0</v>
      </c>
      <c r="AC3960" s="23">
        <v>0</v>
      </c>
      <c r="AD3960" s="56"/>
      <c r="AE3960" s="56"/>
      <c r="AF3960" s="56"/>
      <c r="AG3960" s="56"/>
      <c r="AH3960" s="56">
        <v>17</v>
      </c>
      <c r="AI3960" s="56"/>
      <c r="AJ3960" s="56"/>
      <c r="AK3960" s="56"/>
      <c r="AL3960" s="285">
        <v>1</v>
      </c>
      <c r="AM3960" s="56"/>
      <c r="AN3960" s="56"/>
      <c r="AO3960" s="56"/>
      <c r="AP3960" s="56">
        <v>1</v>
      </c>
      <c r="AQ3960" s="56"/>
      <c r="AR3960" s="56"/>
      <c r="AS3960" s="56"/>
      <c r="AT3960" s="56"/>
      <c r="AU3960" s="56"/>
      <c r="AV3960" s="56"/>
      <c r="AW3960" s="56"/>
      <c r="AX3960" s="56"/>
      <c r="AY3960" s="56"/>
      <c r="AZ3960" s="56"/>
      <c r="BA3960" s="56"/>
      <c r="BB3960" s="22">
        <f t="shared" si="1213"/>
        <v>19</v>
      </c>
      <c r="BC3960" s="23">
        <v>1</v>
      </c>
      <c r="BD3960" s="130">
        <f t="shared" si="1214"/>
        <v>19</v>
      </c>
      <c r="BE3960" s="130">
        <f t="shared" si="1199"/>
        <v>1</v>
      </c>
      <c r="BF3960" s="195">
        <f t="shared" si="1215"/>
        <v>1900</v>
      </c>
      <c r="BG3960" s="373">
        <f t="shared" si="1216"/>
        <v>-18</v>
      </c>
    </row>
    <row r="3961" spans="1:61" s="46" customFormat="1" ht="14.25" customHeight="1">
      <c r="A3961" s="453">
        <v>19</v>
      </c>
      <c r="B3961" s="456" t="s">
        <v>1118</v>
      </c>
      <c r="C3961" s="460" t="s">
        <v>3107</v>
      </c>
      <c r="D3961" s="55"/>
      <c r="E3961" s="55"/>
      <c r="F3961" s="55"/>
      <c r="G3961" s="55"/>
      <c r="H3961" s="55"/>
      <c r="I3961" s="55"/>
      <c r="J3961" s="55"/>
      <c r="K3961" s="55"/>
      <c r="L3961" s="55"/>
      <c r="M3961" s="55"/>
      <c r="N3961" s="55"/>
      <c r="O3961" s="55"/>
      <c r="P3961" s="55"/>
      <c r="Q3961" s="55"/>
      <c r="R3961" s="55"/>
      <c r="S3961" s="55"/>
      <c r="T3961" s="55"/>
      <c r="U3961" s="55"/>
      <c r="V3961" s="55"/>
      <c r="W3961" s="55"/>
      <c r="X3961" s="55"/>
      <c r="Y3961" s="55"/>
      <c r="Z3961" s="55"/>
      <c r="AA3961" s="55"/>
      <c r="AB3961" s="22">
        <f t="shared" si="1212"/>
        <v>0</v>
      </c>
      <c r="AC3961" s="23">
        <v>0</v>
      </c>
      <c r="AD3961" s="56"/>
      <c r="AE3961" s="56"/>
      <c r="AF3961" s="56"/>
      <c r="AG3961" s="56"/>
      <c r="AH3961" s="56"/>
      <c r="AI3961" s="56"/>
      <c r="AJ3961" s="56"/>
      <c r="AK3961" s="56"/>
      <c r="AL3961" s="56"/>
      <c r="AM3961" s="56"/>
      <c r="AN3961" s="56"/>
      <c r="AO3961" s="56"/>
      <c r="AP3961" s="56"/>
      <c r="AQ3961" s="56"/>
      <c r="AR3961" s="56"/>
      <c r="AS3961" s="56"/>
      <c r="AT3961" s="56"/>
      <c r="AU3961" s="56"/>
      <c r="AV3961" s="56"/>
      <c r="AW3961" s="56"/>
      <c r="AX3961" s="56"/>
      <c r="AY3961" s="56"/>
      <c r="AZ3961" s="56"/>
      <c r="BA3961" s="56"/>
      <c r="BB3961" s="22">
        <f t="shared" si="1213"/>
        <v>0</v>
      </c>
      <c r="BC3961" s="23">
        <v>6</v>
      </c>
      <c r="BD3961" s="130">
        <f t="shared" si="1214"/>
        <v>0</v>
      </c>
      <c r="BE3961" s="130">
        <f t="shared" si="1199"/>
        <v>6</v>
      </c>
      <c r="BF3961" s="195">
        <f t="shared" si="1215"/>
        <v>0</v>
      </c>
      <c r="BG3961" s="373">
        <f t="shared" si="1216"/>
        <v>6</v>
      </c>
    </row>
    <row r="3962" spans="1:61" s="46" customFormat="1" ht="14.25" customHeight="1">
      <c r="A3962" s="453">
        <v>20</v>
      </c>
      <c r="B3962" s="454" t="s">
        <v>1777</v>
      </c>
      <c r="C3962" s="458" t="s">
        <v>1778</v>
      </c>
      <c r="D3962" s="55"/>
      <c r="E3962" s="55"/>
      <c r="F3962" s="55"/>
      <c r="G3962" s="55"/>
      <c r="H3962" s="55"/>
      <c r="I3962" s="55"/>
      <c r="J3962" s="55"/>
      <c r="K3962" s="55"/>
      <c r="L3962" s="55"/>
      <c r="M3962" s="55"/>
      <c r="N3962" s="55"/>
      <c r="O3962" s="55"/>
      <c r="P3962" s="55"/>
      <c r="Q3962" s="55"/>
      <c r="R3962" s="55"/>
      <c r="S3962" s="55"/>
      <c r="T3962" s="55"/>
      <c r="U3962" s="55"/>
      <c r="V3962" s="55"/>
      <c r="W3962" s="55"/>
      <c r="X3962" s="55"/>
      <c r="Y3962" s="55"/>
      <c r="Z3962" s="55"/>
      <c r="AA3962" s="55"/>
      <c r="AB3962" s="22">
        <f t="shared" si="1212"/>
        <v>0</v>
      </c>
      <c r="AC3962" s="23">
        <v>0</v>
      </c>
      <c r="AD3962" s="56"/>
      <c r="AE3962" s="56"/>
      <c r="AF3962" s="56"/>
      <c r="AG3962" s="56"/>
      <c r="AH3962" s="56"/>
      <c r="AI3962" s="56"/>
      <c r="AJ3962" s="56"/>
      <c r="AK3962" s="56"/>
      <c r="AL3962" s="285"/>
      <c r="AM3962" s="56"/>
      <c r="AN3962" s="56"/>
      <c r="AO3962" s="56"/>
      <c r="AP3962" s="56"/>
      <c r="AQ3962" s="56"/>
      <c r="AR3962" s="56"/>
      <c r="AS3962" s="56"/>
      <c r="AT3962" s="56"/>
      <c r="AU3962" s="56"/>
      <c r="AV3962" s="56"/>
      <c r="AW3962" s="56"/>
      <c r="AX3962" s="56"/>
      <c r="AY3962" s="56"/>
      <c r="AZ3962" s="56"/>
      <c r="BA3962" s="56"/>
      <c r="BB3962" s="22">
        <f t="shared" si="1213"/>
        <v>0</v>
      </c>
      <c r="BC3962" s="23">
        <v>1</v>
      </c>
      <c r="BD3962" s="130">
        <f t="shared" si="1214"/>
        <v>0</v>
      </c>
      <c r="BE3962" s="130">
        <f t="shared" si="1199"/>
        <v>1</v>
      </c>
      <c r="BF3962" s="195">
        <f t="shared" si="1215"/>
        <v>0</v>
      </c>
      <c r="BG3962" s="373">
        <f t="shared" si="1216"/>
        <v>1</v>
      </c>
    </row>
    <row r="3963" spans="1:61" s="46" customFormat="1" ht="14.25" customHeight="1">
      <c r="A3963" s="453">
        <v>21</v>
      </c>
      <c r="B3963" s="53" t="s">
        <v>1793</v>
      </c>
      <c r="C3963" s="57" t="s">
        <v>1794</v>
      </c>
      <c r="D3963" s="55"/>
      <c r="E3963" s="55"/>
      <c r="F3963" s="55"/>
      <c r="G3963" s="55"/>
      <c r="H3963" s="55"/>
      <c r="I3963" s="55"/>
      <c r="J3963" s="55"/>
      <c r="K3963" s="55"/>
      <c r="L3963" s="55"/>
      <c r="M3963" s="55"/>
      <c r="N3963" s="55"/>
      <c r="O3963" s="55"/>
      <c r="P3963" s="55"/>
      <c r="Q3963" s="55"/>
      <c r="R3963" s="55"/>
      <c r="S3963" s="55"/>
      <c r="T3963" s="55"/>
      <c r="U3963" s="55"/>
      <c r="V3963" s="55"/>
      <c r="W3963" s="55"/>
      <c r="X3963" s="55"/>
      <c r="Y3963" s="55"/>
      <c r="Z3963" s="55"/>
      <c r="AA3963" s="55"/>
      <c r="AB3963" s="22">
        <f t="shared" si="1212"/>
        <v>0</v>
      </c>
      <c r="AC3963" s="23">
        <v>0</v>
      </c>
      <c r="AD3963" s="56"/>
      <c r="AE3963" s="56"/>
      <c r="AF3963" s="56"/>
      <c r="AG3963" s="56"/>
      <c r="AH3963" s="56"/>
      <c r="AI3963" s="56"/>
      <c r="AJ3963" s="56"/>
      <c r="AK3963" s="56"/>
      <c r="AL3963" s="285">
        <v>1</v>
      </c>
      <c r="AM3963" s="56"/>
      <c r="AN3963" s="56"/>
      <c r="AO3963" s="56"/>
      <c r="AP3963" s="56"/>
      <c r="AQ3963" s="56"/>
      <c r="AR3963" s="56"/>
      <c r="AS3963" s="56"/>
      <c r="AT3963" s="56"/>
      <c r="AU3963" s="56"/>
      <c r="AV3963" s="56"/>
      <c r="AW3963" s="56"/>
      <c r="AX3963" s="56"/>
      <c r="AY3963" s="56"/>
      <c r="AZ3963" s="56"/>
      <c r="BA3963" s="56"/>
      <c r="BB3963" s="22">
        <f t="shared" si="1213"/>
        <v>1</v>
      </c>
      <c r="BC3963" s="23">
        <v>1</v>
      </c>
      <c r="BD3963" s="130">
        <f t="shared" si="1214"/>
        <v>1</v>
      </c>
      <c r="BE3963" s="130">
        <f t="shared" si="1199"/>
        <v>1</v>
      </c>
      <c r="BF3963" s="195">
        <f t="shared" si="1215"/>
        <v>100</v>
      </c>
      <c r="BG3963" s="373">
        <f t="shared" si="1216"/>
        <v>0</v>
      </c>
    </row>
    <row r="3964" spans="1:61" s="46" customFormat="1" ht="14.25" customHeight="1">
      <c r="A3964" s="453">
        <v>22</v>
      </c>
      <c r="B3964" s="53" t="s">
        <v>1665</v>
      </c>
      <c r="C3964" s="54" t="s">
        <v>1666</v>
      </c>
      <c r="D3964" s="55"/>
      <c r="E3964" s="55"/>
      <c r="F3964" s="55"/>
      <c r="G3964" s="55"/>
      <c r="H3964" s="55"/>
      <c r="I3964" s="55"/>
      <c r="J3964" s="55"/>
      <c r="K3964" s="55"/>
      <c r="L3964" s="55"/>
      <c r="M3964" s="55"/>
      <c r="N3964" s="55"/>
      <c r="O3964" s="55"/>
      <c r="P3964" s="55"/>
      <c r="Q3964" s="55"/>
      <c r="R3964" s="55"/>
      <c r="S3964" s="55"/>
      <c r="T3964" s="55"/>
      <c r="U3964" s="55"/>
      <c r="V3964" s="55"/>
      <c r="W3964" s="55"/>
      <c r="X3964" s="55"/>
      <c r="Y3964" s="55"/>
      <c r="Z3964" s="55"/>
      <c r="AA3964" s="55"/>
      <c r="AB3964" s="22">
        <f t="shared" si="1212"/>
        <v>0</v>
      </c>
      <c r="AC3964" s="23">
        <v>0</v>
      </c>
      <c r="AD3964" s="56">
        <f>261+10</f>
        <v>271</v>
      </c>
      <c r="AE3964" s="56"/>
      <c r="AF3964" s="56"/>
      <c r="AG3964" s="56"/>
      <c r="AH3964" s="56">
        <f>106+1+35</f>
        <v>142</v>
      </c>
      <c r="AI3964" s="56"/>
      <c r="AJ3964" s="56"/>
      <c r="AK3964" s="56"/>
      <c r="AL3964" s="285">
        <f>77+5+121</f>
        <v>203</v>
      </c>
      <c r="AM3964" s="56"/>
      <c r="AN3964" s="56"/>
      <c r="AO3964" s="56"/>
      <c r="AP3964" s="56">
        <v>9</v>
      </c>
      <c r="AQ3964" s="56"/>
      <c r="AR3964" s="56"/>
      <c r="AS3964" s="56"/>
      <c r="AT3964" s="56"/>
      <c r="AU3964" s="56"/>
      <c r="AV3964" s="56"/>
      <c r="AW3964" s="56"/>
      <c r="AX3964" s="56"/>
      <c r="AY3964" s="56"/>
      <c r="AZ3964" s="56"/>
      <c r="BA3964" s="56"/>
      <c r="BB3964" s="22">
        <f t="shared" si="1213"/>
        <v>625</v>
      </c>
      <c r="BC3964" s="23">
        <v>418</v>
      </c>
      <c r="BD3964" s="130">
        <f t="shared" si="1214"/>
        <v>625</v>
      </c>
      <c r="BE3964" s="130">
        <f t="shared" si="1199"/>
        <v>418</v>
      </c>
      <c r="BF3964" s="195">
        <f t="shared" si="1215"/>
        <v>149.52153110047848</v>
      </c>
      <c r="BG3964" s="373">
        <f t="shared" si="1216"/>
        <v>-207</v>
      </c>
    </row>
    <row r="3965" spans="1:61" s="46" customFormat="1" ht="14.25" customHeight="1">
      <c r="A3965" s="453">
        <v>23</v>
      </c>
      <c r="B3965" s="53" t="s">
        <v>1767</v>
      </c>
      <c r="C3965" s="54" t="s">
        <v>1779</v>
      </c>
      <c r="D3965" s="55"/>
      <c r="E3965" s="55"/>
      <c r="F3965" s="55"/>
      <c r="G3965" s="55"/>
      <c r="H3965" s="55"/>
      <c r="I3965" s="55"/>
      <c r="J3965" s="55"/>
      <c r="K3965" s="55"/>
      <c r="L3965" s="55"/>
      <c r="M3965" s="55"/>
      <c r="N3965" s="55"/>
      <c r="O3965" s="55"/>
      <c r="P3965" s="55"/>
      <c r="Q3965" s="55"/>
      <c r="R3965" s="55"/>
      <c r="S3965" s="55"/>
      <c r="T3965" s="55"/>
      <c r="U3965" s="55"/>
      <c r="V3965" s="55"/>
      <c r="W3965" s="55"/>
      <c r="X3965" s="55"/>
      <c r="Y3965" s="55"/>
      <c r="Z3965" s="55"/>
      <c r="AA3965" s="55"/>
      <c r="AB3965" s="22">
        <f t="shared" si="1212"/>
        <v>0</v>
      </c>
      <c r="AC3965" s="23">
        <v>0</v>
      </c>
      <c r="AD3965" s="56">
        <f>517+45</f>
        <v>562</v>
      </c>
      <c r="AE3965" s="56"/>
      <c r="AF3965" s="56"/>
      <c r="AG3965" s="56"/>
      <c r="AH3965" s="56">
        <f>472+40+49</f>
        <v>561</v>
      </c>
      <c r="AI3965" s="56"/>
      <c r="AJ3965" s="56"/>
      <c r="AK3965" s="56"/>
      <c r="AL3965" s="285">
        <f>232+52+352</f>
        <v>636</v>
      </c>
      <c r="AM3965" s="56"/>
      <c r="AN3965" s="56"/>
      <c r="AO3965" s="56"/>
      <c r="AP3965" s="56">
        <v>178</v>
      </c>
      <c r="AQ3965" s="56"/>
      <c r="AR3965" s="56"/>
      <c r="AS3965" s="56"/>
      <c r="AT3965" s="56"/>
      <c r="AU3965" s="56"/>
      <c r="AV3965" s="56"/>
      <c r="AW3965" s="56"/>
      <c r="AX3965" s="56"/>
      <c r="AY3965" s="56"/>
      <c r="AZ3965" s="56"/>
      <c r="BA3965" s="56"/>
      <c r="BB3965" s="22">
        <f t="shared" si="1213"/>
        <v>1937</v>
      </c>
      <c r="BC3965" s="23">
        <v>683</v>
      </c>
      <c r="BD3965" s="130">
        <f t="shared" si="1214"/>
        <v>1937</v>
      </c>
      <c r="BE3965" s="130">
        <f t="shared" si="1199"/>
        <v>683</v>
      </c>
      <c r="BF3965" s="195">
        <f t="shared" si="1215"/>
        <v>283.60175695461203</v>
      </c>
      <c r="BG3965" s="373">
        <f t="shared" si="1216"/>
        <v>-1254</v>
      </c>
    </row>
    <row r="3966" spans="1:61" s="46" customFormat="1" ht="14.25" customHeight="1">
      <c r="A3966" s="453">
        <v>24</v>
      </c>
      <c r="B3966" s="53" t="s">
        <v>1771</v>
      </c>
      <c r="C3966" s="57" t="s">
        <v>1772</v>
      </c>
      <c r="D3966" s="55"/>
      <c r="E3966" s="55"/>
      <c r="F3966" s="55"/>
      <c r="G3966" s="55"/>
      <c r="H3966" s="55"/>
      <c r="I3966" s="55"/>
      <c r="J3966" s="55"/>
      <c r="K3966" s="55"/>
      <c r="L3966" s="55"/>
      <c r="M3966" s="55"/>
      <c r="N3966" s="55"/>
      <c r="O3966" s="55"/>
      <c r="P3966" s="55"/>
      <c r="Q3966" s="55"/>
      <c r="R3966" s="55"/>
      <c r="S3966" s="55"/>
      <c r="T3966" s="55"/>
      <c r="U3966" s="55"/>
      <c r="V3966" s="55"/>
      <c r="W3966" s="55"/>
      <c r="X3966" s="55"/>
      <c r="Y3966" s="55"/>
      <c r="Z3966" s="55"/>
      <c r="AA3966" s="55"/>
      <c r="AB3966" s="22">
        <f t="shared" si="1212"/>
        <v>0</v>
      </c>
      <c r="AC3966" s="23">
        <v>0</v>
      </c>
      <c r="AD3966" s="56"/>
      <c r="AE3966" s="56"/>
      <c r="AF3966" s="56"/>
      <c r="AG3966" s="56"/>
      <c r="AH3966" s="56">
        <f>16+1+15</f>
        <v>32</v>
      </c>
      <c r="AI3966" s="56"/>
      <c r="AJ3966" s="56"/>
      <c r="AK3966" s="56"/>
      <c r="AL3966" s="285">
        <v>117</v>
      </c>
      <c r="AM3966" s="56"/>
      <c r="AN3966" s="56"/>
      <c r="AO3966" s="56"/>
      <c r="AP3966" s="56">
        <v>148</v>
      </c>
      <c r="AQ3966" s="56"/>
      <c r="AR3966" s="56"/>
      <c r="AS3966" s="56"/>
      <c r="AT3966" s="56"/>
      <c r="AU3966" s="56"/>
      <c r="AV3966" s="56"/>
      <c r="AW3966" s="56"/>
      <c r="AX3966" s="56"/>
      <c r="AY3966" s="56"/>
      <c r="AZ3966" s="56"/>
      <c r="BA3966" s="56"/>
      <c r="BB3966" s="22">
        <f t="shared" si="1213"/>
        <v>297</v>
      </c>
      <c r="BC3966" s="23">
        <v>534</v>
      </c>
      <c r="BD3966" s="130">
        <f t="shared" si="1214"/>
        <v>297</v>
      </c>
      <c r="BE3966" s="130">
        <f t="shared" si="1199"/>
        <v>534</v>
      </c>
      <c r="BF3966" s="195">
        <f t="shared" si="1215"/>
        <v>55.617977528089888</v>
      </c>
      <c r="BG3966" s="373">
        <f t="shared" si="1216"/>
        <v>237</v>
      </c>
    </row>
    <row r="3967" spans="1:61" s="46" customFormat="1" ht="14.25" customHeight="1">
      <c r="A3967" s="453">
        <v>25</v>
      </c>
      <c r="B3967" s="53" t="s">
        <v>1795</v>
      </c>
      <c r="C3967" s="54" t="s">
        <v>1796</v>
      </c>
      <c r="D3967" s="55"/>
      <c r="E3967" s="55"/>
      <c r="F3967" s="55"/>
      <c r="G3967" s="55"/>
      <c r="H3967" s="55"/>
      <c r="I3967" s="55"/>
      <c r="J3967" s="55"/>
      <c r="K3967" s="55"/>
      <c r="L3967" s="55"/>
      <c r="M3967" s="55"/>
      <c r="N3967" s="55"/>
      <c r="O3967" s="55"/>
      <c r="P3967" s="55"/>
      <c r="Q3967" s="55"/>
      <c r="R3967" s="55"/>
      <c r="S3967" s="55"/>
      <c r="T3967" s="55"/>
      <c r="U3967" s="55"/>
      <c r="V3967" s="55"/>
      <c r="W3967" s="55"/>
      <c r="X3967" s="55"/>
      <c r="Y3967" s="55"/>
      <c r="Z3967" s="55"/>
      <c r="AA3967" s="55"/>
      <c r="AB3967" s="22">
        <f t="shared" si="1212"/>
        <v>0</v>
      </c>
      <c r="AC3967" s="23">
        <v>0</v>
      </c>
      <c r="AD3967" s="56">
        <v>3</v>
      </c>
      <c r="AE3967" s="56"/>
      <c r="AF3967" s="56"/>
      <c r="AG3967" s="56"/>
      <c r="AH3967" s="56">
        <v>5</v>
      </c>
      <c r="AI3967" s="56"/>
      <c r="AJ3967" s="56"/>
      <c r="AK3967" s="56"/>
      <c r="AL3967" s="56">
        <f>5+11</f>
        <v>16</v>
      </c>
      <c r="AM3967" s="56"/>
      <c r="AN3967" s="56"/>
      <c r="AO3967" s="56"/>
      <c r="AP3967" s="56"/>
      <c r="AQ3967" s="56"/>
      <c r="AR3967" s="56"/>
      <c r="AS3967" s="56"/>
      <c r="AT3967" s="56"/>
      <c r="AU3967" s="56"/>
      <c r="AV3967" s="56"/>
      <c r="AW3967" s="56"/>
      <c r="AX3967" s="56"/>
      <c r="AY3967" s="56"/>
      <c r="AZ3967" s="56"/>
      <c r="BA3967" s="56"/>
      <c r="BB3967" s="22">
        <f t="shared" si="1213"/>
        <v>24</v>
      </c>
      <c r="BC3967" s="23">
        <v>46</v>
      </c>
      <c r="BD3967" s="130">
        <f t="shared" si="1214"/>
        <v>24</v>
      </c>
      <c r="BE3967" s="130">
        <f t="shared" si="1199"/>
        <v>46</v>
      </c>
      <c r="BF3967" s="195">
        <f t="shared" si="1215"/>
        <v>52.173913043478258</v>
      </c>
      <c r="BG3967" s="373">
        <f t="shared" si="1216"/>
        <v>22</v>
      </c>
    </row>
    <row r="3968" spans="1:61" s="46" customFormat="1" ht="14.25" customHeight="1">
      <c r="A3968" s="453">
        <v>26</v>
      </c>
      <c r="B3968" s="454" t="s">
        <v>1773</v>
      </c>
      <c r="C3968" s="455" t="s">
        <v>1797</v>
      </c>
      <c r="D3968" s="55"/>
      <c r="E3968" s="55"/>
      <c r="F3968" s="55"/>
      <c r="G3968" s="55"/>
      <c r="H3968" s="55"/>
      <c r="I3968" s="55"/>
      <c r="J3968" s="55"/>
      <c r="K3968" s="55"/>
      <c r="L3968" s="55"/>
      <c r="M3968" s="55"/>
      <c r="N3968" s="55"/>
      <c r="O3968" s="55"/>
      <c r="P3968" s="55"/>
      <c r="Q3968" s="55"/>
      <c r="R3968" s="55"/>
      <c r="S3968" s="55"/>
      <c r="T3968" s="55"/>
      <c r="U3968" s="55"/>
      <c r="V3968" s="55"/>
      <c r="W3968" s="55"/>
      <c r="X3968" s="55"/>
      <c r="Y3968" s="55"/>
      <c r="Z3968" s="55"/>
      <c r="AA3968" s="55"/>
      <c r="AB3968" s="22">
        <f t="shared" si="1212"/>
        <v>0</v>
      </c>
      <c r="AC3968" s="23">
        <v>0</v>
      </c>
      <c r="AD3968" s="56"/>
      <c r="AE3968" s="56"/>
      <c r="AF3968" s="56"/>
      <c r="AG3968" s="56"/>
      <c r="AH3968" s="56"/>
      <c r="AI3968" s="56"/>
      <c r="AJ3968" s="56"/>
      <c r="AK3968" s="56"/>
      <c r="AL3968" s="285"/>
      <c r="AM3968" s="56"/>
      <c r="AN3968" s="56"/>
      <c r="AO3968" s="56"/>
      <c r="AP3968" s="56"/>
      <c r="AQ3968" s="56"/>
      <c r="AR3968" s="56"/>
      <c r="AS3968" s="56"/>
      <c r="AT3968" s="56"/>
      <c r="AU3968" s="56"/>
      <c r="AV3968" s="56"/>
      <c r="AW3968" s="56"/>
      <c r="AX3968" s="56"/>
      <c r="AY3968" s="56"/>
      <c r="AZ3968" s="56"/>
      <c r="BA3968" s="56"/>
      <c r="BB3968" s="22">
        <f t="shared" si="1213"/>
        <v>0</v>
      </c>
      <c r="BC3968" s="23">
        <v>200</v>
      </c>
      <c r="BD3968" s="130">
        <f t="shared" si="1214"/>
        <v>0</v>
      </c>
      <c r="BE3968" s="130">
        <f t="shared" si="1199"/>
        <v>200</v>
      </c>
      <c r="BF3968" s="195">
        <f t="shared" si="1215"/>
        <v>0</v>
      </c>
      <c r="BG3968" s="373">
        <f t="shared" si="1216"/>
        <v>200</v>
      </c>
    </row>
    <row r="3969" spans="1:61" s="46" customFormat="1" ht="14.25" customHeight="1">
      <c r="A3969" s="648" t="s">
        <v>1780</v>
      </c>
      <c r="B3969" s="649"/>
      <c r="C3969" s="649"/>
      <c r="D3969" s="52">
        <f t="shared" ref="D3969:AI3969" si="1217">SUM(D3970:D3986)</f>
        <v>0</v>
      </c>
      <c r="E3969" s="52">
        <f t="shared" si="1217"/>
        <v>0</v>
      </c>
      <c r="F3969" s="52">
        <f t="shared" si="1217"/>
        <v>0</v>
      </c>
      <c r="G3969" s="52">
        <f t="shared" si="1217"/>
        <v>0</v>
      </c>
      <c r="H3969" s="52">
        <f t="shared" si="1217"/>
        <v>1</v>
      </c>
      <c r="I3969" s="52">
        <f t="shared" si="1217"/>
        <v>0</v>
      </c>
      <c r="J3969" s="52">
        <f t="shared" si="1217"/>
        <v>0</v>
      </c>
      <c r="K3969" s="52">
        <f t="shared" si="1217"/>
        <v>0</v>
      </c>
      <c r="L3969" s="52">
        <f t="shared" si="1217"/>
        <v>181</v>
      </c>
      <c r="M3969" s="52">
        <f t="shared" si="1217"/>
        <v>0</v>
      </c>
      <c r="N3969" s="52">
        <f t="shared" si="1217"/>
        <v>0</v>
      </c>
      <c r="O3969" s="52">
        <f t="shared" si="1217"/>
        <v>0</v>
      </c>
      <c r="P3969" s="52">
        <f t="shared" si="1217"/>
        <v>115</v>
      </c>
      <c r="Q3969" s="52">
        <f t="shared" si="1217"/>
        <v>0</v>
      </c>
      <c r="R3969" s="52">
        <f t="shared" si="1217"/>
        <v>0</v>
      </c>
      <c r="S3969" s="52">
        <f t="shared" si="1217"/>
        <v>0</v>
      </c>
      <c r="T3969" s="52">
        <f t="shared" si="1217"/>
        <v>0</v>
      </c>
      <c r="U3969" s="52">
        <f t="shared" si="1217"/>
        <v>0</v>
      </c>
      <c r="V3969" s="52">
        <f t="shared" si="1217"/>
        <v>0</v>
      </c>
      <c r="W3969" s="52">
        <f t="shared" si="1217"/>
        <v>0</v>
      </c>
      <c r="X3969" s="52">
        <f t="shared" si="1217"/>
        <v>0</v>
      </c>
      <c r="Y3969" s="52">
        <f t="shared" si="1217"/>
        <v>0</v>
      </c>
      <c r="Z3969" s="52">
        <f t="shared" si="1217"/>
        <v>0</v>
      </c>
      <c r="AA3969" s="52">
        <f t="shared" si="1217"/>
        <v>0</v>
      </c>
      <c r="AB3969" s="52">
        <f t="shared" si="1217"/>
        <v>297</v>
      </c>
      <c r="AC3969" s="127">
        <f t="shared" si="1217"/>
        <v>728</v>
      </c>
      <c r="AD3969" s="52">
        <f t="shared" si="1217"/>
        <v>0</v>
      </c>
      <c r="AE3969" s="52">
        <f t="shared" si="1217"/>
        <v>0</v>
      </c>
      <c r="AF3969" s="52">
        <f t="shared" si="1217"/>
        <v>0</v>
      </c>
      <c r="AG3969" s="52">
        <f t="shared" si="1217"/>
        <v>0</v>
      </c>
      <c r="AH3969" s="52">
        <f t="shared" si="1217"/>
        <v>0</v>
      </c>
      <c r="AI3969" s="52">
        <f t="shared" si="1217"/>
        <v>0</v>
      </c>
      <c r="AJ3969" s="52">
        <f t="shared" ref="AJ3969:BC3969" si="1218">SUM(AJ3970:AJ3986)</f>
        <v>0</v>
      </c>
      <c r="AK3969" s="52">
        <f t="shared" si="1218"/>
        <v>0</v>
      </c>
      <c r="AL3969" s="52">
        <f t="shared" si="1218"/>
        <v>164</v>
      </c>
      <c r="AM3969" s="52">
        <f t="shared" si="1218"/>
        <v>0</v>
      </c>
      <c r="AN3969" s="52">
        <f t="shared" si="1218"/>
        <v>0</v>
      </c>
      <c r="AO3969" s="52">
        <f t="shared" si="1218"/>
        <v>0</v>
      </c>
      <c r="AP3969" s="52">
        <f t="shared" si="1218"/>
        <v>0</v>
      </c>
      <c r="AQ3969" s="52">
        <f t="shared" si="1218"/>
        <v>0</v>
      </c>
      <c r="AR3969" s="52">
        <f t="shared" si="1218"/>
        <v>0</v>
      </c>
      <c r="AS3969" s="52">
        <f t="shared" si="1218"/>
        <v>0</v>
      </c>
      <c r="AT3969" s="52">
        <f t="shared" si="1218"/>
        <v>0</v>
      </c>
      <c r="AU3969" s="52">
        <f t="shared" si="1218"/>
        <v>0</v>
      </c>
      <c r="AV3969" s="52">
        <f t="shared" si="1218"/>
        <v>0</v>
      </c>
      <c r="AW3969" s="52">
        <f t="shared" si="1218"/>
        <v>0</v>
      </c>
      <c r="AX3969" s="52">
        <f t="shared" si="1218"/>
        <v>0</v>
      </c>
      <c r="AY3969" s="52">
        <f t="shared" si="1218"/>
        <v>0</v>
      </c>
      <c r="AZ3969" s="52">
        <f t="shared" si="1218"/>
        <v>0</v>
      </c>
      <c r="BA3969" s="52">
        <f t="shared" si="1218"/>
        <v>0</v>
      </c>
      <c r="BB3969" s="52">
        <f t="shared" si="1218"/>
        <v>164</v>
      </c>
      <c r="BC3969" s="127">
        <f t="shared" si="1218"/>
        <v>769</v>
      </c>
      <c r="BD3969" s="130">
        <f t="shared" si="1198"/>
        <v>461</v>
      </c>
      <c r="BE3969" s="130">
        <f t="shared" si="1199"/>
        <v>1497</v>
      </c>
      <c r="BF3969" s="195">
        <f t="shared" ref="BF3969:BF4004" si="1219">BD3969/BE3969*100</f>
        <v>30.794923179692717</v>
      </c>
      <c r="BG3969" s="375">
        <f t="shared" ref="BG3969:BG3987" si="1220">BE3969-BD3969</f>
        <v>1036</v>
      </c>
    </row>
    <row r="3970" spans="1:61" s="46" customFormat="1" ht="21" customHeight="1">
      <c r="A3970" s="417">
        <v>1</v>
      </c>
      <c r="B3970" s="430">
        <v>600011</v>
      </c>
      <c r="C3970" s="422" t="s">
        <v>1789</v>
      </c>
      <c r="D3970" s="60"/>
      <c r="E3970" s="60"/>
      <c r="F3970" s="60"/>
      <c r="G3970" s="60"/>
      <c r="H3970" s="60"/>
      <c r="I3970" s="60"/>
      <c r="J3970" s="60"/>
      <c r="K3970" s="60"/>
      <c r="L3970" s="60">
        <v>2</v>
      </c>
      <c r="M3970" s="60"/>
      <c r="N3970" s="60"/>
      <c r="O3970" s="60"/>
      <c r="P3970" s="60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  <c r="AA3970" s="60"/>
      <c r="AB3970" s="22">
        <f t="shared" ref="AB3970:AB3986" si="1221">SUM(D3970:AA3970)</f>
        <v>2</v>
      </c>
      <c r="AC3970" s="23">
        <v>0</v>
      </c>
      <c r="AD3970" s="56"/>
      <c r="AE3970" s="56"/>
      <c r="AF3970" s="56"/>
      <c r="AG3970" s="56"/>
      <c r="AH3970" s="56"/>
      <c r="AI3970" s="56"/>
      <c r="AJ3970" s="56"/>
      <c r="AK3970" s="56"/>
      <c r="AL3970" s="56"/>
      <c r="AM3970" s="56"/>
      <c r="AN3970" s="56"/>
      <c r="AO3970" s="56"/>
      <c r="AP3970" s="56"/>
      <c r="AQ3970" s="56"/>
      <c r="AR3970" s="56"/>
      <c r="AS3970" s="56"/>
      <c r="AT3970" s="56"/>
      <c r="AU3970" s="56"/>
      <c r="AV3970" s="56"/>
      <c r="AW3970" s="56"/>
      <c r="AX3970" s="56"/>
      <c r="AY3970" s="56"/>
      <c r="AZ3970" s="56"/>
      <c r="BA3970" s="56"/>
      <c r="BB3970" s="22">
        <f t="shared" ref="BB3970:BB3986" si="1222">SUM(AD3970:BA3970)</f>
        <v>0</v>
      </c>
      <c r="BC3970" s="23">
        <v>0</v>
      </c>
      <c r="BD3970" s="130">
        <f t="shared" ref="BD3970" si="1223">AB3970+BB3970</f>
        <v>2</v>
      </c>
      <c r="BE3970" s="130">
        <f t="shared" ref="BE3970" si="1224">AC3970+BC3970</f>
        <v>0</v>
      </c>
      <c r="BF3970" s="195" t="e">
        <f t="shared" ref="BF3970" si="1225">BD3970/BE3970*100</f>
        <v>#DIV/0!</v>
      </c>
      <c r="BG3970" s="373"/>
      <c r="BH3970" s="426"/>
      <c r="BI3970" s="421"/>
    </row>
    <row r="3971" spans="1:61" s="46" customFormat="1" ht="21" customHeight="1">
      <c r="A3971" s="417">
        <v>2</v>
      </c>
      <c r="B3971" s="418" t="s">
        <v>1743</v>
      </c>
      <c r="C3971" s="419" t="s">
        <v>1744</v>
      </c>
      <c r="D3971" s="55"/>
      <c r="E3971" s="55"/>
      <c r="F3971" s="55"/>
      <c r="G3971" s="55"/>
      <c r="H3971" s="55"/>
      <c r="I3971" s="55"/>
      <c r="J3971" s="55"/>
      <c r="K3971" s="55"/>
      <c r="L3971" s="55">
        <v>10</v>
      </c>
      <c r="M3971" s="55"/>
      <c r="N3971" s="55"/>
      <c r="O3971" s="55"/>
      <c r="P3971" s="55">
        <v>3</v>
      </c>
      <c r="Q3971" s="55"/>
      <c r="R3971" s="55"/>
      <c r="S3971" s="55"/>
      <c r="T3971" s="55"/>
      <c r="U3971" s="55"/>
      <c r="V3971" s="55"/>
      <c r="W3971" s="55"/>
      <c r="X3971" s="55"/>
      <c r="Y3971" s="55"/>
      <c r="Z3971" s="55"/>
      <c r="AA3971" s="55"/>
      <c r="AB3971" s="22">
        <f t="shared" si="1221"/>
        <v>13</v>
      </c>
      <c r="AC3971" s="23">
        <f>25+109</f>
        <v>134</v>
      </c>
      <c r="AD3971" s="56"/>
      <c r="AE3971" s="56"/>
      <c r="AF3971" s="56"/>
      <c r="AG3971" s="56"/>
      <c r="AH3971" s="56"/>
      <c r="AI3971" s="56"/>
      <c r="AJ3971" s="56"/>
      <c r="AK3971" s="56"/>
      <c r="AL3971" s="56"/>
      <c r="AM3971" s="56"/>
      <c r="AN3971" s="56"/>
      <c r="AO3971" s="56"/>
      <c r="AP3971" s="56"/>
      <c r="AQ3971" s="56"/>
      <c r="AR3971" s="56"/>
      <c r="AS3971" s="56"/>
      <c r="AT3971" s="56"/>
      <c r="AU3971" s="56"/>
      <c r="AV3971" s="56"/>
      <c r="AW3971" s="56"/>
      <c r="AX3971" s="56"/>
      <c r="AY3971" s="56"/>
      <c r="AZ3971" s="56"/>
      <c r="BA3971" s="56"/>
      <c r="BB3971" s="22">
        <f t="shared" si="1222"/>
        <v>0</v>
      </c>
      <c r="BC3971" s="23">
        <v>0</v>
      </c>
      <c r="BD3971" s="130">
        <f t="shared" ref="BD3971:BD3986" si="1226">AB3971+BB3971</f>
        <v>13</v>
      </c>
      <c r="BE3971" s="130">
        <f t="shared" ref="BE3971:BE3986" si="1227">AC3971+BC3971</f>
        <v>134</v>
      </c>
      <c r="BF3971" s="195">
        <f t="shared" ref="BF3971:BF3986" si="1228">BD3971/BE3971*100</f>
        <v>9.7014925373134329</v>
      </c>
      <c r="BG3971" s="373">
        <f t="shared" ref="BG3971:BG3986" si="1229">BE3971-BD3971</f>
        <v>121</v>
      </c>
      <c r="BH3971" s="426" t="s">
        <v>3675</v>
      </c>
      <c r="BI3971" s="420"/>
    </row>
    <row r="3972" spans="1:61" s="46" customFormat="1" ht="21" customHeight="1">
      <c r="A3972" s="417">
        <v>3</v>
      </c>
      <c r="B3972" s="418" t="s">
        <v>1790</v>
      </c>
      <c r="C3972" s="419" t="s">
        <v>1791</v>
      </c>
      <c r="D3972" s="55"/>
      <c r="E3972" s="55"/>
      <c r="F3972" s="55"/>
      <c r="G3972" s="55"/>
      <c r="H3972" s="55"/>
      <c r="I3972" s="55"/>
      <c r="J3972" s="55"/>
      <c r="K3972" s="55"/>
      <c r="L3972" s="55"/>
      <c r="M3972" s="55"/>
      <c r="N3972" s="55"/>
      <c r="O3972" s="55"/>
      <c r="P3972" s="55"/>
      <c r="Q3972" s="55"/>
      <c r="R3972" s="55"/>
      <c r="S3972" s="55"/>
      <c r="T3972" s="55"/>
      <c r="U3972" s="55"/>
      <c r="V3972" s="55"/>
      <c r="W3972" s="55"/>
      <c r="X3972" s="55"/>
      <c r="Y3972" s="55"/>
      <c r="Z3972" s="55"/>
      <c r="AA3972" s="55"/>
      <c r="AB3972" s="22">
        <f t="shared" si="1221"/>
        <v>0</v>
      </c>
      <c r="AC3972" s="23">
        <v>2</v>
      </c>
      <c r="AD3972" s="56"/>
      <c r="AE3972" s="56"/>
      <c r="AF3972" s="56"/>
      <c r="AG3972" s="56"/>
      <c r="AH3972" s="56"/>
      <c r="AI3972" s="56"/>
      <c r="AJ3972" s="56"/>
      <c r="AK3972" s="56"/>
      <c r="AL3972" s="56"/>
      <c r="AM3972" s="56"/>
      <c r="AN3972" s="56"/>
      <c r="AO3972" s="56"/>
      <c r="AP3972" s="56"/>
      <c r="AQ3972" s="56"/>
      <c r="AR3972" s="56"/>
      <c r="AS3972" s="56"/>
      <c r="AT3972" s="56"/>
      <c r="AU3972" s="56"/>
      <c r="AV3972" s="56"/>
      <c r="AW3972" s="56"/>
      <c r="AX3972" s="56"/>
      <c r="AY3972" s="56"/>
      <c r="AZ3972" s="56"/>
      <c r="BA3972" s="56"/>
      <c r="BB3972" s="22">
        <f t="shared" si="1222"/>
        <v>0</v>
      </c>
      <c r="BC3972" s="23">
        <v>0</v>
      </c>
      <c r="BD3972" s="130">
        <f t="shared" si="1226"/>
        <v>0</v>
      </c>
      <c r="BE3972" s="130">
        <f t="shared" si="1227"/>
        <v>2</v>
      </c>
      <c r="BF3972" s="195">
        <f t="shared" si="1228"/>
        <v>0</v>
      </c>
      <c r="BG3972" s="373">
        <f t="shared" si="1229"/>
        <v>2</v>
      </c>
      <c r="BH3972" s="426" t="s">
        <v>3675</v>
      </c>
      <c r="BI3972" s="420"/>
    </row>
    <row r="3973" spans="1:61" s="46" customFormat="1" ht="21" customHeight="1">
      <c r="A3973" s="417">
        <v>4</v>
      </c>
      <c r="B3973" s="418" t="s">
        <v>1813</v>
      </c>
      <c r="C3973" s="419" t="s">
        <v>2292</v>
      </c>
      <c r="D3973" s="55"/>
      <c r="E3973" s="55"/>
      <c r="F3973" s="55"/>
      <c r="G3973" s="55"/>
      <c r="H3973" s="55"/>
      <c r="I3973" s="55"/>
      <c r="J3973" s="55"/>
      <c r="K3973" s="55"/>
      <c r="L3973" s="55">
        <v>2</v>
      </c>
      <c r="M3973" s="55"/>
      <c r="N3973" s="55"/>
      <c r="O3973" s="55"/>
      <c r="P3973" s="55"/>
      <c r="Q3973" s="55"/>
      <c r="R3973" s="55"/>
      <c r="S3973" s="55"/>
      <c r="T3973" s="55"/>
      <c r="U3973" s="55"/>
      <c r="V3973" s="55"/>
      <c r="W3973" s="55"/>
      <c r="X3973" s="55"/>
      <c r="Y3973" s="55"/>
      <c r="Z3973" s="55"/>
      <c r="AA3973" s="55"/>
      <c r="AB3973" s="22">
        <f t="shared" si="1221"/>
        <v>2</v>
      </c>
      <c r="AC3973" s="23">
        <v>0</v>
      </c>
      <c r="AD3973" s="56"/>
      <c r="AE3973" s="56"/>
      <c r="AF3973" s="56"/>
      <c r="AG3973" s="56"/>
      <c r="AH3973" s="56"/>
      <c r="AI3973" s="56"/>
      <c r="AJ3973" s="56"/>
      <c r="AK3973" s="56"/>
      <c r="AL3973" s="56"/>
      <c r="AM3973" s="56"/>
      <c r="AN3973" s="56"/>
      <c r="AO3973" s="56"/>
      <c r="AP3973" s="56"/>
      <c r="AQ3973" s="56"/>
      <c r="AR3973" s="56"/>
      <c r="AS3973" s="56"/>
      <c r="AT3973" s="56"/>
      <c r="AU3973" s="56"/>
      <c r="AV3973" s="56"/>
      <c r="AW3973" s="56"/>
      <c r="AX3973" s="56"/>
      <c r="AY3973" s="56"/>
      <c r="AZ3973" s="56"/>
      <c r="BA3973" s="56"/>
      <c r="BB3973" s="22">
        <f t="shared" si="1222"/>
        <v>0</v>
      </c>
      <c r="BC3973" s="23">
        <v>0</v>
      </c>
      <c r="BD3973" s="130">
        <f t="shared" ref="BD3973" si="1230">AB3973+BB3973</f>
        <v>2</v>
      </c>
      <c r="BE3973" s="130">
        <f t="shared" ref="BE3973" si="1231">AC3973+BC3973</f>
        <v>0</v>
      </c>
      <c r="BF3973" s="195" t="e">
        <f t="shared" ref="BF3973" si="1232">BD3973/BE3973*100</f>
        <v>#DIV/0!</v>
      </c>
      <c r="BG3973" s="373"/>
      <c r="BH3973" s="426"/>
      <c r="BI3973" s="420"/>
    </row>
    <row r="3974" spans="1:61" s="46" customFormat="1" ht="21" customHeight="1">
      <c r="A3974" s="417">
        <v>5</v>
      </c>
      <c r="B3974" s="430">
        <v>600120</v>
      </c>
      <c r="C3974" s="419" t="s">
        <v>1748</v>
      </c>
      <c r="D3974" s="60"/>
      <c r="E3974" s="60"/>
      <c r="F3974" s="60"/>
      <c r="G3974" s="60"/>
      <c r="H3974" s="60"/>
      <c r="I3974" s="60"/>
      <c r="J3974" s="60"/>
      <c r="K3974" s="60"/>
      <c r="L3974" s="60">
        <v>77</v>
      </c>
      <c r="M3974" s="60"/>
      <c r="N3974" s="60"/>
      <c r="O3974" s="60"/>
      <c r="P3974" s="60">
        <v>33</v>
      </c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0"/>
      <c r="AB3974" s="22">
        <f t="shared" si="1221"/>
        <v>110</v>
      </c>
      <c r="AC3974" s="23">
        <v>260</v>
      </c>
      <c r="AD3974" s="56"/>
      <c r="AE3974" s="56"/>
      <c r="AF3974" s="56"/>
      <c r="AG3974" s="56"/>
      <c r="AH3974" s="56"/>
      <c r="AI3974" s="56"/>
      <c r="AJ3974" s="56"/>
      <c r="AK3974" s="56"/>
      <c r="AL3974" s="56"/>
      <c r="AM3974" s="56"/>
      <c r="AN3974" s="56"/>
      <c r="AO3974" s="56"/>
      <c r="AP3974" s="56"/>
      <c r="AQ3974" s="56"/>
      <c r="AR3974" s="56"/>
      <c r="AS3974" s="56"/>
      <c r="AT3974" s="56"/>
      <c r="AU3974" s="56"/>
      <c r="AV3974" s="56"/>
      <c r="AW3974" s="56"/>
      <c r="AX3974" s="56"/>
      <c r="AY3974" s="56"/>
      <c r="AZ3974" s="56"/>
      <c r="BA3974" s="56"/>
      <c r="BB3974" s="22">
        <f t="shared" si="1222"/>
        <v>0</v>
      </c>
      <c r="BC3974" s="23">
        <v>0</v>
      </c>
      <c r="BD3974" s="130">
        <f t="shared" si="1226"/>
        <v>110</v>
      </c>
      <c r="BE3974" s="130">
        <f t="shared" si="1227"/>
        <v>260</v>
      </c>
      <c r="BF3974" s="195">
        <f t="shared" si="1228"/>
        <v>42.307692307692307</v>
      </c>
      <c r="BG3974" s="373">
        <f t="shared" si="1229"/>
        <v>150</v>
      </c>
      <c r="BH3974" s="426" t="s">
        <v>3675</v>
      </c>
      <c r="BI3974" s="420"/>
    </row>
    <row r="3975" spans="1:61" s="46" customFormat="1" ht="21" customHeight="1">
      <c r="A3975" s="417">
        <v>6</v>
      </c>
      <c r="B3975" s="430">
        <v>600122</v>
      </c>
      <c r="C3975" s="422" t="s">
        <v>1750</v>
      </c>
      <c r="D3975" s="60"/>
      <c r="E3975" s="60"/>
      <c r="F3975" s="60"/>
      <c r="G3975" s="60"/>
      <c r="H3975" s="60"/>
      <c r="I3975" s="60"/>
      <c r="J3975" s="60"/>
      <c r="K3975" s="60"/>
      <c r="L3975" s="60">
        <v>25</v>
      </c>
      <c r="M3975" s="60"/>
      <c r="N3975" s="60"/>
      <c r="O3975" s="60"/>
      <c r="P3975" s="60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  <c r="AA3975" s="60"/>
      <c r="AB3975" s="22">
        <f t="shared" si="1221"/>
        <v>25</v>
      </c>
      <c r="AC3975" s="23">
        <v>91</v>
      </c>
      <c r="AD3975" s="56"/>
      <c r="AE3975" s="56"/>
      <c r="AF3975" s="56"/>
      <c r="AG3975" s="56"/>
      <c r="AH3975" s="56"/>
      <c r="AI3975" s="56"/>
      <c r="AJ3975" s="56"/>
      <c r="AK3975" s="56"/>
      <c r="AL3975" s="56"/>
      <c r="AM3975" s="56"/>
      <c r="AN3975" s="56"/>
      <c r="AO3975" s="56"/>
      <c r="AP3975" s="56"/>
      <c r="AQ3975" s="56"/>
      <c r="AR3975" s="56"/>
      <c r="AS3975" s="56"/>
      <c r="AT3975" s="56"/>
      <c r="AU3975" s="56"/>
      <c r="AV3975" s="56"/>
      <c r="AW3975" s="56"/>
      <c r="AX3975" s="56"/>
      <c r="AY3975" s="56"/>
      <c r="AZ3975" s="56"/>
      <c r="BA3975" s="56"/>
      <c r="BB3975" s="22">
        <f t="shared" si="1222"/>
        <v>0</v>
      </c>
      <c r="BC3975" s="23">
        <v>0</v>
      </c>
      <c r="BD3975" s="130">
        <f t="shared" si="1226"/>
        <v>25</v>
      </c>
      <c r="BE3975" s="130">
        <f t="shared" si="1227"/>
        <v>91</v>
      </c>
      <c r="BF3975" s="195">
        <f t="shared" si="1228"/>
        <v>27.472527472527474</v>
      </c>
      <c r="BG3975" s="373">
        <f t="shared" si="1229"/>
        <v>66</v>
      </c>
      <c r="BH3975" s="426" t="s">
        <v>3675</v>
      </c>
      <c r="BI3975" s="421"/>
    </row>
    <row r="3976" spans="1:61" s="46" customFormat="1" ht="21" customHeight="1">
      <c r="A3976" s="417">
        <v>7</v>
      </c>
      <c r="B3976" s="430">
        <v>600173</v>
      </c>
      <c r="C3976" s="419" t="s">
        <v>1802</v>
      </c>
      <c r="D3976" s="60"/>
      <c r="E3976" s="60"/>
      <c r="F3976" s="60"/>
      <c r="G3976" s="60"/>
      <c r="H3976" s="60"/>
      <c r="I3976" s="60"/>
      <c r="J3976" s="60"/>
      <c r="K3976" s="60"/>
      <c r="L3976" s="60"/>
      <c r="M3976" s="60"/>
      <c r="N3976" s="60"/>
      <c r="O3976" s="60"/>
      <c r="P3976" s="60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  <c r="AA3976" s="60"/>
      <c r="AB3976" s="22">
        <f t="shared" si="1221"/>
        <v>0</v>
      </c>
      <c r="AC3976" s="23">
        <v>14</v>
      </c>
      <c r="AD3976" s="56"/>
      <c r="AE3976" s="56"/>
      <c r="AF3976" s="56"/>
      <c r="AG3976" s="56"/>
      <c r="AH3976" s="56"/>
      <c r="AI3976" s="56"/>
      <c r="AJ3976" s="56"/>
      <c r="AK3976" s="56"/>
      <c r="AL3976" s="56"/>
      <c r="AM3976" s="56"/>
      <c r="AN3976" s="56"/>
      <c r="AO3976" s="56"/>
      <c r="AP3976" s="56"/>
      <c r="AQ3976" s="56"/>
      <c r="AR3976" s="56"/>
      <c r="AS3976" s="56"/>
      <c r="AT3976" s="56"/>
      <c r="AU3976" s="56"/>
      <c r="AV3976" s="56"/>
      <c r="AW3976" s="56"/>
      <c r="AX3976" s="56"/>
      <c r="AY3976" s="56"/>
      <c r="AZ3976" s="56"/>
      <c r="BA3976" s="56"/>
      <c r="BB3976" s="22">
        <f t="shared" si="1222"/>
        <v>0</v>
      </c>
      <c r="BC3976" s="23">
        <v>0</v>
      </c>
      <c r="BD3976" s="130">
        <f t="shared" si="1226"/>
        <v>0</v>
      </c>
      <c r="BE3976" s="130">
        <f t="shared" si="1227"/>
        <v>14</v>
      </c>
      <c r="BF3976" s="195">
        <f t="shared" si="1228"/>
        <v>0</v>
      </c>
      <c r="BG3976" s="373">
        <f t="shared" si="1229"/>
        <v>14</v>
      </c>
      <c r="BH3976" s="426" t="s">
        <v>3675</v>
      </c>
      <c r="BI3976" s="421"/>
    </row>
    <row r="3977" spans="1:61" s="46" customFormat="1" ht="21" customHeight="1">
      <c r="A3977" s="417">
        <v>8</v>
      </c>
      <c r="B3977" s="418" t="s">
        <v>1751</v>
      </c>
      <c r="C3977" s="422" t="s">
        <v>1752</v>
      </c>
      <c r="D3977" s="60"/>
      <c r="E3977" s="60"/>
      <c r="F3977" s="60"/>
      <c r="G3977" s="60"/>
      <c r="H3977" s="60"/>
      <c r="I3977" s="60"/>
      <c r="J3977" s="60"/>
      <c r="K3977" s="60"/>
      <c r="L3977" s="60">
        <v>58</v>
      </c>
      <c r="M3977" s="60"/>
      <c r="N3977" s="60"/>
      <c r="O3977" s="60"/>
      <c r="P3977" s="60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  <c r="AA3977" s="60"/>
      <c r="AB3977" s="22">
        <f t="shared" si="1221"/>
        <v>58</v>
      </c>
      <c r="AC3977" s="23">
        <f>10+15+2</f>
        <v>27</v>
      </c>
      <c r="AD3977" s="56"/>
      <c r="AE3977" s="56"/>
      <c r="AF3977" s="56"/>
      <c r="AG3977" s="56"/>
      <c r="AH3977" s="56"/>
      <c r="AI3977" s="56"/>
      <c r="AJ3977" s="56"/>
      <c r="AK3977" s="56"/>
      <c r="AL3977" s="56"/>
      <c r="AM3977" s="56"/>
      <c r="AN3977" s="56"/>
      <c r="AO3977" s="56"/>
      <c r="AP3977" s="56"/>
      <c r="AQ3977" s="56"/>
      <c r="AR3977" s="56"/>
      <c r="AS3977" s="56"/>
      <c r="AT3977" s="56"/>
      <c r="AU3977" s="56"/>
      <c r="AV3977" s="56"/>
      <c r="AW3977" s="56"/>
      <c r="AX3977" s="56"/>
      <c r="AY3977" s="56"/>
      <c r="AZ3977" s="56"/>
      <c r="BA3977" s="56"/>
      <c r="BB3977" s="22">
        <f t="shared" si="1222"/>
        <v>0</v>
      </c>
      <c r="BC3977" s="23">
        <v>0</v>
      </c>
      <c r="BD3977" s="130">
        <f t="shared" si="1226"/>
        <v>58</v>
      </c>
      <c r="BE3977" s="130">
        <f t="shared" si="1227"/>
        <v>27</v>
      </c>
      <c r="BF3977" s="195">
        <f t="shared" si="1228"/>
        <v>214.81481481481484</v>
      </c>
      <c r="BG3977" s="373">
        <f t="shared" si="1229"/>
        <v>-31</v>
      </c>
      <c r="BH3977" s="426" t="s">
        <v>3675</v>
      </c>
      <c r="BI3977" s="420"/>
    </row>
    <row r="3978" spans="1:61" s="46" customFormat="1" ht="21" customHeight="1">
      <c r="A3978" s="417">
        <v>9</v>
      </c>
      <c r="B3978" s="418" t="s">
        <v>1753</v>
      </c>
      <c r="C3978" s="422" t="s">
        <v>1754</v>
      </c>
      <c r="D3978" s="60"/>
      <c r="E3978" s="60"/>
      <c r="F3978" s="60"/>
      <c r="G3978" s="60"/>
      <c r="H3978" s="60"/>
      <c r="I3978" s="60"/>
      <c r="J3978" s="60"/>
      <c r="K3978" s="60"/>
      <c r="L3978" s="60"/>
      <c r="M3978" s="60"/>
      <c r="N3978" s="60"/>
      <c r="O3978" s="60"/>
      <c r="P3978" s="60">
        <v>19</v>
      </c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  <c r="AA3978" s="60"/>
      <c r="AB3978" s="22">
        <f t="shared" si="1221"/>
        <v>19</v>
      </c>
      <c r="AC3978" s="23">
        <f>23+87</f>
        <v>110</v>
      </c>
      <c r="AD3978" s="56"/>
      <c r="AE3978" s="56"/>
      <c r="AF3978" s="56"/>
      <c r="AG3978" s="56"/>
      <c r="AH3978" s="56"/>
      <c r="AI3978" s="56"/>
      <c r="AJ3978" s="56"/>
      <c r="AK3978" s="56"/>
      <c r="AL3978" s="56"/>
      <c r="AM3978" s="56"/>
      <c r="AN3978" s="56"/>
      <c r="AO3978" s="56"/>
      <c r="AP3978" s="56"/>
      <c r="AQ3978" s="56"/>
      <c r="AR3978" s="56"/>
      <c r="AS3978" s="56"/>
      <c r="AT3978" s="56"/>
      <c r="AU3978" s="56"/>
      <c r="AV3978" s="56"/>
      <c r="AW3978" s="56"/>
      <c r="AX3978" s="56"/>
      <c r="AY3978" s="56"/>
      <c r="AZ3978" s="56"/>
      <c r="BA3978" s="56"/>
      <c r="BB3978" s="22">
        <f t="shared" si="1222"/>
        <v>0</v>
      </c>
      <c r="BC3978" s="23">
        <v>0</v>
      </c>
      <c r="BD3978" s="130">
        <f t="shared" si="1226"/>
        <v>19</v>
      </c>
      <c r="BE3978" s="130">
        <f t="shared" si="1227"/>
        <v>110</v>
      </c>
      <c r="BF3978" s="195">
        <f t="shared" si="1228"/>
        <v>17.272727272727273</v>
      </c>
      <c r="BG3978" s="373">
        <f t="shared" si="1229"/>
        <v>91</v>
      </c>
      <c r="BH3978" s="426" t="s">
        <v>3675</v>
      </c>
      <c r="BI3978" s="420"/>
    </row>
    <row r="3979" spans="1:61" s="46" customFormat="1" ht="21" customHeight="1">
      <c r="A3979" s="417">
        <v>10</v>
      </c>
      <c r="B3979" s="418" t="s">
        <v>1775</v>
      </c>
      <c r="C3979" s="422" t="s">
        <v>1959</v>
      </c>
      <c r="D3979" s="60"/>
      <c r="E3979" s="60"/>
      <c r="F3979" s="60"/>
      <c r="G3979" s="60"/>
      <c r="H3979" s="60"/>
      <c r="I3979" s="60"/>
      <c r="J3979" s="60"/>
      <c r="K3979" s="60"/>
      <c r="L3979" s="60"/>
      <c r="M3979" s="60"/>
      <c r="N3979" s="60"/>
      <c r="O3979" s="60"/>
      <c r="P3979" s="60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  <c r="AA3979" s="60"/>
      <c r="AB3979" s="22">
        <f t="shared" si="1221"/>
        <v>0</v>
      </c>
      <c r="AC3979" s="23">
        <v>16</v>
      </c>
      <c r="AD3979" s="56"/>
      <c r="AE3979" s="56"/>
      <c r="AF3979" s="56"/>
      <c r="AG3979" s="56"/>
      <c r="AH3979" s="56"/>
      <c r="AI3979" s="56"/>
      <c r="AJ3979" s="56"/>
      <c r="AK3979" s="56"/>
      <c r="AL3979" s="56"/>
      <c r="AM3979" s="56"/>
      <c r="AN3979" s="56"/>
      <c r="AO3979" s="56"/>
      <c r="AP3979" s="56"/>
      <c r="AQ3979" s="56"/>
      <c r="AR3979" s="56"/>
      <c r="AS3979" s="56"/>
      <c r="AT3979" s="56"/>
      <c r="AU3979" s="56"/>
      <c r="AV3979" s="56"/>
      <c r="AW3979" s="56"/>
      <c r="AX3979" s="56"/>
      <c r="AY3979" s="56"/>
      <c r="AZ3979" s="56"/>
      <c r="BA3979" s="56"/>
      <c r="BB3979" s="22">
        <f t="shared" si="1222"/>
        <v>0</v>
      </c>
      <c r="BC3979" s="23">
        <v>0</v>
      </c>
      <c r="BD3979" s="130">
        <f t="shared" si="1226"/>
        <v>0</v>
      </c>
      <c r="BE3979" s="130">
        <f t="shared" si="1227"/>
        <v>16</v>
      </c>
      <c r="BF3979" s="195">
        <f t="shared" si="1228"/>
        <v>0</v>
      </c>
      <c r="BG3979" s="373">
        <f t="shared" si="1229"/>
        <v>16</v>
      </c>
      <c r="BH3979" s="426" t="s">
        <v>3675</v>
      </c>
      <c r="BI3979" s="421"/>
    </row>
    <row r="3980" spans="1:61" s="46" customFormat="1" ht="21" customHeight="1">
      <c r="A3980" s="417">
        <v>11</v>
      </c>
      <c r="B3980" s="418" t="s">
        <v>1756</v>
      </c>
      <c r="C3980" s="422" t="s">
        <v>1757</v>
      </c>
      <c r="D3980" s="60"/>
      <c r="E3980" s="60"/>
      <c r="F3980" s="60"/>
      <c r="G3980" s="60"/>
      <c r="H3980" s="60">
        <v>1</v>
      </c>
      <c r="I3980" s="60"/>
      <c r="J3980" s="60"/>
      <c r="K3980" s="60"/>
      <c r="L3980" s="60">
        <v>7</v>
      </c>
      <c r="M3980" s="60"/>
      <c r="N3980" s="60"/>
      <c r="O3980" s="60"/>
      <c r="P3980" s="60">
        <v>3</v>
      </c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  <c r="AA3980" s="60"/>
      <c r="AB3980" s="22">
        <f t="shared" si="1221"/>
        <v>11</v>
      </c>
      <c r="AC3980" s="23">
        <v>74</v>
      </c>
      <c r="AD3980" s="56"/>
      <c r="AE3980" s="56"/>
      <c r="AF3980" s="56"/>
      <c r="AG3980" s="56"/>
      <c r="AH3980" s="56"/>
      <c r="AI3980" s="56"/>
      <c r="AJ3980" s="56"/>
      <c r="AK3980" s="56"/>
      <c r="AL3980" s="56"/>
      <c r="AM3980" s="56"/>
      <c r="AN3980" s="56"/>
      <c r="AO3980" s="56"/>
      <c r="AP3980" s="56"/>
      <c r="AQ3980" s="56"/>
      <c r="AR3980" s="56"/>
      <c r="AS3980" s="56"/>
      <c r="AT3980" s="56"/>
      <c r="AU3980" s="56"/>
      <c r="AV3980" s="56"/>
      <c r="AW3980" s="56"/>
      <c r="AX3980" s="56"/>
      <c r="AY3980" s="56"/>
      <c r="AZ3980" s="56"/>
      <c r="BA3980" s="56"/>
      <c r="BB3980" s="22">
        <f t="shared" si="1222"/>
        <v>0</v>
      </c>
      <c r="BC3980" s="23">
        <v>0</v>
      </c>
      <c r="BD3980" s="130">
        <f t="shared" si="1226"/>
        <v>11</v>
      </c>
      <c r="BE3980" s="130">
        <f t="shared" si="1227"/>
        <v>74</v>
      </c>
      <c r="BF3980" s="195">
        <f t="shared" si="1228"/>
        <v>14.864864864864865</v>
      </c>
      <c r="BG3980" s="373">
        <f t="shared" si="1229"/>
        <v>63</v>
      </c>
      <c r="BH3980" s="426" t="s">
        <v>3675</v>
      </c>
      <c r="BI3980" s="421"/>
    </row>
    <row r="3981" spans="1:61" s="46" customFormat="1" ht="14.25" customHeight="1">
      <c r="A3981" s="181">
        <v>12</v>
      </c>
      <c r="B3981" s="53" t="s">
        <v>1763</v>
      </c>
      <c r="C3981" s="530" t="s">
        <v>1781</v>
      </c>
      <c r="D3981" s="55"/>
      <c r="E3981" s="55"/>
      <c r="F3981" s="55"/>
      <c r="G3981" s="55"/>
      <c r="H3981" s="55"/>
      <c r="I3981" s="55"/>
      <c r="J3981" s="55"/>
      <c r="K3981" s="55"/>
      <c r="L3981" s="55"/>
      <c r="M3981" s="55"/>
      <c r="N3981" s="55"/>
      <c r="O3981" s="55"/>
      <c r="P3981" s="55">
        <v>18</v>
      </c>
      <c r="Q3981" s="55"/>
      <c r="R3981" s="55"/>
      <c r="S3981" s="55"/>
      <c r="T3981" s="55"/>
      <c r="U3981" s="55"/>
      <c r="V3981" s="55"/>
      <c r="W3981" s="55"/>
      <c r="X3981" s="55"/>
      <c r="Y3981" s="55"/>
      <c r="Z3981" s="55"/>
      <c r="AA3981" s="55"/>
      <c r="AB3981" s="22">
        <f t="shared" si="1221"/>
        <v>18</v>
      </c>
      <c r="AC3981" s="23">
        <v>0</v>
      </c>
      <c r="AD3981" s="56"/>
      <c r="AE3981" s="56"/>
      <c r="AF3981" s="56"/>
      <c r="AG3981" s="56"/>
      <c r="AH3981" s="56"/>
      <c r="AI3981" s="56"/>
      <c r="AJ3981" s="56"/>
      <c r="AK3981" s="56"/>
      <c r="AL3981" s="285">
        <v>34</v>
      </c>
      <c r="AM3981" s="56"/>
      <c r="AN3981" s="56"/>
      <c r="AO3981" s="56"/>
      <c r="AP3981" s="56"/>
      <c r="AQ3981" s="56"/>
      <c r="AR3981" s="56"/>
      <c r="AS3981" s="56"/>
      <c r="AT3981" s="56"/>
      <c r="AU3981" s="56"/>
      <c r="AV3981" s="56"/>
      <c r="AW3981" s="56"/>
      <c r="AX3981" s="56"/>
      <c r="AY3981" s="56"/>
      <c r="AZ3981" s="56"/>
      <c r="BA3981" s="56"/>
      <c r="BB3981" s="22">
        <f t="shared" si="1222"/>
        <v>34</v>
      </c>
      <c r="BC3981" s="23">
        <v>245</v>
      </c>
      <c r="BD3981" s="130">
        <f t="shared" si="1226"/>
        <v>52</v>
      </c>
      <c r="BE3981" s="130">
        <f t="shared" si="1227"/>
        <v>245</v>
      </c>
      <c r="BF3981" s="195">
        <f t="shared" si="1228"/>
        <v>21.224489795918366</v>
      </c>
      <c r="BG3981" s="373">
        <f t="shared" si="1229"/>
        <v>193</v>
      </c>
    </row>
    <row r="3982" spans="1:61" s="46" customFormat="1" ht="14.25" customHeight="1">
      <c r="A3982" s="181">
        <v>13</v>
      </c>
      <c r="B3982" s="58" t="s">
        <v>1665</v>
      </c>
      <c r="C3982" s="59" t="s">
        <v>1666</v>
      </c>
      <c r="D3982" s="60"/>
      <c r="E3982" s="60"/>
      <c r="F3982" s="60"/>
      <c r="G3982" s="60"/>
      <c r="H3982" s="60"/>
      <c r="I3982" s="60"/>
      <c r="J3982" s="60"/>
      <c r="K3982" s="60"/>
      <c r="L3982" s="60"/>
      <c r="M3982" s="60"/>
      <c r="N3982" s="60"/>
      <c r="O3982" s="60"/>
      <c r="P3982" s="60">
        <v>7</v>
      </c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  <c r="AA3982" s="60"/>
      <c r="AB3982" s="22">
        <f t="shared" si="1221"/>
        <v>7</v>
      </c>
      <c r="AC3982" s="23">
        <v>0</v>
      </c>
      <c r="AD3982" s="56"/>
      <c r="AE3982" s="56"/>
      <c r="AF3982" s="56"/>
      <c r="AG3982" s="56"/>
      <c r="AH3982" s="56"/>
      <c r="AI3982" s="56"/>
      <c r="AJ3982" s="56"/>
      <c r="AK3982" s="56"/>
      <c r="AL3982" s="56">
        <v>54</v>
      </c>
      <c r="AM3982" s="56"/>
      <c r="AN3982" s="56"/>
      <c r="AO3982" s="56"/>
      <c r="AP3982" s="56"/>
      <c r="AQ3982" s="56"/>
      <c r="AR3982" s="56"/>
      <c r="AS3982" s="56"/>
      <c r="AT3982" s="56"/>
      <c r="AU3982" s="56"/>
      <c r="AV3982" s="56"/>
      <c r="AW3982" s="56"/>
      <c r="AX3982" s="56"/>
      <c r="AY3982" s="56"/>
      <c r="AZ3982" s="56"/>
      <c r="BA3982" s="56"/>
      <c r="BB3982" s="22">
        <f t="shared" si="1222"/>
        <v>54</v>
      </c>
      <c r="BC3982" s="23">
        <v>261</v>
      </c>
      <c r="BD3982" s="130">
        <f t="shared" si="1226"/>
        <v>61</v>
      </c>
      <c r="BE3982" s="130">
        <f t="shared" si="1227"/>
        <v>261</v>
      </c>
      <c r="BF3982" s="195">
        <f t="shared" si="1228"/>
        <v>23.371647509578544</v>
      </c>
      <c r="BG3982" s="373">
        <f t="shared" si="1229"/>
        <v>200</v>
      </c>
    </row>
    <row r="3983" spans="1:61" s="46" customFormat="1" ht="14.25" customHeight="1">
      <c r="A3983" s="181">
        <v>14</v>
      </c>
      <c r="B3983" s="58" t="s">
        <v>1767</v>
      </c>
      <c r="C3983" s="59" t="s">
        <v>1779</v>
      </c>
      <c r="D3983" s="60"/>
      <c r="E3983" s="60"/>
      <c r="F3983" s="60"/>
      <c r="G3983" s="60"/>
      <c r="H3983" s="60"/>
      <c r="I3983" s="60"/>
      <c r="J3983" s="60"/>
      <c r="K3983" s="60"/>
      <c r="L3983" s="60"/>
      <c r="M3983" s="60"/>
      <c r="N3983" s="60"/>
      <c r="O3983" s="60"/>
      <c r="P3983" s="60">
        <v>32</v>
      </c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  <c r="AA3983" s="60"/>
      <c r="AB3983" s="22">
        <f t="shared" si="1221"/>
        <v>32</v>
      </c>
      <c r="AC3983" s="23">
        <v>0</v>
      </c>
      <c r="AD3983" s="56"/>
      <c r="AE3983" s="56"/>
      <c r="AF3983" s="56"/>
      <c r="AG3983" s="56"/>
      <c r="AH3983" s="56"/>
      <c r="AI3983" s="56"/>
      <c r="AJ3983" s="56"/>
      <c r="AK3983" s="56"/>
      <c r="AL3983" s="56">
        <v>73</v>
      </c>
      <c r="AM3983" s="56"/>
      <c r="AN3983" s="56"/>
      <c r="AO3983" s="56"/>
      <c r="AP3983" s="56"/>
      <c r="AQ3983" s="56"/>
      <c r="AR3983" s="56"/>
      <c r="AS3983" s="56"/>
      <c r="AT3983" s="56"/>
      <c r="AU3983" s="56"/>
      <c r="AV3983" s="56"/>
      <c r="AW3983" s="56"/>
      <c r="AX3983" s="56"/>
      <c r="AY3983" s="56"/>
      <c r="AZ3983" s="56"/>
      <c r="BA3983" s="56"/>
      <c r="BB3983" s="22">
        <f t="shared" si="1222"/>
        <v>73</v>
      </c>
      <c r="BC3983" s="23">
        <v>255</v>
      </c>
      <c r="BD3983" s="130">
        <f t="shared" si="1226"/>
        <v>105</v>
      </c>
      <c r="BE3983" s="130">
        <f t="shared" si="1227"/>
        <v>255</v>
      </c>
      <c r="BF3983" s="195">
        <f t="shared" si="1228"/>
        <v>41.17647058823529</v>
      </c>
      <c r="BG3983" s="373">
        <f t="shared" si="1229"/>
        <v>150</v>
      </c>
    </row>
    <row r="3984" spans="1:61" s="46" customFormat="1" ht="14.25" customHeight="1">
      <c r="A3984" s="181">
        <v>15</v>
      </c>
      <c r="B3984" s="58" t="s">
        <v>1795</v>
      </c>
      <c r="C3984" s="59" t="s">
        <v>1796</v>
      </c>
      <c r="D3984" s="60"/>
      <c r="E3984" s="60"/>
      <c r="F3984" s="60"/>
      <c r="G3984" s="60"/>
      <c r="H3984" s="60"/>
      <c r="I3984" s="60"/>
      <c r="J3984" s="60"/>
      <c r="K3984" s="60"/>
      <c r="L3984" s="60"/>
      <c r="M3984" s="60"/>
      <c r="N3984" s="60"/>
      <c r="O3984" s="60"/>
      <c r="P3984" s="60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  <c r="AA3984" s="60"/>
      <c r="AB3984" s="22">
        <f t="shared" si="1221"/>
        <v>0</v>
      </c>
      <c r="AC3984" s="23">
        <v>0</v>
      </c>
      <c r="AD3984" s="56"/>
      <c r="AE3984" s="56"/>
      <c r="AF3984" s="56"/>
      <c r="AG3984" s="56"/>
      <c r="AH3984" s="56"/>
      <c r="AI3984" s="56"/>
      <c r="AJ3984" s="56"/>
      <c r="AK3984" s="56"/>
      <c r="AL3984" s="56">
        <v>1</v>
      </c>
      <c r="AM3984" s="56"/>
      <c r="AN3984" s="56"/>
      <c r="AO3984" s="56"/>
      <c r="AP3984" s="56"/>
      <c r="AQ3984" s="56"/>
      <c r="AR3984" s="56"/>
      <c r="AS3984" s="56"/>
      <c r="AT3984" s="56"/>
      <c r="AU3984" s="56"/>
      <c r="AV3984" s="56"/>
      <c r="AW3984" s="56"/>
      <c r="AX3984" s="56"/>
      <c r="AY3984" s="56"/>
      <c r="AZ3984" s="56"/>
      <c r="BA3984" s="56"/>
      <c r="BB3984" s="22">
        <f t="shared" si="1222"/>
        <v>1</v>
      </c>
      <c r="BC3984" s="23">
        <v>0</v>
      </c>
      <c r="BD3984" s="130">
        <f t="shared" ref="BD3984" si="1233">AB3984+BB3984</f>
        <v>1</v>
      </c>
      <c r="BE3984" s="130">
        <f t="shared" ref="BE3984" si="1234">AC3984+BC3984</f>
        <v>0</v>
      </c>
      <c r="BF3984" s="195" t="e">
        <f t="shared" ref="BF3984" si="1235">BD3984/BE3984*100</f>
        <v>#DIV/0!</v>
      </c>
      <c r="BG3984" s="373"/>
    </row>
    <row r="3985" spans="1:61" s="46" customFormat="1" ht="14.25" customHeight="1">
      <c r="A3985" s="181">
        <v>16</v>
      </c>
      <c r="B3985" s="58" t="s">
        <v>1773</v>
      </c>
      <c r="C3985" s="59" t="s">
        <v>2475</v>
      </c>
      <c r="D3985" s="60"/>
      <c r="E3985" s="60"/>
      <c r="F3985" s="60"/>
      <c r="G3985" s="60"/>
      <c r="H3985" s="60"/>
      <c r="I3985" s="60"/>
      <c r="J3985" s="60"/>
      <c r="K3985" s="60"/>
      <c r="L3985" s="60"/>
      <c r="M3985" s="60"/>
      <c r="N3985" s="60"/>
      <c r="O3985" s="60"/>
      <c r="P3985" s="60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  <c r="AA3985" s="60"/>
      <c r="AB3985" s="22">
        <f t="shared" si="1221"/>
        <v>0</v>
      </c>
      <c r="AC3985" s="23">
        <v>0</v>
      </c>
      <c r="AD3985" s="56"/>
      <c r="AE3985" s="56"/>
      <c r="AF3985" s="56"/>
      <c r="AG3985" s="56"/>
      <c r="AH3985" s="56"/>
      <c r="AI3985" s="56"/>
      <c r="AJ3985" s="56"/>
      <c r="AK3985" s="56"/>
      <c r="AL3985" s="56">
        <v>2</v>
      </c>
      <c r="AM3985" s="56"/>
      <c r="AN3985" s="56"/>
      <c r="AO3985" s="56"/>
      <c r="AP3985" s="56"/>
      <c r="AQ3985" s="56"/>
      <c r="AR3985" s="56"/>
      <c r="AS3985" s="56"/>
      <c r="AT3985" s="56"/>
      <c r="AU3985" s="56"/>
      <c r="AV3985" s="56"/>
      <c r="AW3985" s="56"/>
      <c r="AX3985" s="56"/>
      <c r="AY3985" s="56"/>
      <c r="AZ3985" s="56"/>
      <c r="BA3985" s="56"/>
      <c r="BB3985" s="22">
        <f t="shared" si="1222"/>
        <v>2</v>
      </c>
      <c r="BC3985" s="23">
        <v>0</v>
      </c>
      <c r="BD3985" s="130">
        <f t="shared" ref="BD3985" si="1236">AB3985+BB3985</f>
        <v>2</v>
      </c>
      <c r="BE3985" s="130">
        <f t="shared" ref="BE3985" si="1237">AC3985+BC3985</f>
        <v>0</v>
      </c>
      <c r="BF3985" s="195" t="e">
        <f t="shared" ref="BF3985" si="1238">BD3985/BE3985*100</f>
        <v>#DIV/0!</v>
      </c>
      <c r="BG3985" s="373"/>
    </row>
    <row r="3986" spans="1:61" s="46" customFormat="1" ht="14.25" customHeight="1">
      <c r="A3986" s="181">
        <v>17</v>
      </c>
      <c r="B3986" s="58" t="s">
        <v>1769</v>
      </c>
      <c r="C3986" s="62" t="s">
        <v>1770</v>
      </c>
      <c r="D3986" s="60"/>
      <c r="E3986" s="60"/>
      <c r="F3986" s="60"/>
      <c r="G3986" s="60"/>
      <c r="H3986" s="60"/>
      <c r="I3986" s="60"/>
      <c r="J3986" s="60"/>
      <c r="K3986" s="60"/>
      <c r="L3986" s="60"/>
      <c r="M3986" s="60"/>
      <c r="N3986" s="60"/>
      <c r="O3986" s="60"/>
      <c r="P3986" s="60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  <c r="AA3986" s="60"/>
      <c r="AB3986" s="22">
        <f t="shared" si="1221"/>
        <v>0</v>
      </c>
      <c r="AC3986" s="23">
        <v>0</v>
      </c>
      <c r="AD3986" s="56"/>
      <c r="AE3986" s="56"/>
      <c r="AF3986" s="56"/>
      <c r="AG3986" s="56"/>
      <c r="AH3986" s="56"/>
      <c r="AI3986" s="56"/>
      <c r="AJ3986" s="56"/>
      <c r="AK3986" s="56"/>
      <c r="AL3986" s="56"/>
      <c r="AM3986" s="56"/>
      <c r="AN3986" s="56"/>
      <c r="AO3986" s="56"/>
      <c r="AP3986" s="56"/>
      <c r="AQ3986" s="56"/>
      <c r="AR3986" s="56"/>
      <c r="AS3986" s="56"/>
      <c r="AT3986" s="56"/>
      <c r="AU3986" s="56"/>
      <c r="AV3986" s="56"/>
      <c r="AW3986" s="56"/>
      <c r="AX3986" s="56"/>
      <c r="AY3986" s="56"/>
      <c r="AZ3986" s="56"/>
      <c r="BA3986" s="56"/>
      <c r="BB3986" s="22">
        <f t="shared" si="1222"/>
        <v>0</v>
      </c>
      <c r="BC3986" s="23">
        <v>8</v>
      </c>
      <c r="BD3986" s="130">
        <f t="shared" si="1226"/>
        <v>0</v>
      </c>
      <c r="BE3986" s="130">
        <f t="shared" si="1227"/>
        <v>8</v>
      </c>
      <c r="BF3986" s="195">
        <f t="shared" si="1228"/>
        <v>0</v>
      </c>
      <c r="BG3986" s="373">
        <f t="shared" si="1229"/>
        <v>8</v>
      </c>
    </row>
    <row r="3987" spans="1:61" s="46" customFormat="1" ht="14.25" customHeight="1">
      <c r="A3987" s="662" t="s">
        <v>1782</v>
      </c>
      <c r="B3987" s="663"/>
      <c r="C3987" s="663"/>
      <c r="D3987" s="52">
        <f t="shared" ref="D3987:AI3987" si="1239">SUM(D3988:D4003)</f>
        <v>0</v>
      </c>
      <c r="E3987" s="52">
        <f t="shared" si="1239"/>
        <v>0</v>
      </c>
      <c r="F3987" s="52">
        <f t="shared" si="1239"/>
        <v>0</v>
      </c>
      <c r="G3987" s="52">
        <f t="shared" si="1239"/>
        <v>0</v>
      </c>
      <c r="H3987" s="52">
        <f t="shared" si="1239"/>
        <v>116</v>
      </c>
      <c r="I3987" s="52">
        <f t="shared" si="1239"/>
        <v>0</v>
      </c>
      <c r="J3987" s="52">
        <f t="shared" si="1239"/>
        <v>0</v>
      </c>
      <c r="K3987" s="52">
        <f t="shared" si="1239"/>
        <v>0</v>
      </c>
      <c r="L3987" s="52">
        <f t="shared" si="1239"/>
        <v>235</v>
      </c>
      <c r="M3987" s="52">
        <f t="shared" si="1239"/>
        <v>0</v>
      </c>
      <c r="N3987" s="52">
        <f t="shared" si="1239"/>
        <v>0</v>
      </c>
      <c r="O3987" s="52">
        <f t="shared" si="1239"/>
        <v>0</v>
      </c>
      <c r="P3987" s="52">
        <f t="shared" si="1239"/>
        <v>316</v>
      </c>
      <c r="Q3987" s="52">
        <f t="shared" si="1239"/>
        <v>0</v>
      </c>
      <c r="R3987" s="52">
        <f t="shared" si="1239"/>
        <v>0</v>
      </c>
      <c r="S3987" s="52">
        <f t="shared" si="1239"/>
        <v>0</v>
      </c>
      <c r="T3987" s="52">
        <f t="shared" si="1239"/>
        <v>0</v>
      </c>
      <c r="U3987" s="52">
        <f t="shared" si="1239"/>
        <v>0</v>
      </c>
      <c r="V3987" s="52">
        <f t="shared" si="1239"/>
        <v>0</v>
      </c>
      <c r="W3987" s="52">
        <f t="shared" si="1239"/>
        <v>0</v>
      </c>
      <c r="X3987" s="52">
        <f t="shared" si="1239"/>
        <v>0</v>
      </c>
      <c r="Y3987" s="52">
        <f t="shared" si="1239"/>
        <v>0</v>
      </c>
      <c r="Z3987" s="52">
        <f t="shared" si="1239"/>
        <v>0</v>
      </c>
      <c r="AA3987" s="52">
        <f t="shared" si="1239"/>
        <v>0</v>
      </c>
      <c r="AB3987" s="52">
        <f t="shared" si="1239"/>
        <v>667</v>
      </c>
      <c r="AC3987" s="127">
        <f t="shared" si="1239"/>
        <v>712</v>
      </c>
      <c r="AD3987" s="52">
        <f t="shared" si="1239"/>
        <v>0</v>
      </c>
      <c r="AE3987" s="52">
        <f t="shared" si="1239"/>
        <v>0</v>
      </c>
      <c r="AF3987" s="52">
        <f t="shared" si="1239"/>
        <v>0</v>
      </c>
      <c r="AG3987" s="52">
        <f t="shared" si="1239"/>
        <v>0</v>
      </c>
      <c r="AH3987" s="52">
        <f t="shared" si="1239"/>
        <v>37</v>
      </c>
      <c r="AI3987" s="52">
        <f t="shared" si="1239"/>
        <v>0</v>
      </c>
      <c r="AJ3987" s="52">
        <f t="shared" ref="AJ3987:BC3987" si="1240">SUM(AJ3988:AJ4003)</f>
        <v>0</v>
      </c>
      <c r="AK3987" s="52">
        <f t="shared" si="1240"/>
        <v>0</v>
      </c>
      <c r="AL3987" s="52">
        <f t="shared" si="1240"/>
        <v>82</v>
      </c>
      <c r="AM3987" s="52">
        <f t="shared" si="1240"/>
        <v>0</v>
      </c>
      <c r="AN3987" s="52">
        <f t="shared" si="1240"/>
        <v>0</v>
      </c>
      <c r="AO3987" s="52">
        <f t="shared" si="1240"/>
        <v>0</v>
      </c>
      <c r="AP3987" s="52">
        <f t="shared" si="1240"/>
        <v>88</v>
      </c>
      <c r="AQ3987" s="52">
        <f t="shared" si="1240"/>
        <v>0</v>
      </c>
      <c r="AR3987" s="52">
        <f t="shared" si="1240"/>
        <v>0</v>
      </c>
      <c r="AS3987" s="52">
        <f t="shared" si="1240"/>
        <v>0</v>
      </c>
      <c r="AT3987" s="52">
        <f t="shared" si="1240"/>
        <v>0</v>
      </c>
      <c r="AU3987" s="52">
        <f t="shared" si="1240"/>
        <v>0</v>
      </c>
      <c r="AV3987" s="52">
        <f t="shared" si="1240"/>
        <v>0</v>
      </c>
      <c r="AW3987" s="52">
        <f t="shared" si="1240"/>
        <v>0</v>
      </c>
      <c r="AX3987" s="52">
        <f t="shared" si="1240"/>
        <v>0</v>
      </c>
      <c r="AY3987" s="52">
        <f t="shared" si="1240"/>
        <v>0</v>
      </c>
      <c r="AZ3987" s="52">
        <f t="shared" si="1240"/>
        <v>0</v>
      </c>
      <c r="BA3987" s="52">
        <f t="shared" si="1240"/>
        <v>0</v>
      </c>
      <c r="BB3987" s="52">
        <f t="shared" si="1240"/>
        <v>207</v>
      </c>
      <c r="BC3987" s="127">
        <f t="shared" si="1240"/>
        <v>866</v>
      </c>
      <c r="BD3987" s="130">
        <f t="shared" ref="BD3987:BD4024" si="1241">AB3987+BB3987</f>
        <v>874</v>
      </c>
      <c r="BE3987" s="130">
        <f t="shared" ref="BE3987:BE4024" si="1242">AC3987+BC3987</f>
        <v>1578</v>
      </c>
      <c r="BF3987" s="195">
        <f t="shared" si="1219"/>
        <v>55.386565272496838</v>
      </c>
      <c r="BG3987" s="375">
        <f t="shared" si="1220"/>
        <v>704</v>
      </c>
    </row>
    <row r="3988" spans="1:61" s="46" customFormat="1" ht="21" customHeight="1">
      <c r="A3988" s="417">
        <v>1</v>
      </c>
      <c r="B3988" s="418" t="s">
        <v>1743</v>
      </c>
      <c r="C3988" s="419" t="s">
        <v>1744</v>
      </c>
      <c r="D3988" s="55"/>
      <c r="E3988" s="55"/>
      <c r="F3988" s="55"/>
      <c r="G3988" s="55"/>
      <c r="H3988" s="56">
        <v>17</v>
      </c>
      <c r="I3988" s="55"/>
      <c r="J3988" s="55"/>
      <c r="K3988" s="55"/>
      <c r="L3988" s="55">
        <v>12</v>
      </c>
      <c r="M3988" s="55"/>
      <c r="N3988" s="55"/>
      <c r="O3988" s="55"/>
      <c r="P3988" s="55">
        <v>5</v>
      </c>
      <c r="Q3988" s="55"/>
      <c r="R3988" s="55"/>
      <c r="S3988" s="55"/>
      <c r="T3988" s="55"/>
      <c r="U3988" s="55"/>
      <c r="V3988" s="55"/>
      <c r="W3988" s="55"/>
      <c r="X3988" s="55"/>
      <c r="Y3988" s="55"/>
      <c r="Z3988" s="55"/>
      <c r="AA3988" s="55"/>
      <c r="AB3988" s="22">
        <f t="shared" ref="AB3988:AB4003" si="1243">SUM(D3988:AA3988)</f>
        <v>34</v>
      </c>
      <c r="AC3988" s="23">
        <v>102</v>
      </c>
      <c r="AD3988" s="56"/>
      <c r="AE3988" s="56"/>
      <c r="AF3988" s="56"/>
      <c r="AG3988" s="56"/>
      <c r="AH3988" s="56"/>
      <c r="AI3988" s="56"/>
      <c r="AJ3988" s="56"/>
      <c r="AK3988" s="56"/>
      <c r="AL3988" s="56"/>
      <c r="AM3988" s="56"/>
      <c r="AN3988" s="56"/>
      <c r="AO3988" s="56"/>
      <c r="AP3988" s="56"/>
      <c r="AQ3988" s="56"/>
      <c r="AR3988" s="56"/>
      <c r="AS3988" s="56"/>
      <c r="AT3988" s="56"/>
      <c r="AU3988" s="56"/>
      <c r="AV3988" s="56"/>
      <c r="AW3988" s="56"/>
      <c r="AX3988" s="56"/>
      <c r="AY3988" s="56"/>
      <c r="AZ3988" s="56"/>
      <c r="BA3988" s="56"/>
      <c r="BB3988" s="22">
        <f t="shared" ref="BB3988:BB4003" si="1244">SUM(AD3988:BA3988)</f>
        <v>0</v>
      </c>
      <c r="BC3988" s="23">
        <v>0</v>
      </c>
      <c r="BD3988" s="130">
        <f t="shared" ref="BD3988:BD4003" si="1245">AB3988+BB3988</f>
        <v>34</v>
      </c>
      <c r="BE3988" s="130">
        <f t="shared" si="1242"/>
        <v>102</v>
      </c>
      <c r="BF3988" s="195">
        <f t="shared" ref="BF3988:BF4003" si="1246">BD3988/BE3988*100</f>
        <v>33.333333333333329</v>
      </c>
      <c r="BG3988" s="373">
        <f t="shared" ref="BG3988:BG4003" si="1247">BE3988-BD3988</f>
        <v>68</v>
      </c>
      <c r="BH3988" s="426" t="s">
        <v>3675</v>
      </c>
      <c r="BI3988" s="420"/>
    </row>
    <row r="3989" spans="1:61" s="46" customFormat="1" ht="21" customHeight="1">
      <c r="A3989" s="417">
        <v>2</v>
      </c>
      <c r="B3989" s="418" t="s">
        <v>1747</v>
      </c>
      <c r="C3989" s="419" t="s">
        <v>1748</v>
      </c>
      <c r="D3989" s="55"/>
      <c r="E3989" s="55"/>
      <c r="F3989" s="55"/>
      <c r="G3989" s="55"/>
      <c r="H3989" s="56">
        <v>22</v>
      </c>
      <c r="I3989" s="55"/>
      <c r="J3989" s="55"/>
      <c r="K3989" s="55"/>
      <c r="L3989" s="55">
        <v>36</v>
      </c>
      <c r="M3989" s="55"/>
      <c r="N3989" s="55"/>
      <c r="O3989" s="55"/>
      <c r="P3989" s="55">
        <v>46</v>
      </c>
      <c r="Q3989" s="55"/>
      <c r="R3989" s="55"/>
      <c r="S3989" s="55"/>
      <c r="T3989" s="55"/>
      <c r="U3989" s="55"/>
      <c r="V3989" s="55"/>
      <c r="W3989" s="55"/>
      <c r="X3989" s="55"/>
      <c r="Y3989" s="55"/>
      <c r="Z3989" s="55"/>
      <c r="AA3989" s="55"/>
      <c r="AB3989" s="22">
        <f t="shared" si="1243"/>
        <v>104</v>
      </c>
      <c r="AC3989" s="23">
        <v>212</v>
      </c>
      <c r="AD3989" s="56"/>
      <c r="AE3989" s="56"/>
      <c r="AF3989" s="56"/>
      <c r="AG3989" s="56"/>
      <c r="AH3989" s="56"/>
      <c r="AI3989" s="56"/>
      <c r="AJ3989" s="56"/>
      <c r="AK3989" s="56"/>
      <c r="AL3989" s="56"/>
      <c r="AM3989" s="56"/>
      <c r="AN3989" s="56"/>
      <c r="AO3989" s="56"/>
      <c r="AP3989" s="56"/>
      <c r="AQ3989" s="56"/>
      <c r="AR3989" s="56"/>
      <c r="AS3989" s="56"/>
      <c r="AT3989" s="56"/>
      <c r="AU3989" s="56"/>
      <c r="AV3989" s="56"/>
      <c r="AW3989" s="56"/>
      <c r="AX3989" s="56"/>
      <c r="AY3989" s="56"/>
      <c r="AZ3989" s="56"/>
      <c r="BA3989" s="56"/>
      <c r="BB3989" s="22">
        <f t="shared" si="1244"/>
        <v>0</v>
      </c>
      <c r="BC3989" s="23">
        <v>0</v>
      </c>
      <c r="BD3989" s="130">
        <f t="shared" si="1245"/>
        <v>104</v>
      </c>
      <c r="BE3989" s="130">
        <f t="shared" si="1242"/>
        <v>212</v>
      </c>
      <c r="BF3989" s="195">
        <f t="shared" si="1246"/>
        <v>49.056603773584904</v>
      </c>
      <c r="BG3989" s="373">
        <f t="shared" si="1247"/>
        <v>108</v>
      </c>
      <c r="BH3989" s="426" t="s">
        <v>3675</v>
      </c>
      <c r="BI3989" s="420"/>
    </row>
    <row r="3990" spans="1:61" s="46" customFormat="1" ht="21" customHeight="1">
      <c r="A3990" s="417">
        <v>3</v>
      </c>
      <c r="B3990" s="418" t="s">
        <v>1749</v>
      </c>
      <c r="C3990" s="419" t="s">
        <v>1750</v>
      </c>
      <c r="D3990" s="55"/>
      <c r="E3990" s="55"/>
      <c r="F3990" s="55"/>
      <c r="G3990" s="55"/>
      <c r="H3990" s="56"/>
      <c r="I3990" s="55"/>
      <c r="J3990" s="55"/>
      <c r="K3990" s="55"/>
      <c r="L3990" s="55">
        <v>2</v>
      </c>
      <c r="M3990" s="55"/>
      <c r="N3990" s="55"/>
      <c r="O3990" s="55"/>
      <c r="P3990" s="55">
        <v>2</v>
      </c>
      <c r="Q3990" s="55"/>
      <c r="R3990" s="55"/>
      <c r="S3990" s="55"/>
      <c r="T3990" s="55"/>
      <c r="U3990" s="55"/>
      <c r="V3990" s="55"/>
      <c r="W3990" s="55"/>
      <c r="X3990" s="55"/>
      <c r="Y3990" s="55"/>
      <c r="Z3990" s="55"/>
      <c r="AA3990" s="55"/>
      <c r="AB3990" s="22">
        <f t="shared" si="1243"/>
        <v>4</v>
      </c>
      <c r="AC3990" s="23">
        <v>62</v>
      </c>
      <c r="AD3990" s="56"/>
      <c r="AE3990" s="56"/>
      <c r="AF3990" s="56"/>
      <c r="AG3990" s="56"/>
      <c r="AH3990" s="56"/>
      <c r="AI3990" s="56"/>
      <c r="AJ3990" s="56"/>
      <c r="AK3990" s="56"/>
      <c r="AL3990" s="56"/>
      <c r="AM3990" s="56"/>
      <c r="AN3990" s="56"/>
      <c r="AO3990" s="56"/>
      <c r="AP3990" s="56"/>
      <c r="AQ3990" s="56"/>
      <c r="AR3990" s="56"/>
      <c r="AS3990" s="56"/>
      <c r="AT3990" s="56"/>
      <c r="AU3990" s="56"/>
      <c r="AV3990" s="56"/>
      <c r="AW3990" s="56"/>
      <c r="AX3990" s="56"/>
      <c r="AY3990" s="56"/>
      <c r="AZ3990" s="56"/>
      <c r="BA3990" s="56"/>
      <c r="BB3990" s="22">
        <f t="shared" si="1244"/>
        <v>0</v>
      </c>
      <c r="BC3990" s="23">
        <v>0</v>
      </c>
      <c r="BD3990" s="130">
        <f t="shared" si="1245"/>
        <v>4</v>
      </c>
      <c r="BE3990" s="130">
        <f t="shared" si="1242"/>
        <v>62</v>
      </c>
      <c r="BF3990" s="195">
        <f t="shared" si="1246"/>
        <v>6.4516129032258061</v>
      </c>
      <c r="BG3990" s="373">
        <f t="shared" si="1247"/>
        <v>58</v>
      </c>
      <c r="BH3990" s="426" t="s">
        <v>3675</v>
      </c>
      <c r="BI3990" s="421"/>
    </row>
    <row r="3991" spans="1:61" s="46" customFormat="1" ht="21" customHeight="1">
      <c r="A3991" s="417">
        <v>4</v>
      </c>
      <c r="B3991" s="432" t="s">
        <v>1801</v>
      </c>
      <c r="C3991" s="419" t="s">
        <v>1802</v>
      </c>
      <c r="D3991" s="55"/>
      <c r="E3991" s="55"/>
      <c r="F3991" s="55"/>
      <c r="G3991" s="55"/>
      <c r="H3991" s="56"/>
      <c r="I3991" s="55"/>
      <c r="J3991" s="55"/>
      <c r="K3991" s="55"/>
      <c r="L3991" s="55">
        <v>13</v>
      </c>
      <c r="M3991" s="55"/>
      <c r="N3991" s="55"/>
      <c r="O3991" s="55"/>
      <c r="P3991" s="55"/>
      <c r="Q3991" s="55"/>
      <c r="R3991" s="55"/>
      <c r="S3991" s="55"/>
      <c r="T3991" s="55"/>
      <c r="U3991" s="55"/>
      <c r="V3991" s="55"/>
      <c r="W3991" s="55"/>
      <c r="X3991" s="55"/>
      <c r="Y3991" s="55"/>
      <c r="Z3991" s="55"/>
      <c r="AA3991" s="55"/>
      <c r="AB3991" s="22">
        <f t="shared" si="1243"/>
        <v>13</v>
      </c>
      <c r="AC3991" s="23">
        <v>15</v>
      </c>
      <c r="AD3991" s="56"/>
      <c r="AE3991" s="56"/>
      <c r="AF3991" s="56"/>
      <c r="AG3991" s="56"/>
      <c r="AH3991" s="56"/>
      <c r="AI3991" s="56"/>
      <c r="AJ3991" s="56"/>
      <c r="AK3991" s="56"/>
      <c r="AL3991" s="56"/>
      <c r="AM3991" s="56"/>
      <c r="AN3991" s="56"/>
      <c r="AO3991" s="56"/>
      <c r="AP3991" s="56"/>
      <c r="AQ3991" s="56"/>
      <c r="AR3991" s="56"/>
      <c r="AS3991" s="56"/>
      <c r="AT3991" s="56"/>
      <c r="AU3991" s="56"/>
      <c r="AV3991" s="56"/>
      <c r="AW3991" s="56"/>
      <c r="AX3991" s="56"/>
      <c r="AY3991" s="56"/>
      <c r="AZ3991" s="56"/>
      <c r="BA3991" s="56"/>
      <c r="BB3991" s="22">
        <f t="shared" si="1244"/>
        <v>0</v>
      </c>
      <c r="BC3991" s="23">
        <v>0</v>
      </c>
      <c r="BD3991" s="130">
        <f t="shared" si="1245"/>
        <v>13</v>
      </c>
      <c r="BE3991" s="130">
        <f t="shared" si="1242"/>
        <v>15</v>
      </c>
      <c r="BF3991" s="195">
        <f t="shared" si="1246"/>
        <v>86.666666666666671</v>
      </c>
      <c r="BG3991" s="373">
        <f t="shared" si="1247"/>
        <v>2</v>
      </c>
      <c r="BH3991" s="426" t="s">
        <v>3675</v>
      </c>
      <c r="BI3991" s="421"/>
    </row>
    <row r="3992" spans="1:61" s="46" customFormat="1" ht="21" customHeight="1">
      <c r="A3992" s="417">
        <v>5</v>
      </c>
      <c r="B3992" s="418" t="s">
        <v>1751</v>
      </c>
      <c r="C3992" s="419" t="s">
        <v>1783</v>
      </c>
      <c r="D3992" s="55"/>
      <c r="E3992" s="55"/>
      <c r="F3992" s="55"/>
      <c r="G3992" s="55"/>
      <c r="H3992" s="56">
        <v>10</v>
      </c>
      <c r="I3992" s="55"/>
      <c r="J3992" s="55"/>
      <c r="K3992" s="55"/>
      <c r="L3992" s="55"/>
      <c r="M3992" s="55"/>
      <c r="N3992" s="55"/>
      <c r="O3992" s="55"/>
      <c r="P3992" s="55"/>
      <c r="Q3992" s="55"/>
      <c r="R3992" s="55"/>
      <c r="S3992" s="55"/>
      <c r="T3992" s="55"/>
      <c r="U3992" s="55"/>
      <c r="V3992" s="55"/>
      <c r="W3992" s="55"/>
      <c r="X3992" s="55"/>
      <c r="Y3992" s="55"/>
      <c r="Z3992" s="55"/>
      <c r="AA3992" s="55"/>
      <c r="AB3992" s="22">
        <f t="shared" si="1243"/>
        <v>10</v>
      </c>
      <c r="AC3992" s="23">
        <v>20</v>
      </c>
      <c r="AD3992" s="56"/>
      <c r="AE3992" s="56"/>
      <c r="AF3992" s="56"/>
      <c r="AG3992" s="56"/>
      <c r="AH3992" s="56"/>
      <c r="AI3992" s="56"/>
      <c r="AJ3992" s="56"/>
      <c r="AK3992" s="56"/>
      <c r="AL3992" s="56"/>
      <c r="AM3992" s="56"/>
      <c r="AN3992" s="56"/>
      <c r="AO3992" s="56"/>
      <c r="AP3992" s="56"/>
      <c r="AQ3992" s="56"/>
      <c r="AR3992" s="56"/>
      <c r="AS3992" s="56"/>
      <c r="AT3992" s="56"/>
      <c r="AU3992" s="56"/>
      <c r="AV3992" s="56"/>
      <c r="AW3992" s="56"/>
      <c r="AX3992" s="56"/>
      <c r="AY3992" s="56"/>
      <c r="AZ3992" s="56"/>
      <c r="BA3992" s="56"/>
      <c r="BB3992" s="22">
        <f t="shared" si="1244"/>
        <v>0</v>
      </c>
      <c r="BC3992" s="23">
        <v>0</v>
      </c>
      <c r="BD3992" s="130">
        <f t="shared" si="1245"/>
        <v>10</v>
      </c>
      <c r="BE3992" s="130">
        <f t="shared" si="1242"/>
        <v>20</v>
      </c>
      <c r="BF3992" s="195">
        <f t="shared" si="1246"/>
        <v>50</v>
      </c>
      <c r="BG3992" s="373">
        <f t="shared" si="1247"/>
        <v>10</v>
      </c>
      <c r="BH3992" s="426" t="s">
        <v>3675</v>
      </c>
      <c r="BI3992" s="420"/>
    </row>
    <row r="3993" spans="1:61" s="46" customFormat="1" ht="21" customHeight="1">
      <c r="A3993" s="417">
        <v>6</v>
      </c>
      <c r="B3993" s="418" t="s">
        <v>1753</v>
      </c>
      <c r="C3993" s="419" t="s">
        <v>1754</v>
      </c>
      <c r="D3993" s="55"/>
      <c r="E3993" s="55"/>
      <c r="F3993" s="55"/>
      <c r="G3993" s="55"/>
      <c r="H3993" s="56">
        <v>10</v>
      </c>
      <c r="I3993" s="55"/>
      <c r="J3993" s="55"/>
      <c r="K3993" s="55"/>
      <c r="L3993" s="55">
        <v>10</v>
      </c>
      <c r="M3993" s="55"/>
      <c r="N3993" s="55"/>
      <c r="O3993" s="55"/>
      <c r="P3993" s="55">
        <v>35</v>
      </c>
      <c r="Q3993" s="55"/>
      <c r="R3993" s="55"/>
      <c r="S3993" s="55"/>
      <c r="T3993" s="55"/>
      <c r="U3993" s="55"/>
      <c r="V3993" s="55"/>
      <c r="W3993" s="55"/>
      <c r="X3993" s="55"/>
      <c r="Y3993" s="55"/>
      <c r="Z3993" s="55"/>
      <c r="AA3993" s="55"/>
      <c r="AB3993" s="22">
        <f t="shared" si="1243"/>
        <v>55</v>
      </c>
      <c r="AC3993" s="23">
        <v>165</v>
      </c>
      <c r="AD3993" s="56"/>
      <c r="AE3993" s="56"/>
      <c r="AF3993" s="56"/>
      <c r="AG3993" s="56"/>
      <c r="AH3993" s="56"/>
      <c r="AI3993" s="56"/>
      <c r="AJ3993" s="56"/>
      <c r="AK3993" s="56"/>
      <c r="AL3993" s="56"/>
      <c r="AM3993" s="56"/>
      <c r="AN3993" s="56"/>
      <c r="AO3993" s="56"/>
      <c r="AP3993" s="56"/>
      <c r="AQ3993" s="56"/>
      <c r="AR3993" s="56"/>
      <c r="AS3993" s="56"/>
      <c r="AT3993" s="56"/>
      <c r="AU3993" s="56"/>
      <c r="AV3993" s="56"/>
      <c r="AW3993" s="56"/>
      <c r="AX3993" s="56"/>
      <c r="AY3993" s="56"/>
      <c r="AZ3993" s="56"/>
      <c r="BA3993" s="56"/>
      <c r="BB3993" s="22">
        <f t="shared" si="1244"/>
        <v>0</v>
      </c>
      <c r="BC3993" s="23">
        <v>0</v>
      </c>
      <c r="BD3993" s="130">
        <f t="shared" si="1245"/>
        <v>55</v>
      </c>
      <c r="BE3993" s="130">
        <f t="shared" si="1242"/>
        <v>165</v>
      </c>
      <c r="BF3993" s="195">
        <f t="shared" si="1246"/>
        <v>33.333333333333329</v>
      </c>
      <c r="BG3993" s="373">
        <f t="shared" si="1247"/>
        <v>110</v>
      </c>
      <c r="BH3993" s="426" t="s">
        <v>3675</v>
      </c>
      <c r="BI3993" s="420"/>
    </row>
    <row r="3994" spans="1:61" s="46" customFormat="1" ht="21" customHeight="1">
      <c r="A3994" s="417">
        <v>7</v>
      </c>
      <c r="B3994" s="418" t="s">
        <v>1756</v>
      </c>
      <c r="C3994" s="419" t="s">
        <v>1757</v>
      </c>
      <c r="D3994" s="55"/>
      <c r="E3994" s="55"/>
      <c r="F3994" s="55"/>
      <c r="G3994" s="55"/>
      <c r="H3994" s="56">
        <v>57</v>
      </c>
      <c r="I3994" s="55"/>
      <c r="J3994" s="55"/>
      <c r="K3994" s="55"/>
      <c r="L3994" s="55">
        <v>162</v>
      </c>
      <c r="M3994" s="55"/>
      <c r="N3994" s="55"/>
      <c r="O3994" s="55"/>
      <c r="P3994" s="55">
        <v>228</v>
      </c>
      <c r="Q3994" s="55"/>
      <c r="R3994" s="55"/>
      <c r="S3994" s="55"/>
      <c r="T3994" s="55"/>
      <c r="U3994" s="55"/>
      <c r="V3994" s="55"/>
      <c r="W3994" s="55"/>
      <c r="X3994" s="55"/>
      <c r="Y3994" s="55"/>
      <c r="Z3994" s="55"/>
      <c r="AA3994" s="55"/>
      <c r="AB3994" s="22">
        <f t="shared" si="1243"/>
        <v>447</v>
      </c>
      <c r="AC3994" s="23">
        <v>136</v>
      </c>
      <c r="AD3994" s="56"/>
      <c r="AE3994" s="56"/>
      <c r="AF3994" s="56"/>
      <c r="AG3994" s="56"/>
      <c r="AH3994" s="56"/>
      <c r="AI3994" s="56"/>
      <c r="AJ3994" s="56"/>
      <c r="AK3994" s="56"/>
      <c r="AL3994" s="56"/>
      <c r="AM3994" s="56"/>
      <c r="AN3994" s="56"/>
      <c r="AO3994" s="56"/>
      <c r="AP3994" s="56"/>
      <c r="AQ3994" s="56"/>
      <c r="AR3994" s="56"/>
      <c r="AS3994" s="56"/>
      <c r="AT3994" s="56"/>
      <c r="AU3994" s="56"/>
      <c r="AV3994" s="56"/>
      <c r="AW3994" s="56"/>
      <c r="AX3994" s="56"/>
      <c r="AY3994" s="56"/>
      <c r="AZ3994" s="56"/>
      <c r="BA3994" s="56"/>
      <c r="BB3994" s="22">
        <f t="shared" si="1244"/>
        <v>0</v>
      </c>
      <c r="BC3994" s="23">
        <v>0</v>
      </c>
      <c r="BD3994" s="130">
        <f t="shared" si="1245"/>
        <v>447</v>
      </c>
      <c r="BE3994" s="130">
        <f t="shared" si="1242"/>
        <v>136</v>
      </c>
      <c r="BF3994" s="195">
        <f t="shared" si="1246"/>
        <v>328.6764705882353</v>
      </c>
      <c r="BG3994" s="373">
        <f t="shared" si="1247"/>
        <v>-311</v>
      </c>
      <c r="BH3994" s="426" t="s">
        <v>3675</v>
      </c>
      <c r="BI3994" s="421"/>
    </row>
    <row r="3995" spans="1:61" s="46" customFormat="1" ht="14.25" customHeight="1">
      <c r="A3995" s="181">
        <v>8</v>
      </c>
      <c r="B3995" s="53" t="s">
        <v>1759</v>
      </c>
      <c r="C3995" s="54" t="s">
        <v>2274</v>
      </c>
      <c r="D3995" s="55"/>
      <c r="E3995" s="55"/>
      <c r="F3995" s="55"/>
      <c r="G3995" s="55"/>
      <c r="H3995" s="56"/>
      <c r="I3995" s="55"/>
      <c r="J3995" s="55"/>
      <c r="K3995" s="55"/>
      <c r="L3995" s="55"/>
      <c r="M3995" s="55"/>
      <c r="N3995" s="55"/>
      <c r="O3995" s="55"/>
      <c r="P3995" s="55"/>
      <c r="Q3995" s="55"/>
      <c r="R3995" s="55"/>
      <c r="S3995" s="55"/>
      <c r="T3995" s="55"/>
      <c r="U3995" s="55"/>
      <c r="V3995" s="55"/>
      <c r="W3995" s="55"/>
      <c r="X3995" s="55"/>
      <c r="Y3995" s="55"/>
      <c r="Z3995" s="55"/>
      <c r="AA3995" s="55"/>
      <c r="AB3995" s="22">
        <f t="shared" si="1243"/>
        <v>0</v>
      </c>
      <c r="AC3995" s="23">
        <v>0</v>
      </c>
      <c r="AD3995" s="56"/>
      <c r="AE3995" s="56"/>
      <c r="AF3995" s="56"/>
      <c r="AG3995" s="56"/>
      <c r="AH3995" s="56"/>
      <c r="AI3995" s="56"/>
      <c r="AJ3995" s="56"/>
      <c r="AK3995" s="56"/>
      <c r="AL3995" s="56"/>
      <c r="AM3995" s="56"/>
      <c r="AN3995" s="56"/>
      <c r="AO3995" s="56"/>
      <c r="AP3995" s="56"/>
      <c r="AQ3995" s="56"/>
      <c r="AR3995" s="56"/>
      <c r="AS3995" s="56"/>
      <c r="AT3995" s="56"/>
      <c r="AU3995" s="56"/>
      <c r="AV3995" s="56"/>
      <c r="AW3995" s="56"/>
      <c r="AX3995" s="56"/>
      <c r="AY3995" s="56"/>
      <c r="AZ3995" s="56"/>
      <c r="BA3995" s="56"/>
      <c r="BB3995" s="22">
        <f t="shared" si="1244"/>
        <v>0</v>
      </c>
      <c r="BC3995" s="23">
        <v>1</v>
      </c>
      <c r="BD3995" s="130">
        <f t="shared" si="1245"/>
        <v>0</v>
      </c>
      <c r="BE3995" s="130">
        <f t="shared" si="1242"/>
        <v>1</v>
      </c>
      <c r="BF3995" s="195">
        <f t="shared" si="1246"/>
        <v>0</v>
      </c>
      <c r="BG3995" s="373">
        <f t="shared" si="1247"/>
        <v>1</v>
      </c>
    </row>
    <row r="3996" spans="1:61" s="46" customFormat="1" ht="14.25" customHeight="1">
      <c r="A3996" s="181">
        <v>9</v>
      </c>
      <c r="B3996" s="53" t="s">
        <v>1763</v>
      </c>
      <c r="C3996" s="54" t="s">
        <v>1764</v>
      </c>
      <c r="D3996" s="55"/>
      <c r="E3996" s="55"/>
      <c r="F3996" s="55"/>
      <c r="G3996" s="55"/>
      <c r="H3996" s="56"/>
      <c r="I3996" s="55"/>
      <c r="J3996" s="55"/>
      <c r="K3996" s="55"/>
      <c r="L3996" s="55"/>
      <c r="M3996" s="55"/>
      <c r="N3996" s="55"/>
      <c r="O3996" s="55"/>
      <c r="P3996" s="55"/>
      <c r="Q3996" s="55"/>
      <c r="R3996" s="55"/>
      <c r="S3996" s="55"/>
      <c r="T3996" s="55"/>
      <c r="U3996" s="55"/>
      <c r="V3996" s="55"/>
      <c r="W3996" s="55"/>
      <c r="X3996" s="55"/>
      <c r="Y3996" s="55"/>
      <c r="Z3996" s="55"/>
      <c r="AA3996" s="55"/>
      <c r="AB3996" s="22">
        <f t="shared" si="1243"/>
        <v>0</v>
      </c>
      <c r="AC3996" s="23">
        <v>0</v>
      </c>
      <c r="AD3996" s="56"/>
      <c r="AE3996" s="56"/>
      <c r="AF3996" s="56"/>
      <c r="AG3996" s="56"/>
      <c r="AH3996" s="56">
        <v>19</v>
      </c>
      <c r="AI3996" s="56"/>
      <c r="AJ3996" s="56"/>
      <c r="AK3996" s="56"/>
      <c r="AL3996" s="56">
        <v>26</v>
      </c>
      <c r="AM3996" s="56"/>
      <c r="AN3996" s="56"/>
      <c r="AO3996" s="56"/>
      <c r="AP3996" s="56">
        <v>32</v>
      </c>
      <c r="AQ3996" s="56"/>
      <c r="AR3996" s="56"/>
      <c r="AS3996" s="56"/>
      <c r="AT3996" s="56"/>
      <c r="AU3996" s="56"/>
      <c r="AV3996" s="56"/>
      <c r="AW3996" s="56"/>
      <c r="AX3996" s="56"/>
      <c r="AY3996" s="56"/>
      <c r="AZ3996" s="56"/>
      <c r="BA3996" s="56"/>
      <c r="BB3996" s="22">
        <f t="shared" si="1244"/>
        <v>77</v>
      </c>
      <c r="BC3996" s="23">
        <v>292</v>
      </c>
      <c r="BD3996" s="130">
        <f t="shared" si="1245"/>
        <v>77</v>
      </c>
      <c r="BE3996" s="130">
        <f t="shared" si="1242"/>
        <v>292</v>
      </c>
      <c r="BF3996" s="195">
        <f t="shared" si="1246"/>
        <v>26.36986301369863</v>
      </c>
      <c r="BG3996" s="373">
        <f t="shared" si="1247"/>
        <v>215</v>
      </c>
    </row>
    <row r="3997" spans="1:61" s="46" customFormat="1" ht="14.25" customHeight="1">
      <c r="A3997" s="181">
        <v>10</v>
      </c>
      <c r="B3997" s="53" t="s">
        <v>1765</v>
      </c>
      <c r="C3997" s="54" t="s">
        <v>1766</v>
      </c>
      <c r="D3997" s="55"/>
      <c r="E3997" s="55"/>
      <c r="F3997" s="55"/>
      <c r="G3997" s="55"/>
      <c r="H3997" s="55"/>
      <c r="I3997" s="55"/>
      <c r="J3997" s="55"/>
      <c r="K3997" s="55"/>
      <c r="L3997" s="55"/>
      <c r="M3997" s="55"/>
      <c r="N3997" s="55"/>
      <c r="O3997" s="55"/>
      <c r="P3997" s="55"/>
      <c r="Q3997" s="55"/>
      <c r="R3997" s="55"/>
      <c r="S3997" s="55"/>
      <c r="T3997" s="55"/>
      <c r="U3997" s="55"/>
      <c r="V3997" s="55"/>
      <c r="W3997" s="55"/>
      <c r="X3997" s="55"/>
      <c r="Y3997" s="55"/>
      <c r="Z3997" s="55"/>
      <c r="AA3997" s="55"/>
      <c r="AB3997" s="22">
        <f t="shared" si="1243"/>
        <v>0</v>
      </c>
      <c r="AC3997" s="23">
        <v>0</v>
      </c>
      <c r="AD3997" s="56"/>
      <c r="AE3997" s="56"/>
      <c r="AF3997" s="56"/>
      <c r="AG3997" s="56"/>
      <c r="AH3997" s="56"/>
      <c r="AI3997" s="56"/>
      <c r="AJ3997" s="56"/>
      <c r="AK3997" s="56"/>
      <c r="AL3997" s="56"/>
      <c r="AM3997" s="56"/>
      <c r="AN3997" s="56"/>
      <c r="AO3997" s="56"/>
      <c r="AP3997" s="56"/>
      <c r="AQ3997" s="56"/>
      <c r="AR3997" s="56"/>
      <c r="AS3997" s="56"/>
      <c r="AT3997" s="56"/>
      <c r="AU3997" s="56"/>
      <c r="AV3997" s="56"/>
      <c r="AW3997" s="56"/>
      <c r="AX3997" s="56"/>
      <c r="AY3997" s="56"/>
      <c r="AZ3997" s="56"/>
      <c r="BA3997" s="56"/>
      <c r="BB3997" s="22">
        <f t="shared" si="1244"/>
        <v>0</v>
      </c>
      <c r="BC3997" s="23">
        <v>1</v>
      </c>
      <c r="BD3997" s="130">
        <f t="shared" si="1245"/>
        <v>0</v>
      </c>
      <c r="BE3997" s="130">
        <f t="shared" si="1242"/>
        <v>1</v>
      </c>
      <c r="BF3997" s="195">
        <f t="shared" si="1246"/>
        <v>0</v>
      </c>
      <c r="BG3997" s="373">
        <f t="shared" si="1247"/>
        <v>1</v>
      </c>
    </row>
    <row r="3998" spans="1:61" s="46" customFormat="1" ht="14.25" customHeight="1">
      <c r="A3998" s="181">
        <v>11</v>
      </c>
      <c r="B3998" s="53" t="s">
        <v>1665</v>
      </c>
      <c r="C3998" s="54" t="s">
        <v>1666</v>
      </c>
      <c r="D3998" s="55"/>
      <c r="E3998" s="55"/>
      <c r="F3998" s="55"/>
      <c r="G3998" s="55"/>
      <c r="H3998" s="55"/>
      <c r="I3998" s="55"/>
      <c r="J3998" s="55"/>
      <c r="K3998" s="55"/>
      <c r="L3998" s="55"/>
      <c r="M3998" s="55"/>
      <c r="N3998" s="55"/>
      <c r="O3998" s="55"/>
      <c r="P3998" s="55"/>
      <c r="Q3998" s="55"/>
      <c r="R3998" s="55"/>
      <c r="S3998" s="55"/>
      <c r="T3998" s="55"/>
      <c r="U3998" s="55"/>
      <c r="V3998" s="55"/>
      <c r="W3998" s="55"/>
      <c r="X3998" s="55"/>
      <c r="Y3998" s="55"/>
      <c r="Z3998" s="55"/>
      <c r="AA3998" s="55"/>
      <c r="AB3998" s="22">
        <f t="shared" si="1243"/>
        <v>0</v>
      </c>
      <c r="AC3998" s="23">
        <v>0</v>
      </c>
      <c r="AD3998" s="56"/>
      <c r="AE3998" s="56"/>
      <c r="AF3998" s="56"/>
      <c r="AG3998" s="56"/>
      <c r="AH3998" s="56">
        <v>9</v>
      </c>
      <c r="AI3998" s="56"/>
      <c r="AJ3998" s="56"/>
      <c r="AK3998" s="56"/>
      <c r="AL3998" s="56">
        <v>21</v>
      </c>
      <c r="AM3998" s="56"/>
      <c r="AN3998" s="56"/>
      <c r="AO3998" s="56"/>
      <c r="AP3998" s="56">
        <v>9</v>
      </c>
      <c r="AQ3998" s="56"/>
      <c r="AR3998" s="56"/>
      <c r="AS3998" s="56"/>
      <c r="AT3998" s="56"/>
      <c r="AU3998" s="56"/>
      <c r="AV3998" s="56"/>
      <c r="AW3998" s="56"/>
      <c r="AX3998" s="56"/>
      <c r="AY3998" s="56"/>
      <c r="AZ3998" s="56"/>
      <c r="BA3998" s="56"/>
      <c r="BB3998" s="22">
        <f t="shared" si="1244"/>
        <v>39</v>
      </c>
      <c r="BC3998" s="23">
        <v>240</v>
      </c>
      <c r="BD3998" s="130">
        <f t="shared" si="1245"/>
        <v>39</v>
      </c>
      <c r="BE3998" s="130">
        <f t="shared" si="1242"/>
        <v>240</v>
      </c>
      <c r="BF3998" s="195">
        <f t="shared" si="1246"/>
        <v>16.25</v>
      </c>
      <c r="BG3998" s="373">
        <f t="shared" si="1247"/>
        <v>201</v>
      </c>
    </row>
    <row r="3999" spans="1:61" s="46" customFormat="1" ht="14.25" customHeight="1">
      <c r="A3999" s="181">
        <v>12</v>
      </c>
      <c r="B3999" s="53" t="s">
        <v>1767</v>
      </c>
      <c r="C3999" s="57" t="s">
        <v>1768</v>
      </c>
      <c r="D3999" s="55"/>
      <c r="E3999" s="55"/>
      <c r="F3999" s="55"/>
      <c r="G3999" s="55"/>
      <c r="H3999" s="55"/>
      <c r="I3999" s="55"/>
      <c r="J3999" s="55"/>
      <c r="K3999" s="55"/>
      <c r="L3999" s="55"/>
      <c r="M3999" s="55"/>
      <c r="N3999" s="55"/>
      <c r="O3999" s="55"/>
      <c r="P3999" s="55"/>
      <c r="Q3999" s="55"/>
      <c r="R3999" s="55"/>
      <c r="S3999" s="55"/>
      <c r="T3999" s="55"/>
      <c r="U3999" s="55"/>
      <c r="V3999" s="55"/>
      <c r="W3999" s="55"/>
      <c r="X3999" s="55"/>
      <c r="Y3999" s="55"/>
      <c r="Z3999" s="55"/>
      <c r="AA3999" s="55"/>
      <c r="AB3999" s="22">
        <f t="shared" si="1243"/>
        <v>0</v>
      </c>
      <c r="AC3999" s="23">
        <v>0</v>
      </c>
      <c r="AD3999" s="56"/>
      <c r="AE3999" s="56"/>
      <c r="AF3999" s="56"/>
      <c r="AG3999" s="56"/>
      <c r="AH3999" s="56">
        <v>9</v>
      </c>
      <c r="AI3999" s="56"/>
      <c r="AJ3999" s="56"/>
      <c r="AK3999" s="56"/>
      <c r="AL3999" s="56">
        <v>35</v>
      </c>
      <c r="AM3999" s="56"/>
      <c r="AN3999" s="56"/>
      <c r="AO3999" s="56"/>
      <c r="AP3999" s="56">
        <v>46</v>
      </c>
      <c r="AQ3999" s="56"/>
      <c r="AR3999" s="56"/>
      <c r="AS3999" s="56"/>
      <c r="AT3999" s="56"/>
      <c r="AU3999" s="56"/>
      <c r="AV3999" s="56"/>
      <c r="AW3999" s="56"/>
      <c r="AX3999" s="56"/>
      <c r="AY3999" s="56"/>
      <c r="AZ3999" s="56"/>
      <c r="BA3999" s="56"/>
      <c r="BB3999" s="22">
        <f t="shared" si="1244"/>
        <v>90</v>
      </c>
      <c r="BC3999" s="23">
        <v>273</v>
      </c>
      <c r="BD3999" s="130">
        <f t="shared" si="1245"/>
        <v>90</v>
      </c>
      <c r="BE3999" s="130">
        <f t="shared" si="1242"/>
        <v>273</v>
      </c>
      <c r="BF3999" s="195">
        <f t="shared" si="1246"/>
        <v>32.967032967032964</v>
      </c>
      <c r="BG3999" s="373">
        <f t="shared" si="1247"/>
        <v>183</v>
      </c>
    </row>
    <row r="4000" spans="1:61" s="46" customFormat="1" ht="14.25" customHeight="1">
      <c r="A4000" s="453">
        <v>13</v>
      </c>
      <c r="B4000" s="454" t="s">
        <v>1769</v>
      </c>
      <c r="C4000" s="458" t="s">
        <v>2802</v>
      </c>
      <c r="D4000" s="55"/>
      <c r="E4000" s="55"/>
      <c r="F4000" s="55"/>
      <c r="G4000" s="55"/>
      <c r="H4000" s="55"/>
      <c r="I4000" s="55"/>
      <c r="J4000" s="55"/>
      <c r="K4000" s="55"/>
      <c r="L4000" s="55"/>
      <c r="M4000" s="55"/>
      <c r="N4000" s="55"/>
      <c r="O4000" s="55"/>
      <c r="P4000" s="55"/>
      <c r="Q4000" s="55"/>
      <c r="R4000" s="55"/>
      <c r="S4000" s="55"/>
      <c r="T4000" s="55"/>
      <c r="U4000" s="55"/>
      <c r="V4000" s="55"/>
      <c r="W4000" s="55"/>
      <c r="X4000" s="55"/>
      <c r="Y4000" s="55"/>
      <c r="Z4000" s="55"/>
      <c r="AA4000" s="55"/>
      <c r="AB4000" s="22">
        <f t="shared" si="1243"/>
        <v>0</v>
      </c>
      <c r="AC4000" s="23">
        <v>0</v>
      </c>
      <c r="AD4000" s="56"/>
      <c r="AE4000" s="56"/>
      <c r="AF4000" s="56"/>
      <c r="AG4000" s="56"/>
      <c r="AH4000" s="56"/>
      <c r="AI4000" s="56"/>
      <c r="AJ4000" s="56"/>
      <c r="AK4000" s="56"/>
      <c r="AL4000" s="56"/>
      <c r="AM4000" s="56"/>
      <c r="AN4000" s="56"/>
      <c r="AO4000" s="56"/>
      <c r="AP4000" s="56"/>
      <c r="AQ4000" s="56"/>
      <c r="AR4000" s="56"/>
      <c r="AS4000" s="56"/>
      <c r="AT4000" s="56"/>
      <c r="AU4000" s="56"/>
      <c r="AV4000" s="56"/>
      <c r="AW4000" s="56"/>
      <c r="AX4000" s="56"/>
      <c r="AY4000" s="56"/>
      <c r="AZ4000" s="56"/>
      <c r="BA4000" s="56"/>
      <c r="BB4000" s="22">
        <f t="shared" si="1244"/>
        <v>0</v>
      </c>
      <c r="BC4000" s="23">
        <v>18</v>
      </c>
      <c r="BD4000" s="130">
        <f t="shared" si="1245"/>
        <v>0</v>
      </c>
      <c r="BE4000" s="130">
        <f t="shared" si="1242"/>
        <v>18</v>
      </c>
      <c r="BF4000" s="195">
        <f t="shared" si="1246"/>
        <v>0</v>
      </c>
      <c r="BG4000" s="373">
        <f t="shared" si="1247"/>
        <v>18</v>
      </c>
    </row>
    <row r="4001" spans="1:61" s="46" customFormat="1" ht="14.25" customHeight="1">
      <c r="A4001" s="453">
        <v>14</v>
      </c>
      <c r="B4001" s="454" t="s">
        <v>1771</v>
      </c>
      <c r="C4001" s="458" t="s">
        <v>1784</v>
      </c>
      <c r="D4001" s="55"/>
      <c r="E4001" s="55"/>
      <c r="F4001" s="55"/>
      <c r="G4001" s="55"/>
      <c r="H4001" s="55"/>
      <c r="I4001" s="55"/>
      <c r="J4001" s="55"/>
      <c r="K4001" s="55"/>
      <c r="L4001" s="55"/>
      <c r="M4001" s="55"/>
      <c r="N4001" s="55"/>
      <c r="O4001" s="55"/>
      <c r="P4001" s="55"/>
      <c r="Q4001" s="55"/>
      <c r="R4001" s="55"/>
      <c r="S4001" s="55"/>
      <c r="T4001" s="55"/>
      <c r="U4001" s="55"/>
      <c r="V4001" s="55"/>
      <c r="W4001" s="55"/>
      <c r="X4001" s="55"/>
      <c r="Y4001" s="55"/>
      <c r="Z4001" s="55"/>
      <c r="AA4001" s="55"/>
      <c r="AB4001" s="22">
        <f t="shared" si="1243"/>
        <v>0</v>
      </c>
      <c r="AC4001" s="23">
        <v>0</v>
      </c>
      <c r="AD4001" s="56"/>
      <c r="AE4001" s="56"/>
      <c r="AF4001" s="56"/>
      <c r="AG4001" s="56"/>
      <c r="AH4001" s="56"/>
      <c r="AI4001" s="56"/>
      <c r="AJ4001" s="56"/>
      <c r="AK4001" s="56"/>
      <c r="AL4001" s="56"/>
      <c r="AM4001" s="56"/>
      <c r="AN4001" s="56"/>
      <c r="AO4001" s="56"/>
      <c r="AP4001" s="56"/>
      <c r="AQ4001" s="56"/>
      <c r="AR4001" s="56"/>
      <c r="AS4001" s="56"/>
      <c r="AT4001" s="56"/>
      <c r="AU4001" s="56"/>
      <c r="AV4001" s="56"/>
      <c r="AW4001" s="56"/>
      <c r="AX4001" s="56"/>
      <c r="AY4001" s="56"/>
      <c r="AZ4001" s="56"/>
      <c r="BA4001" s="56"/>
      <c r="BB4001" s="22">
        <f t="shared" si="1244"/>
        <v>0</v>
      </c>
      <c r="BC4001" s="23">
        <v>14</v>
      </c>
      <c r="BD4001" s="130">
        <f t="shared" si="1245"/>
        <v>0</v>
      </c>
      <c r="BE4001" s="130">
        <f t="shared" si="1242"/>
        <v>14</v>
      </c>
      <c r="BF4001" s="195">
        <f t="shared" si="1246"/>
        <v>0</v>
      </c>
      <c r="BG4001" s="373">
        <f t="shared" si="1247"/>
        <v>14</v>
      </c>
    </row>
    <row r="4002" spans="1:61" s="46" customFormat="1" ht="14.25" customHeight="1">
      <c r="A4002" s="453">
        <v>15</v>
      </c>
      <c r="B4002" s="454" t="s">
        <v>1795</v>
      </c>
      <c r="C4002" s="458" t="s">
        <v>2205</v>
      </c>
      <c r="D4002" s="55"/>
      <c r="E4002" s="55"/>
      <c r="F4002" s="55"/>
      <c r="G4002" s="55"/>
      <c r="H4002" s="55"/>
      <c r="I4002" s="55"/>
      <c r="J4002" s="55"/>
      <c r="K4002" s="55"/>
      <c r="L4002" s="55"/>
      <c r="M4002" s="55"/>
      <c r="N4002" s="55"/>
      <c r="O4002" s="55"/>
      <c r="P4002" s="55"/>
      <c r="Q4002" s="55"/>
      <c r="R4002" s="55"/>
      <c r="S4002" s="55"/>
      <c r="T4002" s="55"/>
      <c r="U4002" s="55"/>
      <c r="V4002" s="55"/>
      <c r="W4002" s="55"/>
      <c r="X4002" s="55"/>
      <c r="Y4002" s="55"/>
      <c r="Z4002" s="55"/>
      <c r="AA4002" s="55"/>
      <c r="AB4002" s="22">
        <f t="shared" si="1243"/>
        <v>0</v>
      </c>
      <c r="AC4002" s="23">
        <v>0</v>
      </c>
      <c r="AD4002" s="56"/>
      <c r="AE4002" s="56"/>
      <c r="AF4002" s="56"/>
      <c r="AG4002" s="56"/>
      <c r="AH4002" s="56"/>
      <c r="AI4002" s="56"/>
      <c r="AJ4002" s="56"/>
      <c r="AK4002" s="56"/>
      <c r="AL4002" s="56"/>
      <c r="AM4002" s="56"/>
      <c r="AN4002" s="56"/>
      <c r="AO4002" s="56"/>
      <c r="AP4002" s="56">
        <v>1</v>
      </c>
      <c r="AQ4002" s="56"/>
      <c r="AR4002" s="56"/>
      <c r="AS4002" s="56"/>
      <c r="AT4002" s="56"/>
      <c r="AU4002" s="56"/>
      <c r="AV4002" s="56"/>
      <c r="AW4002" s="56"/>
      <c r="AX4002" s="56"/>
      <c r="AY4002" s="56"/>
      <c r="AZ4002" s="56"/>
      <c r="BA4002" s="56"/>
      <c r="BB4002" s="22">
        <f t="shared" si="1244"/>
        <v>1</v>
      </c>
      <c r="BC4002" s="23">
        <v>22</v>
      </c>
      <c r="BD4002" s="130">
        <f t="shared" si="1245"/>
        <v>1</v>
      </c>
      <c r="BE4002" s="130">
        <f t="shared" si="1242"/>
        <v>22</v>
      </c>
      <c r="BF4002" s="195">
        <f t="shared" si="1246"/>
        <v>4.5454545454545459</v>
      </c>
      <c r="BG4002" s="373">
        <f t="shared" si="1247"/>
        <v>21</v>
      </c>
    </row>
    <row r="4003" spans="1:61" s="46" customFormat="1" ht="14.25" customHeight="1">
      <c r="A4003" s="453">
        <v>16</v>
      </c>
      <c r="B4003" s="454" t="s">
        <v>1773</v>
      </c>
      <c r="C4003" s="458" t="s">
        <v>2475</v>
      </c>
      <c r="D4003" s="55"/>
      <c r="E4003" s="55"/>
      <c r="F4003" s="55"/>
      <c r="G4003" s="55"/>
      <c r="H4003" s="55"/>
      <c r="I4003" s="55"/>
      <c r="J4003" s="55"/>
      <c r="K4003" s="55"/>
      <c r="L4003" s="55"/>
      <c r="M4003" s="55"/>
      <c r="N4003" s="55"/>
      <c r="O4003" s="55"/>
      <c r="P4003" s="55"/>
      <c r="Q4003" s="55"/>
      <c r="R4003" s="55"/>
      <c r="S4003" s="55"/>
      <c r="T4003" s="55"/>
      <c r="U4003" s="55"/>
      <c r="V4003" s="55"/>
      <c r="W4003" s="55"/>
      <c r="X4003" s="55"/>
      <c r="Y4003" s="55"/>
      <c r="Z4003" s="55"/>
      <c r="AA4003" s="55"/>
      <c r="AB4003" s="22">
        <f t="shared" si="1243"/>
        <v>0</v>
      </c>
      <c r="AC4003" s="23">
        <v>0</v>
      </c>
      <c r="AD4003" s="56"/>
      <c r="AE4003" s="56"/>
      <c r="AF4003" s="56"/>
      <c r="AG4003" s="56"/>
      <c r="AH4003" s="56"/>
      <c r="AI4003" s="56"/>
      <c r="AJ4003" s="56"/>
      <c r="AK4003" s="56"/>
      <c r="AL4003" s="56"/>
      <c r="AM4003" s="56"/>
      <c r="AN4003" s="56"/>
      <c r="AO4003" s="56"/>
      <c r="AP4003" s="56"/>
      <c r="AQ4003" s="56"/>
      <c r="AR4003" s="56"/>
      <c r="AS4003" s="56"/>
      <c r="AT4003" s="56"/>
      <c r="AU4003" s="56"/>
      <c r="AV4003" s="56"/>
      <c r="AW4003" s="56"/>
      <c r="AX4003" s="56"/>
      <c r="AY4003" s="56"/>
      <c r="AZ4003" s="56"/>
      <c r="BA4003" s="56"/>
      <c r="BB4003" s="22">
        <f t="shared" si="1244"/>
        <v>0</v>
      </c>
      <c r="BC4003" s="23">
        <v>5</v>
      </c>
      <c r="BD4003" s="130">
        <f t="shared" si="1245"/>
        <v>0</v>
      </c>
      <c r="BE4003" s="130">
        <f t="shared" si="1242"/>
        <v>5</v>
      </c>
      <c r="BF4003" s="195">
        <f t="shared" si="1246"/>
        <v>0</v>
      </c>
      <c r="BG4003" s="373">
        <f t="shared" si="1247"/>
        <v>5</v>
      </c>
    </row>
    <row r="4004" spans="1:61" s="46" customFormat="1" ht="14.25" customHeight="1">
      <c r="A4004" s="648" t="s">
        <v>1787</v>
      </c>
      <c r="B4004" s="649"/>
      <c r="C4004" s="649"/>
      <c r="D4004" s="52">
        <f t="shared" ref="D4004:AI4004" si="1248">SUM(D4005:D4023)</f>
        <v>0</v>
      </c>
      <c r="E4004" s="52">
        <f t="shared" si="1248"/>
        <v>0</v>
      </c>
      <c r="F4004" s="52">
        <f t="shared" si="1248"/>
        <v>0</v>
      </c>
      <c r="G4004" s="52">
        <f t="shared" si="1248"/>
        <v>0</v>
      </c>
      <c r="H4004" s="52">
        <f t="shared" si="1248"/>
        <v>39</v>
      </c>
      <c r="I4004" s="52">
        <f t="shared" si="1248"/>
        <v>0</v>
      </c>
      <c r="J4004" s="52">
        <f t="shared" si="1248"/>
        <v>0</v>
      </c>
      <c r="K4004" s="52">
        <f t="shared" si="1248"/>
        <v>0</v>
      </c>
      <c r="L4004" s="52">
        <f t="shared" si="1248"/>
        <v>254</v>
      </c>
      <c r="M4004" s="52">
        <f t="shared" si="1248"/>
        <v>0</v>
      </c>
      <c r="N4004" s="52">
        <f t="shared" si="1248"/>
        <v>0</v>
      </c>
      <c r="O4004" s="52">
        <f t="shared" si="1248"/>
        <v>0</v>
      </c>
      <c r="P4004" s="52">
        <f t="shared" si="1248"/>
        <v>124</v>
      </c>
      <c r="Q4004" s="52">
        <f t="shared" si="1248"/>
        <v>0</v>
      </c>
      <c r="R4004" s="52">
        <f t="shared" si="1248"/>
        <v>0</v>
      </c>
      <c r="S4004" s="52">
        <f t="shared" si="1248"/>
        <v>0</v>
      </c>
      <c r="T4004" s="52">
        <f t="shared" si="1248"/>
        <v>0</v>
      </c>
      <c r="U4004" s="52">
        <f t="shared" si="1248"/>
        <v>0</v>
      </c>
      <c r="V4004" s="52">
        <f t="shared" si="1248"/>
        <v>0</v>
      </c>
      <c r="W4004" s="52">
        <f t="shared" si="1248"/>
        <v>0</v>
      </c>
      <c r="X4004" s="52">
        <f t="shared" si="1248"/>
        <v>0</v>
      </c>
      <c r="Y4004" s="52">
        <f t="shared" si="1248"/>
        <v>0</v>
      </c>
      <c r="Z4004" s="52">
        <f t="shared" si="1248"/>
        <v>0</v>
      </c>
      <c r="AA4004" s="52">
        <f t="shared" si="1248"/>
        <v>0</v>
      </c>
      <c r="AB4004" s="52">
        <f t="shared" si="1248"/>
        <v>417</v>
      </c>
      <c r="AC4004" s="127">
        <f t="shared" si="1248"/>
        <v>656</v>
      </c>
      <c r="AD4004" s="52">
        <f t="shared" si="1248"/>
        <v>0</v>
      </c>
      <c r="AE4004" s="52">
        <f t="shared" si="1248"/>
        <v>0</v>
      </c>
      <c r="AF4004" s="52">
        <f t="shared" si="1248"/>
        <v>0</v>
      </c>
      <c r="AG4004" s="52">
        <f t="shared" si="1248"/>
        <v>0</v>
      </c>
      <c r="AH4004" s="52">
        <f t="shared" si="1248"/>
        <v>9</v>
      </c>
      <c r="AI4004" s="52">
        <f t="shared" si="1248"/>
        <v>0</v>
      </c>
      <c r="AJ4004" s="52">
        <f t="shared" ref="AJ4004:BC4004" si="1249">SUM(AJ4005:AJ4023)</f>
        <v>0</v>
      </c>
      <c r="AK4004" s="52">
        <f t="shared" si="1249"/>
        <v>0</v>
      </c>
      <c r="AL4004" s="52">
        <f t="shared" si="1249"/>
        <v>260</v>
      </c>
      <c r="AM4004" s="52">
        <f t="shared" si="1249"/>
        <v>0</v>
      </c>
      <c r="AN4004" s="52">
        <f t="shared" si="1249"/>
        <v>0</v>
      </c>
      <c r="AO4004" s="52">
        <f t="shared" si="1249"/>
        <v>0</v>
      </c>
      <c r="AP4004" s="52">
        <f t="shared" si="1249"/>
        <v>105</v>
      </c>
      <c r="AQ4004" s="52">
        <f t="shared" si="1249"/>
        <v>0</v>
      </c>
      <c r="AR4004" s="52">
        <f t="shared" si="1249"/>
        <v>0</v>
      </c>
      <c r="AS4004" s="52">
        <f t="shared" si="1249"/>
        <v>0</v>
      </c>
      <c r="AT4004" s="52">
        <f t="shared" si="1249"/>
        <v>0</v>
      </c>
      <c r="AU4004" s="52">
        <f t="shared" si="1249"/>
        <v>0</v>
      </c>
      <c r="AV4004" s="52">
        <f t="shared" si="1249"/>
        <v>0</v>
      </c>
      <c r="AW4004" s="52">
        <f t="shared" si="1249"/>
        <v>0</v>
      </c>
      <c r="AX4004" s="52">
        <f t="shared" si="1249"/>
        <v>0</v>
      </c>
      <c r="AY4004" s="52">
        <f t="shared" si="1249"/>
        <v>0</v>
      </c>
      <c r="AZ4004" s="52">
        <f t="shared" si="1249"/>
        <v>0</v>
      </c>
      <c r="BA4004" s="52">
        <f t="shared" si="1249"/>
        <v>0</v>
      </c>
      <c r="BB4004" s="52">
        <f t="shared" si="1249"/>
        <v>374</v>
      </c>
      <c r="BC4004" s="127">
        <f t="shared" si="1249"/>
        <v>1110</v>
      </c>
      <c r="BD4004" s="130">
        <f t="shared" si="1241"/>
        <v>791</v>
      </c>
      <c r="BE4004" s="130">
        <f t="shared" si="1242"/>
        <v>1766</v>
      </c>
      <c r="BF4004" s="195">
        <f t="shared" si="1219"/>
        <v>44.790486976217444</v>
      </c>
      <c r="BG4004" s="375">
        <f t="shared" ref="BG4004:BG4024" si="1250">BE4004-BD4004</f>
        <v>975</v>
      </c>
    </row>
    <row r="4005" spans="1:61" s="46" customFormat="1" ht="21" customHeight="1">
      <c r="A4005" s="417">
        <v>1</v>
      </c>
      <c r="B4005" s="418" t="s">
        <v>1743</v>
      </c>
      <c r="C4005" s="419" t="s">
        <v>1744</v>
      </c>
      <c r="D4005" s="55"/>
      <c r="E4005" s="55"/>
      <c r="F4005" s="55"/>
      <c r="G4005" s="55"/>
      <c r="H4005" s="55"/>
      <c r="I4005" s="55"/>
      <c r="J4005" s="55"/>
      <c r="K4005" s="55"/>
      <c r="L4005" s="55">
        <v>9</v>
      </c>
      <c r="M4005" s="55"/>
      <c r="N4005" s="55"/>
      <c r="O4005" s="55"/>
      <c r="P4005" s="55">
        <v>8</v>
      </c>
      <c r="Q4005" s="55"/>
      <c r="R4005" s="55"/>
      <c r="S4005" s="55"/>
      <c r="T4005" s="55"/>
      <c r="U4005" s="55"/>
      <c r="V4005" s="55"/>
      <c r="W4005" s="55"/>
      <c r="X4005" s="55"/>
      <c r="Y4005" s="55"/>
      <c r="Z4005" s="55"/>
      <c r="AA4005" s="55"/>
      <c r="AB4005" s="22">
        <f t="shared" ref="AB4005:AB4023" si="1251">SUM(D4005:AA4005)</f>
        <v>17</v>
      </c>
      <c r="AC4005" s="23">
        <v>66</v>
      </c>
      <c r="AD4005" s="56"/>
      <c r="AE4005" s="56"/>
      <c r="AF4005" s="56"/>
      <c r="AG4005" s="56"/>
      <c r="AH4005" s="56"/>
      <c r="AI4005" s="56"/>
      <c r="AJ4005" s="56"/>
      <c r="AK4005" s="56"/>
      <c r="AL4005" s="56"/>
      <c r="AM4005" s="56"/>
      <c r="AN4005" s="56"/>
      <c r="AO4005" s="56"/>
      <c r="AP4005" s="56"/>
      <c r="AQ4005" s="56"/>
      <c r="AR4005" s="56"/>
      <c r="AS4005" s="56"/>
      <c r="AT4005" s="56"/>
      <c r="AU4005" s="56"/>
      <c r="AV4005" s="56"/>
      <c r="AW4005" s="56"/>
      <c r="AX4005" s="56"/>
      <c r="AY4005" s="56"/>
      <c r="AZ4005" s="56"/>
      <c r="BA4005" s="56"/>
      <c r="BB4005" s="22">
        <f t="shared" ref="BB4005:BB4023" si="1252">SUM(AD4005:BA4005)</f>
        <v>0</v>
      </c>
      <c r="BC4005" s="23">
        <v>0</v>
      </c>
      <c r="BD4005" s="130">
        <f t="shared" ref="BD4005:BD4023" si="1253">AB4005+BB4005</f>
        <v>17</v>
      </c>
      <c r="BE4005" s="130">
        <f t="shared" si="1242"/>
        <v>66</v>
      </c>
      <c r="BF4005" s="195">
        <f t="shared" ref="BF4005:BF4023" si="1254">BD4005/BE4005*100</f>
        <v>25.757575757575758</v>
      </c>
      <c r="BG4005" s="373">
        <f t="shared" ref="BG4005:BG4023" si="1255">BE4005-BD4005</f>
        <v>49</v>
      </c>
      <c r="BH4005" s="426" t="s">
        <v>3675</v>
      </c>
      <c r="BI4005" s="420"/>
    </row>
    <row r="4006" spans="1:61" s="46" customFormat="1" ht="21" customHeight="1">
      <c r="A4006" s="417">
        <v>2</v>
      </c>
      <c r="B4006" s="418" t="s">
        <v>1790</v>
      </c>
      <c r="C4006" s="419" t="s">
        <v>1791</v>
      </c>
      <c r="D4006" s="55"/>
      <c r="E4006" s="55"/>
      <c r="F4006" s="55"/>
      <c r="G4006" s="55"/>
      <c r="H4006" s="55"/>
      <c r="I4006" s="55"/>
      <c r="J4006" s="55"/>
      <c r="K4006" s="55"/>
      <c r="L4006" s="55"/>
      <c r="M4006" s="55"/>
      <c r="N4006" s="55"/>
      <c r="O4006" s="55"/>
      <c r="P4006" s="55"/>
      <c r="Q4006" s="55"/>
      <c r="R4006" s="55"/>
      <c r="S4006" s="55"/>
      <c r="T4006" s="55"/>
      <c r="U4006" s="55"/>
      <c r="V4006" s="55"/>
      <c r="W4006" s="55"/>
      <c r="X4006" s="55"/>
      <c r="Y4006" s="55"/>
      <c r="Z4006" s="55"/>
      <c r="AA4006" s="55"/>
      <c r="AB4006" s="22">
        <f t="shared" si="1251"/>
        <v>0</v>
      </c>
      <c r="AC4006" s="23">
        <v>2</v>
      </c>
      <c r="AD4006" s="56"/>
      <c r="AE4006" s="56"/>
      <c r="AF4006" s="56"/>
      <c r="AG4006" s="56"/>
      <c r="AH4006" s="56"/>
      <c r="AI4006" s="56"/>
      <c r="AJ4006" s="56"/>
      <c r="AK4006" s="56"/>
      <c r="AL4006" s="56"/>
      <c r="AM4006" s="56"/>
      <c r="AN4006" s="56"/>
      <c r="AO4006" s="56"/>
      <c r="AP4006" s="56"/>
      <c r="AQ4006" s="56"/>
      <c r="AR4006" s="56"/>
      <c r="AS4006" s="56"/>
      <c r="AT4006" s="56"/>
      <c r="AU4006" s="56"/>
      <c r="AV4006" s="56"/>
      <c r="AW4006" s="56"/>
      <c r="AX4006" s="56"/>
      <c r="AY4006" s="56"/>
      <c r="AZ4006" s="56"/>
      <c r="BA4006" s="56"/>
      <c r="BB4006" s="22">
        <f t="shared" si="1252"/>
        <v>0</v>
      </c>
      <c r="BC4006" s="23">
        <v>0</v>
      </c>
      <c r="BD4006" s="130">
        <f t="shared" si="1253"/>
        <v>0</v>
      </c>
      <c r="BE4006" s="130">
        <f t="shared" si="1242"/>
        <v>2</v>
      </c>
      <c r="BF4006" s="195">
        <f t="shared" si="1254"/>
        <v>0</v>
      </c>
      <c r="BG4006" s="373">
        <f t="shared" si="1255"/>
        <v>2</v>
      </c>
      <c r="BH4006" s="426" t="s">
        <v>3675</v>
      </c>
      <c r="BI4006" s="420"/>
    </row>
    <row r="4007" spans="1:61" s="46" customFormat="1" ht="21" customHeight="1">
      <c r="A4007" s="417">
        <v>3</v>
      </c>
      <c r="B4007" s="418" t="s">
        <v>1813</v>
      </c>
      <c r="C4007" s="419" t="s">
        <v>2292</v>
      </c>
      <c r="D4007" s="55"/>
      <c r="E4007" s="55"/>
      <c r="F4007" s="55"/>
      <c r="G4007" s="55"/>
      <c r="H4007" s="56">
        <v>11</v>
      </c>
      <c r="I4007" s="55"/>
      <c r="J4007" s="55"/>
      <c r="K4007" s="55"/>
      <c r="L4007" s="55">
        <v>27</v>
      </c>
      <c r="M4007" s="55"/>
      <c r="N4007" s="55"/>
      <c r="O4007" s="55"/>
      <c r="P4007" s="55"/>
      <c r="Q4007" s="55"/>
      <c r="R4007" s="55"/>
      <c r="S4007" s="55"/>
      <c r="T4007" s="55"/>
      <c r="U4007" s="55"/>
      <c r="V4007" s="55"/>
      <c r="W4007" s="55"/>
      <c r="X4007" s="55"/>
      <c r="Y4007" s="55"/>
      <c r="Z4007" s="55"/>
      <c r="AA4007" s="55"/>
      <c r="AB4007" s="22">
        <f t="shared" si="1251"/>
        <v>38</v>
      </c>
      <c r="AC4007" s="23">
        <v>0</v>
      </c>
      <c r="AD4007" s="56"/>
      <c r="AE4007" s="56"/>
      <c r="AF4007" s="56"/>
      <c r="AG4007" s="56"/>
      <c r="AH4007" s="56"/>
      <c r="AI4007" s="56"/>
      <c r="AJ4007" s="56"/>
      <c r="AK4007" s="56"/>
      <c r="AL4007" s="56"/>
      <c r="AM4007" s="56"/>
      <c r="AN4007" s="56"/>
      <c r="AO4007" s="56"/>
      <c r="AP4007" s="56"/>
      <c r="AQ4007" s="56"/>
      <c r="AR4007" s="56"/>
      <c r="AS4007" s="56"/>
      <c r="AT4007" s="56"/>
      <c r="AU4007" s="56"/>
      <c r="AV4007" s="56"/>
      <c r="AW4007" s="56"/>
      <c r="AX4007" s="56"/>
      <c r="AY4007" s="56"/>
      <c r="AZ4007" s="56"/>
      <c r="BA4007" s="56"/>
      <c r="BB4007" s="22">
        <f t="shared" si="1252"/>
        <v>0</v>
      </c>
      <c r="BC4007" s="23">
        <v>0</v>
      </c>
      <c r="BD4007" s="130">
        <f t="shared" ref="BD4007" si="1256">AB4007+BB4007</f>
        <v>38</v>
      </c>
      <c r="BE4007" s="130">
        <f t="shared" ref="BE4007" si="1257">AC4007+BC4007</f>
        <v>0</v>
      </c>
      <c r="BF4007" s="195" t="e">
        <f t="shared" ref="BF4007" si="1258">BD4007/BE4007*100</f>
        <v>#DIV/0!</v>
      </c>
      <c r="BG4007" s="373"/>
      <c r="BH4007" s="426" t="s">
        <v>3675</v>
      </c>
      <c r="BI4007" s="420"/>
    </row>
    <row r="4008" spans="1:61" s="46" customFormat="1" ht="21" customHeight="1">
      <c r="A4008" s="417">
        <v>4</v>
      </c>
      <c r="B4008" s="418" t="s">
        <v>1747</v>
      </c>
      <c r="C4008" s="419" t="s">
        <v>1748</v>
      </c>
      <c r="D4008" s="55"/>
      <c r="E4008" s="55"/>
      <c r="F4008" s="55"/>
      <c r="G4008" s="55"/>
      <c r="H4008" s="56">
        <v>19</v>
      </c>
      <c r="I4008" s="55"/>
      <c r="J4008" s="55"/>
      <c r="K4008" s="55"/>
      <c r="L4008" s="55">
        <v>114</v>
      </c>
      <c r="M4008" s="55"/>
      <c r="N4008" s="55"/>
      <c r="O4008" s="55"/>
      <c r="P4008" s="55">
        <v>62</v>
      </c>
      <c r="Q4008" s="55"/>
      <c r="R4008" s="55"/>
      <c r="S4008" s="55"/>
      <c r="T4008" s="55"/>
      <c r="U4008" s="55"/>
      <c r="V4008" s="55"/>
      <c r="W4008" s="55"/>
      <c r="X4008" s="55"/>
      <c r="Y4008" s="55"/>
      <c r="Z4008" s="55"/>
      <c r="AA4008" s="55"/>
      <c r="AB4008" s="22">
        <f t="shared" si="1251"/>
        <v>195</v>
      </c>
      <c r="AC4008" s="23">
        <v>296</v>
      </c>
      <c r="AD4008" s="56"/>
      <c r="AE4008" s="56"/>
      <c r="AF4008" s="56"/>
      <c r="AG4008" s="56"/>
      <c r="AH4008" s="56"/>
      <c r="AI4008" s="56"/>
      <c r="AJ4008" s="56"/>
      <c r="AK4008" s="56"/>
      <c r="AL4008" s="56"/>
      <c r="AM4008" s="56"/>
      <c r="AN4008" s="56"/>
      <c r="AO4008" s="56"/>
      <c r="AP4008" s="56"/>
      <c r="AQ4008" s="56"/>
      <c r="AR4008" s="56"/>
      <c r="AS4008" s="56"/>
      <c r="AT4008" s="56"/>
      <c r="AU4008" s="56"/>
      <c r="AV4008" s="56"/>
      <c r="AW4008" s="56"/>
      <c r="AX4008" s="56"/>
      <c r="AY4008" s="56"/>
      <c r="AZ4008" s="56"/>
      <c r="BA4008" s="56"/>
      <c r="BB4008" s="22">
        <f t="shared" si="1252"/>
        <v>0</v>
      </c>
      <c r="BC4008" s="23">
        <v>0</v>
      </c>
      <c r="BD4008" s="130">
        <f t="shared" si="1253"/>
        <v>195</v>
      </c>
      <c r="BE4008" s="130">
        <f t="shared" si="1242"/>
        <v>296</v>
      </c>
      <c r="BF4008" s="195">
        <f t="shared" si="1254"/>
        <v>65.878378378378372</v>
      </c>
      <c r="BG4008" s="373">
        <f t="shared" si="1255"/>
        <v>101</v>
      </c>
      <c r="BH4008" s="426" t="s">
        <v>3675</v>
      </c>
      <c r="BI4008" s="420"/>
    </row>
    <row r="4009" spans="1:61" s="46" customFormat="1" ht="21" customHeight="1">
      <c r="A4009" s="417">
        <v>5</v>
      </c>
      <c r="B4009" s="418" t="s">
        <v>1749</v>
      </c>
      <c r="C4009" s="419" t="s">
        <v>1750</v>
      </c>
      <c r="D4009" s="55"/>
      <c r="E4009" s="55"/>
      <c r="F4009" s="55"/>
      <c r="G4009" s="55"/>
      <c r="H4009" s="56"/>
      <c r="I4009" s="55"/>
      <c r="J4009" s="55"/>
      <c r="K4009" s="55"/>
      <c r="L4009" s="55">
        <v>31</v>
      </c>
      <c r="M4009" s="55"/>
      <c r="N4009" s="55"/>
      <c r="O4009" s="55"/>
      <c r="P4009" s="55"/>
      <c r="Q4009" s="55"/>
      <c r="R4009" s="55"/>
      <c r="S4009" s="55"/>
      <c r="T4009" s="55"/>
      <c r="U4009" s="55"/>
      <c r="V4009" s="55"/>
      <c r="W4009" s="55"/>
      <c r="X4009" s="55"/>
      <c r="Y4009" s="55"/>
      <c r="Z4009" s="55"/>
      <c r="AA4009" s="55"/>
      <c r="AB4009" s="22">
        <f t="shared" si="1251"/>
        <v>31</v>
      </c>
      <c r="AC4009" s="23">
        <v>54</v>
      </c>
      <c r="AD4009" s="56"/>
      <c r="AE4009" s="56"/>
      <c r="AF4009" s="56"/>
      <c r="AG4009" s="56"/>
      <c r="AH4009" s="56"/>
      <c r="AI4009" s="56"/>
      <c r="AJ4009" s="56"/>
      <c r="AK4009" s="56"/>
      <c r="AL4009" s="56"/>
      <c r="AM4009" s="56"/>
      <c r="AN4009" s="56"/>
      <c r="AO4009" s="56"/>
      <c r="AP4009" s="56"/>
      <c r="AQ4009" s="56"/>
      <c r="AR4009" s="56"/>
      <c r="AS4009" s="56"/>
      <c r="AT4009" s="56"/>
      <c r="AU4009" s="56"/>
      <c r="AV4009" s="56"/>
      <c r="AW4009" s="56"/>
      <c r="AX4009" s="56"/>
      <c r="AY4009" s="56"/>
      <c r="AZ4009" s="56"/>
      <c r="BA4009" s="56"/>
      <c r="BB4009" s="22">
        <f t="shared" si="1252"/>
        <v>0</v>
      </c>
      <c r="BC4009" s="23">
        <v>0</v>
      </c>
      <c r="BD4009" s="130">
        <f t="shared" si="1253"/>
        <v>31</v>
      </c>
      <c r="BE4009" s="130">
        <f t="shared" si="1242"/>
        <v>54</v>
      </c>
      <c r="BF4009" s="195">
        <f t="shared" si="1254"/>
        <v>57.407407407407405</v>
      </c>
      <c r="BG4009" s="373">
        <f t="shared" si="1255"/>
        <v>23</v>
      </c>
      <c r="BH4009" s="426" t="s">
        <v>3675</v>
      </c>
      <c r="BI4009" s="421"/>
    </row>
    <row r="4010" spans="1:61" s="46" customFormat="1" ht="21" customHeight="1">
      <c r="A4010" s="417">
        <v>6</v>
      </c>
      <c r="B4010" s="418" t="s">
        <v>1801</v>
      </c>
      <c r="C4010" s="419" t="s">
        <v>1802</v>
      </c>
      <c r="D4010" s="55"/>
      <c r="E4010" s="55"/>
      <c r="F4010" s="55"/>
      <c r="G4010" s="55"/>
      <c r="H4010" s="56"/>
      <c r="I4010" s="55"/>
      <c r="J4010" s="55"/>
      <c r="K4010" s="55"/>
      <c r="L4010" s="55"/>
      <c r="M4010" s="55"/>
      <c r="N4010" s="55"/>
      <c r="O4010" s="55"/>
      <c r="P4010" s="55"/>
      <c r="Q4010" s="55"/>
      <c r="R4010" s="55"/>
      <c r="S4010" s="55"/>
      <c r="T4010" s="55"/>
      <c r="U4010" s="55"/>
      <c r="V4010" s="55"/>
      <c r="W4010" s="55"/>
      <c r="X4010" s="55"/>
      <c r="Y4010" s="55"/>
      <c r="Z4010" s="55"/>
      <c r="AA4010" s="55"/>
      <c r="AB4010" s="22">
        <f t="shared" si="1251"/>
        <v>0</v>
      </c>
      <c r="AC4010" s="23">
        <v>4</v>
      </c>
      <c r="AD4010" s="56"/>
      <c r="AE4010" s="56"/>
      <c r="AF4010" s="56"/>
      <c r="AG4010" s="56"/>
      <c r="AH4010" s="56"/>
      <c r="AI4010" s="56"/>
      <c r="AJ4010" s="56"/>
      <c r="AK4010" s="56"/>
      <c r="AL4010" s="56"/>
      <c r="AM4010" s="56"/>
      <c r="AN4010" s="56"/>
      <c r="AO4010" s="56"/>
      <c r="AP4010" s="56"/>
      <c r="AQ4010" s="56"/>
      <c r="AR4010" s="56"/>
      <c r="AS4010" s="56"/>
      <c r="AT4010" s="56"/>
      <c r="AU4010" s="56"/>
      <c r="AV4010" s="56"/>
      <c r="AW4010" s="56"/>
      <c r="AX4010" s="56"/>
      <c r="AY4010" s="56"/>
      <c r="AZ4010" s="56"/>
      <c r="BA4010" s="56"/>
      <c r="BB4010" s="22">
        <f t="shared" si="1252"/>
        <v>0</v>
      </c>
      <c r="BC4010" s="23">
        <v>0</v>
      </c>
      <c r="BD4010" s="130">
        <f t="shared" si="1253"/>
        <v>0</v>
      </c>
      <c r="BE4010" s="130">
        <f t="shared" si="1242"/>
        <v>4</v>
      </c>
      <c r="BF4010" s="195">
        <f t="shared" si="1254"/>
        <v>0</v>
      </c>
      <c r="BG4010" s="373">
        <f t="shared" si="1255"/>
        <v>4</v>
      </c>
      <c r="BH4010" s="426" t="s">
        <v>3675</v>
      </c>
      <c r="BI4010" s="421"/>
    </row>
    <row r="4011" spans="1:61" s="46" customFormat="1" ht="21" customHeight="1">
      <c r="A4011" s="417">
        <v>7</v>
      </c>
      <c r="B4011" s="418" t="s">
        <v>1751</v>
      </c>
      <c r="C4011" s="419" t="s">
        <v>1752</v>
      </c>
      <c r="D4011" s="55"/>
      <c r="E4011" s="55"/>
      <c r="F4011" s="55"/>
      <c r="G4011" s="55"/>
      <c r="H4011" s="56">
        <v>9</v>
      </c>
      <c r="I4011" s="55"/>
      <c r="J4011" s="55"/>
      <c r="K4011" s="55"/>
      <c r="L4011" s="55"/>
      <c r="M4011" s="55"/>
      <c r="N4011" s="55"/>
      <c r="O4011" s="55"/>
      <c r="P4011" s="55"/>
      <c r="Q4011" s="55"/>
      <c r="R4011" s="55"/>
      <c r="S4011" s="55"/>
      <c r="T4011" s="55"/>
      <c r="U4011" s="55"/>
      <c r="V4011" s="55"/>
      <c r="W4011" s="55"/>
      <c r="X4011" s="55"/>
      <c r="Y4011" s="55"/>
      <c r="Z4011" s="55"/>
      <c r="AA4011" s="55"/>
      <c r="AB4011" s="22">
        <f t="shared" si="1251"/>
        <v>9</v>
      </c>
      <c r="AC4011" s="23">
        <f>2+4+2</f>
        <v>8</v>
      </c>
      <c r="AD4011" s="56"/>
      <c r="AE4011" s="56"/>
      <c r="AF4011" s="56"/>
      <c r="AG4011" s="56"/>
      <c r="AH4011" s="56"/>
      <c r="AI4011" s="56"/>
      <c r="AJ4011" s="56"/>
      <c r="AK4011" s="56"/>
      <c r="AL4011" s="56"/>
      <c r="AM4011" s="56"/>
      <c r="AN4011" s="56"/>
      <c r="AO4011" s="56"/>
      <c r="AP4011" s="56"/>
      <c r="AQ4011" s="56"/>
      <c r="AR4011" s="56"/>
      <c r="AS4011" s="56"/>
      <c r="AT4011" s="56"/>
      <c r="AU4011" s="56"/>
      <c r="AV4011" s="56"/>
      <c r="AW4011" s="56"/>
      <c r="AX4011" s="56"/>
      <c r="AY4011" s="56"/>
      <c r="AZ4011" s="56"/>
      <c r="BA4011" s="56"/>
      <c r="BB4011" s="22">
        <f t="shared" si="1252"/>
        <v>0</v>
      </c>
      <c r="BC4011" s="23">
        <v>0</v>
      </c>
      <c r="BD4011" s="130">
        <f t="shared" si="1253"/>
        <v>9</v>
      </c>
      <c r="BE4011" s="130">
        <f t="shared" si="1242"/>
        <v>8</v>
      </c>
      <c r="BF4011" s="195">
        <f t="shared" si="1254"/>
        <v>112.5</v>
      </c>
      <c r="BG4011" s="373">
        <f t="shared" si="1255"/>
        <v>-1</v>
      </c>
      <c r="BH4011" s="426" t="s">
        <v>3675</v>
      </c>
      <c r="BI4011" s="420"/>
    </row>
    <row r="4012" spans="1:61" s="46" customFormat="1" ht="21" customHeight="1">
      <c r="A4012" s="417">
        <v>8</v>
      </c>
      <c r="B4012" s="418" t="s">
        <v>1753</v>
      </c>
      <c r="C4012" s="419" t="s">
        <v>1754</v>
      </c>
      <c r="D4012" s="55"/>
      <c r="E4012" s="55"/>
      <c r="F4012" s="55"/>
      <c r="G4012" s="55"/>
      <c r="H4012" s="55"/>
      <c r="I4012" s="55"/>
      <c r="J4012" s="55"/>
      <c r="K4012" s="55"/>
      <c r="L4012" s="55">
        <v>68</v>
      </c>
      <c r="M4012" s="55"/>
      <c r="N4012" s="55"/>
      <c r="O4012" s="55"/>
      <c r="P4012" s="55">
        <v>50</v>
      </c>
      <c r="Q4012" s="55"/>
      <c r="R4012" s="55"/>
      <c r="S4012" s="55"/>
      <c r="T4012" s="55"/>
      <c r="U4012" s="55"/>
      <c r="V4012" s="55"/>
      <c r="W4012" s="55"/>
      <c r="X4012" s="55"/>
      <c r="Y4012" s="55"/>
      <c r="Z4012" s="55"/>
      <c r="AA4012" s="55"/>
      <c r="AB4012" s="22">
        <f t="shared" si="1251"/>
        <v>118</v>
      </c>
      <c r="AC4012" s="23">
        <f>10+142</f>
        <v>152</v>
      </c>
      <c r="AD4012" s="56"/>
      <c r="AE4012" s="56"/>
      <c r="AF4012" s="56"/>
      <c r="AG4012" s="56"/>
      <c r="AH4012" s="56"/>
      <c r="AI4012" s="56"/>
      <c r="AJ4012" s="56"/>
      <c r="AK4012" s="56"/>
      <c r="AL4012" s="56"/>
      <c r="AM4012" s="56"/>
      <c r="AN4012" s="56"/>
      <c r="AO4012" s="56"/>
      <c r="AP4012" s="56"/>
      <c r="AQ4012" s="56"/>
      <c r="AR4012" s="56"/>
      <c r="AS4012" s="56"/>
      <c r="AT4012" s="56"/>
      <c r="AU4012" s="56"/>
      <c r="AV4012" s="56"/>
      <c r="AW4012" s="56"/>
      <c r="AX4012" s="56"/>
      <c r="AY4012" s="56"/>
      <c r="AZ4012" s="56"/>
      <c r="BA4012" s="56"/>
      <c r="BB4012" s="22">
        <f t="shared" si="1252"/>
        <v>0</v>
      </c>
      <c r="BC4012" s="23">
        <v>0</v>
      </c>
      <c r="BD4012" s="130">
        <f t="shared" si="1253"/>
        <v>118</v>
      </c>
      <c r="BE4012" s="130">
        <f t="shared" si="1242"/>
        <v>152</v>
      </c>
      <c r="BF4012" s="195">
        <f t="shared" si="1254"/>
        <v>77.631578947368425</v>
      </c>
      <c r="BG4012" s="373">
        <f t="shared" si="1255"/>
        <v>34</v>
      </c>
      <c r="BH4012" s="426" t="s">
        <v>3675</v>
      </c>
      <c r="BI4012" s="420"/>
    </row>
    <row r="4013" spans="1:61" s="46" customFormat="1" ht="21" customHeight="1">
      <c r="A4013" s="417">
        <v>9</v>
      </c>
      <c r="B4013" s="418" t="s">
        <v>1775</v>
      </c>
      <c r="C4013" s="419" t="s">
        <v>1959</v>
      </c>
      <c r="D4013" s="55"/>
      <c r="E4013" s="55"/>
      <c r="F4013" s="55"/>
      <c r="G4013" s="55"/>
      <c r="H4013" s="55"/>
      <c r="I4013" s="55"/>
      <c r="J4013" s="55"/>
      <c r="K4013" s="55"/>
      <c r="L4013" s="55"/>
      <c r="M4013" s="55"/>
      <c r="N4013" s="55"/>
      <c r="O4013" s="55"/>
      <c r="P4013" s="55"/>
      <c r="Q4013" s="55"/>
      <c r="R4013" s="55"/>
      <c r="S4013" s="55"/>
      <c r="T4013" s="55"/>
      <c r="U4013" s="55"/>
      <c r="V4013" s="55"/>
      <c r="W4013" s="55"/>
      <c r="X4013" s="55"/>
      <c r="Y4013" s="55"/>
      <c r="Z4013" s="55"/>
      <c r="AA4013" s="55"/>
      <c r="AB4013" s="22">
        <f t="shared" si="1251"/>
        <v>0</v>
      </c>
      <c r="AC4013" s="23">
        <v>1</v>
      </c>
      <c r="AD4013" s="56"/>
      <c r="AE4013" s="56"/>
      <c r="AF4013" s="56"/>
      <c r="AG4013" s="56"/>
      <c r="AH4013" s="56"/>
      <c r="AI4013" s="56"/>
      <c r="AJ4013" s="56"/>
      <c r="AK4013" s="56"/>
      <c r="AL4013" s="56"/>
      <c r="AM4013" s="56"/>
      <c r="AN4013" s="56"/>
      <c r="AO4013" s="56"/>
      <c r="AP4013" s="56"/>
      <c r="AQ4013" s="56"/>
      <c r="AR4013" s="56"/>
      <c r="AS4013" s="56"/>
      <c r="AT4013" s="56"/>
      <c r="AU4013" s="56"/>
      <c r="AV4013" s="56"/>
      <c r="AW4013" s="56"/>
      <c r="AX4013" s="56"/>
      <c r="AY4013" s="56"/>
      <c r="AZ4013" s="56"/>
      <c r="BA4013" s="56"/>
      <c r="BB4013" s="22">
        <f t="shared" si="1252"/>
        <v>0</v>
      </c>
      <c r="BC4013" s="23">
        <v>0</v>
      </c>
      <c r="BD4013" s="130">
        <f t="shared" si="1253"/>
        <v>0</v>
      </c>
      <c r="BE4013" s="130">
        <f t="shared" si="1242"/>
        <v>1</v>
      </c>
      <c r="BF4013" s="195">
        <f t="shared" si="1254"/>
        <v>0</v>
      </c>
      <c r="BG4013" s="373">
        <f t="shared" si="1255"/>
        <v>1</v>
      </c>
      <c r="BH4013" s="426" t="s">
        <v>3675</v>
      </c>
      <c r="BI4013" s="421"/>
    </row>
    <row r="4014" spans="1:61" s="46" customFormat="1" ht="21" customHeight="1">
      <c r="A4014" s="417">
        <v>10</v>
      </c>
      <c r="B4014" s="418" t="s">
        <v>1756</v>
      </c>
      <c r="C4014" s="419" t="s">
        <v>1757</v>
      </c>
      <c r="D4014" s="55"/>
      <c r="E4014" s="55"/>
      <c r="F4014" s="55"/>
      <c r="G4014" s="55"/>
      <c r="H4014" s="55"/>
      <c r="I4014" s="55"/>
      <c r="J4014" s="55"/>
      <c r="K4014" s="55"/>
      <c r="L4014" s="55">
        <v>5</v>
      </c>
      <c r="M4014" s="55"/>
      <c r="N4014" s="55"/>
      <c r="O4014" s="55"/>
      <c r="P4014" s="55">
        <v>4</v>
      </c>
      <c r="Q4014" s="55"/>
      <c r="R4014" s="55"/>
      <c r="S4014" s="55"/>
      <c r="T4014" s="55"/>
      <c r="U4014" s="55"/>
      <c r="V4014" s="55"/>
      <c r="W4014" s="55"/>
      <c r="X4014" s="55"/>
      <c r="Y4014" s="55"/>
      <c r="Z4014" s="55"/>
      <c r="AA4014" s="55"/>
      <c r="AB4014" s="22">
        <f t="shared" si="1251"/>
        <v>9</v>
      </c>
      <c r="AC4014" s="23">
        <v>73</v>
      </c>
      <c r="AD4014" s="56"/>
      <c r="AE4014" s="56"/>
      <c r="AF4014" s="56"/>
      <c r="AG4014" s="56"/>
      <c r="AH4014" s="56"/>
      <c r="AI4014" s="56"/>
      <c r="AJ4014" s="56"/>
      <c r="AK4014" s="56"/>
      <c r="AL4014" s="56"/>
      <c r="AM4014" s="56"/>
      <c r="AN4014" s="56"/>
      <c r="AO4014" s="56"/>
      <c r="AP4014" s="56"/>
      <c r="AQ4014" s="56"/>
      <c r="AR4014" s="56"/>
      <c r="AS4014" s="56"/>
      <c r="AT4014" s="56"/>
      <c r="AU4014" s="56"/>
      <c r="AV4014" s="56"/>
      <c r="AW4014" s="56"/>
      <c r="AX4014" s="56"/>
      <c r="AY4014" s="56"/>
      <c r="AZ4014" s="56"/>
      <c r="BA4014" s="56"/>
      <c r="BB4014" s="22">
        <f t="shared" si="1252"/>
        <v>0</v>
      </c>
      <c r="BC4014" s="23">
        <v>0</v>
      </c>
      <c r="BD4014" s="130">
        <f t="shared" si="1253"/>
        <v>9</v>
      </c>
      <c r="BE4014" s="130">
        <f t="shared" si="1242"/>
        <v>73</v>
      </c>
      <c r="BF4014" s="195">
        <f t="shared" si="1254"/>
        <v>12.328767123287671</v>
      </c>
      <c r="BG4014" s="373">
        <f t="shared" si="1255"/>
        <v>64</v>
      </c>
      <c r="BH4014" s="426" t="s">
        <v>3675</v>
      </c>
      <c r="BI4014" s="421"/>
    </row>
    <row r="4015" spans="1:61" s="46" customFormat="1" ht="14.25" customHeight="1">
      <c r="A4015" s="181">
        <v>11</v>
      </c>
      <c r="B4015" s="53" t="s">
        <v>1759</v>
      </c>
      <c r="C4015" s="54" t="s">
        <v>2885</v>
      </c>
      <c r="D4015" s="55"/>
      <c r="E4015" s="55"/>
      <c r="F4015" s="55"/>
      <c r="G4015" s="55"/>
      <c r="H4015" s="55"/>
      <c r="I4015" s="55"/>
      <c r="J4015" s="55"/>
      <c r="K4015" s="55"/>
      <c r="L4015" s="55"/>
      <c r="M4015" s="55"/>
      <c r="N4015" s="55"/>
      <c r="O4015" s="55"/>
      <c r="P4015" s="55"/>
      <c r="Q4015" s="55"/>
      <c r="R4015" s="55"/>
      <c r="S4015" s="55"/>
      <c r="T4015" s="55"/>
      <c r="U4015" s="55"/>
      <c r="V4015" s="55"/>
      <c r="W4015" s="55"/>
      <c r="X4015" s="55"/>
      <c r="Y4015" s="55"/>
      <c r="Z4015" s="55"/>
      <c r="AA4015" s="55"/>
      <c r="AB4015" s="22">
        <f t="shared" si="1251"/>
        <v>0</v>
      </c>
      <c r="AC4015" s="23">
        <v>0</v>
      </c>
      <c r="AD4015" s="56"/>
      <c r="AE4015" s="56"/>
      <c r="AF4015" s="56"/>
      <c r="AG4015" s="56"/>
      <c r="AH4015" s="56"/>
      <c r="AI4015" s="56"/>
      <c r="AJ4015" s="56"/>
      <c r="AK4015" s="56"/>
      <c r="AL4015" s="56"/>
      <c r="AM4015" s="56"/>
      <c r="AN4015" s="56"/>
      <c r="AO4015" s="56"/>
      <c r="AP4015" s="56"/>
      <c r="AQ4015" s="56"/>
      <c r="AR4015" s="56"/>
      <c r="AS4015" s="56"/>
      <c r="AT4015" s="56"/>
      <c r="AU4015" s="56"/>
      <c r="AV4015" s="56"/>
      <c r="AW4015" s="56"/>
      <c r="AX4015" s="56"/>
      <c r="AY4015" s="56"/>
      <c r="AZ4015" s="56"/>
      <c r="BA4015" s="56"/>
      <c r="BB4015" s="22">
        <f t="shared" si="1252"/>
        <v>0</v>
      </c>
      <c r="BC4015" s="23">
        <v>1</v>
      </c>
      <c r="BD4015" s="130">
        <f t="shared" si="1253"/>
        <v>0</v>
      </c>
      <c r="BE4015" s="130">
        <f t="shared" si="1242"/>
        <v>1</v>
      </c>
      <c r="BF4015" s="195">
        <f t="shared" si="1254"/>
        <v>0</v>
      </c>
      <c r="BG4015" s="373">
        <f t="shared" si="1255"/>
        <v>1</v>
      </c>
    </row>
    <row r="4016" spans="1:61" s="46" customFormat="1" ht="14.25" customHeight="1">
      <c r="A4016" s="181">
        <v>12</v>
      </c>
      <c r="B4016" s="53" t="s">
        <v>1763</v>
      </c>
      <c r="C4016" s="57" t="s">
        <v>1764</v>
      </c>
      <c r="D4016" s="55"/>
      <c r="E4016" s="55"/>
      <c r="F4016" s="55"/>
      <c r="G4016" s="55"/>
      <c r="H4016" s="55"/>
      <c r="I4016" s="55"/>
      <c r="J4016" s="55"/>
      <c r="K4016" s="55"/>
      <c r="L4016" s="55"/>
      <c r="M4016" s="55"/>
      <c r="N4016" s="55"/>
      <c r="O4016" s="55"/>
      <c r="P4016" s="55"/>
      <c r="Q4016" s="55"/>
      <c r="R4016" s="55"/>
      <c r="S4016" s="55"/>
      <c r="T4016" s="55"/>
      <c r="U4016" s="55"/>
      <c r="V4016" s="55"/>
      <c r="W4016" s="55"/>
      <c r="X4016" s="55"/>
      <c r="Y4016" s="55"/>
      <c r="Z4016" s="55"/>
      <c r="AA4016" s="55"/>
      <c r="AB4016" s="22">
        <f t="shared" si="1251"/>
        <v>0</v>
      </c>
      <c r="AC4016" s="23">
        <v>0</v>
      </c>
      <c r="AD4016" s="56"/>
      <c r="AE4016" s="56"/>
      <c r="AF4016" s="56"/>
      <c r="AG4016" s="56"/>
      <c r="AH4016" s="56"/>
      <c r="AI4016" s="56"/>
      <c r="AJ4016" s="56"/>
      <c r="AK4016" s="56"/>
      <c r="AL4016" s="56">
        <v>69</v>
      </c>
      <c r="AM4016" s="56"/>
      <c r="AN4016" s="56"/>
      <c r="AO4016" s="56"/>
      <c r="AP4016" s="55">
        <v>21</v>
      </c>
      <c r="AQ4016" s="56"/>
      <c r="AR4016" s="56"/>
      <c r="AS4016" s="56"/>
      <c r="AT4016" s="56"/>
      <c r="AU4016" s="56"/>
      <c r="AV4016" s="56"/>
      <c r="AW4016" s="56"/>
      <c r="AX4016" s="56"/>
      <c r="AY4016" s="56"/>
      <c r="AZ4016" s="56"/>
      <c r="BA4016" s="56"/>
      <c r="BB4016" s="22">
        <f t="shared" si="1252"/>
        <v>90</v>
      </c>
      <c r="BC4016" s="23">
        <v>402</v>
      </c>
      <c r="BD4016" s="130">
        <f t="shared" si="1253"/>
        <v>90</v>
      </c>
      <c r="BE4016" s="130">
        <f t="shared" si="1242"/>
        <v>402</v>
      </c>
      <c r="BF4016" s="195">
        <f t="shared" si="1254"/>
        <v>22.388059701492537</v>
      </c>
      <c r="BG4016" s="373">
        <f t="shared" si="1255"/>
        <v>312</v>
      </c>
    </row>
    <row r="4017" spans="1:61" s="46" customFormat="1" ht="14.25" customHeight="1">
      <c r="A4017" s="181">
        <v>13</v>
      </c>
      <c r="B4017" s="53" t="s">
        <v>1665</v>
      </c>
      <c r="C4017" s="54" t="s">
        <v>1666</v>
      </c>
      <c r="D4017" s="55"/>
      <c r="E4017" s="55"/>
      <c r="F4017" s="55"/>
      <c r="G4017" s="55"/>
      <c r="H4017" s="55"/>
      <c r="I4017" s="55"/>
      <c r="J4017" s="55"/>
      <c r="K4017" s="55"/>
      <c r="L4017" s="55"/>
      <c r="M4017" s="55"/>
      <c r="N4017" s="55"/>
      <c r="O4017" s="55"/>
      <c r="P4017" s="55"/>
      <c r="Q4017" s="55"/>
      <c r="R4017" s="55"/>
      <c r="S4017" s="55"/>
      <c r="T4017" s="55"/>
      <c r="U4017" s="55"/>
      <c r="V4017" s="55"/>
      <c r="W4017" s="55"/>
      <c r="X4017" s="55"/>
      <c r="Y4017" s="55"/>
      <c r="Z4017" s="55"/>
      <c r="AA4017" s="55"/>
      <c r="AB4017" s="22">
        <f t="shared" si="1251"/>
        <v>0</v>
      </c>
      <c r="AC4017" s="23">
        <v>0</v>
      </c>
      <c r="AD4017" s="56"/>
      <c r="AE4017" s="56"/>
      <c r="AF4017" s="56"/>
      <c r="AG4017" s="56"/>
      <c r="AH4017" s="56"/>
      <c r="AI4017" s="56"/>
      <c r="AJ4017" s="56"/>
      <c r="AK4017" s="56"/>
      <c r="AL4017" s="56">
        <v>86</v>
      </c>
      <c r="AM4017" s="56"/>
      <c r="AN4017" s="56"/>
      <c r="AO4017" s="56"/>
      <c r="AP4017" s="55">
        <v>23</v>
      </c>
      <c r="AQ4017" s="56"/>
      <c r="AR4017" s="56"/>
      <c r="AS4017" s="56"/>
      <c r="AT4017" s="56"/>
      <c r="AU4017" s="56"/>
      <c r="AV4017" s="56"/>
      <c r="AW4017" s="56"/>
      <c r="AX4017" s="56"/>
      <c r="AY4017" s="56"/>
      <c r="AZ4017" s="56"/>
      <c r="BA4017" s="56"/>
      <c r="BB4017" s="22">
        <f t="shared" si="1252"/>
        <v>109</v>
      </c>
      <c r="BC4017" s="23">
        <v>330</v>
      </c>
      <c r="BD4017" s="130">
        <f t="shared" si="1253"/>
        <v>109</v>
      </c>
      <c r="BE4017" s="130">
        <f t="shared" si="1242"/>
        <v>330</v>
      </c>
      <c r="BF4017" s="195">
        <f t="shared" si="1254"/>
        <v>33.030303030303031</v>
      </c>
      <c r="BG4017" s="373">
        <f t="shared" si="1255"/>
        <v>221</v>
      </c>
    </row>
    <row r="4018" spans="1:61" s="46" customFormat="1" ht="14.25" customHeight="1">
      <c r="A4018" s="181">
        <v>14</v>
      </c>
      <c r="B4018" s="53" t="s">
        <v>1767</v>
      </c>
      <c r="C4018" s="57" t="s">
        <v>1768</v>
      </c>
      <c r="D4018" s="55"/>
      <c r="E4018" s="55"/>
      <c r="F4018" s="55"/>
      <c r="G4018" s="55"/>
      <c r="H4018" s="55"/>
      <c r="I4018" s="55"/>
      <c r="J4018" s="55"/>
      <c r="K4018" s="55"/>
      <c r="L4018" s="55"/>
      <c r="M4018" s="55"/>
      <c r="N4018" s="55"/>
      <c r="O4018" s="55"/>
      <c r="P4018" s="55"/>
      <c r="Q4018" s="55"/>
      <c r="R4018" s="55"/>
      <c r="S4018" s="55"/>
      <c r="T4018" s="55"/>
      <c r="U4018" s="55"/>
      <c r="V4018" s="55"/>
      <c r="W4018" s="55"/>
      <c r="X4018" s="55"/>
      <c r="Y4018" s="55"/>
      <c r="Z4018" s="55"/>
      <c r="AA4018" s="55"/>
      <c r="AB4018" s="22">
        <f t="shared" si="1251"/>
        <v>0</v>
      </c>
      <c r="AC4018" s="23">
        <v>0</v>
      </c>
      <c r="AD4018" s="56"/>
      <c r="AE4018" s="56"/>
      <c r="AF4018" s="56"/>
      <c r="AG4018" s="56"/>
      <c r="AH4018" s="56">
        <v>9</v>
      </c>
      <c r="AI4018" s="56"/>
      <c r="AJ4018" s="56"/>
      <c r="AK4018" s="56"/>
      <c r="AL4018" s="56">
        <v>97</v>
      </c>
      <c r="AM4018" s="56"/>
      <c r="AN4018" s="56"/>
      <c r="AO4018" s="56"/>
      <c r="AP4018" s="55">
        <v>61</v>
      </c>
      <c r="AQ4018" s="56"/>
      <c r="AR4018" s="56"/>
      <c r="AS4018" s="56"/>
      <c r="AT4018" s="56"/>
      <c r="AU4018" s="56"/>
      <c r="AV4018" s="56"/>
      <c r="AW4018" s="56"/>
      <c r="AX4018" s="56"/>
      <c r="AY4018" s="56"/>
      <c r="AZ4018" s="56"/>
      <c r="BA4018" s="56"/>
      <c r="BB4018" s="22">
        <f t="shared" si="1252"/>
        <v>167</v>
      </c>
      <c r="BC4018" s="23">
        <v>336</v>
      </c>
      <c r="BD4018" s="130">
        <f t="shared" si="1253"/>
        <v>167</v>
      </c>
      <c r="BE4018" s="130">
        <f t="shared" si="1242"/>
        <v>336</v>
      </c>
      <c r="BF4018" s="195">
        <f t="shared" si="1254"/>
        <v>49.702380952380956</v>
      </c>
      <c r="BG4018" s="373">
        <f t="shared" si="1255"/>
        <v>169</v>
      </c>
    </row>
    <row r="4019" spans="1:61" s="46" customFormat="1" ht="14.25" customHeight="1">
      <c r="A4019" s="181">
        <v>15</v>
      </c>
      <c r="B4019" s="53" t="s">
        <v>1771</v>
      </c>
      <c r="C4019" s="57" t="s">
        <v>1772</v>
      </c>
      <c r="D4019" s="55"/>
      <c r="E4019" s="55"/>
      <c r="F4019" s="55"/>
      <c r="G4019" s="55"/>
      <c r="H4019" s="55"/>
      <c r="I4019" s="55"/>
      <c r="J4019" s="55"/>
      <c r="K4019" s="55"/>
      <c r="L4019" s="55"/>
      <c r="M4019" s="55"/>
      <c r="N4019" s="55"/>
      <c r="O4019" s="55"/>
      <c r="P4019" s="55"/>
      <c r="Q4019" s="55"/>
      <c r="R4019" s="55"/>
      <c r="S4019" s="55"/>
      <c r="T4019" s="55"/>
      <c r="U4019" s="55"/>
      <c r="V4019" s="55"/>
      <c r="W4019" s="55"/>
      <c r="X4019" s="55"/>
      <c r="Y4019" s="55"/>
      <c r="Z4019" s="55"/>
      <c r="AA4019" s="55"/>
      <c r="AB4019" s="22">
        <f t="shared" si="1251"/>
        <v>0</v>
      </c>
      <c r="AC4019" s="23">
        <v>0</v>
      </c>
      <c r="AD4019" s="56"/>
      <c r="AE4019" s="56"/>
      <c r="AF4019" s="56"/>
      <c r="AG4019" s="56"/>
      <c r="AH4019" s="56"/>
      <c r="AI4019" s="56"/>
      <c r="AJ4019" s="56"/>
      <c r="AK4019" s="56"/>
      <c r="AL4019" s="56"/>
      <c r="AM4019" s="56"/>
      <c r="AN4019" s="56"/>
      <c r="AO4019" s="56"/>
      <c r="AP4019" s="56"/>
      <c r="AQ4019" s="56"/>
      <c r="AR4019" s="56"/>
      <c r="AS4019" s="56"/>
      <c r="AT4019" s="56"/>
      <c r="AU4019" s="56"/>
      <c r="AV4019" s="56"/>
      <c r="AW4019" s="56"/>
      <c r="AX4019" s="56"/>
      <c r="AY4019" s="56"/>
      <c r="AZ4019" s="56"/>
      <c r="BA4019" s="56"/>
      <c r="BB4019" s="22">
        <f t="shared" si="1252"/>
        <v>0</v>
      </c>
      <c r="BC4019" s="23">
        <v>22</v>
      </c>
      <c r="BD4019" s="130">
        <f t="shared" si="1253"/>
        <v>0</v>
      </c>
      <c r="BE4019" s="130">
        <f t="shared" si="1242"/>
        <v>22</v>
      </c>
      <c r="BF4019" s="195">
        <f t="shared" si="1254"/>
        <v>0</v>
      </c>
      <c r="BG4019" s="373">
        <f t="shared" si="1255"/>
        <v>22</v>
      </c>
    </row>
    <row r="4020" spans="1:61" s="46" customFormat="1" ht="14.25" customHeight="1">
      <c r="A4020" s="181">
        <v>16</v>
      </c>
      <c r="B4020" s="53" t="s">
        <v>1785</v>
      </c>
      <c r="C4020" s="57" t="s">
        <v>4025</v>
      </c>
      <c r="D4020" s="55"/>
      <c r="E4020" s="55"/>
      <c r="F4020" s="55"/>
      <c r="G4020" s="55"/>
      <c r="H4020" s="55"/>
      <c r="I4020" s="55"/>
      <c r="J4020" s="55"/>
      <c r="K4020" s="55"/>
      <c r="L4020" s="55"/>
      <c r="M4020" s="55"/>
      <c r="N4020" s="55"/>
      <c r="O4020" s="55"/>
      <c r="P4020" s="55"/>
      <c r="Q4020" s="55"/>
      <c r="R4020" s="55"/>
      <c r="S4020" s="55"/>
      <c r="T4020" s="55"/>
      <c r="U4020" s="55"/>
      <c r="V4020" s="55"/>
      <c r="W4020" s="55"/>
      <c r="X4020" s="55"/>
      <c r="Y4020" s="55"/>
      <c r="Z4020" s="55"/>
      <c r="AA4020" s="55"/>
      <c r="AB4020" s="22">
        <f t="shared" si="1251"/>
        <v>0</v>
      </c>
      <c r="AC4020" s="23">
        <v>0</v>
      </c>
      <c r="AD4020" s="56"/>
      <c r="AE4020" s="56"/>
      <c r="AF4020" s="56"/>
      <c r="AG4020" s="56"/>
      <c r="AH4020" s="56"/>
      <c r="AI4020" s="56"/>
      <c r="AJ4020" s="56"/>
      <c r="AK4020" s="56"/>
      <c r="AL4020" s="56">
        <v>6</v>
      </c>
      <c r="AM4020" s="56"/>
      <c r="AN4020" s="56"/>
      <c r="AO4020" s="56"/>
      <c r="AP4020" s="56"/>
      <c r="AQ4020" s="56"/>
      <c r="AR4020" s="56"/>
      <c r="AS4020" s="56"/>
      <c r="AT4020" s="56"/>
      <c r="AU4020" s="56"/>
      <c r="AV4020" s="56"/>
      <c r="AW4020" s="56"/>
      <c r="AX4020" s="56"/>
      <c r="AY4020" s="56"/>
      <c r="AZ4020" s="56"/>
      <c r="BA4020" s="56"/>
      <c r="BB4020" s="22">
        <f t="shared" si="1252"/>
        <v>6</v>
      </c>
      <c r="BC4020" s="23">
        <v>0</v>
      </c>
      <c r="BD4020" s="130">
        <f t="shared" ref="BD4020" si="1259">AB4020+BB4020</f>
        <v>6</v>
      </c>
      <c r="BE4020" s="130">
        <f t="shared" ref="BE4020" si="1260">AC4020+BC4020</f>
        <v>0</v>
      </c>
      <c r="BF4020" s="195" t="e">
        <f t="shared" ref="BF4020" si="1261">BD4020/BE4020*100</f>
        <v>#DIV/0!</v>
      </c>
      <c r="BG4020" s="373"/>
    </row>
    <row r="4021" spans="1:61" s="46" customFormat="1" ht="14.25" customHeight="1">
      <c r="A4021" s="181">
        <v>17</v>
      </c>
      <c r="B4021" s="53" t="s">
        <v>1773</v>
      </c>
      <c r="C4021" s="57" t="s">
        <v>4026</v>
      </c>
      <c r="D4021" s="55"/>
      <c r="E4021" s="55"/>
      <c r="F4021" s="55"/>
      <c r="G4021" s="55"/>
      <c r="H4021" s="55"/>
      <c r="I4021" s="55"/>
      <c r="J4021" s="55"/>
      <c r="K4021" s="55"/>
      <c r="L4021" s="55"/>
      <c r="M4021" s="55"/>
      <c r="N4021" s="55"/>
      <c r="O4021" s="55"/>
      <c r="P4021" s="55"/>
      <c r="Q4021" s="55"/>
      <c r="R4021" s="55"/>
      <c r="S4021" s="55"/>
      <c r="T4021" s="55"/>
      <c r="U4021" s="55"/>
      <c r="V4021" s="55"/>
      <c r="W4021" s="55"/>
      <c r="X4021" s="55"/>
      <c r="Y4021" s="55"/>
      <c r="Z4021" s="55"/>
      <c r="AA4021" s="55"/>
      <c r="AB4021" s="22">
        <f t="shared" si="1251"/>
        <v>0</v>
      </c>
      <c r="AC4021" s="23">
        <v>0</v>
      </c>
      <c r="AD4021" s="56"/>
      <c r="AE4021" s="56"/>
      <c r="AF4021" s="56"/>
      <c r="AG4021" s="56"/>
      <c r="AH4021" s="56"/>
      <c r="AI4021" s="56"/>
      <c r="AJ4021" s="56"/>
      <c r="AK4021" s="56"/>
      <c r="AL4021" s="56">
        <v>2</v>
      </c>
      <c r="AM4021" s="56"/>
      <c r="AN4021" s="56"/>
      <c r="AO4021" s="56"/>
      <c r="AP4021" s="56"/>
      <c r="AQ4021" s="56"/>
      <c r="AR4021" s="56"/>
      <c r="AS4021" s="56"/>
      <c r="AT4021" s="56"/>
      <c r="AU4021" s="56"/>
      <c r="AV4021" s="56"/>
      <c r="AW4021" s="56"/>
      <c r="AX4021" s="56"/>
      <c r="AY4021" s="56"/>
      <c r="AZ4021" s="56"/>
      <c r="BA4021" s="56"/>
      <c r="BB4021" s="22">
        <f t="shared" si="1252"/>
        <v>2</v>
      </c>
      <c r="BC4021" s="23">
        <v>0</v>
      </c>
      <c r="BD4021" s="130">
        <f t="shared" ref="BD4021" si="1262">AB4021+BB4021</f>
        <v>2</v>
      </c>
      <c r="BE4021" s="130">
        <f t="shared" ref="BE4021" si="1263">AC4021+BC4021</f>
        <v>0</v>
      </c>
      <c r="BF4021" s="195" t="e">
        <f t="shared" ref="BF4021" si="1264">BD4021/BE4021*100</f>
        <v>#DIV/0!</v>
      </c>
      <c r="BG4021" s="373"/>
    </row>
    <row r="4022" spans="1:61" s="46" customFormat="1" ht="14.25" customHeight="1">
      <c r="A4022" s="181">
        <v>18</v>
      </c>
      <c r="B4022" s="53" t="s">
        <v>1795</v>
      </c>
      <c r="C4022" s="57" t="s">
        <v>1796</v>
      </c>
      <c r="D4022" s="55"/>
      <c r="E4022" s="55"/>
      <c r="F4022" s="55"/>
      <c r="G4022" s="55"/>
      <c r="H4022" s="55"/>
      <c r="I4022" s="55"/>
      <c r="J4022" s="55"/>
      <c r="K4022" s="55"/>
      <c r="L4022" s="55"/>
      <c r="M4022" s="55"/>
      <c r="N4022" s="55"/>
      <c r="O4022" s="55"/>
      <c r="P4022" s="55"/>
      <c r="Q4022" s="55"/>
      <c r="R4022" s="55"/>
      <c r="S4022" s="55"/>
      <c r="T4022" s="55"/>
      <c r="U4022" s="55"/>
      <c r="V4022" s="55"/>
      <c r="W4022" s="55"/>
      <c r="X4022" s="55"/>
      <c r="Y4022" s="55"/>
      <c r="Z4022" s="55"/>
      <c r="AA4022" s="55"/>
      <c r="AB4022" s="22">
        <f t="shared" si="1251"/>
        <v>0</v>
      </c>
      <c r="AC4022" s="23">
        <v>0</v>
      </c>
      <c r="AD4022" s="56"/>
      <c r="AE4022" s="56"/>
      <c r="AF4022" s="56"/>
      <c r="AG4022" s="56"/>
      <c r="AH4022" s="56"/>
      <c r="AI4022" s="56"/>
      <c r="AJ4022" s="56"/>
      <c r="AK4022" s="56"/>
      <c r="AL4022" s="56"/>
      <c r="AM4022" s="56"/>
      <c r="AN4022" s="56"/>
      <c r="AO4022" s="56"/>
      <c r="AP4022" s="56"/>
      <c r="AQ4022" s="56"/>
      <c r="AR4022" s="56"/>
      <c r="AS4022" s="56"/>
      <c r="AT4022" s="56"/>
      <c r="AU4022" s="56"/>
      <c r="AV4022" s="56"/>
      <c r="AW4022" s="56"/>
      <c r="AX4022" s="56"/>
      <c r="AY4022" s="56"/>
      <c r="AZ4022" s="56"/>
      <c r="BA4022" s="56"/>
      <c r="BB4022" s="22">
        <f t="shared" si="1252"/>
        <v>0</v>
      </c>
      <c r="BC4022" s="23">
        <v>19</v>
      </c>
      <c r="BD4022" s="130">
        <f t="shared" si="1253"/>
        <v>0</v>
      </c>
      <c r="BE4022" s="130">
        <f t="shared" si="1242"/>
        <v>19</v>
      </c>
      <c r="BF4022" s="195">
        <f t="shared" si="1254"/>
        <v>0</v>
      </c>
      <c r="BG4022" s="373">
        <f t="shared" si="1255"/>
        <v>19</v>
      </c>
    </row>
    <row r="4023" spans="1:61" s="46" customFormat="1" ht="14.25" customHeight="1">
      <c r="A4023" s="181">
        <v>19</v>
      </c>
      <c r="B4023" s="53"/>
      <c r="C4023" s="54"/>
      <c r="D4023" s="55"/>
      <c r="E4023" s="55"/>
      <c r="F4023" s="55"/>
      <c r="G4023" s="55"/>
      <c r="H4023" s="55"/>
      <c r="I4023" s="55"/>
      <c r="J4023" s="55"/>
      <c r="K4023" s="55"/>
      <c r="L4023" s="55"/>
      <c r="M4023" s="55"/>
      <c r="N4023" s="55"/>
      <c r="O4023" s="55"/>
      <c r="P4023" s="55"/>
      <c r="Q4023" s="55"/>
      <c r="R4023" s="55"/>
      <c r="S4023" s="55"/>
      <c r="T4023" s="55"/>
      <c r="U4023" s="55"/>
      <c r="V4023" s="55"/>
      <c r="W4023" s="55"/>
      <c r="X4023" s="55"/>
      <c r="Y4023" s="55"/>
      <c r="Z4023" s="55"/>
      <c r="AA4023" s="55"/>
      <c r="AB4023" s="22">
        <f t="shared" si="1251"/>
        <v>0</v>
      </c>
      <c r="AC4023" s="23">
        <v>0</v>
      </c>
      <c r="AD4023" s="56"/>
      <c r="AE4023" s="56"/>
      <c r="AF4023" s="56"/>
      <c r="AG4023" s="56"/>
      <c r="AH4023" s="56"/>
      <c r="AI4023" s="56"/>
      <c r="AJ4023" s="56"/>
      <c r="AK4023" s="56"/>
      <c r="AL4023" s="56"/>
      <c r="AM4023" s="56"/>
      <c r="AN4023" s="56"/>
      <c r="AO4023" s="56"/>
      <c r="AP4023" s="56"/>
      <c r="AQ4023" s="56"/>
      <c r="AR4023" s="56"/>
      <c r="AS4023" s="56"/>
      <c r="AT4023" s="56"/>
      <c r="AU4023" s="56"/>
      <c r="AV4023" s="56"/>
      <c r="AW4023" s="56"/>
      <c r="AX4023" s="56"/>
      <c r="AY4023" s="56"/>
      <c r="AZ4023" s="56"/>
      <c r="BA4023" s="56"/>
      <c r="BB4023" s="22">
        <f t="shared" si="1252"/>
        <v>0</v>
      </c>
      <c r="BC4023" s="23">
        <v>0</v>
      </c>
      <c r="BD4023" s="130">
        <f t="shared" si="1253"/>
        <v>0</v>
      </c>
      <c r="BE4023" s="130">
        <f t="shared" si="1242"/>
        <v>0</v>
      </c>
      <c r="BF4023" s="195" t="e">
        <f t="shared" si="1254"/>
        <v>#DIV/0!</v>
      </c>
      <c r="BG4023" s="373">
        <f t="shared" si="1255"/>
        <v>0</v>
      </c>
    </row>
    <row r="4024" spans="1:61" s="46" customFormat="1" ht="14.25" customHeight="1">
      <c r="A4024" s="182"/>
      <c r="B4024" s="649" t="s">
        <v>1798</v>
      </c>
      <c r="C4024" s="649"/>
      <c r="D4024" s="52">
        <f t="shared" ref="D4024:AI4024" si="1265">SUM(D4025:D4043)</f>
        <v>0</v>
      </c>
      <c r="E4024" s="52">
        <f t="shared" si="1265"/>
        <v>0</v>
      </c>
      <c r="F4024" s="52">
        <f t="shared" si="1265"/>
        <v>0</v>
      </c>
      <c r="G4024" s="52">
        <f t="shared" si="1265"/>
        <v>0</v>
      </c>
      <c r="H4024" s="52">
        <f t="shared" si="1265"/>
        <v>39</v>
      </c>
      <c r="I4024" s="52">
        <f t="shared" si="1265"/>
        <v>0</v>
      </c>
      <c r="J4024" s="52">
        <f t="shared" si="1265"/>
        <v>0</v>
      </c>
      <c r="K4024" s="52">
        <f t="shared" si="1265"/>
        <v>0</v>
      </c>
      <c r="L4024" s="52">
        <f t="shared" si="1265"/>
        <v>139</v>
      </c>
      <c r="M4024" s="52">
        <f t="shared" si="1265"/>
        <v>0</v>
      </c>
      <c r="N4024" s="52">
        <f t="shared" si="1265"/>
        <v>0</v>
      </c>
      <c r="O4024" s="52">
        <f t="shared" si="1265"/>
        <v>0</v>
      </c>
      <c r="P4024" s="52">
        <f t="shared" si="1265"/>
        <v>82</v>
      </c>
      <c r="Q4024" s="52">
        <f t="shared" si="1265"/>
        <v>0</v>
      </c>
      <c r="R4024" s="52">
        <f t="shared" si="1265"/>
        <v>0</v>
      </c>
      <c r="S4024" s="52">
        <f t="shared" si="1265"/>
        <v>0</v>
      </c>
      <c r="T4024" s="52">
        <f t="shared" si="1265"/>
        <v>0</v>
      </c>
      <c r="U4024" s="52">
        <f t="shared" si="1265"/>
        <v>0</v>
      </c>
      <c r="V4024" s="52">
        <f t="shared" si="1265"/>
        <v>0</v>
      </c>
      <c r="W4024" s="52">
        <f t="shared" si="1265"/>
        <v>0</v>
      </c>
      <c r="X4024" s="52">
        <f t="shared" si="1265"/>
        <v>0</v>
      </c>
      <c r="Y4024" s="52">
        <f t="shared" si="1265"/>
        <v>0</v>
      </c>
      <c r="Z4024" s="52">
        <f t="shared" si="1265"/>
        <v>0</v>
      </c>
      <c r="AA4024" s="52">
        <f t="shared" si="1265"/>
        <v>0</v>
      </c>
      <c r="AB4024" s="52">
        <f t="shared" si="1265"/>
        <v>260</v>
      </c>
      <c r="AC4024" s="127">
        <f t="shared" si="1265"/>
        <v>1435</v>
      </c>
      <c r="AD4024" s="52">
        <f t="shared" si="1265"/>
        <v>0</v>
      </c>
      <c r="AE4024" s="52">
        <f t="shared" si="1265"/>
        <v>0</v>
      </c>
      <c r="AF4024" s="52">
        <f t="shared" si="1265"/>
        <v>0</v>
      </c>
      <c r="AG4024" s="52">
        <f t="shared" si="1265"/>
        <v>0</v>
      </c>
      <c r="AH4024" s="52">
        <f t="shared" si="1265"/>
        <v>35</v>
      </c>
      <c r="AI4024" s="52">
        <f t="shared" si="1265"/>
        <v>0</v>
      </c>
      <c r="AJ4024" s="52">
        <f t="shared" ref="AJ4024:BC4024" si="1266">SUM(AJ4025:AJ4043)</f>
        <v>0</v>
      </c>
      <c r="AK4024" s="52">
        <f t="shared" si="1266"/>
        <v>0</v>
      </c>
      <c r="AL4024" s="52">
        <f t="shared" si="1266"/>
        <v>148</v>
      </c>
      <c r="AM4024" s="52">
        <f t="shared" si="1266"/>
        <v>0</v>
      </c>
      <c r="AN4024" s="52">
        <f t="shared" si="1266"/>
        <v>0</v>
      </c>
      <c r="AO4024" s="52">
        <f t="shared" si="1266"/>
        <v>0</v>
      </c>
      <c r="AP4024" s="52">
        <f t="shared" si="1266"/>
        <v>60</v>
      </c>
      <c r="AQ4024" s="52">
        <f t="shared" si="1266"/>
        <v>0</v>
      </c>
      <c r="AR4024" s="52">
        <f t="shared" si="1266"/>
        <v>0</v>
      </c>
      <c r="AS4024" s="52">
        <f t="shared" si="1266"/>
        <v>0</v>
      </c>
      <c r="AT4024" s="52">
        <f t="shared" si="1266"/>
        <v>0</v>
      </c>
      <c r="AU4024" s="52">
        <f t="shared" si="1266"/>
        <v>0</v>
      </c>
      <c r="AV4024" s="52">
        <f t="shared" si="1266"/>
        <v>0</v>
      </c>
      <c r="AW4024" s="52">
        <f t="shared" si="1266"/>
        <v>0</v>
      </c>
      <c r="AX4024" s="52">
        <f t="shared" si="1266"/>
        <v>0</v>
      </c>
      <c r="AY4024" s="52">
        <f t="shared" si="1266"/>
        <v>0</v>
      </c>
      <c r="AZ4024" s="52">
        <f t="shared" si="1266"/>
        <v>0</v>
      </c>
      <c r="BA4024" s="52">
        <f t="shared" si="1266"/>
        <v>0</v>
      </c>
      <c r="BB4024" s="52">
        <f t="shared" si="1266"/>
        <v>243</v>
      </c>
      <c r="BC4024" s="127">
        <f t="shared" si="1266"/>
        <v>1548</v>
      </c>
      <c r="BD4024" s="130">
        <f t="shared" si="1241"/>
        <v>503</v>
      </c>
      <c r="BE4024" s="130">
        <f t="shared" si="1242"/>
        <v>2983</v>
      </c>
      <c r="BF4024" s="195">
        <f t="shared" ref="BF4024:BF4066" si="1267">BD4024/BE4024*100</f>
        <v>16.862219242373449</v>
      </c>
      <c r="BG4024" s="375">
        <f t="shared" si="1250"/>
        <v>2480</v>
      </c>
    </row>
    <row r="4025" spans="1:61" s="46" customFormat="1" ht="21" customHeight="1">
      <c r="A4025" s="417">
        <v>1</v>
      </c>
      <c r="B4025" s="418" t="s">
        <v>1788</v>
      </c>
      <c r="C4025" s="419" t="s">
        <v>1789</v>
      </c>
      <c r="D4025" s="55"/>
      <c r="E4025" s="55"/>
      <c r="F4025" s="55"/>
      <c r="G4025" s="55"/>
      <c r="H4025" s="56"/>
      <c r="I4025" s="55"/>
      <c r="J4025" s="55"/>
      <c r="K4025" s="55"/>
      <c r="L4025" s="55"/>
      <c r="M4025" s="55"/>
      <c r="N4025" s="55"/>
      <c r="O4025" s="55"/>
      <c r="P4025" s="55"/>
      <c r="Q4025" s="55"/>
      <c r="R4025" s="55"/>
      <c r="S4025" s="55"/>
      <c r="T4025" s="55"/>
      <c r="U4025" s="55"/>
      <c r="V4025" s="55"/>
      <c r="W4025" s="55"/>
      <c r="X4025" s="55"/>
      <c r="Y4025" s="55"/>
      <c r="Z4025" s="55"/>
      <c r="AA4025" s="55"/>
      <c r="AB4025" s="22">
        <f t="shared" ref="AB4025:AB4043" si="1268">SUM(D4025:AA4025)</f>
        <v>0</v>
      </c>
      <c r="AC4025" s="23">
        <v>3</v>
      </c>
      <c r="AD4025" s="56"/>
      <c r="AE4025" s="56"/>
      <c r="AF4025" s="56"/>
      <c r="AG4025" s="56"/>
      <c r="AH4025" s="56"/>
      <c r="AI4025" s="56"/>
      <c r="AJ4025" s="56"/>
      <c r="AK4025" s="56"/>
      <c r="AL4025" s="56"/>
      <c r="AM4025" s="56"/>
      <c r="AN4025" s="56"/>
      <c r="AO4025" s="56"/>
      <c r="AP4025" s="56"/>
      <c r="AQ4025" s="56"/>
      <c r="AR4025" s="56"/>
      <c r="AS4025" s="56"/>
      <c r="AT4025" s="56"/>
      <c r="AU4025" s="56"/>
      <c r="AV4025" s="56"/>
      <c r="AW4025" s="56"/>
      <c r="AX4025" s="56"/>
      <c r="AY4025" s="56"/>
      <c r="AZ4025" s="56"/>
      <c r="BA4025" s="56"/>
      <c r="BB4025" s="22">
        <f t="shared" ref="BB4025:BB4043" si="1269">SUM(AD4025:BA4025)</f>
        <v>0</v>
      </c>
      <c r="BC4025" s="23">
        <v>0</v>
      </c>
      <c r="BD4025" s="130">
        <f t="shared" ref="BD4025:BD4043" si="1270">AB4025+BB4025</f>
        <v>0</v>
      </c>
      <c r="BE4025" s="130">
        <f t="shared" ref="BE4025:BE4043" si="1271">AC4025+BC4025</f>
        <v>3</v>
      </c>
      <c r="BF4025" s="195">
        <f t="shared" ref="BF4025:BF4043" si="1272">BD4025/BE4025*100</f>
        <v>0</v>
      </c>
      <c r="BG4025" s="373">
        <f t="shared" ref="BG4025:BG4043" si="1273">BE4025-BD4025</f>
        <v>3</v>
      </c>
      <c r="BH4025" s="426" t="s">
        <v>3675</v>
      </c>
      <c r="BI4025" s="421"/>
    </row>
    <row r="4026" spans="1:61" s="46" customFormat="1" ht="21" customHeight="1">
      <c r="A4026" s="417">
        <v>2</v>
      </c>
      <c r="B4026" s="418" t="s">
        <v>1743</v>
      </c>
      <c r="C4026" s="419" t="s">
        <v>1744</v>
      </c>
      <c r="D4026" s="55"/>
      <c r="E4026" s="55"/>
      <c r="F4026" s="55"/>
      <c r="G4026" s="55"/>
      <c r="H4026" s="56">
        <v>2</v>
      </c>
      <c r="I4026" s="55"/>
      <c r="J4026" s="55"/>
      <c r="K4026" s="55"/>
      <c r="L4026" s="55">
        <v>16</v>
      </c>
      <c r="M4026" s="55"/>
      <c r="N4026" s="55"/>
      <c r="O4026" s="55"/>
      <c r="P4026" s="55">
        <f>1+2</f>
        <v>3</v>
      </c>
      <c r="Q4026" s="55"/>
      <c r="R4026" s="55"/>
      <c r="S4026" s="55"/>
      <c r="T4026" s="55"/>
      <c r="U4026" s="55"/>
      <c r="V4026" s="55"/>
      <c r="W4026" s="55"/>
      <c r="X4026" s="55"/>
      <c r="Y4026" s="55"/>
      <c r="Z4026" s="55"/>
      <c r="AA4026" s="55"/>
      <c r="AB4026" s="22">
        <f t="shared" si="1268"/>
        <v>21</v>
      </c>
      <c r="AC4026" s="23">
        <v>235</v>
      </c>
      <c r="AD4026" s="56"/>
      <c r="AE4026" s="56"/>
      <c r="AF4026" s="56"/>
      <c r="AG4026" s="56"/>
      <c r="AH4026" s="56"/>
      <c r="AI4026" s="56"/>
      <c r="AJ4026" s="56"/>
      <c r="AK4026" s="56"/>
      <c r="AL4026" s="56"/>
      <c r="AM4026" s="56"/>
      <c r="AN4026" s="56"/>
      <c r="AO4026" s="56"/>
      <c r="AP4026" s="56"/>
      <c r="AQ4026" s="56"/>
      <c r="AR4026" s="56"/>
      <c r="AS4026" s="56"/>
      <c r="AT4026" s="56"/>
      <c r="AU4026" s="56"/>
      <c r="AV4026" s="56"/>
      <c r="AW4026" s="56"/>
      <c r="AX4026" s="56"/>
      <c r="AY4026" s="56"/>
      <c r="AZ4026" s="56"/>
      <c r="BA4026" s="56"/>
      <c r="BB4026" s="22">
        <f t="shared" si="1269"/>
        <v>0</v>
      </c>
      <c r="BC4026" s="23">
        <v>0</v>
      </c>
      <c r="BD4026" s="130">
        <f t="shared" si="1270"/>
        <v>21</v>
      </c>
      <c r="BE4026" s="130">
        <f t="shared" si="1271"/>
        <v>235</v>
      </c>
      <c r="BF4026" s="195">
        <f t="shared" si="1272"/>
        <v>8.9361702127659584</v>
      </c>
      <c r="BG4026" s="373">
        <f t="shared" si="1273"/>
        <v>214</v>
      </c>
      <c r="BH4026" s="426" t="s">
        <v>3675</v>
      </c>
      <c r="BI4026" s="420"/>
    </row>
    <row r="4027" spans="1:61" s="46" customFormat="1" ht="21" customHeight="1">
      <c r="A4027" s="417">
        <v>3</v>
      </c>
      <c r="B4027" s="418" t="s">
        <v>1813</v>
      </c>
      <c r="C4027" s="419" t="s">
        <v>2292</v>
      </c>
      <c r="D4027" s="55"/>
      <c r="E4027" s="55"/>
      <c r="F4027" s="55"/>
      <c r="G4027" s="55"/>
      <c r="H4027" s="56"/>
      <c r="I4027" s="55"/>
      <c r="J4027" s="55"/>
      <c r="K4027" s="55"/>
      <c r="L4027" s="55"/>
      <c r="M4027" s="55"/>
      <c r="N4027" s="55"/>
      <c r="O4027" s="55"/>
      <c r="P4027" s="55"/>
      <c r="Q4027" s="55"/>
      <c r="R4027" s="55"/>
      <c r="S4027" s="55"/>
      <c r="T4027" s="55"/>
      <c r="U4027" s="55"/>
      <c r="V4027" s="55"/>
      <c r="W4027" s="55"/>
      <c r="X4027" s="55"/>
      <c r="Y4027" s="55"/>
      <c r="Z4027" s="55"/>
      <c r="AA4027" s="55"/>
      <c r="AB4027" s="22">
        <f t="shared" si="1268"/>
        <v>0</v>
      </c>
      <c r="AC4027" s="23">
        <v>3</v>
      </c>
      <c r="AD4027" s="56"/>
      <c r="AE4027" s="56"/>
      <c r="AF4027" s="56"/>
      <c r="AG4027" s="56"/>
      <c r="AH4027" s="56"/>
      <c r="AI4027" s="56"/>
      <c r="AJ4027" s="56"/>
      <c r="AK4027" s="56"/>
      <c r="AL4027" s="56"/>
      <c r="AM4027" s="56"/>
      <c r="AN4027" s="56"/>
      <c r="AO4027" s="56"/>
      <c r="AP4027" s="56"/>
      <c r="AQ4027" s="56"/>
      <c r="AR4027" s="56"/>
      <c r="AS4027" s="56"/>
      <c r="AT4027" s="56"/>
      <c r="AU4027" s="56"/>
      <c r="AV4027" s="56"/>
      <c r="AW4027" s="56"/>
      <c r="AX4027" s="56"/>
      <c r="AY4027" s="56"/>
      <c r="AZ4027" s="56"/>
      <c r="BA4027" s="56"/>
      <c r="BB4027" s="22">
        <f t="shared" si="1269"/>
        <v>0</v>
      </c>
      <c r="BC4027" s="23">
        <v>0</v>
      </c>
      <c r="BD4027" s="130">
        <f t="shared" si="1270"/>
        <v>0</v>
      </c>
      <c r="BE4027" s="130">
        <f t="shared" si="1271"/>
        <v>3</v>
      </c>
      <c r="BF4027" s="195">
        <f t="shared" si="1272"/>
        <v>0</v>
      </c>
      <c r="BG4027" s="373">
        <f t="shared" si="1273"/>
        <v>3</v>
      </c>
      <c r="BH4027" s="426" t="s">
        <v>3675</v>
      </c>
      <c r="BI4027" s="421"/>
    </row>
    <row r="4028" spans="1:61" s="46" customFormat="1" ht="21" customHeight="1">
      <c r="A4028" s="417">
        <v>4</v>
      </c>
      <c r="B4028" s="418" t="s">
        <v>1747</v>
      </c>
      <c r="C4028" s="419" t="s">
        <v>1748</v>
      </c>
      <c r="D4028" s="55"/>
      <c r="E4028" s="55"/>
      <c r="F4028" s="55"/>
      <c r="G4028" s="55"/>
      <c r="H4028" s="56">
        <v>18</v>
      </c>
      <c r="I4028" s="55"/>
      <c r="J4028" s="55"/>
      <c r="K4028" s="55"/>
      <c r="L4028" s="55">
        <f>1+59</f>
        <v>60</v>
      </c>
      <c r="M4028" s="55"/>
      <c r="N4028" s="55"/>
      <c r="O4028" s="55"/>
      <c r="P4028" s="55">
        <v>40</v>
      </c>
      <c r="Q4028" s="55"/>
      <c r="R4028" s="55"/>
      <c r="S4028" s="55"/>
      <c r="T4028" s="55"/>
      <c r="U4028" s="55"/>
      <c r="V4028" s="55"/>
      <c r="W4028" s="55"/>
      <c r="X4028" s="55"/>
      <c r="Y4028" s="55"/>
      <c r="Z4028" s="55"/>
      <c r="AA4028" s="55"/>
      <c r="AB4028" s="22">
        <f t="shared" si="1268"/>
        <v>118</v>
      </c>
      <c r="AC4028" s="23">
        <v>488</v>
      </c>
      <c r="AD4028" s="56"/>
      <c r="AE4028" s="56"/>
      <c r="AF4028" s="56"/>
      <c r="AG4028" s="56"/>
      <c r="AH4028" s="56"/>
      <c r="AI4028" s="56"/>
      <c r="AJ4028" s="56"/>
      <c r="AK4028" s="56"/>
      <c r="AL4028" s="56"/>
      <c r="AM4028" s="56"/>
      <c r="AN4028" s="56"/>
      <c r="AO4028" s="56"/>
      <c r="AP4028" s="56"/>
      <c r="AQ4028" s="56"/>
      <c r="AR4028" s="56"/>
      <c r="AS4028" s="56"/>
      <c r="AT4028" s="56"/>
      <c r="AU4028" s="56"/>
      <c r="AV4028" s="56"/>
      <c r="AW4028" s="56"/>
      <c r="AX4028" s="56"/>
      <c r="AY4028" s="56"/>
      <c r="AZ4028" s="56"/>
      <c r="BA4028" s="56"/>
      <c r="BB4028" s="22">
        <f t="shared" si="1269"/>
        <v>0</v>
      </c>
      <c r="BC4028" s="23">
        <v>0</v>
      </c>
      <c r="BD4028" s="130">
        <f t="shared" si="1270"/>
        <v>118</v>
      </c>
      <c r="BE4028" s="130">
        <f t="shared" si="1271"/>
        <v>488</v>
      </c>
      <c r="BF4028" s="195">
        <f t="shared" si="1272"/>
        <v>24.180327868852459</v>
      </c>
      <c r="BG4028" s="373">
        <f t="shared" si="1273"/>
        <v>370</v>
      </c>
      <c r="BH4028" s="426" t="s">
        <v>3675</v>
      </c>
      <c r="BI4028" s="420"/>
    </row>
    <row r="4029" spans="1:61" s="46" customFormat="1" ht="21" customHeight="1">
      <c r="A4029" s="417">
        <v>5</v>
      </c>
      <c r="B4029" s="418" t="s">
        <v>1749</v>
      </c>
      <c r="C4029" s="419" t="s">
        <v>1750</v>
      </c>
      <c r="D4029" s="55"/>
      <c r="E4029" s="55"/>
      <c r="F4029" s="55"/>
      <c r="G4029" s="55"/>
      <c r="H4029" s="56"/>
      <c r="I4029" s="55"/>
      <c r="J4029" s="55"/>
      <c r="K4029" s="55"/>
      <c r="L4029" s="55">
        <v>2</v>
      </c>
      <c r="M4029" s="55"/>
      <c r="N4029" s="55"/>
      <c r="O4029" s="55"/>
      <c r="P4029" s="55">
        <v>1</v>
      </c>
      <c r="Q4029" s="55"/>
      <c r="R4029" s="55"/>
      <c r="S4029" s="55"/>
      <c r="T4029" s="55"/>
      <c r="U4029" s="55"/>
      <c r="V4029" s="55"/>
      <c r="W4029" s="55"/>
      <c r="X4029" s="55"/>
      <c r="Y4029" s="55"/>
      <c r="Z4029" s="55"/>
      <c r="AA4029" s="55"/>
      <c r="AB4029" s="22">
        <f t="shared" si="1268"/>
        <v>3</v>
      </c>
      <c r="AC4029" s="23">
        <f>8+55</f>
        <v>63</v>
      </c>
      <c r="AD4029" s="56"/>
      <c r="AE4029" s="56"/>
      <c r="AF4029" s="56"/>
      <c r="AG4029" s="56"/>
      <c r="AH4029" s="56"/>
      <c r="AI4029" s="56"/>
      <c r="AJ4029" s="56"/>
      <c r="AK4029" s="56"/>
      <c r="AL4029" s="56"/>
      <c r="AM4029" s="56"/>
      <c r="AN4029" s="56"/>
      <c r="AO4029" s="56"/>
      <c r="AP4029" s="56"/>
      <c r="AQ4029" s="56"/>
      <c r="AR4029" s="56"/>
      <c r="AS4029" s="56"/>
      <c r="AT4029" s="56"/>
      <c r="AU4029" s="56"/>
      <c r="AV4029" s="56"/>
      <c r="AW4029" s="56"/>
      <c r="AX4029" s="56"/>
      <c r="AY4029" s="56"/>
      <c r="AZ4029" s="56"/>
      <c r="BA4029" s="56"/>
      <c r="BB4029" s="22">
        <f t="shared" si="1269"/>
        <v>0</v>
      </c>
      <c r="BC4029" s="23">
        <v>0</v>
      </c>
      <c r="BD4029" s="130">
        <f t="shared" si="1270"/>
        <v>3</v>
      </c>
      <c r="BE4029" s="130">
        <f t="shared" si="1271"/>
        <v>63</v>
      </c>
      <c r="BF4029" s="195">
        <f t="shared" si="1272"/>
        <v>4.7619047619047619</v>
      </c>
      <c r="BG4029" s="373">
        <f t="shared" si="1273"/>
        <v>60</v>
      </c>
      <c r="BH4029" s="426" t="s">
        <v>3675</v>
      </c>
      <c r="BI4029" s="421"/>
    </row>
    <row r="4030" spans="1:61" s="46" customFormat="1" ht="21" customHeight="1">
      <c r="A4030" s="417">
        <v>6</v>
      </c>
      <c r="B4030" s="432" t="s">
        <v>1801</v>
      </c>
      <c r="C4030" s="419" t="s">
        <v>1802</v>
      </c>
      <c r="D4030" s="55"/>
      <c r="E4030" s="55"/>
      <c r="F4030" s="55"/>
      <c r="G4030" s="55"/>
      <c r="H4030" s="56"/>
      <c r="I4030" s="55"/>
      <c r="J4030" s="55"/>
      <c r="K4030" s="55"/>
      <c r="L4030" s="55"/>
      <c r="M4030" s="55"/>
      <c r="N4030" s="55"/>
      <c r="O4030" s="55"/>
      <c r="P4030" s="55"/>
      <c r="Q4030" s="55"/>
      <c r="R4030" s="55"/>
      <c r="S4030" s="55"/>
      <c r="T4030" s="55"/>
      <c r="U4030" s="55"/>
      <c r="V4030" s="55"/>
      <c r="W4030" s="55"/>
      <c r="X4030" s="55"/>
      <c r="Y4030" s="55"/>
      <c r="Z4030" s="55"/>
      <c r="AA4030" s="55"/>
      <c r="AB4030" s="22">
        <f t="shared" si="1268"/>
        <v>0</v>
      </c>
      <c r="AC4030" s="23">
        <v>25</v>
      </c>
      <c r="AD4030" s="56"/>
      <c r="AE4030" s="56"/>
      <c r="AF4030" s="56"/>
      <c r="AG4030" s="56"/>
      <c r="AH4030" s="56"/>
      <c r="AI4030" s="56"/>
      <c r="AJ4030" s="56"/>
      <c r="AK4030" s="56"/>
      <c r="AL4030" s="56"/>
      <c r="AM4030" s="56"/>
      <c r="AN4030" s="56"/>
      <c r="AO4030" s="56"/>
      <c r="AP4030" s="56"/>
      <c r="AQ4030" s="56"/>
      <c r="AR4030" s="56"/>
      <c r="AS4030" s="56"/>
      <c r="AT4030" s="56"/>
      <c r="AU4030" s="56"/>
      <c r="AV4030" s="56"/>
      <c r="AW4030" s="56"/>
      <c r="AX4030" s="56"/>
      <c r="AY4030" s="56"/>
      <c r="AZ4030" s="56"/>
      <c r="BA4030" s="56"/>
      <c r="BB4030" s="22">
        <f t="shared" si="1269"/>
        <v>0</v>
      </c>
      <c r="BC4030" s="23">
        <v>0</v>
      </c>
      <c r="BD4030" s="130">
        <f t="shared" si="1270"/>
        <v>0</v>
      </c>
      <c r="BE4030" s="130">
        <f t="shared" si="1271"/>
        <v>25</v>
      </c>
      <c r="BF4030" s="195">
        <f t="shared" si="1272"/>
        <v>0</v>
      </c>
      <c r="BG4030" s="373">
        <f t="shared" si="1273"/>
        <v>25</v>
      </c>
      <c r="BH4030" s="426" t="s">
        <v>3675</v>
      </c>
      <c r="BI4030" s="421"/>
    </row>
    <row r="4031" spans="1:61" s="46" customFormat="1" ht="21" customHeight="1">
      <c r="A4031" s="417">
        <v>7</v>
      </c>
      <c r="B4031" s="418" t="s">
        <v>1751</v>
      </c>
      <c r="C4031" s="419" t="s">
        <v>1752</v>
      </c>
      <c r="D4031" s="55"/>
      <c r="E4031" s="55"/>
      <c r="F4031" s="55"/>
      <c r="G4031" s="55"/>
      <c r="H4031" s="56"/>
      <c r="I4031" s="55"/>
      <c r="J4031" s="55"/>
      <c r="K4031" s="55"/>
      <c r="L4031" s="55">
        <v>1</v>
      </c>
      <c r="M4031" s="55"/>
      <c r="N4031" s="55"/>
      <c r="O4031" s="55"/>
      <c r="P4031" s="55">
        <v>11</v>
      </c>
      <c r="Q4031" s="55"/>
      <c r="R4031" s="55"/>
      <c r="S4031" s="55"/>
      <c r="T4031" s="55"/>
      <c r="U4031" s="55"/>
      <c r="V4031" s="55"/>
      <c r="W4031" s="55"/>
      <c r="X4031" s="55"/>
      <c r="Y4031" s="55"/>
      <c r="Z4031" s="55"/>
      <c r="AA4031" s="55"/>
      <c r="AB4031" s="22">
        <f t="shared" si="1268"/>
        <v>12</v>
      </c>
      <c r="AC4031" s="23">
        <v>78</v>
      </c>
      <c r="AD4031" s="56"/>
      <c r="AE4031" s="56"/>
      <c r="AF4031" s="56"/>
      <c r="AG4031" s="56"/>
      <c r="AH4031" s="56"/>
      <c r="AI4031" s="56"/>
      <c r="AJ4031" s="56"/>
      <c r="AK4031" s="56"/>
      <c r="AL4031" s="56"/>
      <c r="AM4031" s="56"/>
      <c r="AN4031" s="56"/>
      <c r="AO4031" s="56"/>
      <c r="AP4031" s="56"/>
      <c r="AQ4031" s="56"/>
      <c r="AR4031" s="56"/>
      <c r="AS4031" s="56"/>
      <c r="AT4031" s="56"/>
      <c r="AU4031" s="56"/>
      <c r="AV4031" s="56"/>
      <c r="AW4031" s="56"/>
      <c r="AX4031" s="56"/>
      <c r="AY4031" s="56"/>
      <c r="AZ4031" s="56"/>
      <c r="BA4031" s="56"/>
      <c r="BB4031" s="22">
        <f t="shared" si="1269"/>
        <v>0</v>
      </c>
      <c r="BC4031" s="23">
        <v>0</v>
      </c>
      <c r="BD4031" s="130">
        <f t="shared" si="1270"/>
        <v>12</v>
      </c>
      <c r="BE4031" s="130">
        <f t="shared" si="1271"/>
        <v>78</v>
      </c>
      <c r="BF4031" s="195">
        <f t="shared" si="1272"/>
        <v>15.384615384615385</v>
      </c>
      <c r="BG4031" s="373">
        <f t="shared" si="1273"/>
        <v>66</v>
      </c>
      <c r="BH4031" s="426" t="s">
        <v>3675</v>
      </c>
      <c r="BI4031" s="420"/>
    </row>
    <row r="4032" spans="1:61" s="46" customFormat="1" ht="21" customHeight="1">
      <c r="A4032" s="417">
        <v>8</v>
      </c>
      <c r="B4032" s="418" t="s">
        <v>1753</v>
      </c>
      <c r="C4032" s="419" t="s">
        <v>1754</v>
      </c>
      <c r="D4032" s="55"/>
      <c r="E4032" s="55"/>
      <c r="F4032" s="55"/>
      <c r="G4032" s="55"/>
      <c r="H4032" s="56">
        <v>16</v>
      </c>
      <c r="I4032" s="55"/>
      <c r="J4032" s="55"/>
      <c r="K4032" s="55"/>
      <c r="L4032" s="55">
        <f>1+46</f>
        <v>47</v>
      </c>
      <c r="M4032" s="55"/>
      <c r="N4032" s="55"/>
      <c r="O4032" s="55"/>
      <c r="P4032" s="55">
        <v>24</v>
      </c>
      <c r="Q4032" s="55"/>
      <c r="R4032" s="55"/>
      <c r="S4032" s="55"/>
      <c r="T4032" s="55"/>
      <c r="U4032" s="55"/>
      <c r="V4032" s="55"/>
      <c r="W4032" s="55"/>
      <c r="X4032" s="55"/>
      <c r="Y4032" s="55"/>
      <c r="Z4032" s="55"/>
      <c r="AA4032" s="55"/>
      <c r="AB4032" s="22">
        <f t="shared" si="1268"/>
        <v>87</v>
      </c>
      <c r="AC4032" s="23">
        <v>275</v>
      </c>
      <c r="AD4032" s="56"/>
      <c r="AE4032" s="56"/>
      <c r="AF4032" s="56"/>
      <c r="AG4032" s="56"/>
      <c r="AH4032" s="56"/>
      <c r="AI4032" s="56"/>
      <c r="AJ4032" s="56"/>
      <c r="AK4032" s="56"/>
      <c r="AL4032" s="56"/>
      <c r="AM4032" s="56"/>
      <c r="AN4032" s="56"/>
      <c r="AO4032" s="56"/>
      <c r="AP4032" s="56"/>
      <c r="AQ4032" s="56"/>
      <c r="AR4032" s="56"/>
      <c r="AS4032" s="56"/>
      <c r="AT4032" s="56"/>
      <c r="AU4032" s="56"/>
      <c r="AV4032" s="56"/>
      <c r="AW4032" s="56"/>
      <c r="AX4032" s="56"/>
      <c r="AY4032" s="56"/>
      <c r="AZ4032" s="56"/>
      <c r="BA4032" s="56"/>
      <c r="BB4032" s="22">
        <f t="shared" si="1269"/>
        <v>0</v>
      </c>
      <c r="BC4032" s="23">
        <v>0</v>
      </c>
      <c r="BD4032" s="130">
        <f t="shared" si="1270"/>
        <v>87</v>
      </c>
      <c r="BE4032" s="130">
        <f t="shared" si="1271"/>
        <v>275</v>
      </c>
      <c r="BF4032" s="195">
        <f t="shared" si="1272"/>
        <v>31.636363636363633</v>
      </c>
      <c r="BG4032" s="373">
        <f t="shared" si="1273"/>
        <v>188</v>
      </c>
      <c r="BH4032" s="426" t="s">
        <v>3675</v>
      </c>
      <c r="BI4032" s="420"/>
    </row>
    <row r="4033" spans="1:61" s="46" customFormat="1" ht="21" customHeight="1">
      <c r="A4033" s="417">
        <v>9</v>
      </c>
      <c r="B4033" s="418" t="s">
        <v>1775</v>
      </c>
      <c r="C4033" s="419" t="s">
        <v>1959</v>
      </c>
      <c r="D4033" s="55"/>
      <c r="E4033" s="55"/>
      <c r="F4033" s="55"/>
      <c r="G4033" s="55"/>
      <c r="H4033" s="56"/>
      <c r="I4033" s="55"/>
      <c r="J4033" s="55"/>
      <c r="K4033" s="55"/>
      <c r="L4033" s="55"/>
      <c r="M4033" s="55"/>
      <c r="N4033" s="55"/>
      <c r="O4033" s="55"/>
      <c r="P4033" s="55"/>
      <c r="Q4033" s="55"/>
      <c r="R4033" s="55"/>
      <c r="S4033" s="55"/>
      <c r="T4033" s="55"/>
      <c r="U4033" s="55"/>
      <c r="V4033" s="55"/>
      <c r="W4033" s="55"/>
      <c r="X4033" s="55"/>
      <c r="Y4033" s="55"/>
      <c r="Z4033" s="55"/>
      <c r="AA4033" s="55"/>
      <c r="AB4033" s="22">
        <f t="shared" si="1268"/>
        <v>0</v>
      </c>
      <c r="AC4033" s="23">
        <v>30</v>
      </c>
      <c r="AD4033" s="56"/>
      <c r="AE4033" s="56"/>
      <c r="AF4033" s="56"/>
      <c r="AG4033" s="56"/>
      <c r="AH4033" s="56"/>
      <c r="AI4033" s="56"/>
      <c r="AJ4033" s="56"/>
      <c r="AK4033" s="56"/>
      <c r="AL4033" s="56"/>
      <c r="AM4033" s="56"/>
      <c r="AN4033" s="56"/>
      <c r="AO4033" s="56"/>
      <c r="AP4033" s="56"/>
      <c r="AQ4033" s="56"/>
      <c r="AR4033" s="56"/>
      <c r="AS4033" s="56"/>
      <c r="AT4033" s="56"/>
      <c r="AU4033" s="56"/>
      <c r="AV4033" s="56"/>
      <c r="AW4033" s="56"/>
      <c r="AX4033" s="56"/>
      <c r="AY4033" s="56"/>
      <c r="AZ4033" s="56"/>
      <c r="BA4033" s="56"/>
      <c r="BB4033" s="22">
        <f t="shared" si="1269"/>
        <v>0</v>
      </c>
      <c r="BC4033" s="23">
        <v>0</v>
      </c>
      <c r="BD4033" s="130">
        <f t="shared" si="1270"/>
        <v>0</v>
      </c>
      <c r="BE4033" s="130">
        <f t="shared" si="1271"/>
        <v>30</v>
      </c>
      <c r="BF4033" s="195">
        <f t="shared" si="1272"/>
        <v>0</v>
      </c>
      <c r="BG4033" s="373">
        <f t="shared" si="1273"/>
        <v>30</v>
      </c>
      <c r="BH4033" s="426" t="s">
        <v>3675</v>
      </c>
      <c r="BI4033" s="421"/>
    </row>
    <row r="4034" spans="1:61" s="46" customFormat="1" ht="21" customHeight="1">
      <c r="A4034" s="417">
        <v>10</v>
      </c>
      <c r="B4034" s="418" t="s">
        <v>1756</v>
      </c>
      <c r="C4034" s="419" t="s">
        <v>1757</v>
      </c>
      <c r="D4034" s="55"/>
      <c r="E4034" s="55"/>
      <c r="F4034" s="55"/>
      <c r="G4034" s="55"/>
      <c r="H4034" s="56">
        <v>3</v>
      </c>
      <c r="I4034" s="55"/>
      <c r="J4034" s="55"/>
      <c r="K4034" s="55"/>
      <c r="L4034" s="55">
        <v>13</v>
      </c>
      <c r="M4034" s="55"/>
      <c r="N4034" s="55"/>
      <c r="O4034" s="55"/>
      <c r="P4034" s="55">
        <v>2</v>
      </c>
      <c r="Q4034" s="55"/>
      <c r="R4034" s="55"/>
      <c r="S4034" s="55"/>
      <c r="T4034" s="55"/>
      <c r="U4034" s="55"/>
      <c r="V4034" s="55"/>
      <c r="W4034" s="55"/>
      <c r="X4034" s="55"/>
      <c r="Y4034" s="55"/>
      <c r="Z4034" s="55"/>
      <c r="AA4034" s="55"/>
      <c r="AB4034" s="22">
        <f t="shared" si="1268"/>
        <v>18</v>
      </c>
      <c r="AC4034" s="23">
        <v>235</v>
      </c>
      <c r="AD4034" s="56"/>
      <c r="AE4034" s="56"/>
      <c r="AF4034" s="56"/>
      <c r="AG4034" s="56"/>
      <c r="AH4034" s="56"/>
      <c r="AI4034" s="56"/>
      <c r="AJ4034" s="56"/>
      <c r="AK4034" s="56"/>
      <c r="AL4034" s="56"/>
      <c r="AM4034" s="56"/>
      <c r="AN4034" s="56"/>
      <c r="AO4034" s="56"/>
      <c r="AP4034" s="56"/>
      <c r="AQ4034" s="56"/>
      <c r="AR4034" s="56"/>
      <c r="AS4034" s="56"/>
      <c r="AT4034" s="56"/>
      <c r="AU4034" s="56"/>
      <c r="AV4034" s="56"/>
      <c r="AW4034" s="56"/>
      <c r="AX4034" s="56"/>
      <c r="AY4034" s="56"/>
      <c r="AZ4034" s="56"/>
      <c r="BA4034" s="56"/>
      <c r="BB4034" s="22">
        <f t="shared" si="1269"/>
        <v>0</v>
      </c>
      <c r="BC4034" s="23">
        <v>0</v>
      </c>
      <c r="BD4034" s="130">
        <f t="shared" si="1270"/>
        <v>18</v>
      </c>
      <c r="BE4034" s="130">
        <f t="shared" si="1271"/>
        <v>235</v>
      </c>
      <c r="BF4034" s="195">
        <f t="shared" si="1272"/>
        <v>7.6595744680851059</v>
      </c>
      <c r="BG4034" s="373">
        <f t="shared" si="1273"/>
        <v>217</v>
      </c>
      <c r="BH4034" s="426" t="s">
        <v>3675</v>
      </c>
      <c r="BI4034" s="421"/>
    </row>
    <row r="4035" spans="1:61" s="46" customFormat="1" ht="14.25" customHeight="1">
      <c r="A4035" s="453">
        <v>11</v>
      </c>
      <c r="B4035" s="454" t="s">
        <v>1763</v>
      </c>
      <c r="C4035" s="458" t="s">
        <v>1764</v>
      </c>
      <c r="D4035" s="55"/>
      <c r="E4035" s="55"/>
      <c r="F4035" s="55"/>
      <c r="G4035" s="55"/>
      <c r="H4035" s="55"/>
      <c r="I4035" s="55"/>
      <c r="J4035" s="55"/>
      <c r="K4035" s="55"/>
      <c r="L4035" s="55"/>
      <c r="M4035" s="55"/>
      <c r="N4035" s="55"/>
      <c r="O4035" s="55"/>
      <c r="P4035" s="55"/>
      <c r="Q4035" s="55"/>
      <c r="R4035" s="55"/>
      <c r="S4035" s="55"/>
      <c r="T4035" s="55"/>
      <c r="U4035" s="55"/>
      <c r="V4035" s="55"/>
      <c r="W4035" s="55"/>
      <c r="X4035" s="55"/>
      <c r="Y4035" s="55"/>
      <c r="Z4035" s="55"/>
      <c r="AA4035" s="55"/>
      <c r="AB4035" s="22">
        <f t="shared" si="1268"/>
        <v>0</v>
      </c>
      <c r="AC4035" s="23">
        <v>0</v>
      </c>
      <c r="AD4035" s="56"/>
      <c r="AE4035" s="56"/>
      <c r="AF4035" s="56"/>
      <c r="AG4035" s="56"/>
      <c r="AH4035" s="56">
        <v>17</v>
      </c>
      <c r="AI4035" s="56"/>
      <c r="AJ4035" s="56"/>
      <c r="AK4035" s="56"/>
      <c r="AL4035" s="56">
        <v>44</v>
      </c>
      <c r="AM4035" s="56"/>
      <c r="AN4035" s="56"/>
      <c r="AO4035" s="56"/>
      <c r="AP4035" s="56">
        <v>21</v>
      </c>
      <c r="AQ4035" s="56"/>
      <c r="AR4035" s="56"/>
      <c r="AS4035" s="56"/>
      <c r="AT4035" s="56"/>
      <c r="AU4035" s="56"/>
      <c r="AV4035" s="56"/>
      <c r="AW4035" s="56"/>
      <c r="AX4035" s="56"/>
      <c r="AY4035" s="56"/>
      <c r="AZ4035" s="56"/>
      <c r="BA4035" s="56"/>
      <c r="BB4035" s="22">
        <f t="shared" si="1269"/>
        <v>82</v>
      </c>
      <c r="BC4035" s="23">
        <v>576</v>
      </c>
      <c r="BD4035" s="130">
        <f t="shared" si="1270"/>
        <v>82</v>
      </c>
      <c r="BE4035" s="130">
        <f t="shared" si="1271"/>
        <v>576</v>
      </c>
      <c r="BF4035" s="195">
        <f t="shared" si="1272"/>
        <v>14.236111111111111</v>
      </c>
      <c r="BG4035" s="373">
        <f t="shared" si="1273"/>
        <v>494</v>
      </c>
    </row>
    <row r="4036" spans="1:61" s="46" customFormat="1" ht="14.25" customHeight="1">
      <c r="A4036" s="453">
        <v>12</v>
      </c>
      <c r="B4036" s="454" t="s">
        <v>1765</v>
      </c>
      <c r="C4036" s="458" t="s">
        <v>1766</v>
      </c>
      <c r="D4036" s="55"/>
      <c r="E4036" s="55"/>
      <c r="F4036" s="55"/>
      <c r="G4036" s="55"/>
      <c r="H4036" s="55"/>
      <c r="I4036" s="55"/>
      <c r="J4036" s="55"/>
      <c r="K4036" s="55"/>
      <c r="L4036" s="55"/>
      <c r="M4036" s="55"/>
      <c r="N4036" s="55"/>
      <c r="O4036" s="55"/>
      <c r="P4036" s="55"/>
      <c r="Q4036" s="55"/>
      <c r="R4036" s="55"/>
      <c r="S4036" s="55"/>
      <c r="T4036" s="55"/>
      <c r="U4036" s="55"/>
      <c r="V4036" s="55"/>
      <c r="W4036" s="55"/>
      <c r="X4036" s="55"/>
      <c r="Y4036" s="55"/>
      <c r="Z4036" s="55"/>
      <c r="AA4036" s="55"/>
      <c r="AB4036" s="22">
        <f t="shared" si="1268"/>
        <v>0</v>
      </c>
      <c r="AC4036" s="23">
        <v>0</v>
      </c>
      <c r="AD4036" s="56"/>
      <c r="AE4036" s="56"/>
      <c r="AF4036" s="56"/>
      <c r="AG4036" s="56"/>
      <c r="AH4036" s="56"/>
      <c r="AI4036" s="56"/>
      <c r="AJ4036" s="56"/>
      <c r="AK4036" s="56"/>
      <c r="AL4036" s="56"/>
      <c r="AM4036" s="56"/>
      <c r="AN4036" s="56"/>
      <c r="AO4036" s="56"/>
      <c r="AP4036" s="56"/>
      <c r="AQ4036" s="56"/>
      <c r="AR4036" s="56"/>
      <c r="AS4036" s="56"/>
      <c r="AT4036" s="56"/>
      <c r="AU4036" s="56"/>
      <c r="AV4036" s="56"/>
      <c r="AW4036" s="56"/>
      <c r="AX4036" s="56"/>
      <c r="AY4036" s="56"/>
      <c r="AZ4036" s="56"/>
      <c r="BA4036" s="56"/>
      <c r="BB4036" s="22">
        <f t="shared" si="1269"/>
        <v>0</v>
      </c>
      <c r="BC4036" s="23">
        <v>1</v>
      </c>
      <c r="BD4036" s="130">
        <f t="shared" si="1270"/>
        <v>0</v>
      </c>
      <c r="BE4036" s="130">
        <f t="shared" si="1271"/>
        <v>1</v>
      </c>
      <c r="BF4036" s="195">
        <f t="shared" si="1272"/>
        <v>0</v>
      </c>
      <c r="BG4036" s="373">
        <f t="shared" si="1273"/>
        <v>1</v>
      </c>
    </row>
    <row r="4037" spans="1:61" s="46" customFormat="1" ht="14.25" customHeight="1">
      <c r="A4037" s="453">
        <v>13</v>
      </c>
      <c r="B4037" s="456" t="s">
        <v>1118</v>
      </c>
      <c r="C4037" s="457" t="s">
        <v>3107</v>
      </c>
      <c r="D4037" s="55"/>
      <c r="E4037" s="55"/>
      <c r="F4037" s="55"/>
      <c r="G4037" s="55"/>
      <c r="H4037" s="55"/>
      <c r="I4037" s="55"/>
      <c r="J4037" s="55"/>
      <c r="K4037" s="55"/>
      <c r="L4037" s="55"/>
      <c r="M4037" s="55"/>
      <c r="N4037" s="55"/>
      <c r="O4037" s="55"/>
      <c r="P4037" s="55"/>
      <c r="Q4037" s="55"/>
      <c r="R4037" s="55"/>
      <c r="S4037" s="55"/>
      <c r="T4037" s="55"/>
      <c r="U4037" s="55"/>
      <c r="V4037" s="55"/>
      <c r="W4037" s="55"/>
      <c r="X4037" s="55"/>
      <c r="Y4037" s="55"/>
      <c r="Z4037" s="55"/>
      <c r="AA4037" s="55"/>
      <c r="AB4037" s="22">
        <f t="shared" si="1268"/>
        <v>0</v>
      </c>
      <c r="AC4037" s="23">
        <v>0</v>
      </c>
      <c r="AD4037" s="56"/>
      <c r="AE4037" s="56"/>
      <c r="AF4037" s="56"/>
      <c r="AG4037" s="56"/>
      <c r="AH4037" s="56"/>
      <c r="AI4037" s="56"/>
      <c r="AJ4037" s="56"/>
      <c r="AK4037" s="56"/>
      <c r="AL4037" s="56"/>
      <c r="AM4037" s="56"/>
      <c r="AN4037" s="56"/>
      <c r="AO4037" s="56"/>
      <c r="AP4037" s="56"/>
      <c r="AQ4037" s="56"/>
      <c r="AR4037" s="56"/>
      <c r="AS4037" s="56"/>
      <c r="AT4037" s="56"/>
      <c r="AU4037" s="56"/>
      <c r="AV4037" s="56"/>
      <c r="AW4037" s="56"/>
      <c r="AX4037" s="56"/>
      <c r="AY4037" s="56"/>
      <c r="AZ4037" s="56"/>
      <c r="BA4037" s="56"/>
      <c r="BB4037" s="22">
        <f t="shared" si="1269"/>
        <v>0</v>
      </c>
      <c r="BC4037" s="23">
        <v>1</v>
      </c>
      <c r="BD4037" s="130">
        <f t="shared" si="1270"/>
        <v>0</v>
      </c>
      <c r="BE4037" s="130">
        <f t="shared" si="1271"/>
        <v>1</v>
      </c>
      <c r="BF4037" s="195">
        <f t="shared" si="1272"/>
        <v>0</v>
      </c>
      <c r="BG4037" s="373">
        <f t="shared" si="1273"/>
        <v>1</v>
      </c>
    </row>
    <row r="4038" spans="1:61" s="46" customFormat="1" ht="14.25" customHeight="1">
      <c r="A4038" s="453">
        <v>14</v>
      </c>
      <c r="B4038" s="454" t="s">
        <v>1665</v>
      </c>
      <c r="C4038" s="455" t="s">
        <v>1666</v>
      </c>
      <c r="D4038" s="55"/>
      <c r="E4038" s="55"/>
      <c r="F4038" s="55"/>
      <c r="G4038" s="55"/>
      <c r="H4038" s="55"/>
      <c r="I4038" s="55"/>
      <c r="J4038" s="55"/>
      <c r="K4038" s="55"/>
      <c r="L4038" s="55"/>
      <c r="M4038" s="55"/>
      <c r="N4038" s="55"/>
      <c r="O4038" s="55"/>
      <c r="P4038" s="55">
        <v>1</v>
      </c>
      <c r="Q4038" s="55"/>
      <c r="R4038" s="55"/>
      <c r="S4038" s="55"/>
      <c r="T4038" s="55"/>
      <c r="U4038" s="55"/>
      <c r="V4038" s="55"/>
      <c r="W4038" s="55"/>
      <c r="X4038" s="55"/>
      <c r="Y4038" s="55"/>
      <c r="Z4038" s="55"/>
      <c r="AA4038" s="55"/>
      <c r="AB4038" s="22">
        <f t="shared" si="1268"/>
        <v>1</v>
      </c>
      <c r="AC4038" s="23">
        <v>0</v>
      </c>
      <c r="AD4038" s="56"/>
      <c r="AE4038" s="56"/>
      <c r="AF4038" s="56"/>
      <c r="AG4038" s="56"/>
      <c r="AH4038" s="56">
        <v>1</v>
      </c>
      <c r="AI4038" s="56"/>
      <c r="AJ4038" s="56"/>
      <c r="AK4038" s="56"/>
      <c r="AL4038" s="56">
        <f>1+42</f>
        <v>43</v>
      </c>
      <c r="AM4038" s="56"/>
      <c r="AN4038" s="56"/>
      <c r="AO4038" s="56"/>
      <c r="AP4038" s="56"/>
      <c r="AQ4038" s="56"/>
      <c r="AR4038" s="56"/>
      <c r="AS4038" s="56"/>
      <c r="AT4038" s="56"/>
      <c r="AU4038" s="56"/>
      <c r="AV4038" s="56"/>
      <c r="AW4038" s="56"/>
      <c r="AX4038" s="56"/>
      <c r="AY4038" s="56"/>
      <c r="AZ4038" s="56"/>
      <c r="BA4038" s="56"/>
      <c r="BB4038" s="22">
        <f t="shared" si="1269"/>
        <v>44</v>
      </c>
      <c r="BC4038" s="23">
        <v>398</v>
      </c>
      <c r="BD4038" s="130">
        <f t="shared" si="1270"/>
        <v>45</v>
      </c>
      <c r="BE4038" s="130">
        <f t="shared" si="1271"/>
        <v>398</v>
      </c>
      <c r="BF4038" s="195">
        <f t="shared" si="1272"/>
        <v>11.306532663316583</v>
      </c>
      <c r="BG4038" s="373">
        <f t="shared" si="1273"/>
        <v>353</v>
      </c>
    </row>
    <row r="4039" spans="1:61" s="46" customFormat="1" ht="14.25" customHeight="1">
      <c r="A4039" s="453">
        <v>15</v>
      </c>
      <c r="B4039" s="454" t="s">
        <v>1767</v>
      </c>
      <c r="C4039" s="455" t="s">
        <v>1779</v>
      </c>
      <c r="D4039" s="55"/>
      <c r="E4039" s="55"/>
      <c r="F4039" s="55"/>
      <c r="G4039" s="55"/>
      <c r="H4039" s="55"/>
      <c r="I4039" s="55"/>
      <c r="J4039" s="55"/>
      <c r="K4039" s="55"/>
      <c r="L4039" s="55"/>
      <c r="M4039" s="55"/>
      <c r="N4039" s="55"/>
      <c r="O4039" s="55"/>
      <c r="P4039" s="55"/>
      <c r="Q4039" s="55"/>
      <c r="R4039" s="55"/>
      <c r="S4039" s="55"/>
      <c r="T4039" s="55"/>
      <c r="U4039" s="55"/>
      <c r="V4039" s="55"/>
      <c r="W4039" s="55"/>
      <c r="X4039" s="55"/>
      <c r="Y4039" s="55"/>
      <c r="Z4039" s="55"/>
      <c r="AA4039" s="55"/>
      <c r="AB4039" s="22">
        <f t="shared" si="1268"/>
        <v>0</v>
      </c>
      <c r="AC4039" s="23">
        <v>0</v>
      </c>
      <c r="AD4039" s="56"/>
      <c r="AE4039" s="56"/>
      <c r="AF4039" s="56"/>
      <c r="AG4039" s="56"/>
      <c r="AH4039" s="56">
        <v>17</v>
      </c>
      <c r="AI4039" s="56"/>
      <c r="AJ4039" s="56"/>
      <c r="AK4039" s="56"/>
      <c r="AL4039" s="56">
        <f>1+59</f>
        <v>60</v>
      </c>
      <c r="AM4039" s="56"/>
      <c r="AN4039" s="56"/>
      <c r="AO4039" s="56"/>
      <c r="AP4039" s="56">
        <v>39</v>
      </c>
      <c r="AQ4039" s="56"/>
      <c r="AR4039" s="56"/>
      <c r="AS4039" s="56"/>
      <c r="AT4039" s="56"/>
      <c r="AU4039" s="56"/>
      <c r="AV4039" s="56"/>
      <c r="AW4039" s="56"/>
      <c r="AX4039" s="56"/>
      <c r="AY4039" s="56"/>
      <c r="AZ4039" s="56"/>
      <c r="BA4039" s="56"/>
      <c r="BB4039" s="22">
        <f t="shared" si="1269"/>
        <v>116</v>
      </c>
      <c r="BC4039" s="23">
        <v>500</v>
      </c>
      <c r="BD4039" s="130">
        <f t="shared" si="1270"/>
        <v>116</v>
      </c>
      <c r="BE4039" s="130">
        <f t="shared" si="1271"/>
        <v>500</v>
      </c>
      <c r="BF4039" s="195">
        <f t="shared" si="1272"/>
        <v>23.200000000000003</v>
      </c>
      <c r="BG4039" s="373">
        <f t="shared" si="1273"/>
        <v>384</v>
      </c>
    </row>
    <row r="4040" spans="1:61" s="46" customFormat="1" ht="14.25" customHeight="1">
      <c r="A4040" s="453">
        <v>16</v>
      </c>
      <c r="B4040" s="454" t="s">
        <v>1769</v>
      </c>
      <c r="C4040" s="458" t="s">
        <v>1799</v>
      </c>
      <c r="D4040" s="55"/>
      <c r="E4040" s="55"/>
      <c r="F4040" s="55"/>
      <c r="G4040" s="55"/>
      <c r="H4040" s="55"/>
      <c r="I4040" s="55"/>
      <c r="J4040" s="55"/>
      <c r="K4040" s="55"/>
      <c r="L4040" s="55"/>
      <c r="M4040" s="55"/>
      <c r="N4040" s="55"/>
      <c r="O4040" s="55"/>
      <c r="P4040" s="55"/>
      <c r="Q4040" s="55"/>
      <c r="R4040" s="55"/>
      <c r="S4040" s="55"/>
      <c r="T4040" s="55"/>
      <c r="U4040" s="55"/>
      <c r="V4040" s="55"/>
      <c r="W4040" s="55"/>
      <c r="X4040" s="55"/>
      <c r="Y4040" s="55"/>
      <c r="Z4040" s="55"/>
      <c r="AA4040" s="55"/>
      <c r="AB4040" s="22">
        <f t="shared" si="1268"/>
        <v>0</v>
      </c>
      <c r="AC4040" s="23">
        <v>0</v>
      </c>
      <c r="AD4040" s="56"/>
      <c r="AE4040" s="56"/>
      <c r="AF4040" s="56"/>
      <c r="AG4040" s="56"/>
      <c r="AH4040" s="56"/>
      <c r="AI4040" s="56"/>
      <c r="AJ4040" s="56"/>
      <c r="AK4040" s="56"/>
      <c r="AL4040" s="56"/>
      <c r="AM4040" s="56"/>
      <c r="AN4040" s="56"/>
      <c r="AO4040" s="56"/>
      <c r="AP4040" s="56"/>
      <c r="AQ4040" s="56"/>
      <c r="AR4040" s="56"/>
      <c r="AS4040" s="56"/>
      <c r="AT4040" s="56"/>
      <c r="AU4040" s="56"/>
      <c r="AV4040" s="56"/>
      <c r="AW4040" s="56"/>
      <c r="AX4040" s="56"/>
      <c r="AY4040" s="56"/>
      <c r="AZ4040" s="56"/>
      <c r="BA4040" s="56"/>
      <c r="BB4040" s="22">
        <f t="shared" si="1269"/>
        <v>0</v>
      </c>
      <c r="BC4040" s="23">
        <v>2</v>
      </c>
      <c r="BD4040" s="130">
        <f t="shared" si="1270"/>
        <v>0</v>
      </c>
      <c r="BE4040" s="130">
        <f t="shared" si="1271"/>
        <v>2</v>
      </c>
      <c r="BF4040" s="195">
        <f t="shared" si="1272"/>
        <v>0</v>
      </c>
      <c r="BG4040" s="373">
        <f t="shared" si="1273"/>
        <v>2</v>
      </c>
    </row>
    <row r="4041" spans="1:61" s="46" customFormat="1" ht="14.25" customHeight="1">
      <c r="A4041" s="453">
        <v>17</v>
      </c>
      <c r="B4041" s="53" t="s">
        <v>1771</v>
      </c>
      <c r="C4041" s="57" t="s">
        <v>1784</v>
      </c>
      <c r="D4041" s="55"/>
      <c r="E4041" s="55"/>
      <c r="F4041" s="55"/>
      <c r="G4041" s="55"/>
      <c r="H4041" s="55"/>
      <c r="I4041" s="55"/>
      <c r="J4041" s="55"/>
      <c r="K4041" s="55"/>
      <c r="L4041" s="55"/>
      <c r="M4041" s="55"/>
      <c r="N4041" s="55"/>
      <c r="O4041" s="55"/>
      <c r="P4041" s="55"/>
      <c r="Q4041" s="55"/>
      <c r="R4041" s="55"/>
      <c r="S4041" s="55"/>
      <c r="T4041" s="55"/>
      <c r="U4041" s="55"/>
      <c r="V4041" s="55"/>
      <c r="W4041" s="55"/>
      <c r="X4041" s="55"/>
      <c r="Y4041" s="55"/>
      <c r="Z4041" s="55"/>
      <c r="AA4041" s="55"/>
      <c r="AB4041" s="22">
        <f t="shared" si="1268"/>
        <v>0</v>
      </c>
      <c r="AC4041" s="23">
        <v>0</v>
      </c>
      <c r="AD4041" s="56"/>
      <c r="AE4041" s="56"/>
      <c r="AF4041" s="56"/>
      <c r="AG4041" s="56"/>
      <c r="AH4041" s="56"/>
      <c r="AI4041" s="56"/>
      <c r="AJ4041" s="56"/>
      <c r="AK4041" s="56"/>
      <c r="AL4041" s="56"/>
      <c r="AM4041" s="56"/>
      <c r="AN4041" s="56"/>
      <c r="AO4041" s="56"/>
      <c r="AP4041" s="56"/>
      <c r="AQ4041" s="56"/>
      <c r="AR4041" s="56"/>
      <c r="AS4041" s="56"/>
      <c r="AT4041" s="56"/>
      <c r="AU4041" s="56"/>
      <c r="AV4041" s="56"/>
      <c r="AW4041" s="56"/>
      <c r="AX4041" s="56"/>
      <c r="AY4041" s="56"/>
      <c r="AZ4041" s="56"/>
      <c r="BA4041" s="56"/>
      <c r="BB4041" s="22">
        <f t="shared" si="1269"/>
        <v>0</v>
      </c>
      <c r="BC4041" s="23">
        <v>1</v>
      </c>
      <c r="BD4041" s="130">
        <f t="shared" si="1270"/>
        <v>0</v>
      </c>
      <c r="BE4041" s="130">
        <f t="shared" si="1271"/>
        <v>1</v>
      </c>
      <c r="BF4041" s="195">
        <f t="shared" si="1272"/>
        <v>0</v>
      </c>
      <c r="BG4041" s="373">
        <f t="shared" si="1273"/>
        <v>1</v>
      </c>
    </row>
    <row r="4042" spans="1:61" s="46" customFormat="1" ht="14.25" customHeight="1">
      <c r="A4042" s="453">
        <v>18</v>
      </c>
      <c r="B4042" s="53" t="s">
        <v>1795</v>
      </c>
      <c r="C4042" s="54" t="s">
        <v>1796</v>
      </c>
      <c r="D4042" s="55"/>
      <c r="E4042" s="55"/>
      <c r="F4042" s="55"/>
      <c r="G4042" s="55"/>
      <c r="H4042" s="55"/>
      <c r="I4042" s="55"/>
      <c r="J4042" s="55"/>
      <c r="K4042" s="55"/>
      <c r="L4042" s="55"/>
      <c r="M4042" s="55"/>
      <c r="N4042" s="55"/>
      <c r="O4042" s="55"/>
      <c r="P4042" s="55"/>
      <c r="Q4042" s="55"/>
      <c r="R4042" s="55"/>
      <c r="S4042" s="55"/>
      <c r="T4042" s="55"/>
      <c r="U4042" s="55"/>
      <c r="V4042" s="55"/>
      <c r="W4042" s="55"/>
      <c r="X4042" s="55"/>
      <c r="Y4042" s="55"/>
      <c r="Z4042" s="55"/>
      <c r="AA4042" s="55"/>
      <c r="AB4042" s="22">
        <f t="shared" si="1268"/>
        <v>0</v>
      </c>
      <c r="AC4042" s="23">
        <v>0</v>
      </c>
      <c r="AD4042" s="56"/>
      <c r="AE4042" s="56"/>
      <c r="AF4042" s="56"/>
      <c r="AG4042" s="56"/>
      <c r="AH4042" s="56"/>
      <c r="AI4042" s="56"/>
      <c r="AJ4042" s="56"/>
      <c r="AK4042" s="56"/>
      <c r="AL4042" s="56">
        <v>1</v>
      </c>
      <c r="AM4042" s="56"/>
      <c r="AN4042" s="56"/>
      <c r="AO4042" s="56"/>
      <c r="AP4042" s="56"/>
      <c r="AQ4042" s="56"/>
      <c r="AR4042" s="56"/>
      <c r="AS4042" s="56"/>
      <c r="AT4042" s="56"/>
      <c r="AU4042" s="56"/>
      <c r="AV4042" s="56"/>
      <c r="AW4042" s="56"/>
      <c r="AX4042" s="56"/>
      <c r="AY4042" s="56"/>
      <c r="AZ4042" s="56"/>
      <c r="BA4042" s="56"/>
      <c r="BB4042" s="22">
        <f t="shared" si="1269"/>
        <v>1</v>
      </c>
      <c r="BC4042" s="23">
        <v>59</v>
      </c>
      <c r="BD4042" s="130">
        <f t="shared" si="1270"/>
        <v>1</v>
      </c>
      <c r="BE4042" s="130">
        <f t="shared" si="1271"/>
        <v>59</v>
      </c>
      <c r="BF4042" s="195">
        <f t="shared" si="1272"/>
        <v>1.6949152542372881</v>
      </c>
      <c r="BG4042" s="373">
        <f t="shared" si="1273"/>
        <v>58</v>
      </c>
    </row>
    <row r="4043" spans="1:61" s="46" customFormat="1" ht="14.25" customHeight="1">
      <c r="A4043" s="453">
        <v>19</v>
      </c>
      <c r="B4043" s="454" t="s">
        <v>1773</v>
      </c>
      <c r="C4043" s="458" t="s">
        <v>3465</v>
      </c>
      <c r="D4043" s="55"/>
      <c r="E4043" s="55"/>
      <c r="F4043" s="55"/>
      <c r="G4043" s="55"/>
      <c r="H4043" s="55"/>
      <c r="I4043" s="55"/>
      <c r="J4043" s="55"/>
      <c r="K4043" s="55"/>
      <c r="L4043" s="55"/>
      <c r="M4043" s="55"/>
      <c r="N4043" s="55"/>
      <c r="O4043" s="55"/>
      <c r="P4043" s="55"/>
      <c r="Q4043" s="55"/>
      <c r="R4043" s="55"/>
      <c r="S4043" s="55"/>
      <c r="T4043" s="55"/>
      <c r="U4043" s="55"/>
      <c r="V4043" s="55"/>
      <c r="W4043" s="55"/>
      <c r="X4043" s="55"/>
      <c r="Y4043" s="55"/>
      <c r="Z4043" s="55"/>
      <c r="AA4043" s="55"/>
      <c r="AB4043" s="22">
        <f t="shared" si="1268"/>
        <v>0</v>
      </c>
      <c r="AC4043" s="23">
        <v>0</v>
      </c>
      <c r="AD4043" s="56"/>
      <c r="AE4043" s="56"/>
      <c r="AF4043" s="56"/>
      <c r="AG4043" s="56"/>
      <c r="AH4043" s="56"/>
      <c r="AI4043" s="56"/>
      <c r="AJ4043" s="56"/>
      <c r="AK4043" s="56"/>
      <c r="AL4043" s="56"/>
      <c r="AM4043" s="56"/>
      <c r="AN4043" s="56"/>
      <c r="AO4043" s="56"/>
      <c r="AP4043" s="56"/>
      <c r="AQ4043" s="56"/>
      <c r="AR4043" s="56"/>
      <c r="AS4043" s="56"/>
      <c r="AT4043" s="56"/>
      <c r="AU4043" s="56"/>
      <c r="AV4043" s="56"/>
      <c r="AW4043" s="56"/>
      <c r="AX4043" s="56"/>
      <c r="AY4043" s="56"/>
      <c r="AZ4043" s="56"/>
      <c r="BA4043" s="56"/>
      <c r="BB4043" s="22">
        <f t="shared" si="1269"/>
        <v>0</v>
      </c>
      <c r="BC4043" s="23">
        <v>10</v>
      </c>
      <c r="BD4043" s="130">
        <f t="shared" si="1270"/>
        <v>0</v>
      </c>
      <c r="BE4043" s="130">
        <f t="shared" si="1271"/>
        <v>10</v>
      </c>
      <c r="BF4043" s="195">
        <f t="shared" si="1272"/>
        <v>0</v>
      </c>
      <c r="BG4043" s="373">
        <f t="shared" si="1273"/>
        <v>10</v>
      </c>
    </row>
    <row r="4044" spans="1:61" s="46" customFormat="1" ht="14.25" customHeight="1">
      <c r="A4044" s="650" t="s">
        <v>1800</v>
      </c>
      <c r="B4044" s="651"/>
      <c r="C4044" s="651"/>
      <c r="D4044" s="52">
        <f t="shared" ref="D4044:AI4044" si="1274">SUM(D4045:D4065)</f>
        <v>0</v>
      </c>
      <c r="E4044" s="52">
        <f t="shared" si="1274"/>
        <v>0</v>
      </c>
      <c r="F4044" s="52">
        <f t="shared" si="1274"/>
        <v>0</v>
      </c>
      <c r="G4044" s="52">
        <f t="shared" si="1274"/>
        <v>0</v>
      </c>
      <c r="H4044" s="52">
        <f t="shared" si="1274"/>
        <v>67</v>
      </c>
      <c r="I4044" s="52">
        <f t="shared" si="1274"/>
        <v>0</v>
      </c>
      <c r="J4044" s="52">
        <f t="shared" si="1274"/>
        <v>0</v>
      </c>
      <c r="K4044" s="52">
        <f t="shared" si="1274"/>
        <v>0</v>
      </c>
      <c r="L4044" s="52">
        <f t="shared" si="1274"/>
        <v>322</v>
      </c>
      <c r="M4044" s="52">
        <f t="shared" si="1274"/>
        <v>0</v>
      </c>
      <c r="N4044" s="52">
        <f t="shared" si="1274"/>
        <v>0</v>
      </c>
      <c r="O4044" s="52">
        <f t="shared" si="1274"/>
        <v>0</v>
      </c>
      <c r="P4044" s="52">
        <f t="shared" si="1274"/>
        <v>4</v>
      </c>
      <c r="Q4044" s="52">
        <f t="shared" si="1274"/>
        <v>0</v>
      </c>
      <c r="R4044" s="52">
        <f t="shared" si="1274"/>
        <v>0</v>
      </c>
      <c r="S4044" s="52">
        <f t="shared" si="1274"/>
        <v>0</v>
      </c>
      <c r="T4044" s="52">
        <f t="shared" si="1274"/>
        <v>0</v>
      </c>
      <c r="U4044" s="52">
        <f t="shared" si="1274"/>
        <v>0</v>
      </c>
      <c r="V4044" s="52">
        <f t="shared" si="1274"/>
        <v>0</v>
      </c>
      <c r="W4044" s="52">
        <f t="shared" si="1274"/>
        <v>0</v>
      </c>
      <c r="X4044" s="52">
        <f t="shared" si="1274"/>
        <v>0</v>
      </c>
      <c r="Y4044" s="52">
        <f t="shared" si="1274"/>
        <v>0</v>
      </c>
      <c r="Z4044" s="52">
        <f t="shared" si="1274"/>
        <v>0</v>
      </c>
      <c r="AA4044" s="52">
        <f t="shared" si="1274"/>
        <v>0</v>
      </c>
      <c r="AB4044" s="52">
        <f t="shared" si="1274"/>
        <v>393</v>
      </c>
      <c r="AC4044" s="127">
        <f t="shared" si="1274"/>
        <v>3299</v>
      </c>
      <c r="AD4044" s="52">
        <f t="shared" si="1274"/>
        <v>0</v>
      </c>
      <c r="AE4044" s="52">
        <f t="shared" si="1274"/>
        <v>0</v>
      </c>
      <c r="AF4044" s="52">
        <f t="shared" si="1274"/>
        <v>0</v>
      </c>
      <c r="AG4044" s="52">
        <f t="shared" si="1274"/>
        <v>0</v>
      </c>
      <c r="AH4044" s="52">
        <f t="shared" si="1274"/>
        <v>31</v>
      </c>
      <c r="AI4044" s="52">
        <f t="shared" si="1274"/>
        <v>0</v>
      </c>
      <c r="AJ4044" s="52">
        <f t="shared" ref="AJ4044:BC4044" si="1275">SUM(AJ4045:AJ4065)</f>
        <v>0</v>
      </c>
      <c r="AK4044" s="52">
        <f t="shared" si="1275"/>
        <v>0</v>
      </c>
      <c r="AL4044" s="52">
        <f t="shared" si="1275"/>
        <v>229</v>
      </c>
      <c r="AM4044" s="52">
        <f t="shared" si="1275"/>
        <v>0</v>
      </c>
      <c r="AN4044" s="52">
        <f t="shared" si="1275"/>
        <v>0</v>
      </c>
      <c r="AO4044" s="52">
        <f t="shared" si="1275"/>
        <v>0</v>
      </c>
      <c r="AP4044" s="52">
        <f t="shared" si="1275"/>
        <v>0</v>
      </c>
      <c r="AQ4044" s="52">
        <f t="shared" si="1275"/>
        <v>0</v>
      </c>
      <c r="AR4044" s="52">
        <f t="shared" si="1275"/>
        <v>0</v>
      </c>
      <c r="AS4044" s="52">
        <f t="shared" si="1275"/>
        <v>0</v>
      </c>
      <c r="AT4044" s="52">
        <f t="shared" si="1275"/>
        <v>0</v>
      </c>
      <c r="AU4044" s="52">
        <f t="shared" si="1275"/>
        <v>0</v>
      </c>
      <c r="AV4044" s="52">
        <f t="shared" si="1275"/>
        <v>0</v>
      </c>
      <c r="AW4044" s="52">
        <f t="shared" si="1275"/>
        <v>0</v>
      </c>
      <c r="AX4044" s="52">
        <f t="shared" si="1275"/>
        <v>0</v>
      </c>
      <c r="AY4044" s="52">
        <f t="shared" si="1275"/>
        <v>0</v>
      </c>
      <c r="AZ4044" s="52">
        <f t="shared" si="1275"/>
        <v>0</v>
      </c>
      <c r="BA4044" s="52">
        <f t="shared" si="1275"/>
        <v>0</v>
      </c>
      <c r="BB4044" s="52">
        <f t="shared" si="1275"/>
        <v>260</v>
      </c>
      <c r="BC4044" s="127">
        <f t="shared" si="1275"/>
        <v>3497</v>
      </c>
      <c r="BD4044" s="130">
        <f t="shared" ref="BD4044:BD4066" si="1276">AB4044+BB4044</f>
        <v>653</v>
      </c>
      <c r="BE4044" s="130">
        <f t="shared" ref="BE4044:BE4066" si="1277">AC4044+BC4044</f>
        <v>6796</v>
      </c>
      <c r="BF4044" s="195">
        <f t="shared" si="1267"/>
        <v>9.6085932901706883</v>
      </c>
      <c r="BG4044" s="375">
        <f t="shared" ref="BG4044:BG4066" si="1278">BE4044-BD4044</f>
        <v>6143</v>
      </c>
    </row>
    <row r="4045" spans="1:61" s="46" customFormat="1" ht="21" customHeight="1">
      <c r="A4045" s="417">
        <v>1</v>
      </c>
      <c r="B4045" s="418" t="s">
        <v>1743</v>
      </c>
      <c r="C4045" s="419" t="s">
        <v>1744</v>
      </c>
      <c r="D4045" s="55"/>
      <c r="E4045" s="55"/>
      <c r="F4045" s="55"/>
      <c r="G4045" s="55"/>
      <c r="H4045" s="56">
        <v>11</v>
      </c>
      <c r="I4045" s="55"/>
      <c r="J4045" s="55"/>
      <c r="K4045" s="55"/>
      <c r="L4045" s="55">
        <v>71</v>
      </c>
      <c r="M4045" s="55"/>
      <c r="N4045" s="55"/>
      <c r="O4045" s="55"/>
      <c r="P4045" s="55">
        <v>1</v>
      </c>
      <c r="Q4045" s="55"/>
      <c r="R4045" s="55"/>
      <c r="S4045" s="55"/>
      <c r="T4045" s="55"/>
      <c r="U4045" s="55"/>
      <c r="V4045" s="55"/>
      <c r="W4045" s="55"/>
      <c r="X4045" s="55"/>
      <c r="Y4045" s="55"/>
      <c r="Z4045" s="55"/>
      <c r="AA4045" s="55"/>
      <c r="AB4045" s="22">
        <f t="shared" ref="AB4045:AB4065" si="1279">SUM(D4045:AA4045)</f>
        <v>83</v>
      </c>
      <c r="AC4045" s="23">
        <f>42+510</f>
        <v>552</v>
      </c>
      <c r="AD4045" s="56"/>
      <c r="AE4045" s="56"/>
      <c r="AF4045" s="56"/>
      <c r="AG4045" s="56"/>
      <c r="AH4045" s="56"/>
      <c r="AI4045" s="56"/>
      <c r="AJ4045" s="56"/>
      <c r="AK4045" s="56"/>
      <c r="AL4045" s="56"/>
      <c r="AM4045" s="56"/>
      <c r="AN4045" s="56"/>
      <c r="AO4045" s="56"/>
      <c r="AP4045" s="56"/>
      <c r="AQ4045" s="56"/>
      <c r="AR4045" s="56"/>
      <c r="AS4045" s="56"/>
      <c r="AT4045" s="56"/>
      <c r="AU4045" s="56"/>
      <c r="AV4045" s="56"/>
      <c r="AW4045" s="56"/>
      <c r="AX4045" s="56"/>
      <c r="AY4045" s="56"/>
      <c r="AZ4045" s="56"/>
      <c r="BA4045" s="56"/>
      <c r="BB4045" s="22">
        <f t="shared" ref="BB4045:BB4065" si="1280">SUM(AD4045:BA4045)</f>
        <v>0</v>
      </c>
      <c r="BC4045" s="23">
        <v>0</v>
      </c>
      <c r="BD4045" s="130">
        <f t="shared" ref="BD4045:BD4065" si="1281">AB4045+BB4045</f>
        <v>83</v>
      </c>
      <c r="BE4045" s="130">
        <f t="shared" si="1277"/>
        <v>552</v>
      </c>
      <c r="BF4045" s="195">
        <f t="shared" ref="BF4045:BF4065" si="1282">BD4045/BE4045*100</f>
        <v>15.036231884057971</v>
      </c>
      <c r="BG4045" s="373">
        <f t="shared" ref="BG4045:BG4065" si="1283">BE4045-BD4045</f>
        <v>469</v>
      </c>
      <c r="BH4045" s="426" t="s">
        <v>3675</v>
      </c>
      <c r="BI4045" s="420"/>
    </row>
    <row r="4046" spans="1:61" s="46" customFormat="1" ht="21" customHeight="1">
      <c r="A4046" s="417">
        <v>2</v>
      </c>
      <c r="B4046" s="418" t="s">
        <v>1745</v>
      </c>
      <c r="C4046" s="419" t="s">
        <v>1746</v>
      </c>
      <c r="D4046" s="55"/>
      <c r="E4046" s="55"/>
      <c r="F4046" s="55"/>
      <c r="G4046" s="55"/>
      <c r="H4046" s="56"/>
      <c r="I4046" s="55"/>
      <c r="J4046" s="55"/>
      <c r="K4046" s="55"/>
      <c r="L4046" s="55"/>
      <c r="M4046" s="55"/>
      <c r="N4046" s="55"/>
      <c r="O4046" s="55"/>
      <c r="P4046" s="55"/>
      <c r="Q4046" s="55"/>
      <c r="R4046" s="55"/>
      <c r="S4046" s="55"/>
      <c r="T4046" s="55"/>
      <c r="U4046" s="55"/>
      <c r="V4046" s="55"/>
      <c r="W4046" s="55"/>
      <c r="X4046" s="55"/>
      <c r="Y4046" s="55"/>
      <c r="Z4046" s="55"/>
      <c r="AA4046" s="55"/>
      <c r="AB4046" s="22">
        <f t="shared" si="1279"/>
        <v>0</v>
      </c>
      <c r="AC4046" s="23">
        <v>0</v>
      </c>
      <c r="AD4046" s="56"/>
      <c r="AE4046" s="56"/>
      <c r="AF4046" s="56"/>
      <c r="AG4046" s="56"/>
      <c r="AH4046" s="56"/>
      <c r="AI4046" s="56"/>
      <c r="AJ4046" s="56"/>
      <c r="AK4046" s="56"/>
      <c r="AL4046" s="56"/>
      <c r="AM4046" s="56"/>
      <c r="AN4046" s="56"/>
      <c r="AO4046" s="56"/>
      <c r="AP4046" s="56"/>
      <c r="AQ4046" s="56"/>
      <c r="AR4046" s="56"/>
      <c r="AS4046" s="56"/>
      <c r="AT4046" s="56"/>
      <c r="AU4046" s="56"/>
      <c r="AV4046" s="56"/>
      <c r="AW4046" s="56"/>
      <c r="AX4046" s="56"/>
      <c r="AY4046" s="56"/>
      <c r="AZ4046" s="56"/>
      <c r="BA4046" s="56"/>
      <c r="BB4046" s="22">
        <f t="shared" si="1280"/>
        <v>0</v>
      </c>
      <c r="BC4046" s="23">
        <v>1</v>
      </c>
      <c r="BD4046" s="130">
        <f t="shared" si="1281"/>
        <v>0</v>
      </c>
      <c r="BE4046" s="130">
        <f t="shared" si="1277"/>
        <v>1</v>
      </c>
      <c r="BF4046" s="195">
        <f t="shared" si="1282"/>
        <v>0</v>
      </c>
      <c r="BG4046" s="373">
        <f t="shared" si="1283"/>
        <v>1</v>
      </c>
      <c r="BH4046" s="426" t="s">
        <v>3675</v>
      </c>
      <c r="BI4046" s="420"/>
    </row>
    <row r="4047" spans="1:61" s="46" customFormat="1" ht="21" customHeight="1">
      <c r="A4047" s="417">
        <v>3</v>
      </c>
      <c r="B4047" s="418" t="s">
        <v>1813</v>
      </c>
      <c r="C4047" s="419" t="s">
        <v>2292</v>
      </c>
      <c r="D4047" s="55"/>
      <c r="E4047" s="55"/>
      <c r="F4047" s="55"/>
      <c r="G4047" s="55"/>
      <c r="H4047" s="56"/>
      <c r="I4047" s="55"/>
      <c r="J4047" s="55"/>
      <c r="K4047" s="55"/>
      <c r="L4047" s="55"/>
      <c r="M4047" s="55"/>
      <c r="N4047" s="55"/>
      <c r="O4047" s="55"/>
      <c r="P4047" s="55"/>
      <c r="Q4047" s="55"/>
      <c r="R4047" s="55"/>
      <c r="S4047" s="55"/>
      <c r="T4047" s="55"/>
      <c r="U4047" s="55"/>
      <c r="V4047" s="55"/>
      <c r="W4047" s="55"/>
      <c r="X4047" s="55"/>
      <c r="Y4047" s="55"/>
      <c r="Z4047" s="55"/>
      <c r="AA4047" s="55"/>
      <c r="AB4047" s="22">
        <f t="shared" si="1279"/>
        <v>0</v>
      </c>
      <c r="AC4047" s="23">
        <v>8</v>
      </c>
      <c r="AD4047" s="56"/>
      <c r="AE4047" s="56"/>
      <c r="AF4047" s="56"/>
      <c r="AG4047" s="56"/>
      <c r="AH4047" s="56"/>
      <c r="AI4047" s="56"/>
      <c r="AJ4047" s="56"/>
      <c r="AK4047" s="56"/>
      <c r="AL4047" s="56"/>
      <c r="AM4047" s="56"/>
      <c r="AN4047" s="56"/>
      <c r="AO4047" s="56"/>
      <c r="AP4047" s="56"/>
      <c r="AQ4047" s="56"/>
      <c r="AR4047" s="56"/>
      <c r="AS4047" s="56"/>
      <c r="AT4047" s="56"/>
      <c r="AU4047" s="56"/>
      <c r="AV4047" s="56"/>
      <c r="AW4047" s="56"/>
      <c r="AX4047" s="56"/>
      <c r="AY4047" s="56"/>
      <c r="AZ4047" s="56"/>
      <c r="BA4047" s="56"/>
      <c r="BB4047" s="22">
        <f t="shared" si="1280"/>
        <v>0</v>
      </c>
      <c r="BC4047" s="23">
        <v>0</v>
      </c>
      <c r="BD4047" s="130">
        <f t="shared" si="1281"/>
        <v>0</v>
      </c>
      <c r="BE4047" s="130">
        <f t="shared" si="1277"/>
        <v>8</v>
      </c>
      <c r="BF4047" s="195">
        <f t="shared" si="1282"/>
        <v>0</v>
      </c>
      <c r="BG4047" s="373">
        <f t="shared" si="1283"/>
        <v>8</v>
      </c>
      <c r="BH4047" s="426" t="s">
        <v>3675</v>
      </c>
      <c r="BI4047" s="421"/>
    </row>
    <row r="4048" spans="1:61" s="46" customFormat="1" ht="21" customHeight="1">
      <c r="A4048" s="417">
        <v>4</v>
      </c>
      <c r="B4048" s="418" t="s">
        <v>1747</v>
      </c>
      <c r="C4048" s="419" t="s">
        <v>1748</v>
      </c>
      <c r="D4048" s="55"/>
      <c r="E4048" s="55"/>
      <c r="F4048" s="55"/>
      <c r="G4048" s="55"/>
      <c r="H4048" s="56">
        <v>14</v>
      </c>
      <c r="I4048" s="55"/>
      <c r="J4048" s="55"/>
      <c r="K4048" s="55"/>
      <c r="L4048" s="55">
        <v>116</v>
      </c>
      <c r="M4048" s="55"/>
      <c r="N4048" s="55"/>
      <c r="O4048" s="55"/>
      <c r="P4048" s="55">
        <v>1</v>
      </c>
      <c r="Q4048" s="55"/>
      <c r="R4048" s="55"/>
      <c r="S4048" s="55"/>
      <c r="T4048" s="55"/>
      <c r="U4048" s="55"/>
      <c r="V4048" s="55"/>
      <c r="W4048" s="55"/>
      <c r="X4048" s="55"/>
      <c r="Y4048" s="55"/>
      <c r="Z4048" s="55"/>
      <c r="AA4048" s="55"/>
      <c r="AB4048" s="22">
        <f t="shared" si="1279"/>
        <v>131</v>
      </c>
      <c r="AC4048" s="23">
        <v>1255</v>
      </c>
      <c r="AD4048" s="56"/>
      <c r="AE4048" s="56"/>
      <c r="AF4048" s="56"/>
      <c r="AG4048" s="56"/>
      <c r="AH4048" s="56"/>
      <c r="AI4048" s="56"/>
      <c r="AJ4048" s="56"/>
      <c r="AK4048" s="56"/>
      <c r="AL4048" s="56"/>
      <c r="AM4048" s="56"/>
      <c r="AN4048" s="56"/>
      <c r="AO4048" s="56"/>
      <c r="AP4048" s="56"/>
      <c r="AQ4048" s="56"/>
      <c r="AR4048" s="56"/>
      <c r="AS4048" s="56"/>
      <c r="AT4048" s="56"/>
      <c r="AU4048" s="56"/>
      <c r="AV4048" s="56"/>
      <c r="AW4048" s="56"/>
      <c r="AX4048" s="56"/>
      <c r="AY4048" s="56"/>
      <c r="AZ4048" s="56"/>
      <c r="BA4048" s="56"/>
      <c r="BB4048" s="22">
        <f t="shared" si="1280"/>
        <v>0</v>
      </c>
      <c r="BC4048" s="23">
        <v>0</v>
      </c>
      <c r="BD4048" s="130">
        <f t="shared" si="1281"/>
        <v>131</v>
      </c>
      <c r="BE4048" s="130">
        <f t="shared" si="1277"/>
        <v>1255</v>
      </c>
      <c r="BF4048" s="195">
        <f t="shared" si="1282"/>
        <v>10.438247011952191</v>
      </c>
      <c r="BG4048" s="373">
        <f t="shared" si="1283"/>
        <v>1124</v>
      </c>
      <c r="BH4048" s="426" t="s">
        <v>3675</v>
      </c>
      <c r="BI4048" s="420"/>
    </row>
    <row r="4049" spans="1:61" s="46" customFormat="1" ht="21" customHeight="1">
      <c r="A4049" s="417">
        <v>5</v>
      </c>
      <c r="B4049" s="418" t="s">
        <v>1749</v>
      </c>
      <c r="C4049" s="419" t="s">
        <v>1750</v>
      </c>
      <c r="D4049" s="55"/>
      <c r="E4049" s="55"/>
      <c r="F4049" s="55"/>
      <c r="G4049" s="55"/>
      <c r="H4049" s="56">
        <v>8</v>
      </c>
      <c r="I4049" s="55"/>
      <c r="J4049" s="55"/>
      <c r="K4049" s="55"/>
      <c r="L4049" s="55">
        <v>26</v>
      </c>
      <c r="M4049" s="55"/>
      <c r="N4049" s="55"/>
      <c r="O4049" s="55"/>
      <c r="P4049" s="55"/>
      <c r="Q4049" s="55"/>
      <c r="R4049" s="55"/>
      <c r="S4049" s="55"/>
      <c r="T4049" s="55"/>
      <c r="U4049" s="55"/>
      <c r="V4049" s="55"/>
      <c r="W4049" s="55"/>
      <c r="X4049" s="55"/>
      <c r="Y4049" s="55"/>
      <c r="Z4049" s="55"/>
      <c r="AA4049" s="55"/>
      <c r="AB4049" s="22">
        <f t="shared" si="1279"/>
        <v>34</v>
      </c>
      <c r="AC4049" s="23">
        <v>460</v>
      </c>
      <c r="AD4049" s="56"/>
      <c r="AE4049" s="56"/>
      <c r="AF4049" s="56"/>
      <c r="AG4049" s="56"/>
      <c r="AH4049" s="56"/>
      <c r="AI4049" s="56"/>
      <c r="AJ4049" s="56"/>
      <c r="AK4049" s="56"/>
      <c r="AL4049" s="56"/>
      <c r="AM4049" s="56"/>
      <c r="AN4049" s="56"/>
      <c r="AO4049" s="56"/>
      <c r="AP4049" s="56"/>
      <c r="AQ4049" s="56"/>
      <c r="AR4049" s="56"/>
      <c r="AS4049" s="56"/>
      <c r="AT4049" s="56"/>
      <c r="AU4049" s="56"/>
      <c r="AV4049" s="56"/>
      <c r="AW4049" s="56"/>
      <c r="AX4049" s="56"/>
      <c r="AY4049" s="56"/>
      <c r="AZ4049" s="56"/>
      <c r="BA4049" s="56"/>
      <c r="BB4049" s="22">
        <f t="shared" si="1280"/>
        <v>0</v>
      </c>
      <c r="BC4049" s="23">
        <v>0</v>
      </c>
      <c r="BD4049" s="130">
        <f t="shared" si="1281"/>
        <v>34</v>
      </c>
      <c r="BE4049" s="130">
        <f t="shared" si="1277"/>
        <v>460</v>
      </c>
      <c r="BF4049" s="195">
        <f t="shared" si="1282"/>
        <v>7.3913043478260869</v>
      </c>
      <c r="BG4049" s="373">
        <f t="shared" si="1283"/>
        <v>426</v>
      </c>
      <c r="BH4049" s="426" t="s">
        <v>3675</v>
      </c>
      <c r="BI4049" s="421"/>
    </row>
    <row r="4050" spans="1:61" s="46" customFormat="1" ht="21" customHeight="1">
      <c r="A4050" s="417">
        <v>6</v>
      </c>
      <c r="B4050" s="418" t="s">
        <v>1801</v>
      </c>
      <c r="C4050" s="419" t="s">
        <v>1802</v>
      </c>
      <c r="D4050" s="55"/>
      <c r="E4050" s="55"/>
      <c r="F4050" s="55"/>
      <c r="G4050" s="55"/>
      <c r="H4050" s="56"/>
      <c r="I4050" s="55"/>
      <c r="J4050" s="55"/>
      <c r="K4050" s="55"/>
      <c r="L4050" s="55">
        <v>9</v>
      </c>
      <c r="M4050" s="55"/>
      <c r="N4050" s="55"/>
      <c r="O4050" s="55"/>
      <c r="P4050" s="55"/>
      <c r="Q4050" s="55"/>
      <c r="R4050" s="55"/>
      <c r="S4050" s="55"/>
      <c r="T4050" s="55"/>
      <c r="U4050" s="55"/>
      <c r="V4050" s="55"/>
      <c r="W4050" s="55"/>
      <c r="X4050" s="55"/>
      <c r="Y4050" s="55"/>
      <c r="Z4050" s="55"/>
      <c r="AA4050" s="55"/>
      <c r="AB4050" s="22">
        <f t="shared" si="1279"/>
        <v>9</v>
      </c>
      <c r="AC4050" s="23">
        <v>38</v>
      </c>
      <c r="AD4050" s="56"/>
      <c r="AE4050" s="56"/>
      <c r="AF4050" s="56"/>
      <c r="AG4050" s="56"/>
      <c r="AH4050" s="56"/>
      <c r="AI4050" s="56"/>
      <c r="AJ4050" s="56"/>
      <c r="AK4050" s="56"/>
      <c r="AL4050" s="56"/>
      <c r="AM4050" s="56"/>
      <c r="AN4050" s="56"/>
      <c r="AO4050" s="56"/>
      <c r="AP4050" s="56"/>
      <c r="AQ4050" s="56"/>
      <c r="AR4050" s="56"/>
      <c r="AS4050" s="56"/>
      <c r="AT4050" s="56"/>
      <c r="AU4050" s="56"/>
      <c r="AV4050" s="56"/>
      <c r="AW4050" s="56"/>
      <c r="AX4050" s="56"/>
      <c r="AY4050" s="56"/>
      <c r="AZ4050" s="56"/>
      <c r="BA4050" s="56"/>
      <c r="BB4050" s="22">
        <f t="shared" si="1280"/>
        <v>0</v>
      </c>
      <c r="BC4050" s="23">
        <v>0</v>
      </c>
      <c r="BD4050" s="130">
        <f t="shared" si="1281"/>
        <v>9</v>
      </c>
      <c r="BE4050" s="130">
        <f t="shared" si="1277"/>
        <v>38</v>
      </c>
      <c r="BF4050" s="195">
        <f t="shared" si="1282"/>
        <v>23.684210526315788</v>
      </c>
      <c r="BG4050" s="373">
        <f t="shared" si="1283"/>
        <v>29</v>
      </c>
      <c r="BH4050" s="426" t="s">
        <v>3675</v>
      </c>
      <c r="BI4050" s="421"/>
    </row>
    <row r="4051" spans="1:61" s="46" customFormat="1" ht="21" customHeight="1">
      <c r="A4051" s="417">
        <v>7</v>
      </c>
      <c r="B4051" s="418" t="s">
        <v>1751</v>
      </c>
      <c r="C4051" s="419" t="s">
        <v>1752</v>
      </c>
      <c r="D4051" s="55"/>
      <c r="E4051" s="55"/>
      <c r="F4051" s="55"/>
      <c r="G4051" s="55"/>
      <c r="H4051" s="56"/>
      <c r="I4051" s="55"/>
      <c r="J4051" s="55"/>
      <c r="K4051" s="55"/>
      <c r="L4051" s="55"/>
      <c r="M4051" s="55"/>
      <c r="N4051" s="55"/>
      <c r="O4051" s="55"/>
      <c r="P4051" s="55"/>
      <c r="Q4051" s="55"/>
      <c r="R4051" s="55"/>
      <c r="S4051" s="55"/>
      <c r="T4051" s="55"/>
      <c r="U4051" s="55"/>
      <c r="V4051" s="55"/>
      <c r="W4051" s="55"/>
      <c r="X4051" s="55"/>
      <c r="Y4051" s="55"/>
      <c r="Z4051" s="55"/>
      <c r="AA4051" s="55"/>
      <c r="AB4051" s="22">
        <f t="shared" si="1279"/>
        <v>0</v>
      </c>
      <c r="AC4051" s="23">
        <f>55+4</f>
        <v>59</v>
      </c>
      <c r="AD4051" s="56"/>
      <c r="AE4051" s="56"/>
      <c r="AF4051" s="56"/>
      <c r="AG4051" s="56"/>
      <c r="AH4051" s="56"/>
      <c r="AI4051" s="56"/>
      <c r="AJ4051" s="56"/>
      <c r="AK4051" s="56"/>
      <c r="AL4051" s="56"/>
      <c r="AM4051" s="56"/>
      <c r="AN4051" s="56"/>
      <c r="AO4051" s="56"/>
      <c r="AP4051" s="56"/>
      <c r="AQ4051" s="56"/>
      <c r="AR4051" s="56"/>
      <c r="AS4051" s="56"/>
      <c r="AT4051" s="56"/>
      <c r="AU4051" s="56"/>
      <c r="AV4051" s="56"/>
      <c r="AW4051" s="56"/>
      <c r="AX4051" s="56"/>
      <c r="AY4051" s="56"/>
      <c r="AZ4051" s="56"/>
      <c r="BA4051" s="56"/>
      <c r="BB4051" s="22">
        <f t="shared" si="1280"/>
        <v>0</v>
      </c>
      <c r="BC4051" s="23">
        <v>0</v>
      </c>
      <c r="BD4051" s="130">
        <f t="shared" si="1281"/>
        <v>0</v>
      </c>
      <c r="BE4051" s="130">
        <f t="shared" si="1277"/>
        <v>59</v>
      </c>
      <c r="BF4051" s="195">
        <f t="shared" si="1282"/>
        <v>0</v>
      </c>
      <c r="BG4051" s="373">
        <f t="shared" si="1283"/>
        <v>59</v>
      </c>
      <c r="BH4051" s="426" t="s">
        <v>3675</v>
      </c>
      <c r="BI4051" s="420"/>
    </row>
    <row r="4052" spans="1:61" s="46" customFormat="1" ht="21" customHeight="1">
      <c r="A4052" s="417">
        <v>9</v>
      </c>
      <c r="B4052" s="418" t="s">
        <v>1753</v>
      </c>
      <c r="C4052" s="419" t="s">
        <v>1754</v>
      </c>
      <c r="D4052" s="55"/>
      <c r="E4052" s="55"/>
      <c r="F4052" s="55"/>
      <c r="G4052" s="55"/>
      <c r="H4052" s="56">
        <v>1</v>
      </c>
      <c r="I4052" s="55"/>
      <c r="J4052" s="55"/>
      <c r="K4052" s="55"/>
      <c r="L4052" s="55">
        <v>25</v>
      </c>
      <c r="M4052" s="55"/>
      <c r="N4052" s="55"/>
      <c r="O4052" s="55"/>
      <c r="P4052" s="55"/>
      <c r="Q4052" s="55"/>
      <c r="R4052" s="55"/>
      <c r="S4052" s="55"/>
      <c r="T4052" s="55"/>
      <c r="U4052" s="55"/>
      <c r="V4052" s="55"/>
      <c r="W4052" s="55"/>
      <c r="X4052" s="55"/>
      <c r="Y4052" s="55"/>
      <c r="Z4052" s="55"/>
      <c r="AA4052" s="55"/>
      <c r="AB4052" s="22">
        <f t="shared" si="1279"/>
        <v>26</v>
      </c>
      <c r="AC4052" s="23">
        <v>630</v>
      </c>
      <c r="AD4052" s="56"/>
      <c r="AE4052" s="56"/>
      <c r="AF4052" s="56"/>
      <c r="AG4052" s="56"/>
      <c r="AH4052" s="56"/>
      <c r="AI4052" s="56"/>
      <c r="AJ4052" s="56"/>
      <c r="AK4052" s="56"/>
      <c r="AL4052" s="56"/>
      <c r="AM4052" s="56"/>
      <c r="AN4052" s="56"/>
      <c r="AO4052" s="56"/>
      <c r="AP4052" s="56"/>
      <c r="AQ4052" s="56"/>
      <c r="AR4052" s="56"/>
      <c r="AS4052" s="56"/>
      <c r="AT4052" s="56"/>
      <c r="AU4052" s="56"/>
      <c r="AV4052" s="56"/>
      <c r="AW4052" s="56"/>
      <c r="AX4052" s="56"/>
      <c r="AY4052" s="56"/>
      <c r="AZ4052" s="56"/>
      <c r="BA4052" s="56"/>
      <c r="BB4052" s="22">
        <f t="shared" si="1280"/>
        <v>0</v>
      </c>
      <c r="BC4052" s="23">
        <v>0</v>
      </c>
      <c r="BD4052" s="130">
        <f t="shared" si="1281"/>
        <v>26</v>
      </c>
      <c r="BE4052" s="130">
        <f t="shared" si="1277"/>
        <v>630</v>
      </c>
      <c r="BF4052" s="195">
        <f t="shared" si="1282"/>
        <v>4.1269841269841265</v>
      </c>
      <c r="BG4052" s="373">
        <f t="shared" si="1283"/>
        <v>604</v>
      </c>
      <c r="BH4052" s="426" t="s">
        <v>3675</v>
      </c>
      <c r="BI4052" s="420"/>
    </row>
    <row r="4053" spans="1:61" s="46" customFormat="1" ht="21" customHeight="1">
      <c r="A4053" s="417">
        <v>10</v>
      </c>
      <c r="B4053" s="418" t="s">
        <v>1792</v>
      </c>
      <c r="C4053" s="419" t="s">
        <v>2245</v>
      </c>
      <c r="D4053" s="55"/>
      <c r="E4053" s="55"/>
      <c r="F4053" s="55"/>
      <c r="G4053" s="55"/>
      <c r="H4053" s="56"/>
      <c r="I4053" s="55"/>
      <c r="J4053" s="55"/>
      <c r="K4053" s="55"/>
      <c r="L4053" s="55"/>
      <c r="M4053" s="55"/>
      <c r="N4053" s="55"/>
      <c r="O4053" s="55"/>
      <c r="P4053" s="55"/>
      <c r="Q4053" s="55"/>
      <c r="R4053" s="55"/>
      <c r="S4053" s="55"/>
      <c r="T4053" s="55"/>
      <c r="U4053" s="55"/>
      <c r="V4053" s="55"/>
      <c r="W4053" s="55"/>
      <c r="X4053" s="55"/>
      <c r="Y4053" s="55"/>
      <c r="Z4053" s="55"/>
      <c r="AA4053" s="55"/>
      <c r="AB4053" s="22">
        <f t="shared" si="1279"/>
        <v>0</v>
      </c>
      <c r="AC4053" s="23">
        <v>1</v>
      </c>
      <c r="AD4053" s="56"/>
      <c r="AE4053" s="56"/>
      <c r="AF4053" s="56"/>
      <c r="AG4053" s="56"/>
      <c r="AH4053" s="56"/>
      <c r="AI4053" s="56"/>
      <c r="AJ4053" s="56"/>
      <c r="AK4053" s="56"/>
      <c r="AL4053" s="56"/>
      <c r="AM4053" s="56"/>
      <c r="AN4053" s="56"/>
      <c r="AO4053" s="56"/>
      <c r="AP4053" s="56"/>
      <c r="AQ4053" s="56"/>
      <c r="AR4053" s="56"/>
      <c r="AS4053" s="56"/>
      <c r="AT4053" s="56"/>
      <c r="AU4053" s="56"/>
      <c r="AV4053" s="56"/>
      <c r="AW4053" s="56"/>
      <c r="AX4053" s="56"/>
      <c r="AY4053" s="56"/>
      <c r="AZ4053" s="56"/>
      <c r="BA4053" s="56"/>
      <c r="BB4053" s="22">
        <f t="shared" si="1280"/>
        <v>0</v>
      </c>
      <c r="BC4053" s="23">
        <v>0</v>
      </c>
      <c r="BD4053" s="130">
        <f t="shared" si="1281"/>
        <v>0</v>
      </c>
      <c r="BE4053" s="130">
        <f t="shared" si="1277"/>
        <v>1</v>
      </c>
      <c r="BF4053" s="195">
        <f t="shared" si="1282"/>
        <v>0</v>
      </c>
      <c r="BG4053" s="373">
        <f t="shared" si="1283"/>
        <v>1</v>
      </c>
      <c r="BH4053" s="426" t="s">
        <v>3675</v>
      </c>
      <c r="BI4053" s="420"/>
    </row>
    <row r="4054" spans="1:61" s="46" customFormat="1" ht="21" customHeight="1">
      <c r="A4054" s="417">
        <v>11</v>
      </c>
      <c r="B4054" s="418" t="s">
        <v>1756</v>
      </c>
      <c r="C4054" s="419" t="s">
        <v>1757</v>
      </c>
      <c r="D4054" s="55"/>
      <c r="E4054" s="55"/>
      <c r="F4054" s="55"/>
      <c r="G4054" s="55"/>
      <c r="H4054" s="56">
        <v>33</v>
      </c>
      <c r="I4054" s="55"/>
      <c r="J4054" s="55"/>
      <c r="K4054" s="55"/>
      <c r="L4054" s="55">
        <v>75</v>
      </c>
      <c r="M4054" s="55"/>
      <c r="N4054" s="55"/>
      <c r="O4054" s="55"/>
      <c r="P4054" s="55"/>
      <c r="Q4054" s="55"/>
      <c r="R4054" s="55"/>
      <c r="S4054" s="55"/>
      <c r="T4054" s="55"/>
      <c r="U4054" s="55"/>
      <c r="V4054" s="55"/>
      <c r="W4054" s="55"/>
      <c r="X4054" s="55"/>
      <c r="Y4054" s="55"/>
      <c r="Z4054" s="55"/>
      <c r="AA4054" s="55"/>
      <c r="AB4054" s="22">
        <f t="shared" si="1279"/>
        <v>108</v>
      </c>
      <c r="AC4054" s="23">
        <v>296</v>
      </c>
      <c r="AD4054" s="56"/>
      <c r="AE4054" s="56"/>
      <c r="AF4054" s="56"/>
      <c r="AG4054" s="56"/>
      <c r="AH4054" s="56"/>
      <c r="AI4054" s="56"/>
      <c r="AJ4054" s="56"/>
      <c r="AK4054" s="56"/>
      <c r="AL4054" s="56"/>
      <c r="AM4054" s="56"/>
      <c r="AN4054" s="56"/>
      <c r="AO4054" s="56"/>
      <c r="AP4054" s="56"/>
      <c r="AQ4054" s="56"/>
      <c r="AR4054" s="56"/>
      <c r="AS4054" s="56"/>
      <c r="AT4054" s="56"/>
      <c r="AU4054" s="56"/>
      <c r="AV4054" s="56"/>
      <c r="AW4054" s="56"/>
      <c r="AX4054" s="56"/>
      <c r="AY4054" s="56"/>
      <c r="AZ4054" s="56"/>
      <c r="BA4054" s="56"/>
      <c r="BB4054" s="22">
        <f t="shared" si="1280"/>
        <v>0</v>
      </c>
      <c r="BC4054" s="23">
        <v>0</v>
      </c>
      <c r="BD4054" s="130">
        <f t="shared" si="1281"/>
        <v>108</v>
      </c>
      <c r="BE4054" s="130">
        <f t="shared" si="1277"/>
        <v>296</v>
      </c>
      <c r="BF4054" s="195">
        <f t="shared" si="1282"/>
        <v>36.486486486486484</v>
      </c>
      <c r="BG4054" s="373">
        <f t="shared" si="1283"/>
        <v>188</v>
      </c>
      <c r="BH4054" s="426" t="s">
        <v>3675</v>
      </c>
      <c r="BI4054" s="421"/>
    </row>
    <row r="4055" spans="1:61" s="46" customFormat="1" ht="14.25" customHeight="1">
      <c r="A4055" s="181">
        <v>12</v>
      </c>
      <c r="B4055" s="53" t="s">
        <v>1763</v>
      </c>
      <c r="C4055" s="54" t="s">
        <v>1764</v>
      </c>
      <c r="D4055" s="55"/>
      <c r="E4055" s="55"/>
      <c r="F4055" s="55"/>
      <c r="G4055" s="55"/>
      <c r="H4055" s="55"/>
      <c r="I4055" s="55"/>
      <c r="J4055" s="55"/>
      <c r="K4055" s="55"/>
      <c r="L4055" s="55"/>
      <c r="M4055" s="55"/>
      <c r="N4055" s="55"/>
      <c r="O4055" s="55"/>
      <c r="P4055" s="55">
        <v>1</v>
      </c>
      <c r="Q4055" s="55"/>
      <c r="R4055" s="55"/>
      <c r="S4055" s="55"/>
      <c r="T4055" s="55"/>
      <c r="U4055" s="55"/>
      <c r="V4055" s="55"/>
      <c r="W4055" s="55"/>
      <c r="X4055" s="55"/>
      <c r="Y4055" s="55"/>
      <c r="Z4055" s="55"/>
      <c r="AA4055" s="55"/>
      <c r="AB4055" s="22">
        <f t="shared" si="1279"/>
        <v>1</v>
      </c>
      <c r="AC4055" s="23">
        <v>0</v>
      </c>
      <c r="AD4055" s="56"/>
      <c r="AE4055" s="56"/>
      <c r="AF4055" s="56"/>
      <c r="AG4055" s="56"/>
      <c r="AH4055" s="56">
        <v>12</v>
      </c>
      <c r="AI4055" s="56"/>
      <c r="AJ4055" s="56"/>
      <c r="AK4055" s="56"/>
      <c r="AL4055" s="56">
        <v>84</v>
      </c>
      <c r="AM4055" s="56"/>
      <c r="AN4055" s="56"/>
      <c r="AO4055" s="56"/>
      <c r="AP4055" s="56"/>
      <c r="AQ4055" s="56"/>
      <c r="AR4055" s="56"/>
      <c r="AS4055" s="56"/>
      <c r="AT4055" s="56"/>
      <c r="AU4055" s="56"/>
      <c r="AV4055" s="56"/>
      <c r="AW4055" s="56"/>
      <c r="AX4055" s="56"/>
      <c r="AY4055" s="56"/>
      <c r="AZ4055" s="56"/>
      <c r="BA4055" s="56"/>
      <c r="BB4055" s="22">
        <f t="shared" si="1280"/>
        <v>96</v>
      </c>
      <c r="BC4055" s="23">
        <v>1104</v>
      </c>
      <c r="BD4055" s="130">
        <f t="shared" si="1281"/>
        <v>97</v>
      </c>
      <c r="BE4055" s="130">
        <f t="shared" si="1277"/>
        <v>1104</v>
      </c>
      <c r="BF4055" s="195">
        <f t="shared" si="1282"/>
        <v>8.7862318840579707</v>
      </c>
      <c r="BG4055" s="373">
        <f t="shared" si="1283"/>
        <v>1007</v>
      </c>
    </row>
    <row r="4056" spans="1:61" s="46" customFormat="1" ht="14.25" customHeight="1">
      <c r="A4056" s="453">
        <v>13</v>
      </c>
      <c r="B4056" s="454" t="s">
        <v>1765</v>
      </c>
      <c r="C4056" s="455" t="s">
        <v>1766</v>
      </c>
      <c r="D4056" s="55"/>
      <c r="E4056" s="55"/>
      <c r="F4056" s="55"/>
      <c r="G4056" s="55"/>
      <c r="H4056" s="55"/>
      <c r="I4056" s="55"/>
      <c r="J4056" s="55"/>
      <c r="K4056" s="55"/>
      <c r="L4056" s="55"/>
      <c r="M4056" s="55"/>
      <c r="N4056" s="55"/>
      <c r="O4056" s="55"/>
      <c r="P4056" s="55"/>
      <c r="Q4056" s="55"/>
      <c r="R4056" s="55"/>
      <c r="S4056" s="55"/>
      <c r="T4056" s="55"/>
      <c r="U4056" s="55"/>
      <c r="V4056" s="55"/>
      <c r="W4056" s="55"/>
      <c r="X4056" s="55"/>
      <c r="Y4056" s="55"/>
      <c r="Z4056" s="55"/>
      <c r="AA4056" s="55"/>
      <c r="AB4056" s="22">
        <f t="shared" si="1279"/>
        <v>0</v>
      </c>
      <c r="AC4056" s="23">
        <v>0</v>
      </c>
      <c r="AD4056" s="56"/>
      <c r="AE4056" s="56"/>
      <c r="AF4056" s="56"/>
      <c r="AG4056" s="56"/>
      <c r="AH4056" s="56"/>
      <c r="AI4056" s="56"/>
      <c r="AJ4056" s="56"/>
      <c r="AK4056" s="56"/>
      <c r="AL4056" s="56"/>
      <c r="AM4056" s="56"/>
      <c r="AN4056" s="56"/>
      <c r="AO4056" s="56"/>
      <c r="AP4056" s="56"/>
      <c r="AQ4056" s="56"/>
      <c r="AR4056" s="56"/>
      <c r="AS4056" s="56"/>
      <c r="AT4056" s="56"/>
      <c r="AU4056" s="56"/>
      <c r="AV4056" s="56"/>
      <c r="AW4056" s="56"/>
      <c r="AX4056" s="56"/>
      <c r="AY4056" s="56"/>
      <c r="AZ4056" s="56"/>
      <c r="BA4056" s="56"/>
      <c r="BB4056" s="22">
        <f t="shared" si="1280"/>
        <v>0</v>
      </c>
      <c r="BC4056" s="23">
        <v>9</v>
      </c>
      <c r="BD4056" s="130">
        <f t="shared" si="1281"/>
        <v>0</v>
      </c>
      <c r="BE4056" s="130">
        <f t="shared" si="1277"/>
        <v>9</v>
      </c>
      <c r="BF4056" s="195">
        <f t="shared" si="1282"/>
        <v>0</v>
      </c>
      <c r="BG4056" s="373">
        <f t="shared" si="1283"/>
        <v>9</v>
      </c>
    </row>
    <row r="4057" spans="1:61" s="46" customFormat="1" ht="14.25" customHeight="1">
      <c r="A4057" s="453">
        <v>14</v>
      </c>
      <c r="B4057" s="456" t="s">
        <v>1118</v>
      </c>
      <c r="C4057" s="457" t="s">
        <v>3107</v>
      </c>
      <c r="D4057" s="55"/>
      <c r="E4057" s="55"/>
      <c r="F4057" s="55"/>
      <c r="G4057" s="55"/>
      <c r="H4057" s="55"/>
      <c r="I4057" s="55"/>
      <c r="J4057" s="55"/>
      <c r="K4057" s="55"/>
      <c r="L4057" s="55"/>
      <c r="M4057" s="55"/>
      <c r="N4057" s="55"/>
      <c r="O4057" s="55"/>
      <c r="P4057" s="55"/>
      <c r="Q4057" s="55"/>
      <c r="R4057" s="55"/>
      <c r="S4057" s="55"/>
      <c r="T4057" s="55"/>
      <c r="U4057" s="55"/>
      <c r="V4057" s="55"/>
      <c r="W4057" s="55"/>
      <c r="X4057" s="55"/>
      <c r="Y4057" s="55"/>
      <c r="Z4057" s="55"/>
      <c r="AA4057" s="55"/>
      <c r="AB4057" s="22">
        <f t="shared" si="1279"/>
        <v>0</v>
      </c>
      <c r="AC4057" s="23">
        <v>0</v>
      </c>
      <c r="AD4057" s="56"/>
      <c r="AE4057" s="56"/>
      <c r="AF4057" s="56"/>
      <c r="AG4057" s="56"/>
      <c r="AH4057" s="56"/>
      <c r="AI4057" s="56"/>
      <c r="AJ4057" s="56"/>
      <c r="AK4057" s="56"/>
      <c r="AL4057" s="56"/>
      <c r="AM4057" s="56"/>
      <c r="AN4057" s="56"/>
      <c r="AO4057" s="56"/>
      <c r="AP4057" s="56"/>
      <c r="AQ4057" s="56"/>
      <c r="AR4057" s="56"/>
      <c r="AS4057" s="56"/>
      <c r="AT4057" s="56"/>
      <c r="AU4057" s="56"/>
      <c r="AV4057" s="56"/>
      <c r="AW4057" s="56"/>
      <c r="AX4057" s="56"/>
      <c r="AY4057" s="56"/>
      <c r="AZ4057" s="56"/>
      <c r="BA4057" s="56"/>
      <c r="BB4057" s="22">
        <f t="shared" si="1280"/>
        <v>0</v>
      </c>
      <c r="BC4057" s="23">
        <v>67</v>
      </c>
      <c r="BD4057" s="130">
        <f t="shared" si="1281"/>
        <v>0</v>
      </c>
      <c r="BE4057" s="130">
        <f t="shared" si="1277"/>
        <v>67</v>
      </c>
      <c r="BF4057" s="195">
        <f t="shared" si="1282"/>
        <v>0</v>
      </c>
      <c r="BG4057" s="373">
        <f t="shared" si="1283"/>
        <v>67</v>
      </c>
    </row>
    <row r="4058" spans="1:61" s="46" customFormat="1" ht="14.25" customHeight="1">
      <c r="A4058" s="453">
        <v>15</v>
      </c>
      <c r="B4058" s="454" t="s">
        <v>1793</v>
      </c>
      <c r="C4058" s="455" t="s">
        <v>2625</v>
      </c>
      <c r="D4058" s="55"/>
      <c r="E4058" s="55"/>
      <c r="F4058" s="55"/>
      <c r="G4058" s="55"/>
      <c r="H4058" s="55"/>
      <c r="I4058" s="55"/>
      <c r="J4058" s="55"/>
      <c r="K4058" s="55"/>
      <c r="L4058" s="55"/>
      <c r="M4058" s="55"/>
      <c r="N4058" s="55"/>
      <c r="O4058" s="55"/>
      <c r="P4058" s="55"/>
      <c r="Q4058" s="55"/>
      <c r="R4058" s="55"/>
      <c r="S4058" s="55"/>
      <c r="T4058" s="55"/>
      <c r="U4058" s="55"/>
      <c r="V4058" s="55"/>
      <c r="W4058" s="55"/>
      <c r="X4058" s="55"/>
      <c r="Y4058" s="55"/>
      <c r="Z4058" s="55"/>
      <c r="AA4058" s="55"/>
      <c r="AB4058" s="22">
        <f t="shared" si="1279"/>
        <v>0</v>
      </c>
      <c r="AC4058" s="23">
        <v>0</v>
      </c>
      <c r="AD4058" s="56"/>
      <c r="AE4058" s="56"/>
      <c r="AF4058" s="56"/>
      <c r="AG4058" s="56"/>
      <c r="AH4058" s="56"/>
      <c r="AI4058" s="56"/>
      <c r="AJ4058" s="56"/>
      <c r="AK4058" s="56"/>
      <c r="AL4058" s="56"/>
      <c r="AM4058" s="56"/>
      <c r="AN4058" s="56"/>
      <c r="AO4058" s="56"/>
      <c r="AP4058" s="56"/>
      <c r="AQ4058" s="56"/>
      <c r="AR4058" s="56"/>
      <c r="AS4058" s="56"/>
      <c r="AT4058" s="56"/>
      <c r="AU4058" s="56"/>
      <c r="AV4058" s="56"/>
      <c r="AW4058" s="56"/>
      <c r="AX4058" s="56"/>
      <c r="AY4058" s="56"/>
      <c r="AZ4058" s="56"/>
      <c r="BA4058" s="56"/>
      <c r="BB4058" s="22">
        <f t="shared" si="1280"/>
        <v>0</v>
      </c>
      <c r="BC4058" s="23">
        <v>1</v>
      </c>
      <c r="BD4058" s="130">
        <f t="shared" si="1281"/>
        <v>0</v>
      </c>
      <c r="BE4058" s="130">
        <f t="shared" si="1277"/>
        <v>1</v>
      </c>
      <c r="BF4058" s="195">
        <f t="shared" si="1282"/>
        <v>0</v>
      </c>
      <c r="BG4058" s="373">
        <f t="shared" si="1283"/>
        <v>1</v>
      </c>
    </row>
    <row r="4059" spans="1:61" s="46" customFormat="1" ht="14.25" customHeight="1">
      <c r="A4059" s="453">
        <v>16</v>
      </c>
      <c r="B4059" s="454" t="s">
        <v>1665</v>
      </c>
      <c r="C4059" s="455" t="s">
        <v>1666</v>
      </c>
      <c r="D4059" s="55"/>
      <c r="E4059" s="55"/>
      <c r="F4059" s="55"/>
      <c r="G4059" s="55"/>
      <c r="H4059" s="55"/>
      <c r="I4059" s="55"/>
      <c r="J4059" s="55"/>
      <c r="K4059" s="55"/>
      <c r="L4059" s="55"/>
      <c r="M4059" s="55"/>
      <c r="N4059" s="55"/>
      <c r="O4059" s="55"/>
      <c r="P4059" s="55"/>
      <c r="Q4059" s="55"/>
      <c r="R4059" s="55"/>
      <c r="S4059" s="55"/>
      <c r="T4059" s="55"/>
      <c r="U4059" s="55"/>
      <c r="V4059" s="55"/>
      <c r="W4059" s="55"/>
      <c r="X4059" s="55"/>
      <c r="Y4059" s="55"/>
      <c r="Z4059" s="55"/>
      <c r="AA4059" s="55"/>
      <c r="AB4059" s="22">
        <f t="shared" si="1279"/>
        <v>0</v>
      </c>
      <c r="AC4059" s="23">
        <v>0</v>
      </c>
      <c r="AD4059" s="56"/>
      <c r="AE4059" s="56"/>
      <c r="AF4059" s="56"/>
      <c r="AG4059" s="56"/>
      <c r="AH4059" s="56">
        <v>7</v>
      </c>
      <c r="AI4059" s="56"/>
      <c r="AJ4059" s="56"/>
      <c r="AK4059" s="56"/>
      <c r="AL4059" s="56">
        <v>38</v>
      </c>
      <c r="AM4059" s="56"/>
      <c r="AN4059" s="56"/>
      <c r="AO4059" s="56"/>
      <c r="AP4059" s="56"/>
      <c r="AQ4059" s="56"/>
      <c r="AR4059" s="56"/>
      <c r="AS4059" s="56"/>
      <c r="AT4059" s="56"/>
      <c r="AU4059" s="56"/>
      <c r="AV4059" s="56"/>
      <c r="AW4059" s="56"/>
      <c r="AX4059" s="56"/>
      <c r="AY4059" s="56"/>
      <c r="AZ4059" s="56"/>
      <c r="BA4059" s="56"/>
      <c r="BB4059" s="22">
        <f t="shared" si="1280"/>
        <v>45</v>
      </c>
      <c r="BC4059" s="23">
        <v>925</v>
      </c>
      <c r="BD4059" s="130">
        <f t="shared" si="1281"/>
        <v>45</v>
      </c>
      <c r="BE4059" s="130">
        <f t="shared" si="1277"/>
        <v>925</v>
      </c>
      <c r="BF4059" s="195">
        <f t="shared" si="1282"/>
        <v>4.8648648648648649</v>
      </c>
      <c r="BG4059" s="373">
        <f t="shared" si="1283"/>
        <v>880</v>
      </c>
    </row>
    <row r="4060" spans="1:61" s="46" customFormat="1" ht="14.25" customHeight="1">
      <c r="A4060" s="453">
        <v>17</v>
      </c>
      <c r="B4060" s="454" t="s">
        <v>1767</v>
      </c>
      <c r="C4060" s="458" t="s">
        <v>1768</v>
      </c>
      <c r="D4060" s="55"/>
      <c r="E4060" s="55"/>
      <c r="F4060" s="55"/>
      <c r="G4060" s="55"/>
      <c r="H4060" s="55"/>
      <c r="I4060" s="55"/>
      <c r="J4060" s="55"/>
      <c r="K4060" s="55"/>
      <c r="L4060" s="55"/>
      <c r="M4060" s="55"/>
      <c r="N4060" s="55"/>
      <c r="O4060" s="55"/>
      <c r="P4060" s="55">
        <v>1</v>
      </c>
      <c r="Q4060" s="55"/>
      <c r="R4060" s="55"/>
      <c r="S4060" s="55"/>
      <c r="T4060" s="55"/>
      <c r="U4060" s="55"/>
      <c r="V4060" s="55"/>
      <c r="W4060" s="55"/>
      <c r="X4060" s="55"/>
      <c r="Y4060" s="55"/>
      <c r="Z4060" s="55"/>
      <c r="AA4060" s="55"/>
      <c r="AB4060" s="22">
        <f t="shared" si="1279"/>
        <v>1</v>
      </c>
      <c r="AC4060" s="23">
        <v>0</v>
      </c>
      <c r="AD4060" s="56"/>
      <c r="AE4060" s="56"/>
      <c r="AF4060" s="56"/>
      <c r="AG4060" s="56"/>
      <c r="AH4060" s="56">
        <v>12</v>
      </c>
      <c r="AI4060" s="56"/>
      <c r="AJ4060" s="56"/>
      <c r="AK4060" s="56"/>
      <c r="AL4060" s="56">
        <v>107</v>
      </c>
      <c r="AM4060" s="56"/>
      <c r="AN4060" s="56"/>
      <c r="AO4060" s="56"/>
      <c r="AP4060" s="56"/>
      <c r="AQ4060" s="56"/>
      <c r="AR4060" s="56"/>
      <c r="AS4060" s="56"/>
      <c r="AT4060" s="56"/>
      <c r="AU4060" s="56"/>
      <c r="AV4060" s="56"/>
      <c r="AW4060" s="56"/>
      <c r="AX4060" s="56"/>
      <c r="AY4060" s="56"/>
      <c r="AZ4060" s="56"/>
      <c r="BA4060" s="56"/>
      <c r="BB4060" s="22">
        <f t="shared" si="1280"/>
        <v>119</v>
      </c>
      <c r="BC4060" s="23">
        <v>1303</v>
      </c>
      <c r="BD4060" s="130">
        <f t="shared" si="1281"/>
        <v>120</v>
      </c>
      <c r="BE4060" s="130">
        <f t="shared" si="1277"/>
        <v>1303</v>
      </c>
      <c r="BF4060" s="195">
        <f t="shared" si="1282"/>
        <v>9.2095165003837298</v>
      </c>
      <c r="BG4060" s="373">
        <f t="shared" si="1283"/>
        <v>1183</v>
      </c>
    </row>
    <row r="4061" spans="1:61" s="46" customFormat="1" ht="14.25" customHeight="1">
      <c r="A4061" s="453">
        <v>18</v>
      </c>
      <c r="B4061" s="454" t="s">
        <v>1769</v>
      </c>
      <c r="C4061" s="458" t="s">
        <v>1770</v>
      </c>
      <c r="D4061" s="55"/>
      <c r="E4061" s="55"/>
      <c r="F4061" s="55"/>
      <c r="G4061" s="55"/>
      <c r="H4061" s="55"/>
      <c r="I4061" s="55"/>
      <c r="J4061" s="55"/>
      <c r="K4061" s="55"/>
      <c r="L4061" s="55"/>
      <c r="M4061" s="55"/>
      <c r="N4061" s="55"/>
      <c r="O4061" s="55"/>
      <c r="P4061" s="55"/>
      <c r="Q4061" s="55"/>
      <c r="R4061" s="55"/>
      <c r="S4061" s="55"/>
      <c r="T4061" s="55"/>
      <c r="U4061" s="55"/>
      <c r="V4061" s="55"/>
      <c r="W4061" s="55"/>
      <c r="X4061" s="55"/>
      <c r="Y4061" s="55"/>
      <c r="Z4061" s="55"/>
      <c r="AA4061" s="55"/>
      <c r="AB4061" s="22">
        <f t="shared" si="1279"/>
        <v>0</v>
      </c>
      <c r="AC4061" s="23">
        <v>0</v>
      </c>
      <c r="AD4061" s="56"/>
      <c r="AE4061" s="56"/>
      <c r="AF4061" s="56"/>
      <c r="AG4061" s="56"/>
      <c r="AH4061" s="56"/>
      <c r="AI4061" s="56"/>
      <c r="AJ4061" s="56"/>
      <c r="AK4061" s="56"/>
      <c r="AL4061" s="56"/>
      <c r="AM4061" s="56"/>
      <c r="AN4061" s="56"/>
      <c r="AO4061" s="56"/>
      <c r="AP4061" s="56"/>
      <c r="AQ4061" s="56"/>
      <c r="AR4061" s="56"/>
      <c r="AS4061" s="56"/>
      <c r="AT4061" s="56"/>
      <c r="AU4061" s="56"/>
      <c r="AV4061" s="56"/>
      <c r="AW4061" s="56"/>
      <c r="AX4061" s="56"/>
      <c r="AY4061" s="56"/>
      <c r="AZ4061" s="56"/>
      <c r="BA4061" s="56"/>
      <c r="BB4061" s="22">
        <f t="shared" si="1280"/>
        <v>0</v>
      </c>
      <c r="BC4061" s="23">
        <v>36</v>
      </c>
      <c r="BD4061" s="130">
        <f t="shared" si="1281"/>
        <v>0</v>
      </c>
      <c r="BE4061" s="130">
        <f t="shared" si="1277"/>
        <v>36</v>
      </c>
      <c r="BF4061" s="195">
        <f t="shared" si="1282"/>
        <v>0</v>
      </c>
      <c r="BG4061" s="373">
        <f t="shared" si="1283"/>
        <v>36</v>
      </c>
    </row>
    <row r="4062" spans="1:61" s="46" customFormat="1" ht="14.25" customHeight="1">
      <c r="A4062" s="453">
        <v>19</v>
      </c>
      <c r="B4062" s="454" t="s">
        <v>1771</v>
      </c>
      <c r="C4062" s="458" t="s">
        <v>1784</v>
      </c>
      <c r="D4062" s="55"/>
      <c r="E4062" s="55"/>
      <c r="F4062" s="55"/>
      <c r="G4062" s="55"/>
      <c r="H4062" s="55"/>
      <c r="I4062" s="55"/>
      <c r="J4062" s="55"/>
      <c r="K4062" s="55"/>
      <c r="L4062" s="55"/>
      <c r="M4062" s="55"/>
      <c r="N4062" s="55"/>
      <c r="O4062" s="55"/>
      <c r="P4062" s="55"/>
      <c r="Q4062" s="55"/>
      <c r="R4062" s="55"/>
      <c r="S4062" s="55"/>
      <c r="T4062" s="55"/>
      <c r="U4062" s="55"/>
      <c r="V4062" s="55"/>
      <c r="W4062" s="55"/>
      <c r="X4062" s="55"/>
      <c r="Y4062" s="55"/>
      <c r="Z4062" s="55"/>
      <c r="AA4062" s="55"/>
      <c r="AB4062" s="22">
        <f t="shared" si="1279"/>
        <v>0</v>
      </c>
      <c r="AC4062" s="23">
        <v>0</v>
      </c>
      <c r="AD4062" s="56"/>
      <c r="AE4062" s="56"/>
      <c r="AF4062" s="56"/>
      <c r="AG4062" s="56"/>
      <c r="AH4062" s="56"/>
      <c r="AI4062" s="56"/>
      <c r="AJ4062" s="56"/>
      <c r="AK4062" s="56"/>
      <c r="AL4062" s="56"/>
      <c r="AM4062" s="56"/>
      <c r="AN4062" s="56"/>
      <c r="AO4062" s="56"/>
      <c r="AP4062" s="56"/>
      <c r="AQ4062" s="56"/>
      <c r="AR4062" s="56"/>
      <c r="AS4062" s="56"/>
      <c r="AT4062" s="56"/>
      <c r="AU4062" s="56"/>
      <c r="AV4062" s="56"/>
      <c r="AW4062" s="56"/>
      <c r="AX4062" s="56"/>
      <c r="AY4062" s="56"/>
      <c r="AZ4062" s="56"/>
      <c r="BA4062" s="56"/>
      <c r="BB4062" s="22">
        <f t="shared" si="1280"/>
        <v>0</v>
      </c>
      <c r="BC4062" s="23">
        <v>27</v>
      </c>
      <c r="BD4062" s="130">
        <f t="shared" si="1281"/>
        <v>0</v>
      </c>
      <c r="BE4062" s="130">
        <f t="shared" si="1277"/>
        <v>27</v>
      </c>
      <c r="BF4062" s="195">
        <f t="shared" si="1282"/>
        <v>0</v>
      </c>
      <c r="BG4062" s="373">
        <f t="shared" si="1283"/>
        <v>27</v>
      </c>
    </row>
    <row r="4063" spans="1:61" s="46" customFormat="1" ht="14.25" customHeight="1">
      <c r="A4063" s="453">
        <v>20</v>
      </c>
      <c r="B4063" s="459" t="s">
        <v>1795</v>
      </c>
      <c r="C4063" s="460" t="s">
        <v>3109</v>
      </c>
      <c r="D4063" s="55"/>
      <c r="E4063" s="55"/>
      <c r="F4063" s="55"/>
      <c r="G4063" s="55"/>
      <c r="H4063" s="55"/>
      <c r="I4063" s="55"/>
      <c r="J4063" s="55"/>
      <c r="K4063" s="55"/>
      <c r="L4063" s="55"/>
      <c r="M4063" s="55"/>
      <c r="N4063" s="55"/>
      <c r="O4063" s="55"/>
      <c r="P4063" s="55"/>
      <c r="Q4063" s="55"/>
      <c r="R4063" s="55"/>
      <c r="S4063" s="55"/>
      <c r="T4063" s="55"/>
      <c r="U4063" s="55"/>
      <c r="V4063" s="55"/>
      <c r="W4063" s="55"/>
      <c r="X4063" s="55"/>
      <c r="Y4063" s="55"/>
      <c r="Z4063" s="55"/>
      <c r="AA4063" s="55"/>
      <c r="AB4063" s="22">
        <f t="shared" si="1279"/>
        <v>0</v>
      </c>
      <c r="AC4063" s="23">
        <v>0</v>
      </c>
      <c r="AD4063" s="56"/>
      <c r="AE4063" s="56"/>
      <c r="AF4063" s="56"/>
      <c r="AG4063" s="56"/>
      <c r="AH4063" s="56"/>
      <c r="AI4063" s="56"/>
      <c r="AJ4063" s="56"/>
      <c r="AK4063" s="56"/>
      <c r="AL4063" s="56"/>
      <c r="AM4063" s="56"/>
      <c r="AN4063" s="56"/>
      <c r="AO4063" s="56"/>
      <c r="AP4063" s="56"/>
      <c r="AQ4063" s="56"/>
      <c r="AR4063" s="56"/>
      <c r="AS4063" s="56"/>
      <c r="AT4063" s="56"/>
      <c r="AU4063" s="56"/>
      <c r="AV4063" s="56"/>
      <c r="AW4063" s="56"/>
      <c r="AX4063" s="56"/>
      <c r="AY4063" s="56"/>
      <c r="AZ4063" s="56"/>
      <c r="BA4063" s="56"/>
      <c r="BB4063" s="22">
        <f t="shared" si="1280"/>
        <v>0</v>
      </c>
      <c r="BC4063" s="23">
        <v>2</v>
      </c>
      <c r="BD4063" s="130">
        <f t="shared" si="1281"/>
        <v>0</v>
      </c>
      <c r="BE4063" s="130">
        <f t="shared" si="1277"/>
        <v>2</v>
      </c>
      <c r="BF4063" s="195">
        <f t="shared" si="1282"/>
        <v>0</v>
      </c>
      <c r="BG4063" s="373">
        <f t="shared" si="1283"/>
        <v>2</v>
      </c>
    </row>
    <row r="4064" spans="1:61" s="46" customFormat="1" ht="14.25" customHeight="1">
      <c r="A4064" s="181">
        <v>21</v>
      </c>
      <c r="B4064" s="53" t="s">
        <v>1795</v>
      </c>
      <c r="C4064" s="57" t="s">
        <v>1796</v>
      </c>
      <c r="D4064" s="55"/>
      <c r="E4064" s="55"/>
      <c r="F4064" s="55"/>
      <c r="G4064" s="55"/>
      <c r="H4064" s="55"/>
      <c r="I4064" s="55"/>
      <c r="J4064" s="55"/>
      <c r="K4064" s="55"/>
      <c r="L4064" s="55"/>
      <c r="M4064" s="55"/>
      <c r="N4064" s="55"/>
      <c r="O4064" s="55"/>
      <c r="P4064" s="55"/>
      <c r="Q4064" s="55"/>
      <c r="R4064" s="55"/>
      <c r="S4064" s="55"/>
      <c r="T4064" s="55"/>
      <c r="U4064" s="55"/>
      <c r="V4064" s="55"/>
      <c r="W4064" s="55"/>
      <c r="X4064" s="55"/>
      <c r="Y4064" s="55"/>
      <c r="Z4064" s="55"/>
      <c r="AA4064" s="55"/>
      <c r="AB4064" s="22">
        <f t="shared" si="1279"/>
        <v>0</v>
      </c>
      <c r="AC4064" s="23">
        <v>0</v>
      </c>
      <c r="AD4064" s="56"/>
      <c r="AE4064" s="56"/>
      <c r="AF4064" s="56"/>
      <c r="AG4064" s="56"/>
      <c r="AH4064" s="56"/>
      <c r="AI4064" s="56"/>
      <c r="AJ4064" s="56"/>
      <c r="AK4064" s="56"/>
      <c r="AL4064" s="56"/>
      <c r="AM4064" s="56"/>
      <c r="AN4064" s="56"/>
      <c r="AO4064" s="56"/>
      <c r="AP4064" s="56"/>
      <c r="AQ4064" s="56"/>
      <c r="AR4064" s="56"/>
      <c r="AS4064" s="56"/>
      <c r="AT4064" s="56"/>
      <c r="AU4064" s="56"/>
      <c r="AV4064" s="56"/>
      <c r="AW4064" s="56"/>
      <c r="AX4064" s="56"/>
      <c r="AY4064" s="56"/>
      <c r="AZ4064" s="56"/>
      <c r="BA4064" s="56"/>
      <c r="BB4064" s="22">
        <f t="shared" si="1280"/>
        <v>0</v>
      </c>
      <c r="BC4064" s="23">
        <v>22</v>
      </c>
      <c r="BD4064" s="130">
        <f t="shared" si="1281"/>
        <v>0</v>
      </c>
      <c r="BE4064" s="130">
        <f t="shared" si="1277"/>
        <v>22</v>
      </c>
      <c r="BF4064" s="195">
        <f t="shared" si="1282"/>
        <v>0</v>
      </c>
      <c r="BG4064" s="373">
        <f t="shared" si="1283"/>
        <v>22</v>
      </c>
    </row>
    <row r="4065" spans="1:61" s="46" customFormat="1" ht="14.25" customHeight="1">
      <c r="A4065" s="181">
        <v>22</v>
      </c>
      <c r="B4065" s="53"/>
      <c r="C4065" s="54"/>
      <c r="D4065" s="55"/>
      <c r="E4065" s="55"/>
      <c r="F4065" s="55"/>
      <c r="G4065" s="55"/>
      <c r="H4065" s="55"/>
      <c r="I4065" s="55"/>
      <c r="J4065" s="55"/>
      <c r="K4065" s="55"/>
      <c r="L4065" s="55"/>
      <c r="M4065" s="55"/>
      <c r="N4065" s="55"/>
      <c r="O4065" s="55"/>
      <c r="P4065" s="55"/>
      <c r="Q4065" s="55"/>
      <c r="R4065" s="55"/>
      <c r="S4065" s="55"/>
      <c r="T4065" s="55"/>
      <c r="U4065" s="55"/>
      <c r="V4065" s="55"/>
      <c r="W4065" s="55"/>
      <c r="X4065" s="55"/>
      <c r="Y4065" s="55"/>
      <c r="Z4065" s="55"/>
      <c r="AA4065" s="55"/>
      <c r="AB4065" s="22">
        <f t="shared" si="1279"/>
        <v>0</v>
      </c>
      <c r="AC4065" s="23">
        <v>0</v>
      </c>
      <c r="AD4065" s="56"/>
      <c r="AE4065" s="56"/>
      <c r="AF4065" s="56"/>
      <c r="AG4065" s="56"/>
      <c r="AH4065" s="56"/>
      <c r="AI4065" s="56"/>
      <c r="AJ4065" s="56"/>
      <c r="AK4065" s="56"/>
      <c r="AL4065" s="56"/>
      <c r="AM4065" s="56"/>
      <c r="AN4065" s="56"/>
      <c r="AO4065" s="56"/>
      <c r="AP4065" s="56"/>
      <c r="AQ4065" s="56"/>
      <c r="AR4065" s="56"/>
      <c r="AS4065" s="56"/>
      <c r="AT4065" s="56"/>
      <c r="AU4065" s="56"/>
      <c r="AV4065" s="56"/>
      <c r="AW4065" s="56"/>
      <c r="AX4065" s="56"/>
      <c r="AY4065" s="56"/>
      <c r="AZ4065" s="56"/>
      <c r="BA4065" s="56"/>
      <c r="BB4065" s="22">
        <f t="shared" si="1280"/>
        <v>0</v>
      </c>
      <c r="BC4065" s="23">
        <v>0</v>
      </c>
      <c r="BD4065" s="130">
        <f t="shared" si="1281"/>
        <v>0</v>
      </c>
      <c r="BE4065" s="130">
        <f t="shared" si="1277"/>
        <v>0</v>
      </c>
      <c r="BF4065" s="195" t="e">
        <f t="shared" si="1282"/>
        <v>#DIV/0!</v>
      </c>
      <c r="BG4065" s="373">
        <f t="shared" si="1283"/>
        <v>0</v>
      </c>
    </row>
    <row r="4066" spans="1:61" s="46" customFormat="1" ht="14.25" customHeight="1">
      <c r="A4066" s="652" t="s">
        <v>1808</v>
      </c>
      <c r="B4066" s="653"/>
      <c r="C4066" s="653"/>
      <c r="D4066" s="52">
        <f t="shared" ref="D4066:AI4066" si="1284">SUM(D4067:D4094)</f>
        <v>0</v>
      </c>
      <c r="E4066" s="52">
        <f t="shared" si="1284"/>
        <v>0</v>
      </c>
      <c r="F4066" s="52">
        <f t="shared" si="1284"/>
        <v>0</v>
      </c>
      <c r="G4066" s="52">
        <f t="shared" si="1284"/>
        <v>0</v>
      </c>
      <c r="H4066" s="52">
        <f t="shared" si="1284"/>
        <v>800</v>
      </c>
      <c r="I4066" s="52">
        <f t="shared" si="1284"/>
        <v>0</v>
      </c>
      <c r="J4066" s="52">
        <f t="shared" si="1284"/>
        <v>0</v>
      </c>
      <c r="K4066" s="52">
        <f t="shared" si="1284"/>
        <v>0</v>
      </c>
      <c r="L4066" s="52">
        <f t="shared" si="1284"/>
        <v>3519</v>
      </c>
      <c r="M4066" s="52">
        <f t="shared" si="1284"/>
        <v>0</v>
      </c>
      <c r="N4066" s="52">
        <f t="shared" si="1284"/>
        <v>0</v>
      </c>
      <c r="O4066" s="52">
        <f t="shared" si="1284"/>
        <v>0</v>
      </c>
      <c r="P4066" s="52">
        <f t="shared" si="1284"/>
        <v>3875</v>
      </c>
      <c r="Q4066" s="52">
        <f t="shared" si="1284"/>
        <v>0</v>
      </c>
      <c r="R4066" s="52">
        <f t="shared" si="1284"/>
        <v>0</v>
      </c>
      <c r="S4066" s="52">
        <f t="shared" si="1284"/>
        <v>0</v>
      </c>
      <c r="T4066" s="52">
        <f t="shared" si="1284"/>
        <v>0</v>
      </c>
      <c r="U4066" s="52">
        <f t="shared" si="1284"/>
        <v>0</v>
      </c>
      <c r="V4066" s="52">
        <f t="shared" si="1284"/>
        <v>0</v>
      </c>
      <c r="W4066" s="52">
        <f t="shared" si="1284"/>
        <v>0</v>
      </c>
      <c r="X4066" s="52">
        <f t="shared" si="1284"/>
        <v>0</v>
      </c>
      <c r="Y4066" s="52">
        <f t="shared" si="1284"/>
        <v>0</v>
      </c>
      <c r="Z4066" s="52">
        <f t="shared" si="1284"/>
        <v>0</v>
      </c>
      <c r="AA4066" s="52">
        <f t="shared" si="1284"/>
        <v>0</v>
      </c>
      <c r="AB4066" s="52">
        <f t="shared" si="1284"/>
        <v>8194</v>
      </c>
      <c r="AC4066" s="127">
        <f t="shared" si="1284"/>
        <v>10439</v>
      </c>
      <c r="AD4066" s="52">
        <f t="shared" si="1284"/>
        <v>0</v>
      </c>
      <c r="AE4066" s="52">
        <f t="shared" si="1284"/>
        <v>0</v>
      </c>
      <c r="AF4066" s="52">
        <f t="shared" si="1284"/>
        <v>0</v>
      </c>
      <c r="AG4066" s="52">
        <f t="shared" si="1284"/>
        <v>0</v>
      </c>
      <c r="AH4066" s="52">
        <f t="shared" si="1284"/>
        <v>410</v>
      </c>
      <c r="AI4066" s="52">
        <f t="shared" si="1284"/>
        <v>0</v>
      </c>
      <c r="AJ4066" s="52">
        <f t="shared" ref="AJ4066:BC4066" si="1285">SUM(AJ4067:AJ4094)</f>
        <v>0</v>
      </c>
      <c r="AK4066" s="52">
        <f t="shared" si="1285"/>
        <v>0</v>
      </c>
      <c r="AL4066" s="52">
        <f t="shared" si="1285"/>
        <v>2431</v>
      </c>
      <c r="AM4066" s="52">
        <f t="shared" si="1285"/>
        <v>0</v>
      </c>
      <c r="AN4066" s="52">
        <f t="shared" si="1285"/>
        <v>0</v>
      </c>
      <c r="AO4066" s="52">
        <f t="shared" si="1285"/>
        <v>0</v>
      </c>
      <c r="AP4066" s="52">
        <f t="shared" si="1285"/>
        <v>2366</v>
      </c>
      <c r="AQ4066" s="52">
        <f t="shared" si="1285"/>
        <v>0</v>
      </c>
      <c r="AR4066" s="52">
        <f t="shared" si="1285"/>
        <v>0</v>
      </c>
      <c r="AS4066" s="52">
        <f t="shared" si="1285"/>
        <v>0</v>
      </c>
      <c r="AT4066" s="52">
        <f t="shared" si="1285"/>
        <v>0</v>
      </c>
      <c r="AU4066" s="52">
        <f t="shared" si="1285"/>
        <v>0</v>
      </c>
      <c r="AV4066" s="52">
        <f t="shared" si="1285"/>
        <v>0</v>
      </c>
      <c r="AW4066" s="52">
        <f t="shared" si="1285"/>
        <v>0</v>
      </c>
      <c r="AX4066" s="52">
        <f t="shared" si="1285"/>
        <v>0</v>
      </c>
      <c r="AY4066" s="52">
        <f t="shared" si="1285"/>
        <v>0</v>
      </c>
      <c r="AZ4066" s="52">
        <f t="shared" si="1285"/>
        <v>0</v>
      </c>
      <c r="BA4066" s="52">
        <f t="shared" si="1285"/>
        <v>0</v>
      </c>
      <c r="BB4066" s="52">
        <f t="shared" si="1285"/>
        <v>5207</v>
      </c>
      <c r="BC4066" s="127">
        <f t="shared" si="1285"/>
        <v>9240</v>
      </c>
      <c r="BD4066" s="130">
        <f t="shared" si="1276"/>
        <v>13401</v>
      </c>
      <c r="BE4066" s="130">
        <f t="shared" si="1277"/>
        <v>19679</v>
      </c>
      <c r="BF4066" s="195">
        <f t="shared" si="1267"/>
        <v>68.097972457950092</v>
      </c>
      <c r="BG4066" s="375">
        <f t="shared" si="1278"/>
        <v>6278</v>
      </c>
    </row>
    <row r="4067" spans="1:61" s="46" customFormat="1" ht="21" customHeight="1">
      <c r="A4067" s="417">
        <v>1</v>
      </c>
      <c r="B4067" s="418" t="s">
        <v>1788</v>
      </c>
      <c r="C4067" s="419" t="s">
        <v>1789</v>
      </c>
      <c r="D4067" s="55"/>
      <c r="E4067" s="55"/>
      <c r="F4067" s="55"/>
      <c r="G4067" s="55"/>
      <c r="H4067" s="56"/>
      <c r="I4067" s="55"/>
      <c r="J4067" s="55"/>
      <c r="K4067" s="55"/>
      <c r="L4067" s="55"/>
      <c r="M4067" s="55"/>
      <c r="N4067" s="55"/>
      <c r="O4067" s="55"/>
      <c r="P4067" s="55"/>
      <c r="Q4067" s="55"/>
      <c r="R4067" s="55"/>
      <c r="S4067" s="55"/>
      <c r="T4067" s="55"/>
      <c r="U4067" s="55"/>
      <c r="V4067" s="55"/>
      <c r="W4067" s="55"/>
      <c r="X4067" s="55"/>
      <c r="Y4067" s="55"/>
      <c r="Z4067" s="55"/>
      <c r="AA4067" s="55"/>
      <c r="AB4067" s="22">
        <f t="shared" ref="AB4067:AB4094" si="1286">SUM(D4067:AA4067)</f>
        <v>0</v>
      </c>
      <c r="AC4067" s="23">
        <v>24</v>
      </c>
      <c r="AD4067" s="56"/>
      <c r="AE4067" s="56"/>
      <c r="AF4067" s="56"/>
      <c r="AG4067" s="56"/>
      <c r="AH4067" s="56"/>
      <c r="AI4067" s="56"/>
      <c r="AJ4067" s="56"/>
      <c r="AK4067" s="56"/>
      <c r="AL4067" s="56"/>
      <c r="AM4067" s="56"/>
      <c r="AN4067" s="56"/>
      <c r="AO4067" s="56"/>
      <c r="AP4067" s="56"/>
      <c r="AQ4067" s="56"/>
      <c r="AR4067" s="56"/>
      <c r="AS4067" s="56"/>
      <c r="AT4067" s="56"/>
      <c r="AU4067" s="56"/>
      <c r="AV4067" s="56"/>
      <c r="AW4067" s="56"/>
      <c r="AX4067" s="56"/>
      <c r="AY4067" s="56"/>
      <c r="AZ4067" s="56"/>
      <c r="BA4067" s="56"/>
      <c r="BB4067" s="22">
        <f t="shared" ref="BB4067:BB4094" si="1287">SUM(AD4067:BA4067)</f>
        <v>0</v>
      </c>
      <c r="BC4067" s="23">
        <v>0</v>
      </c>
      <c r="BD4067" s="130">
        <f t="shared" ref="BD4067:BD4094" si="1288">AB4067+BB4067</f>
        <v>0</v>
      </c>
      <c r="BE4067" s="130">
        <f t="shared" ref="BE4067:BE4094" si="1289">AC4067+BC4067</f>
        <v>24</v>
      </c>
      <c r="BF4067" s="195">
        <f t="shared" ref="BF4067:BF4094" si="1290">BD4067/BE4067*100</f>
        <v>0</v>
      </c>
      <c r="BG4067" s="373">
        <f>BE4067-BD4067</f>
        <v>24</v>
      </c>
      <c r="BH4067" s="426" t="s">
        <v>3675</v>
      </c>
      <c r="BI4067" s="421"/>
    </row>
    <row r="4068" spans="1:61" s="46" customFormat="1" ht="21" customHeight="1">
      <c r="A4068" s="417">
        <v>2</v>
      </c>
      <c r="B4068" s="418" t="s">
        <v>1858</v>
      </c>
      <c r="C4068" s="419" t="s">
        <v>1859</v>
      </c>
      <c r="D4068" s="55"/>
      <c r="E4068" s="55"/>
      <c r="F4068" s="55"/>
      <c r="G4068" s="55"/>
      <c r="H4068" s="56"/>
      <c r="I4068" s="55"/>
      <c r="J4068" s="55"/>
      <c r="K4068" s="55"/>
      <c r="L4068" s="55"/>
      <c r="M4068" s="55"/>
      <c r="N4068" s="55"/>
      <c r="O4068" s="55"/>
      <c r="P4068" s="55">
        <v>1</v>
      </c>
      <c r="Q4068" s="55"/>
      <c r="R4068" s="55"/>
      <c r="S4068" s="55"/>
      <c r="T4068" s="55"/>
      <c r="U4068" s="55"/>
      <c r="V4068" s="55"/>
      <c r="W4068" s="55"/>
      <c r="X4068" s="55"/>
      <c r="Y4068" s="55"/>
      <c r="Z4068" s="55"/>
      <c r="AA4068" s="55"/>
      <c r="AB4068" s="22">
        <f t="shared" si="1286"/>
        <v>1</v>
      </c>
      <c r="AC4068" s="23">
        <v>0</v>
      </c>
      <c r="AD4068" s="56"/>
      <c r="AE4068" s="56"/>
      <c r="AF4068" s="56"/>
      <c r="AG4068" s="56"/>
      <c r="AH4068" s="56"/>
      <c r="AI4068" s="56"/>
      <c r="AJ4068" s="56"/>
      <c r="AK4068" s="56"/>
      <c r="AL4068" s="56"/>
      <c r="AM4068" s="56"/>
      <c r="AN4068" s="56"/>
      <c r="AO4068" s="56"/>
      <c r="AP4068" s="56"/>
      <c r="AQ4068" s="56"/>
      <c r="AR4068" s="56"/>
      <c r="AS4068" s="56"/>
      <c r="AT4068" s="56"/>
      <c r="AU4068" s="56"/>
      <c r="AV4068" s="56"/>
      <c r="AW4068" s="56"/>
      <c r="AX4068" s="56"/>
      <c r="AY4068" s="56"/>
      <c r="AZ4068" s="56"/>
      <c r="BA4068" s="56"/>
      <c r="BB4068" s="22">
        <f t="shared" si="1287"/>
        <v>0</v>
      </c>
      <c r="BC4068" s="23">
        <v>0</v>
      </c>
      <c r="BD4068" s="130">
        <f t="shared" si="1288"/>
        <v>1</v>
      </c>
      <c r="BE4068" s="130">
        <f t="shared" si="1289"/>
        <v>0</v>
      </c>
      <c r="BF4068" s="195" t="e">
        <f t="shared" si="1290"/>
        <v>#DIV/0!</v>
      </c>
      <c r="BG4068" s="373"/>
      <c r="BH4068" s="426"/>
      <c r="BI4068" s="421"/>
    </row>
    <row r="4069" spans="1:61" s="46" customFormat="1" ht="21" customHeight="1">
      <c r="A4069" s="417">
        <v>3</v>
      </c>
      <c r="B4069" s="418" t="s">
        <v>1743</v>
      </c>
      <c r="C4069" s="419" t="s">
        <v>1744</v>
      </c>
      <c r="D4069" s="55"/>
      <c r="E4069" s="55"/>
      <c r="F4069" s="55"/>
      <c r="G4069" s="55"/>
      <c r="H4069" s="56">
        <v>136</v>
      </c>
      <c r="I4069" s="55"/>
      <c r="J4069" s="55"/>
      <c r="K4069" s="55"/>
      <c r="L4069" s="55">
        <v>626</v>
      </c>
      <c r="M4069" s="55"/>
      <c r="N4069" s="55"/>
      <c r="O4069" s="55"/>
      <c r="P4069" s="55">
        <v>830</v>
      </c>
      <c r="Q4069" s="55"/>
      <c r="R4069" s="55"/>
      <c r="S4069" s="55"/>
      <c r="T4069" s="55"/>
      <c r="U4069" s="55"/>
      <c r="V4069" s="55"/>
      <c r="W4069" s="55"/>
      <c r="X4069" s="55"/>
      <c r="Y4069" s="55"/>
      <c r="Z4069" s="55"/>
      <c r="AA4069" s="55"/>
      <c r="AB4069" s="22">
        <f t="shared" si="1286"/>
        <v>1592</v>
      </c>
      <c r="AC4069" s="23">
        <v>1880</v>
      </c>
      <c r="AD4069" s="56"/>
      <c r="AE4069" s="56"/>
      <c r="AF4069" s="56"/>
      <c r="AG4069" s="56"/>
      <c r="AH4069" s="56"/>
      <c r="AI4069" s="56"/>
      <c r="AJ4069" s="56"/>
      <c r="AK4069" s="56"/>
      <c r="AL4069" s="56"/>
      <c r="AM4069" s="56"/>
      <c r="AN4069" s="56"/>
      <c r="AO4069" s="56"/>
      <c r="AP4069" s="56"/>
      <c r="AQ4069" s="56"/>
      <c r="AR4069" s="56"/>
      <c r="AS4069" s="56"/>
      <c r="AT4069" s="56"/>
      <c r="AU4069" s="56"/>
      <c r="AV4069" s="56"/>
      <c r="AW4069" s="56"/>
      <c r="AX4069" s="56"/>
      <c r="AY4069" s="56"/>
      <c r="AZ4069" s="56"/>
      <c r="BA4069" s="56"/>
      <c r="BB4069" s="22">
        <f t="shared" si="1287"/>
        <v>0</v>
      </c>
      <c r="BC4069" s="23">
        <v>0</v>
      </c>
      <c r="BD4069" s="130">
        <f t="shared" si="1288"/>
        <v>1592</v>
      </c>
      <c r="BE4069" s="130">
        <f t="shared" si="1289"/>
        <v>1880</v>
      </c>
      <c r="BF4069" s="195">
        <f t="shared" si="1290"/>
        <v>84.680851063829792</v>
      </c>
      <c r="BG4069" s="373">
        <f t="shared" ref="BG4069:BG4082" si="1291">BE4069-BD4069</f>
        <v>288</v>
      </c>
      <c r="BH4069" s="426" t="s">
        <v>3675</v>
      </c>
      <c r="BI4069" s="420"/>
    </row>
    <row r="4070" spans="1:61" s="46" customFormat="1" ht="21" customHeight="1">
      <c r="A4070" s="417">
        <v>4</v>
      </c>
      <c r="B4070" s="418" t="s">
        <v>1745</v>
      </c>
      <c r="C4070" s="419" t="s">
        <v>1746</v>
      </c>
      <c r="D4070" s="55"/>
      <c r="E4070" s="55"/>
      <c r="F4070" s="55"/>
      <c r="G4070" s="55"/>
      <c r="H4070" s="56"/>
      <c r="I4070" s="55"/>
      <c r="J4070" s="55"/>
      <c r="K4070" s="55"/>
      <c r="L4070" s="55">
        <v>1</v>
      </c>
      <c r="M4070" s="55"/>
      <c r="N4070" s="55"/>
      <c r="O4070" s="55"/>
      <c r="P4070" s="55"/>
      <c r="Q4070" s="55"/>
      <c r="R4070" s="55"/>
      <c r="S4070" s="55"/>
      <c r="T4070" s="55"/>
      <c r="U4070" s="55"/>
      <c r="V4070" s="55"/>
      <c r="W4070" s="55"/>
      <c r="X4070" s="55"/>
      <c r="Y4070" s="55"/>
      <c r="Z4070" s="55"/>
      <c r="AA4070" s="55"/>
      <c r="AB4070" s="22">
        <f t="shared" si="1286"/>
        <v>1</v>
      </c>
      <c r="AC4070" s="23">
        <v>0</v>
      </c>
      <c r="AD4070" s="56"/>
      <c r="AE4070" s="56"/>
      <c r="AF4070" s="56"/>
      <c r="AG4070" s="56"/>
      <c r="AH4070" s="56"/>
      <c r="AI4070" s="56"/>
      <c r="AJ4070" s="56"/>
      <c r="AK4070" s="56"/>
      <c r="AL4070" s="56"/>
      <c r="AM4070" s="56"/>
      <c r="AN4070" s="56"/>
      <c r="AO4070" s="56"/>
      <c r="AP4070" s="56"/>
      <c r="AQ4070" s="56"/>
      <c r="AR4070" s="56"/>
      <c r="AS4070" s="56"/>
      <c r="AT4070" s="56"/>
      <c r="AU4070" s="56"/>
      <c r="AV4070" s="56"/>
      <c r="AW4070" s="56"/>
      <c r="AX4070" s="56"/>
      <c r="AY4070" s="56"/>
      <c r="AZ4070" s="56"/>
      <c r="BA4070" s="56"/>
      <c r="BB4070" s="22">
        <f t="shared" si="1287"/>
        <v>0</v>
      </c>
      <c r="BC4070" s="23">
        <v>2</v>
      </c>
      <c r="BD4070" s="130">
        <f t="shared" si="1288"/>
        <v>1</v>
      </c>
      <c r="BE4070" s="130">
        <f t="shared" si="1289"/>
        <v>2</v>
      </c>
      <c r="BF4070" s="195">
        <f t="shared" si="1290"/>
        <v>50</v>
      </c>
      <c r="BG4070" s="373">
        <f t="shared" si="1291"/>
        <v>1</v>
      </c>
      <c r="BH4070" s="426" t="s">
        <v>3675</v>
      </c>
      <c r="BI4070" s="420"/>
    </row>
    <row r="4071" spans="1:61" s="46" customFormat="1" ht="21" customHeight="1">
      <c r="A4071" s="417">
        <v>5</v>
      </c>
      <c r="B4071" s="418" t="s">
        <v>1790</v>
      </c>
      <c r="C4071" s="419" t="s">
        <v>1791</v>
      </c>
      <c r="D4071" s="55"/>
      <c r="E4071" s="55"/>
      <c r="F4071" s="55"/>
      <c r="G4071" s="55"/>
      <c r="H4071" s="56"/>
      <c r="I4071" s="55"/>
      <c r="J4071" s="55"/>
      <c r="K4071" s="55"/>
      <c r="L4071" s="55">
        <v>1</v>
      </c>
      <c r="M4071" s="55"/>
      <c r="N4071" s="55"/>
      <c r="O4071" s="55"/>
      <c r="P4071" s="55"/>
      <c r="Q4071" s="55"/>
      <c r="R4071" s="55"/>
      <c r="S4071" s="55"/>
      <c r="T4071" s="55"/>
      <c r="U4071" s="55"/>
      <c r="V4071" s="55"/>
      <c r="W4071" s="55"/>
      <c r="X4071" s="55"/>
      <c r="Y4071" s="55"/>
      <c r="Z4071" s="55"/>
      <c r="AA4071" s="55"/>
      <c r="AB4071" s="22">
        <f t="shared" si="1286"/>
        <v>1</v>
      </c>
      <c r="AC4071" s="23">
        <v>1</v>
      </c>
      <c r="AD4071" s="56"/>
      <c r="AE4071" s="56"/>
      <c r="AF4071" s="56"/>
      <c r="AG4071" s="56"/>
      <c r="AH4071" s="56"/>
      <c r="AI4071" s="56"/>
      <c r="AJ4071" s="56"/>
      <c r="AK4071" s="56"/>
      <c r="AL4071" s="56"/>
      <c r="AM4071" s="56"/>
      <c r="AN4071" s="56"/>
      <c r="AO4071" s="56"/>
      <c r="AP4071" s="56"/>
      <c r="AQ4071" s="56"/>
      <c r="AR4071" s="56"/>
      <c r="AS4071" s="56"/>
      <c r="AT4071" s="56"/>
      <c r="AU4071" s="56"/>
      <c r="AV4071" s="56"/>
      <c r="AW4071" s="56"/>
      <c r="AX4071" s="56"/>
      <c r="AY4071" s="56"/>
      <c r="AZ4071" s="56"/>
      <c r="BA4071" s="56"/>
      <c r="BB4071" s="22">
        <f t="shared" si="1287"/>
        <v>0</v>
      </c>
      <c r="BC4071" s="23">
        <v>0</v>
      </c>
      <c r="BD4071" s="130">
        <f t="shared" si="1288"/>
        <v>1</v>
      </c>
      <c r="BE4071" s="130">
        <f t="shared" si="1289"/>
        <v>1</v>
      </c>
      <c r="BF4071" s="195">
        <f t="shared" si="1290"/>
        <v>100</v>
      </c>
      <c r="BG4071" s="373">
        <f t="shared" si="1291"/>
        <v>0</v>
      </c>
      <c r="BH4071" s="426" t="s">
        <v>3675</v>
      </c>
      <c r="BI4071" s="420"/>
    </row>
    <row r="4072" spans="1:61" s="46" customFormat="1" ht="21" customHeight="1">
      <c r="A4072" s="417">
        <v>6</v>
      </c>
      <c r="B4072" s="418" t="s">
        <v>1813</v>
      </c>
      <c r="C4072" s="419" t="s">
        <v>2292</v>
      </c>
      <c r="D4072" s="55"/>
      <c r="E4072" s="55"/>
      <c r="F4072" s="55"/>
      <c r="G4072" s="55"/>
      <c r="H4072" s="56"/>
      <c r="I4072" s="55"/>
      <c r="J4072" s="55"/>
      <c r="K4072" s="55"/>
      <c r="L4072" s="55">
        <v>10</v>
      </c>
      <c r="M4072" s="55"/>
      <c r="N4072" s="55"/>
      <c r="O4072" s="55"/>
      <c r="P4072" s="55">
        <v>1</v>
      </c>
      <c r="Q4072" s="55"/>
      <c r="R4072" s="55"/>
      <c r="S4072" s="55"/>
      <c r="T4072" s="55"/>
      <c r="U4072" s="55"/>
      <c r="V4072" s="55"/>
      <c r="W4072" s="55"/>
      <c r="X4072" s="55"/>
      <c r="Y4072" s="55"/>
      <c r="Z4072" s="55"/>
      <c r="AA4072" s="55"/>
      <c r="AB4072" s="22">
        <f t="shared" si="1286"/>
        <v>11</v>
      </c>
      <c r="AC4072" s="23">
        <v>10</v>
      </c>
      <c r="AD4072" s="56"/>
      <c r="AE4072" s="56"/>
      <c r="AF4072" s="56"/>
      <c r="AG4072" s="56"/>
      <c r="AH4072" s="56"/>
      <c r="AI4072" s="56"/>
      <c r="AJ4072" s="56"/>
      <c r="AK4072" s="56"/>
      <c r="AL4072" s="56"/>
      <c r="AM4072" s="56"/>
      <c r="AN4072" s="56"/>
      <c r="AO4072" s="56"/>
      <c r="AP4072" s="56"/>
      <c r="AQ4072" s="56"/>
      <c r="AR4072" s="56"/>
      <c r="AS4072" s="56"/>
      <c r="AT4072" s="56"/>
      <c r="AU4072" s="56"/>
      <c r="AV4072" s="56"/>
      <c r="AW4072" s="56"/>
      <c r="AX4072" s="56"/>
      <c r="AY4072" s="56"/>
      <c r="AZ4072" s="56"/>
      <c r="BA4072" s="56"/>
      <c r="BB4072" s="22">
        <f t="shared" si="1287"/>
        <v>0</v>
      </c>
      <c r="BC4072" s="23">
        <v>0</v>
      </c>
      <c r="BD4072" s="130">
        <f t="shared" si="1288"/>
        <v>11</v>
      </c>
      <c r="BE4072" s="130">
        <f t="shared" si="1289"/>
        <v>10</v>
      </c>
      <c r="BF4072" s="195">
        <f t="shared" si="1290"/>
        <v>110.00000000000001</v>
      </c>
      <c r="BG4072" s="373">
        <f t="shared" si="1291"/>
        <v>-1</v>
      </c>
      <c r="BH4072" s="426" t="s">
        <v>3675</v>
      </c>
      <c r="BI4072" s="421"/>
    </row>
    <row r="4073" spans="1:61" s="46" customFormat="1" ht="21" customHeight="1">
      <c r="A4073" s="417">
        <v>7</v>
      </c>
      <c r="B4073" s="418" t="s">
        <v>1747</v>
      </c>
      <c r="C4073" s="419" t="s">
        <v>1748</v>
      </c>
      <c r="D4073" s="55"/>
      <c r="E4073" s="55"/>
      <c r="F4073" s="55"/>
      <c r="G4073" s="55"/>
      <c r="H4073" s="56">
        <v>228</v>
      </c>
      <c r="I4073" s="55"/>
      <c r="J4073" s="55"/>
      <c r="K4073" s="55"/>
      <c r="L4073" s="55">
        <v>1023</v>
      </c>
      <c r="M4073" s="55"/>
      <c r="N4073" s="55"/>
      <c r="O4073" s="55"/>
      <c r="P4073" s="55">
        <f>1370+17</f>
        <v>1387</v>
      </c>
      <c r="Q4073" s="55"/>
      <c r="R4073" s="55"/>
      <c r="S4073" s="55"/>
      <c r="T4073" s="55"/>
      <c r="U4073" s="55"/>
      <c r="V4073" s="55"/>
      <c r="W4073" s="55"/>
      <c r="X4073" s="55"/>
      <c r="Y4073" s="55"/>
      <c r="Z4073" s="55"/>
      <c r="AA4073" s="55"/>
      <c r="AB4073" s="22">
        <f t="shared" si="1286"/>
        <v>2638</v>
      </c>
      <c r="AC4073" s="23">
        <v>3140</v>
      </c>
      <c r="AD4073" s="56"/>
      <c r="AE4073" s="56"/>
      <c r="AF4073" s="56"/>
      <c r="AG4073" s="56"/>
      <c r="AH4073" s="56"/>
      <c r="AI4073" s="56"/>
      <c r="AJ4073" s="56"/>
      <c r="AK4073" s="56"/>
      <c r="AL4073" s="56"/>
      <c r="AM4073" s="56"/>
      <c r="AN4073" s="56"/>
      <c r="AO4073" s="56"/>
      <c r="AP4073" s="56"/>
      <c r="AQ4073" s="56"/>
      <c r="AR4073" s="56"/>
      <c r="AS4073" s="56"/>
      <c r="AT4073" s="56"/>
      <c r="AU4073" s="56"/>
      <c r="AV4073" s="56"/>
      <c r="AW4073" s="56"/>
      <c r="AX4073" s="56"/>
      <c r="AY4073" s="56"/>
      <c r="AZ4073" s="56"/>
      <c r="BA4073" s="56"/>
      <c r="BB4073" s="22">
        <f t="shared" si="1287"/>
        <v>0</v>
      </c>
      <c r="BC4073" s="23">
        <v>0</v>
      </c>
      <c r="BD4073" s="130">
        <f t="shared" si="1288"/>
        <v>2638</v>
      </c>
      <c r="BE4073" s="130">
        <f t="shared" si="1289"/>
        <v>3140</v>
      </c>
      <c r="BF4073" s="195">
        <f t="shared" si="1290"/>
        <v>84.012738853503194</v>
      </c>
      <c r="BG4073" s="373">
        <f t="shared" si="1291"/>
        <v>502</v>
      </c>
      <c r="BH4073" s="426" t="s">
        <v>3675</v>
      </c>
      <c r="BI4073" s="420"/>
    </row>
    <row r="4074" spans="1:61" s="46" customFormat="1" ht="21" customHeight="1">
      <c r="A4074" s="417">
        <v>8</v>
      </c>
      <c r="B4074" s="418" t="s">
        <v>1749</v>
      </c>
      <c r="C4074" s="419" t="s">
        <v>1750</v>
      </c>
      <c r="D4074" s="55"/>
      <c r="E4074" s="55"/>
      <c r="F4074" s="55"/>
      <c r="G4074" s="55"/>
      <c r="H4074" s="56">
        <v>74</v>
      </c>
      <c r="I4074" s="55"/>
      <c r="J4074" s="55"/>
      <c r="K4074" s="55"/>
      <c r="L4074" s="55">
        <v>455</v>
      </c>
      <c r="M4074" s="55"/>
      <c r="N4074" s="55"/>
      <c r="O4074" s="55"/>
      <c r="P4074" s="55">
        <v>827</v>
      </c>
      <c r="Q4074" s="55"/>
      <c r="R4074" s="55"/>
      <c r="S4074" s="55"/>
      <c r="T4074" s="55"/>
      <c r="U4074" s="55"/>
      <c r="V4074" s="55"/>
      <c r="W4074" s="55"/>
      <c r="X4074" s="55"/>
      <c r="Y4074" s="55"/>
      <c r="Z4074" s="55"/>
      <c r="AA4074" s="55"/>
      <c r="AB4074" s="22">
        <f t="shared" si="1286"/>
        <v>1356</v>
      </c>
      <c r="AC4074" s="23">
        <v>2025</v>
      </c>
      <c r="AD4074" s="56"/>
      <c r="AE4074" s="56"/>
      <c r="AF4074" s="56"/>
      <c r="AG4074" s="56"/>
      <c r="AH4074" s="56"/>
      <c r="AI4074" s="56"/>
      <c r="AJ4074" s="56"/>
      <c r="AK4074" s="56"/>
      <c r="AL4074" s="56"/>
      <c r="AM4074" s="56"/>
      <c r="AN4074" s="56"/>
      <c r="AO4074" s="56"/>
      <c r="AP4074" s="56"/>
      <c r="AQ4074" s="56"/>
      <c r="AR4074" s="56"/>
      <c r="AS4074" s="56"/>
      <c r="AT4074" s="56"/>
      <c r="AU4074" s="56"/>
      <c r="AV4074" s="56"/>
      <c r="AW4074" s="56"/>
      <c r="AX4074" s="56"/>
      <c r="AY4074" s="56"/>
      <c r="AZ4074" s="56"/>
      <c r="BA4074" s="56"/>
      <c r="BB4074" s="22">
        <f t="shared" si="1287"/>
        <v>0</v>
      </c>
      <c r="BC4074" s="23">
        <v>0</v>
      </c>
      <c r="BD4074" s="130">
        <f t="shared" si="1288"/>
        <v>1356</v>
      </c>
      <c r="BE4074" s="130">
        <f t="shared" si="1289"/>
        <v>2025</v>
      </c>
      <c r="BF4074" s="195">
        <f t="shared" si="1290"/>
        <v>66.962962962962962</v>
      </c>
      <c r="BG4074" s="373">
        <f t="shared" si="1291"/>
        <v>669</v>
      </c>
      <c r="BH4074" s="426" t="s">
        <v>3675</v>
      </c>
      <c r="BI4074" s="421"/>
    </row>
    <row r="4075" spans="1:61" s="46" customFormat="1" ht="21" customHeight="1">
      <c r="A4075" s="417">
        <v>9</v>
      </c>
      <c r="B4075" s="418" t="s">
        <v>1801</v>
      </c>
      <c r="C4075" s="419" t="s">
        <v>1802</v>
      </c>
      <c r="D4075" s="55"/>
      <c r="E4075" s="55"/>
      <c r="F4075" s="55"/>
      <c r="G4075" s="55"/>
      <c r="H4075" s="56">
        <v>121</v>
      </c>
      <c r="I4075" s="55"/>
      <c r="J4075" s="55"/>
      <c r="K4075" s="55"/>
      <c r="L4075" s="55">
        <v>576</v>
      </c>
      <c r="M4075" s="55"/>
      <c r="N4075" s="55"/>
      <c r="O4075" s="55"/>
      <c r="P4075" s="55">
        <v>13</v>
      </c>
      <c r="Q4075" s="55"/>
      <c r="R4075" s="55"/>
      <c r="S4075" s="55"/>
      <c r="T4075" s="55"/>
      <c r="U4075" s="55"/>
      <c r="V4075" s="55"/>
      <c r="W4075" s="55"/>
      <c r="X4075" s="55"/>
      <c r="Y4075" s="55"/>
      <c r="Z4075" s="55"/>
      <c r="AA4075" s="55"/>
      <c r="AB4075" s="22">
        <f t="shared" si="1286"/>
        <v>710</v>
      </c>
      <c r="AC4075" s="23">
        <v>1104</v>
      </c>
      <c r="AD4075" s="56"/>
      <c r="AE4075" s="56"/>
      <c r="AF4075" s="56"/>
      <c r="AG4075" s="56"/>
      <c r="AH4075" s="56"/>
      <c r="AI4075" s="56"/>
      <c r="AJ4075" s="56"/>
      <c r="AK4075" s="56"/>
      <c r="AL4075" s="56"/>
      <c r="AM4075" s="56"/>
      <c r="AN4075" s="56"/>
      <c r="AO4075" s="56"/>
      <c r="AP4075" s="56"/>
      <c r="AQ4075" s="56"/>
      <c r="AR4075" s="56"/>
      <c r="AS4075" s="56"/>
      <c r="AT4075" s="56"/>
      <c r="AU4075" s="56"/>
      <c r="AV4075" s="56"/>
      <c r="AW4075" s="56"/>
      <c r="AX4075" s="56"/>
      <c r="AY4075" s="56"/>
      <c r="AZ4075" s="56"/>
      <c r="BA4075" s="56"/>
      <c r="BB4075" s="22">
        <f t="shared" si="1287"/>
        <v>0</v>
      </c>
      <c r="BC4075" s="23">
        <v>0</v>
      </c>
      <c r="BD4075" s="130">
        <f t="shared" si="1288"/>
        <v>710</v>
      </c>
      <c r="BE4075" s="130">
        <f t="shared" si="1289"/>
        <v>1104</v>
      </c>
      <c r="BF4075" s="195">
        <f t="shared" si="1290"/>
        <v>64.311594202898547</v>
      </c>
      <c r="BG4075" s="373">
        <f t="shared" si="1291"/>
        <v>394</v>
      </c>
      <c r="BH4075" s="426" t="s">
        <v>3675</v>
      </c>
      <c r="BI4075" s="421"/>
    </row>
    <row r="4076" spans="1:61" s="46" customFormat="1" ht="21" customHeight="1">
      <c r="A4076" s="417">
        <v>10</v>
      </c>
      <c r="B4076" s="418" t="s">
        <v>1751</v>
      </c>
      <c r="C4076" s="419" t="s">
        <v>1752</v>
      </c>
      <c r="D4076" s="55"/>
      <c r="E4076" s="55"/>
      <c r="F4076" s="55"/>
      <c r="G4076" s="55"/>
      <c r="H4076" s="56"/>
      <c r="I4076" s="55"/>
      <c r="J4076" s="55"/>
      <c r="K4076" s="55"/>
      <c r="L4076" s="55">
        <v>6</v>
      </c>
      <c r="M4076" s="55"/>
      <c r="N4076" s="55"/>
      <c r="O4076" s="55"/>
      <c r="P4076" s="55">
        <v>1</v>
      </c>
      <c r="Q4076" s="55"/>
      <c r="R4076" s="55"/>
      <c r="S4076" s="55"/>
      <c r="T4076" s="55"/>
      <c r="U4076" s="55"/>
      <c r="V4076" s="55"/>
      <c r="W4076" s="55"/>
      <c r="X4076" s="55"/>
      <c r="Y4076" s="55"/>
      <c r="Z4076" s="55"/>
      <c r="AA4076" s="55"/>
      <c r="AB4076" s="22">
        <f t="shared" si="1286"/>
        <v>7</v>
      </c>
      <c r="AC4076" s="23">
        <f>50+11</f>
        <v>61</v>
      </c>
      <c r="AD4076" s="56"/>
      <c r="AE4076" s="56"/>
      <c r="AF4076" s="56"/>
      <c r="AG4076" s="56"/>
      <c r="AH4076" s="56"/>
      <c r="AI4076" s="56"/>
      <c r="AJ4076" s="56"/>
      <c r="AK4076" s="56"/>
      <c r="AL4076" s="56"/>
      <c r="AM4076" s="56"/>
      <c r="AN4076" s="56"/>
      <c r="AO4076" s="56"/>
      <c r="AP4076" s="56"/>
      <c r="AQ4076" s="56"/>
      <c r="AR4076" s="56"/>
      <c r="AS4076" s="56"/>
      <c r="AT4076" s="56"/>
      <c r="AU4076" s="56"/>
      <c r="AV4076" s="56"/>
      <c r="AW4076" s="56"/>
      <c r="AX4076" s="56"/>
      <c r="AY4076" s="56"/>
      <c r="AZ4076" s="56"/>
      <c r="BA4076" s="56"/>
      <c r="BB4076" s="22">
        <f t="shared" si="1287"/>
        <v>0</v>
      </c>
      <c r="BC4076" s="23">
        <v>0</v>
      </c>
      <c r="BD4076" s="130">
        <f t="shared" si="1288"/>
        <v>7</v>
      </c>
      <c r="BE4076" s="130">
        <f t="shared" si="1289"/>
        <v>61</v>
      </c>
      <c r="BF4076" s="195">
        <f t="shared" si="1290"/>
        <v>11.475409836065573</v>
      </c>
      <c r="BG4076" s="373">
        <f t="shared" si="1291"/>
        <v>54</v>
      </c>
      <c r="BH4076" s="426" t="s">
        <v>3675</v>
      </c>
      <c r="BI4076" s="420"/>
    </row>
    <row r="4077" spans="1:61" s="46" customFormat="1" ht="21" customHeight="1">
      <c r="A4077" s="417">
        <v>11</v>
      </c>
      <c r="B4077" s="418" t="s">
        <v>1753</v>
      </c>
      <c r="C4077" s="419" t="s">
        <v>1754</v>
      </c>
      <c r="D4077" s="55"/>
      <c r="E4077" s="55"/>
      <c r="F4077" s="55"/>
      <c r="G4077" s="55"/>
      <c r="H4077" s="56">
        <v>111</v>
      </c>
      <c r="I4077" s="55"/>
      <c r="J4077" s="55"/>
      <c r="K4077" s="55"/>
      <c r="L4077" s="55">
        <v>435</v>
      </c>
      <c r="M4077" s="55"/>
      <c r="N4077" s="55"/>
      <c r="O4077" s="55"/>
      <c r="P4077" s="55">
        <f>342+4</f>
        <v>346</v>
      </c>
      <c r="Q4077" s="55"/>
      <c r="R4077" s="55"/>
      <c r="S4077" s="55"/>
      <c r="T4077" s="55"/>
      <c r="U4077" s="55"/>
      <c r="V4077" s="55"/>
      <c r="W4077" s="55"/>
      <c r="X4077" s="55"/>
      <c r="Y4077" s="55"/>
      <c r="Z4077" s="55"/>
      <c r="AA4077" s="55"/>
      <c r="AB4077" s="22">
        <f t="shared" si="1286"/>
        <v>892</v>
      </c>
      <c r="AC4077" s="23">
        <v>1314</v>
      </c>
      <c r="AD4077" s="56"/>
      <c r="AE4077" s="56"/>
      <c r="AF4077" s="56"/>
      <c r="AG4077" s="56"/>
      <c r="AH4077" s="56"/>
      <c r="AI4077" s="56"/>
      <c r="AJ4077" s="56"/>
      <c r="AK4077" s="56"/>
      <c r="AL4077" s="56"/>
      <c r="AM4077" s="56"/>
      <c r="AN4077" s="56"/>
      <c r="AO4077" s="56"/>
      <c r="AP4077" s="56"/>
      <c r="AQ4077" s="56"/>
      <c r="AR4077" s="56"/>
      <c r="AS4077" s="56"/>
      <c r="AT4077" s="56"/>
      <c r="AU4077" s="56"/>
      <c r="AV4077" s="56"/>
      <c r="AW4077" s="56"/>
      <c r="AX4077" s="56"/>
      <c r="AY4077" s="56"/>
      <c r="AZ4077" s="56"/>
      <c r="BA4077" s="56"/>
      <c r="BB4077" s="22">
        <f t="shared" si="1287"/>
        <v>0</v>
      </c>
      <c r="BC4077" s="23">
        <v>0</v>
      </c>
      <c r="BD4077" s="130">
        <f t="shared" si="1288"/>
        <v>892</v>
      </c>
      <c r="BE4077" s="130">
        <f t="shared" si="1289"/>
        <v>1314</v>
      </c>
      <c r="BF4077" s="195">
        <f t="shared" si="1290"/>
        <v>67.884322678843219</v>
      </c>
      <c r="BG4077" s="373">
        <f t="shared" si="1291"/>
        <v>422</v>
      </c>
      <c r="BH4077" s="426" t="s">
        <v>3675</v>
      </c>
      <c r="BI4077" s="420"/>
    </row>
    <row r="4078" spans="1:61" s="46" customFormat="1" ht="21" customHeight="1">
      <c r="A4078" s="417">
        <v>12</v>
      </c>
      <c r="B4078" s="418" t="s">
        <v>1775</v>
      </c>
      <c r="C4078" s="423" t="s">
        <v>1959</v>
      </c>
      <c r="D4078" s="55"/>
      <c r="E4078" s="55"/>
      <c r="F4078" s="55"/>
      <c r="G4078" s="55"/>
      <c r="H4078" s="56">
        <v>2</v>
      </c>
      <c r="I4078" s="55"/>
      <c r="J4078" s="55"/>
      <c r="K4078" s="55"/>
      <c r="L4078" s="55"/>
      <c r="M4078" s="55"/>
      <c r="N4078" s="55"/>
      <c r="O4078" s="55"/>
      <c r="P4078" s="55"/>
      <c r="Q4078" s="55"/>
      <c r="R4078" s="55"/>
      <c r="S4078" s="55"/>
      <c r="T4078" s="55"/>
      <c r="U4078" s="55"/>
      <c r="V4078" s="55"/>
      <c r="W4078" s="55"/>
      <c r="X4078" s="55"/>
      <c r="Y4078" s="55"/>
      <c r="Z4078" s="55"/>
      <c r="AA4078" s="55"/>
      <c r="AB4078" s="22">
        <f t="shared" si="1286"/>
        <v>2</v>
      </c>
      <c r="AC4078" s="23">
        <v>3</v>
      </c>
      <c r="AD4078" s="56"/>
      <c r="AE4078" s="56"/>
      <c r="AF4078" s="56"/>
      <c r="AG4078" s="56"/>
      <c r="AH4078" s="56"/>
      <c r="AI4078" s="56"/>
      <c r="AJ4078" s="56"/>
      <c r="AK4078" s="56"/>
      <c r="AL4078" s="56"/>
      <c r="AM4078" s="56"/>
      <c r="AN4078" s="56"/>
      <c r="AO4078" s="56"/>
      <c r="AP4078" s="56"/>
      <c r="AQ4078" s="56"/>
      <c r="AR4078" s="56"/>
      <c r="AS4078" s="56"/>
      <c r="AT4078" s="56"/>
      <c r="AU4078" s="56"/>
      <c r="AV4078" s="56"/>
      <c r="AW4078" s="56"/>
      <c r="AX4078" s="56"/>
      <c r="AY4078" s="56"/>
      <c r="AZ4078" s="56"/>
      <c r="BA4078" s="56"/>
      <c r="BB4078" s="22">
        <f t="shared" si="1287"/>
        <v>0</v>
      </c>
      <c r="BC4078" s="23">
        <v>0</v>
      </c>
      <c r="BD4078" s="130">
        <f t="shared" si="1288"/>
        <v>2</v>
      </c>
      <c r="BE4078" s="130">
        <f t="shared" si="1289"/>
        <v>3</v>
      </c>
      <c r="BF4078" s="195">
        <f t="shared" si="1290"/>
        <v>66.666666666666657</v>
      </c>
      <c r="BG4078" s="373">
        <f t="shared" si="1291"/>
        <v>1</v>
      </c>
      <c r="BH4078" s="426" t="s">
        <v>3675</v>
      </c>
      <c r="BI4078" s="421"/>
    </row>
    <row r="4079" spans="1:61" s="46" customFormat="1" ht="21" customHeight="1">
      <c r="A4079" s="417">
        <v>13</v>
      </c>
      <c r="B4079" s="418" t="s">
        <v>2887</v>
      </c>
      <c r="C4079" s="419" t="s">
        <v>2888</v>
      </c>
      <c r="D4079" s="55"/>
      <c r="E4079" s="55"/>
      <c r="F4079" s="55"/>
      <c r="G4079" s="55"/>
      <c r="H4079" s="56"/>
      <c r="I4079" s="55"/>
      <c r="J4079" s="55"/>
      <c r="K4079" s="55"/>
      <c r="L4079" s="55"/>
      <c r="M4079" s="55"/>
      <c r="N4079" s="55"/>
      <c r="O4079" s="55"/>
      <c r="P4079" s="55">
        <v>1</v>
      </c>
      <c r="Q4079" s="55"/>
      <c r="R4079" s="55"/>
      <c r="S4079" s="55"/>
      <c r="T4079" s="55"/>
      <c r="U4079" s="55"/>
      <c r="V4079" s="55"/>
      <c r="W4079" s="55"/>
      <c r="X4079" s="55"/>
      <c r="Y4079" s="55"/>
      <c r="Z4079" s="55"/>
      <c r="AA4079" s="55"/>
      <c r="AB4079" s="22">
        <f t="shared" si="1286"/>
        <v>1</v>
      </c>
      <c r="AC4079" s="23">
        <v>1</v>
      </c>
      <c r="AD4079" s="56"/>
      <c r="AE4079" s="56"/>
      <c r="AF4079" s="56"/>
      <c r="AG4079" s="56"/>
      <c r="AH4079" s="56"/>
      <c r="AI4079" s="56"/>
      <c r="AJ4079" s="56"/>
      <c r="AK4079" s="56"/>
      <c r="AL4079" s="56"/>
      <c r="AM4079" s="56"/>
      <c r="AN4079" s="56"/>
      <c r="AO4079" s="56"/>
      <c r="AP4079" s="56"/>
      <c r="AQ4079" s="56"/>
      <c r="AR4079" s="56"/>
      <c r="AS4079" s="56"/>
      <c r="AT4079" s="56"/>
      <c r="AU4079" s="56"/>
      <c r="AV4079" s="56"/>
      <c r="AW4079" s="56"/>
      <c r="AX4079" s="56"/>
      <c r="AY4079" s="56"/>
      <c r="AZ4079" s="56"/>
      <c r="BA4079" s="56"/>
      <c r="BB4079" s="22">
        <f t="shared" si="1287"/>
        <v>0</v>
      </c>
      <c r="BC4079" s="23">
        <v>0</v>
      </c>
      <c r="BD4079" s="130">
        <f t="shared" si="1288"/>
        <v>1</v>
      </c>
      <c r="BE4079" s="130">
        <f t="shared" si="1289"/>
        <v>1</v>
      </c>
      <c r="BF4079" s="195">
        <f t="shared" si="1290"/>
        <v>100</v>
      </c>
      <c r="BG4079" s="373">
        <f t="shared" si="1291"/>
        <v>0</v>
      </c>
      <c r="BH4079" s="426" t="s">
        <v>3675</v>
      </c>
      <c r="BI4079" s="421"/>
    </row>
    <row r="4080" spans="1:61" s="46" customFormat="1" ht="21" customHeight="1">
      <c r="A4080" s="417">
        <v>14</v>
      </c>
      <c r="B4080" s="418" t="s">
        <v>1756</v>
      </c>
      <c r="C4080" s="419" t="s">
        <v>1757</v>
      </c>
      <c r="D4080" s="55"/>
      <c r="E4080" s="55"/>
      <c r="F4080" s="55"/>
      <c r="G4080" s="55"/>
      <c r="H4080" s="56">
        <v>128</v>
      </c>
      <c r="I4080" s="55"/>
      <c r="J4080" s="55"/>
      <c r="K4080" s="55"/>
      <c r="L4080" s="55">
        <f>382+4</f>
        <v>386</v>
      </c>
      <c r="M4080" s="55"/>
      <c r="N4080" s="55"/>
      <c r="O4080" s="55"/>
      <c r="P4080" s="55">
        <v>468</v>
      </c>
      <c r="Q4080" s="55"/>
      <c r="R4080" s="55"/>
      <c r="S4080" s="55"/>
      <c r="T4080" s="55"/>
      <c r="U4080" s="55"/>
      <c r="V4080" s="55"/>
      <c r="W4080" s="55"/>
      <c r="X4080" s="55"/>
      <c r="Y4080" s="55"/>
      <c r="Z4080" s="55"/>
      <c r="AA4080" s="55"/>
      <c r="AB4080" s="22">
        <f t="shared" si="1286"/>
        <v>982</v>
      </c>
      <c r="AC4080" s="23">
        <v>874</v>
      </c>
      <c r="AD4080" s="56"/>
      <c r="AE4080" s="56"/>
      <c r="AF4080" s="56"/>
      <c r="AG4080" s="56"/>
      <c r="AH4080" s="56"/>
      <c r="AI4080" s="56"/>
      <c r="AJ4080" s="56"/>
      <c r="AK4080" s="56"/>
      <c r="AL4080" s="56"/>
      <c r="AM4080" s="56"/>
      <c r="AN4080" s="56"/>
      <c r="AO4080" s="56"/>
      <c r="AP4080" s="56"/>
      <c r="AQ4080" s="56"/>
      <c r="AR4080" s="56"/>
      <c r="AS4080" s="56"/>
      <c r="AT4080" s="56"/>
      <c r="AU4080" s="56"/>
      <c r="AV4080" s="56"/>
      <c r="AW4080" s="56"/>
      <c r="AX4080" s="56"/>
      <c r="AY4080" s="56"/>
      <c r="AZ4080" s="56"/>
      <c r="BA4080" s="56"/>
      <c r="BB4080" s="22">
        <f t="shared" si="1287"/>
        <v>0</v>
      </c>
      <c r="BC4080" s="23">
        <v>0</v>
      </c>
      <c r="BD4080" s="130">
        <f t="shared" si="1288"/>
        <v>982</v>
      </c>
      <c r="BE4080" s="130">
        <f t="shared" si="1289"/>
        <v>874</v>
      </c>
      <c r="BF4080" s="195">
        <f t="shared" si="1290"/>
        <v>112.35697940503432</v>
      </c>
      <c r="BG4080" s="373">
        <f t="shared" si="1291"/>
        <v>-108</v>
      </c>
      <c r="BH4080" s="426" t="s">
        <v>3675</v>
      </c>
      <c r="BI4080" s="421"/>
    </row>
    <row r="4081" spans="1:61" s="46" customFormat="1" ht="21" customHeight="1">
      <c r="A4081" s="417">
        <v>15</v>
      </c>
      <c r="B4081" s="418" t="s">
        <v>1758</v>
      </c>
      <c r="C4081" s="419" t="s">
        <v>1842</v>
      </c>
      <c r="D4081" s="55"/>
      <c r="E4081" s="55"/>
      <c r="F4081" s="55"/>
      <c r="G4081" s="55"/>
      <c r="H4081" s="55"/>
      <c r="I4081" s="55"/>
      <c r="J4081" s="55"/>
      <c r="K4081" s="55"/>
      <c r="L4081" s="55"/>
      <c r="M4081" s="55"/>
      <c r="N4081" s="55"/>
      <c r="O4081" s="55"/>
      <c r="P4081" s="55"/>
      <c r="Q4081" s="55"/>
      <c r="R4081" s="55"/>
      <c r="S4081" s="55"/>
      <c r="T4081" s="55"/>
      <c r="U4081" s="55"/>
      <c r="V4081" s="55"/>
      <c r="W4081" s="55"/>
      <c r="X4081" s="55"/>
      <c r="Y4081" s="55"/>
      <c r="Z4081" s="55"/>
      <c r="AA4081" s="55"/>
      <c r="AB4081" s="22">
        <f t="shared" si="1286"/>
        <v>0</v>
      </c>
      <c r="AC4081" s="23">
        <v>2</v>
      </c>
      <c r="AD4081" s="56"/>
      <c r="AE4081" s="56"/>
      <c r="AF4081" s="56"/>
      <c r="AG4081" s="56"/>
      <c r="AH4081" s="56"/>
      <c r="AI4081" s="56"/>
      <c r="AJ4081" s="56"/>
      <c r="AK4081" s="56"/>
      <c r="AL4081" s="56"/>
      <c r="AM4081" s="56"/>
      <c r="AN4081" s="56"/>
      <c r="AO4081" s="56"/>
      <c r="AP4081" s="56"/>
      <c r="AQ4081" s="56"/>
      <c r="AR4081" s="56"/>
      <c r="AS4081" s="56"/>
      <c r="AT4081" s="56"/>
      <c r="AU4081" s="56"/>
      <c r="AV4081" s="56"/>
      <c r="AW4081" s="56"/>
      <c r="AX4081" s="56"/>
      <c r="AY4081" s="56"/>
      <c r="AZ4081" s="56"/>
      <c r="BA4081" s="56"/>
      <c r="BB4081" s="22">
        <f t="shared" si="1287"/>
        <v>0</v>
      </c>
      <c r="BC4081" s="23">
        <v>0</v>
      </c>
      <c r="BD4081" s="130">
        <f t="shared" si="1288"/>
        <v>0</v>
      </c>
      <c r="BE4081" s="130">
        <f t="shared" si="1289"/>
        <v>2</v>
      </c>
      <c r="BF4081" s="195">
        <f t="shared" si="1290"/>
        <v>0</v>
      </c>
      <c r="BG4081" s="373">
        <f t="shared" si="1291"/>
        <v>2</v>
      </c>
      <c r="BH4081" s="426" t="s">
        <v>3675</v>
      </c>
      <c r="BI4081" s="421"/>
    </row>
    <row r="4082" spans="1:61" s="46" customFormat="1" ht="14.25" customHeight="1">
      <c r="A4082" s="453">
        <v>16</v>
      </c>
      <c r="B4082" s="461" t="s">
        <v>814</v>
      </c>
      <c r="C4082" s="462" t="s">
        <v>3108</v>
      </c>
      <c r="D4082" s="55"/>
      <c r="E4082" s="55"/>
      <c r="F4082" s="55"/>
      <c r="G4082" s="55"/>
      <c r="H4082" s="55"/>
      <c r="I4082" s="55"/>
      <c r="J4082" s="55"/>
      <c r="K4082" s="55"/>
      <c r="L4082" s="55"/>
      <c r="M4082" s="55"/>
      <c r="N4082" s="55"/>
      <c r="O4082" s="55"/>
      <c r="P4082" s="55"/>
      <c r="Q4082" s="55"/>
      <c r="R4082" s="55"/>
      <c r="S4082" s="55"/>
      <c r="T4082" s="55"/>
      <c r="U4082" s="55"/>
      <c r="V4082" s="55"/>
      <c r="W4082" s="55"/>
      <c r="X4082" s="55"/>
      <c r="Y4082" s="55"/>
      <c r="Z4082" s="55"/>
      <c r="AA4082" s="55"/>
      <c r="AB4082" s="22">
        <f t="shared" si="1286"/>
        <v>0</v>
      </c>
      <c r="AC4082" s="23">
        <v>0</v>
      </c>
      <c r="AD4082" s="56"/>
      <c r="AE4082" s="56"/>
      <c r="AF4082" s="56"/>
      <c r="AG4082" s="56"/>
      <c r="AH4082" s="56"/>
      <c r="AI4082" s="56"/>
      <c r="AJ4082" s="56"/>
      <c r="AK4082" s="56"/>
      <c r="AL4082" s="56"/>
      <c r="AM4082" s="56"/>
      <c r="AN4082" s="56"/>
      <c r="AO4082" s="56"/>
      <c r="AP4082" s="56"/>
      <c r="AQ4082" s="56"/>
      <c r="AR4082" s="56"/>
      <c r="AS4082" s="56"/>
      <c r="AT4082" s="56"/>
      <c r="AU4082" s="56"/>
      <c r="AV4082" s="56"/>
      <c r="AW4082" s="56"/>
      <c r="AX4082" s="56"/>
      <c r="AY4082" s="56"/>
      <c r="AZ4082" s="56"/>
      <c r="BA4082" s="56"/>
      <c r="BB4082" s="22">
        <f t="shared" si="1287"/>
        <v>0</v>
      </c>
      <c r="BC4082" s="23">
        <v>2438</v>
      </c>
      <c r="BD4082" s="130">
        <f t="shared" si="1288"/>
        <v>0</v>
      </c>
      <c r="BE4082" s="130">
        <f t="shared" si="1289"/>
        <v>2438</v>
      </c>
      <c r="BF4082" s="195">
        <f t="shared" si="1290"/>
        <v>0</v>
      </c>
      <c r="BG4082" s="373">
        <f t="shared" si="1291"/>
        <v>2438</v>
      </c>
    </row>
    <row r="4083" spans="1:61" s="46" customFormat="1" ht="23.25" customHeight="1">
      <c r="A4083" s="453">
        <v>17</v>
      </c>
      <c r="B4083" s="557" t="s">
        <v>1804</v>
      </c>
      <c r="C4083" s="559" t="s">
        <v>1805</v>
      </c>
      <c r="D4083" s="55"/>
      <c r="E4083" s="55"/>
      <c r="F4083" s="55"/>
      <c r="G4083" s="55"/>
      <c r="H4083" s="55"/>
      <c r="I4083" s="55"/>
      <c r="J4083" s="55"/>
      <c r="K4083" s="55"/>
      <c r="L4083" s="55"/>
      <c r="M4083" s="55"/>
      <c r="N4083" s="55"/>
      <c r="O4083" s="55"/>
      <c r="P4083" s="55"/>
      <c r="Q4083" s="55"/>
      <c r="R4083" s="55"/>
      <c r="S4083" s="55"/>
      <c r="T4083" s="55"/>
      <c r="U4083" s="55"/>
      <c r="V4083" s="55"/>
      <c r="W4083" s="55"/>
      <c r="X4083" s="55"/>
      <c r="Y4083" s="55"/>
      <c r="Z4083" s="55"/>
      <c r="AA4083" s="55"/>
      <c r="AB4083" s="22">
        <f t="shared" si="1286"/>
        <v>0</v>
      </c>
      <c r="AC4083" s="23">
        <v>0</v>
      </c>
      <c r="AD4083" s="56"/>
      <c r="AE4083" s="56"/>
      <c r="AF4083" s="56"/>
      <c r="AG4083" s="56"/>
      <c r="AH4083" s="56"/>
      <c r="AI4083" s="56"/>
      <c r="AJ4083" s="56"/>
      <c r="AK4083" s="56"/>
      <c r="AL4083" s="56">
        <v>1</v>
      </c>
      <c r="AM4083" s="56"/>
      <c r="AN4083" s="56"/>
      <c r="AO4083" s="56"/>
      <c r="AP4083" s="56"/>
      <c r="AQ4083" s="56"/>
      <c r="AR4083" s="56"/>
      <c r="AS4083" s="56"/>
      <c r="AT4083" s="56"/>
      <c r="AU4083" s="56"/>
      <c r="AV4083" s="56"/>
      <c r="AW4083" s="56"/>
      <c r="AX4083" s="56"/>
      <c r="AY4083" s="56"/>
      <c r="AZ4083" s="56"/>
      <c r="BA4083" s="56"/>
      <c r="BB4083" s="22">
        <f t="shared" si="1287"/>
        <v>1</v>
      </c>
      <c r="BC4083" s="23">
        <v>0</v>
      </c>
      <c r="BD4083" s="130">
        <f t="shared" si="1288"/>
        <v>1</v>
      </c>
      <c r="BE4083" s="130">
        <f t="shared" si="1289"/>
        <v>0</v>
      </c>
      <c r="BF4083" s="195" t="e">
        <f t="shared" si="1290"/>
        <v>#DIV/0!</v>
      </c>
      <c r="BG4083" s="373"/>
    </row>
    <row r="4084" spans="1:61" s="46" customFormat="1" ht="14.25" customHeight="1">
      <c r="A4084" s="453">
        <v>18</v>
      </c>
      <c r="B4084" s="454" t="s">
        <v>1763</v>
      </c>
      <c r="C4084" s="458" t="s">
        <v>1817</v>
      </c>
      <c r="D4084" s="55"/>
      <c r="E4084" s="55"/>
      <c r="F4084" s="55"/>
      <c r="G4084" s="55"/>
      <c r="H4084" s="55"/>
      <c r="I4084" s="55"/>
      <c r="J4084" s="55"/>
      <c r="K4084" s="55"/>
      <c r="L4084" s="55"/>
      <c r="M4084" s="55"/>
      <c r="N4084" s="55"/>
      <c r="O4084" s="55"/>
      <c r="P4084" s="55"/>
      <c r="Q4084" s="55"/>
      <c r="R4084" s="55"/>
      <c r="S4084" s="55"/>
      <c r="T4084" s="55"/>
      <c r="U4084" s="55"/>
      <c r="V4084" s="55"/>
      <c r="W4084" s="55"/>
      <c r="X4084" s="55"/>
      <c r="Y4084" s="55"/>
      <c r="Z4084" s="55"/>
      <c r="AA4084" s="55"/>
      <c r="AB4084" s="22">
        <f t="shared" si="1286"/>
        <v>0</v>
      </c>
      <c r="AC4084" s="23">
        <v>0</v>
      </c>
      <c r="AD4084" s="56"/>
      <c r="AE4084" s="56"/>
      <c r="AF4084" s="56"/>
      <c r="AG4084" s="56"/>
      <c r="AH4084" s="56">
        <v>140</v>
      </c>
      <c r="AI4084" s="56"/>
      <c r="AJ4084" s="56"/>
      <c r="AK4084" s="56"/>
      <c r="AL4084" s="56">
        <v>897</v>
      </c>
      <c r="AM4084" s="56"/>
      <c r="AN4084" s="56"/>
      <c r="AO4084" s="56"/>
      <c r="AP4084" s="56">
        <f>395+1</f>
        <v>396</v>
      </c>
      <c r="AQ4084" s="56"/>
      <c r="AR4084" s="56"/>
      <c r="AS4084" s="56"/>
      <c r="AT4084" s="56"/>
      <c r="AU4084" s="56"/>
      <c r="AV4084" s="56"/>
      <c r="AW4084" s="56"/>
      <c r="AX4084" s="56"/>
      <c r="AY4084" s="56"/>
      <c r="AZ4084" s="56"/>
      <c r="BA4084" s="56"/>
      <c r="BB4084" s="22">
        <f t="shared" si="1287"/>
        <v>1433</v>
      </c>
      <c r="BC4084" s="23">
        <v>2232</v>
      </c>
      <c r="BD4084" s="130">
        <f t="shared" si="1288"/>
        <v>1433</v>
      </c>
      <c r="BE4084" s="130">
        <f t="shared" si="1289"/>
        <v>2232</v>
      </c>
      <c r="BF4084" s="195">
        <f t="shared" si="1290"/>
        <v>64.202508960573482</v>
      </c>
      <c r="BG4084" s="373">
        <f t="shared" ref="BG4084:BG4094" si="1292">BE4084-BD4084</f>
        <v>799</v>
      </c>
    </row>
    <row r="4085" spans="1:61" s="46" customFormat="1" ht="14.25" customHeight="1">
      <c r="A4085" s="453">
        <v>19</v>
      </c>
      <c r="B4085" s="454" t="s">
        <v>1765</v>
      </c>
      <c r="C4085" s="455" t="s">
        <v>1766</v>
      </c>
      <c r="D4085" s="55"/>
      <c r="E4085" s="55"/>
      <c r="F4085" s="55"/>
      <c r="G4085" s="55"/>
      <c r="H4085" s="55"/>
      <c r="I4085" s="55"/>
      <c r="J4085" s="55"/>
      <c r="K4085" s="55"/>
      <c r="L4085" s="55"/>
      <c r="M4085" s="55"/>
      <c r="N4085" s="55"/>
      <c r="O4085" s="55"/>
      <c r="P4085" s="55"/>
      <c r="Q4085" s="55"/>
      <c r="R4085" s="55"/>
      <c r="S4085" s="55"/>
      <c r="T4085" s="55"/>
      <c r="U4085" s="55"/>
      <c r="V4085" s="55"/>
      <c r="W4085" s="55"/>
      <c r="X4085" s="55"/>
      <c r="Y4085" s="55"/>
      <c r="Z4085" s="55"/>
      <c r="AA4085" s="55"/>
      <c r="AB4085" s="22">
        <f t="shared" si="1286"/>
        <v>0</v>
      </c>
      <c r="AC4085" s="23">
        <v>0</v>
      </c>
      <c r="AD4085" s="56"/>
      <c r="AE4085" s="56"/>
      <c r="AF4085" s="56"/>
      <c r="AG4085" s="56"/>
      <c r="AH4085" s="56"/>
      <c r="AI4085" s="56"/>
      <c r="AJ4085" s="56"/>
      <c r="AK4085" s="56"/>
      <c r="AL4085" s="56"/>
      <c r="AM4085" s="56"/>
      <c r="AN4085" s="56"/>
      <c r="AO4085" s="56"/>
      <c r="AP4085" s="56">
        <v>4</v>
      </c>
      <c r="AQ4085" s="56"/>
      <c r="AR4085" s="56"/>
      <c r="AS4085" s="56"/>
      <c r="AT4085" s="56"/>
      <c r="AU4085" s="56"/>
      <c r="AV4085" s="56"/>
      <c r="AW4085" s="56"/>
      <c r="AX4085" s="56"/>
      <c r="AY4085" s="56"/>
      <c r="AZ4085" s="56"/>
      <c r="BA4085" s="56"/>
      <c r="BB4085" s="22">
        <f t="shared" si="1287"/>
        <v>4</v>
      </c>
      <c r="BC4085" s="23">
        <v>2</v>
      </c>
      <c r="BD4085" s="130">
        <f t="shared" si="1288"/>
        <v>4</v>
      </c>
      <c r="BE4085" s="130">
        <f t="shared" si="1289"/>
        <v>2</v>
      </c>
      <c r="BF4085" s="195">
        <f t="shared" si="1290"/>
        <v>200</v>
      </c>
      <c r="BG4085" s="373">
        <f t="shared" si="1292"/>
        <v>-2</v>
      </c>
    </row>
    <row r="4086" spans="1:61" s="46" customFormat="1" ht="14.25" customHeight="1">
      <c r="A4086" s="453">
        <v>20</v>
      </c>
      <c r="B4086" s="454" t="s">
        <v>1820</v>
      </c>
      <c r="C4086" s="455" t="s">
        <v>1838</v>
      </c>
      <c r="D4086" s="55"/>
      <c r="E4086" s="55"/>
      <c r="F4086" s="55"/>
      <c r="G4086" s="55"/>
      <c r="H4086" s="55"/>
      <c r="I4086" s="55"/>
      <c r="J4086" s="55"/>
      <c r="K4086" s="55"/>
      <c r="L4086" s="55"/>
      <c r="M4086" s="55"/>
      <c r="N4086" s="55"/>
      <c r="O4086" s="55"/>
      <c r="P4086" s="55"/>
      <c r="Q4086" s="55"/>
      <c r="R4086" s="55"/>
      <c r="S4086" s="55"/>
      <c r="T4086" s="55"/>
      <c r="U4086" s="55"/>
      <c r="V4086" s="55"/>
      <c r="W4086" s="55"/>
      <c r="X4086" s="55"/>
      <c r="Y4086" s="55"/>
      <c r="Z4086" s="55"/>
      <c r="AA4086" s="55"/>
      <c r="AB4086" s="22">
        <f t="shared" si="1286"/>
        <v>0</v>
      </c>
      <c r="AC4086" s="23">
        <v>0</v>
      </c>
      <c r="AD4086" s="56"/>
      <c r="AE4086" s="56"/>
      <c r="AF4086" s="56"/>
      <c r="AG4086" s="56"/>
      <c r="AH4086" s="56"/>
      <c r="AI4086" s="56"/>
      <c r="AJ4086" s="56"/>
      <c r="AK4086" s="56"/>
      <c r="AL4086" s="56"/>
      <c r="AM4086" s="56"/>
      <c r="AN4086" s="56"/>
      <c r="AO4086" s="56"/>
      <c r="AP4086" s="56"/>
      <c r="AQ4086" s="56"/>
      <c r="AR4086" s="56"/>
      <c r="AS4086" s="56"/>
      <c r="AT4086" s="56"/>
      <c r="AU4086" s="56"/>
      <c r="AV4086" s="56"/>
      <c r="AW4086" s="56"/>
      <c r="AX4086" s="56"/>
      <c r="AY4086" s="56"/>
      <c r="AZ4086" s="56"/>
      <c r="BA4086" s="56"/>
      <c r="BB4086" s="22">
        <f t="shared" si="1287"/>
        <v>0</v>
      </c>
      <c r="BC4086" s="23">
        <v>1</v>
      </c>
      <c r="BD4086" s="130">
        <f t="shared" si="1288"/>
        <v>0</v>
      </c>
      <c r="BE4086" s="130">
        <f t="shared" si="1289"/>
        <v>1</v>
      </c>
      <c r="BF4086" s="195">
        <f t="shared" si="1290"/>
        <v>0</v>
      </c>
      <c r="BG4086" s="373">
        <f t="shared" si="1292"/>
        <v>1</v>
      </c>
    </row>
    <row r="4087" spans="1:61" s="46" customFormat="1" ht="14.25" customHeight="1">
      <c r="A4087" s="453">
        <v>21</v>
      </c>
      <c r="B4087" s="456" t="s">
        <v>1118</v>
      </c>
      <c r="C4087" s="457" t="s">
        <v>3107</v>
      </c>
      <c r="D4087" s="55"/>
      <c r="E4087" s="55"/>
      <c r="F4087" s="55"/>
      <c r="G4087" s="55"/>
      <c r="H4087" s="55"/>
      <c r="I4087" s="55"/>
      <c r="J4087" s="55"/>
      <c r="K4087" s="55"/>
      <c r="L4087" s="55"/>
      <c r="M4087" s="55"/>
      <c r="N4087" s="55"/>
      <c r="O4087" s="55"/>
      <c r="P4087" s="55"/>
      <c r="Q4087" s="55"/>
      <c r="R4087" s="55"/>
      <c r="S4087" s="55"/>
      <c r="T4087" s="55"/>
      <c r="U4087" s="55"/>
      <c r="V4087" s="55"/>
      <c r="W4087" s="55"/>
      <c r="X4087" s="55"/>
      <c r="Y4087" s="55"/>
      <c r="Z4087" s="55"/>
      <c r="AA4087" s="55"/>
      <c r="AB4087" s="22">
        <f t="shared" si="1286"/>
        <v>0</v>
      </c>
      <c r="AC4087" s="23">
        <v>0</v>
      </c>
      <c r="AD4087" s="56"/>
      <c r="AE4087" s="56"/>
      <c r="AF4087" s="56"/>
      <c r="AG4087" s="56"/>
      <c r="AH4087" s="56"/>
      <c r="AI4087" s="56"/>
      <c r="AJ4087" s="56"/>
      <c r="AK4087" s="56"/>
      <c r="AL4087" s="56"/>
      <c r="AM4087" s="56"/>
      <c r="AN4087" s="56"/>
      <c r="AO4087" s="56"/>
      <c r="AP4087" s="56"/>
      <c r="AQ4087" s="56"/>
      <c r="AR4087" s="56"/>
      <c r="AS4087" s="56"/>
      <c r="AT4087" s="56"/>
      <c r="AU4087" s="56"/>
      <c r="AV4087" s="56"/>
      <c r="AW4087" s="56"/>
      <c r="AX4087" s="56"/>
      <c r="AY4087" s="56"/>
      <c r="AZ4087" s="56"/>
      <c r="BA4087" s="56"/>
      <c r="BB4087" s="22">
        <f t="shared" si="1287"/>
        <v>0</v>
      </c>
      <c r="BC4087" s="23">
        <v>11</v>
      </c>
      <c r="BD4087" s="130">
        <f t="shared" si="1288"/>
        <v>0</v>
      </c>
      <c r="BE4087" s="130">
        <f t="shared" si="1289"/>
        <v>11</v>
      </c>
      <c r="BF4087" s="195">
        <f t="shared" si="1290"/>
        <v>0</v>
      </c>
      <c r="BG4087" s="373">
        <f t="shared" si="1292"/>
        <v>11</v>
      </c>
    </row>
    <row r="4088" spans="1:61" s="46" customFormat="1" ht="14.25" customHeight="1">
      <c r="A4088" s="453">
        <v>22</v>
      </c>
      <c r="B4088" s="454" t="s">
        <v>1777</v>
      </c>
      <c r="C4088" s="455" t="s">
        <v>1778</v>
      </c>
      <c r="D4088" s="55"/>
      <c r="E4088" s="55"/>
      <c r="F4088" s="55"/>
      <c r="G4088" s="55"/>
      <c r="H4088" s="55"/>
      <c r="I4088" s="55"/>
      <c r="J4088" s="55"/>
      <c r="K4088" s="55"/>
      <c r="L4088" s="55"/>
      <c r="M4088" s="55"/>
      <c r="N4088" s="55"/>
      <c r="O4088" s="55"/>
      <c r="P4088" s="55"/>
      <c r="Q4088" s="55"/>
      <c r="R4088" s="55"/>
      <c r="S4088" s="55"/>
      <c r="T4088" s="55"/>
      <c r="U4088" s="55"/>
      <c r="V4088" s="55"/>
      <c r="W4088" s="55"/>
      <c r="X4088" s="55"/>
      <c r="Y4088" s="55"/>
      <c r="Z4088" s="55"/>
      <c r="AA4088" s="55"/>
      <c r="AB4088" s="22">
        <f t="shared" si="1286"/>
        <v>0</v>
      </c>
      <c r="AC4088" s="23">
        <v>0</v>
      </c>
      <c r="AD4088" s="56"/>
      <c r="AE4088" s="56"/>
      <c r="AF4088" s="56"/>
      <c r="AG4088" s="56"/>
      <c r="AH4088" s="56"/>
      <c r="AI4088" s="56"/>
      <c r="AJ4088" s="56"/>
      <c r="AK4088" s="56"/>
      <c r="AL4088" s="56"/>
      <c r="AM4088" s="56"/>
      <c r="AN4088" s="56"/>
      <c r="AO4088" s="56"/>
      <c r="AP4088" s="56"/>
      <c r="AQ4088" s="56"/>
      <c r="AR4088" s="56"/>
      <c r="AS4088" s="56"/>
      <c r="AT4088" s="56"/>
      <c r="AU4088" s="56"/>
      <c r="AV4088" s="56"/>
      <c r="AW4088" s="56"/>
      <c r="AX4088" s="56"/>
      <c r="AY4088" s="56"/>
      <c r="AZ4088" s="56"/>
      <c r="BA4088" s="56"/>
      <c r="BB4088" s="22">
        <f t="shared" si="1287"/>
        <v>0</v>
      </c>
      <c r="BC4088" s="23">
        <v>1</v>
      </c>
      <c r="BD4088" s="130">
        <f t="shared" si="1288"/>
        <v>0</v>
      </c>
      <c r="BE4088" s="130">
        <f t="shared" si="1289"/>
        <v>1</v>
      </c>
      <c r="BF4088" s="195">
        <f t="shared" si="1290"/>
        <v>0</v>
      </c>
      <c r="BG4088" s="373">
        <f t="shared" si="1292"/>
        <v>1</v>
      </c>
    </row>
    <row r="4089" spans="1:61" s="46" customFormat="1" ht="14.25" customHeight="1">
      <c r="A4089" s="453">
        <v>23</v>
      </c>
      <c r="B4089" s="454" t="s">
        <v>1665</v>
      </c>
      <c r="C4089" s="458" t="s">
        <v>1666</v>
      </c>
      <c r="D4089" s="55"/>
      <c r="E4089" s="55"/>
      <c r="F4089" s="55"/>
      <c r="G4089" s="55"/>
      <c r="H4089" s="55"/>
      <c r="I4089" s="55"/>
      <c r="J4089" s="55"/>
      <c r="K4089" s="55"/>
      <c r="L4089" s="55"/>
      <c r="M4089" s="55"/>
      <c r="N4089" s="55"/>
      <c r="O4089" s="55"/>
      <c r="P4089" s="55"/>
      <c r="Q4089" s="55"/>
      <c r="R4089" s="55"/>
      <c r="S4089" s="55"/>
      <c r="T4089" s="55"/>
      <c r="U4089" s="55"/>
      <c r="V4089" s="55"/>
      <c r="W4089" s="55"/>
      <c r="X4089" s="55"/>
      <c r="Y4089" s="55"/>
      <c r="Z4089" s="55"/>
      <c r="AA4089" s="55"/>
      <c r="AB4089" s="22">
        <f t="shared" si="1286"/>
        <v>0</v>
      </c>
      <c r="AC4089" s="23">
        <v>0</v>
      </c>
      <c r="AD4089" s="56"/>
      <c r="AE4089" s="56"/>
      <c r="AF4089" s="56"/>
      <c r="AG4089" s="56"/>
      <c r="AH4089" s="56">
        <v>68</v>
      </c>
      <c r="AI4089" s="56"/>
      <c r="AJ4089" s="56"/>
      <c r="AK4089" s="56"/>
      <c r="AL4089" s="56">
        <v>474</v>
      </c>
      <c r="AM4089" s="56"/>
      <c r="AN4089" s="56"/>
      <c r="AO4089" s="56"/>
      <c r="AP4089" s="56">
        <f>881+15</f>
        <v>896</v>
      </c>
      <c r="AQ4089" s="56"/>
      <c r="AR4089" s="56"/>
      <c r="AS4089" s="56"/>
      <c r="AT4089" s="56"/>
      <c r="AU4089" s="56"/>
      <c r="AV4089" s="56"/>
      <c r="AW4089" s="56"/>
      <c r="AX4089" s="56"/>
      <c r="AY4089" s="56"/>
      <c r="AZ4089" s="56"/>
      <c r="BA4089" s="56"/>
      <c r="BB4089" s="22">
        <f t="shared" si="1287"/>
        <v>1438</v>
      </c>
      <c r="BC4089" s="23">
        <v>1665</v>
      </c>
      <c r="BD4089" s="130">
        <f t="shared" si="1288"/>
        <v>1438</v>
      </c>
      <c r="BE4089" s="130">
        <f t="shared" si="1289"/>
        <v>1665</v>
      </c>
      <c r="BF4089" s="195">
        <f t="shared" si="1290"/>
        <v>86.366366366366364</v>
      </c>
      <c r="BG4089" s="373">
        <f t="shared" si="1292"/>
        <v>227</v>
      </c>
    </row>
    <row r="4090" spans="1:61" s="46" customFormat="1" ht="14.25" customHeight="1">
      <c r="A4090" s="453">
        <v>24</v>
      </c>
      <c r="B4090" s="53" t="s">
        <v>1767</v>
      </c>
      <c r="C4090" s="57" t="s">
        <v>1768</v>
      </c>
      <c r="D4090" s="55"/>
      <c r="E4090" s="55"/>
      <c r="F4090" s="55"/>
      <c r="G4090" s="55"/>
      <c r="H4090" s="55"/>
      <c r="I4090" s="55"/>
      <c r="J4090" s="55"/>
      <c r="K4090" s="55"/>
      <c r="L4090" s="55"/>
      <c r="M4090" s="55"/>
      <c r="N4090" s="55"/>
      <c r="O4090" s="55"/>
      <c r="P4090" s="55"/>
      <c r="Q4090" s="55"/>
      <c r="R4090" s="55"/>
      <c r="S4090" s="55"/>
      <c r="T4090" s="55"/>
      <c r="U4090" s="55"/>
      <c r="V4090" s="55"/>
      <c r="W4090" s="55"/>
      <c r="X4090" s="55"/>
      <c r="Y4090" s="55"/>
      <c r="Z4090" s="55"/>
      <c r="AA4090" s="55"/>
      <c r="AB4090" s="22">
        <f t="shared" si="1286"/>
        <v>0</v>
      </c>
      <c r="AC4090" s="23">
        <v>0</v>
      </c>
      <c r="AD4090" s="56"/>
      <c r="AE4090" s="56"/>
      <c r="AF4090" s="56"/>
      <c r="AG4090" s="56"/>
      <c r="AH4090" s="56">
        <v>202</v>
      </c>
      <c r="AI4090" s="56"/>
      <c r="AJ4090" s="56"/>
      <c r="AK4090" s="56"/>
      <c r="AL4090" s="56">
        <v>1033</v>
      </c>
      <c r="AM4090" s="56"/>
      <c r="AN4090" s="56"/>
      <c r="AO4090" s="56"/>
      <c r="AP4090" s="56">
        <f>1051+18</f>
        <v>1069</v>
      </c>
      <c r="AQ4090" s="56"/>
      <c r="AR4090" s="56"/>
      <c r="AS4090" s="56"/>
      <c r="AT4090" s="56"/>
      <c r="AU4090" s="56"/>
      <c r="AV4090" s="56"/>
      <c r="AW4090" s="56"/>
      <c r="AX4090" s="56"/>
      <c r="AY4090" s="56"/>
      <c r="AZ4090" s="56"/>
      <c r="BA4090" s="56"/>
      <c r="BB4090" s="22">
        <f t="shared" si="1287"/>
        <v>2304</v>
      </c>
      <c r="BC4090" s="23">
        <v>2830</v>
      </c>
      <c r="BD4090" s="130">
        <f t="shared" si="1288"/>
        <v>2304</v>
      </c>
      <c r="BE4090" s="130">
        <f t="shared" si="1289"/>
        <v>2830</v>
      </c>
      <c r="BF4090" s="195">
        <f t="shared" si="1290"/>
        <v>81.413427561837466</v>
      </c>
      <c r="BG4090" s="373">
        <f t="shared" si="1292"/>
        <v>526</v>
      </c>
    </row>
    <row r="4091" spans="1:61" s="46" customFormat="1" ht="14.25" customHeight="1">
      <c r="A4091" s="453">
        <v>25</v>
      </c>
      <c r="B4091" s="53" t="s">
        <v>1769</v>
      </c>
      <c r="C4091" s="57" t="s">
        <v>1799</v>
      </c>
      <c r="D4091" s="55"/>
      <c r="E4091" s="55"/>
      <c r="F4091" s="55"/>
      <c r="G4091" s="55"/>
      <c r="H4091" s="55"/>
      <c r="I4091" s="55"/>
      <c r="J4091" s="55"/>
      <c r="K4091" s="55"/>
      <c r="L4091" s="55"/>
      <c r="M4091" s="55"/>
      <c r="N4091" s="55"/>
      <c r="O4091" s="55"/>
      <c r="P4091" s="55"/>
      <c r="Q4091" s="55"/>
      <c r="R4091" s="55"/>
      <c r="S4091" s="55"/>
      <c r="T4091" s="55"/>
      <c r="U4091" s="55"/>
      <c r="V4091" s="55"/>
      <c r="W4091" s="55"/>
      <c r="X4091" s="55"/>
      <c r="Y4091" s="55"/>
      <c r="Z4091" s="55"/>
      <c r="AA4091" s="55"/>
      <c r="AB4091" s="22">
        <f t="shared" si="1286"/>
        <v>0</v>
      </c>
      <c r="AC4091" s="23">
        <v>0</v>
      </c>
      <c r="AD4091" s="56"/>
      <c r="AE4091" s="56"/>
      <c r="AF4091" s="56"/>
      <c r="AG4091" s="56"/>
      <c r="AH4091" s="56"/>
      <c r="AI4091" s="56"/>
      <c r="AJ4091" s="56"/>
      <c r="AK4091" s="56"/>
      <c r="AL4091" s="56"/>
      <c r="AM4091" s="56"/>
      <c r="AN4091" s="56"/>
      <c r="AO4091" s="56"/>
      <c r="AP4091" s="56"/>
      <c r="AQ4091" s="56"/>
      <c r="AR4091" s="56"/>
      <c r="AS4091" s="56"/>
      <c r="AT4091" s="56"/>
      <c r="AU4091" s="56"/>
      <c r="AV4091" s="56"/>
      <c r="AW4091" s="56"/>
      <c r="AX4091" s="56"/>
      <c r="AY4091" s="56"/>
      <c r="AZ4091" s="56"/>
      <c r="BA4091" s="56"/>
      <c r="BB4091" s="22">
        <f t="shared" si="1287"/>
        <v>0</v>
      </c>
      <c r="BC4091" s="23">
        <v>30</v>
      </c>
      <c r="BD4091" s="130">
        <f t="shared" si="1288"/>
        <v>0</v>
      </c>
      <c r="BE4091" s="130">
        <f t="shared" si="1289"/>
        <v>30</v>
      </c>
      <c r="BF4091" s="195">
        <f t="shared" si="1290"/>
        <v>0</v>
      </c>
      <c r="BG4091" s="373">
        <f t="shared" si="1292"/>
        <v>30</v>
      </c>
    </row>
    <row r="4092" spans="1:61" s="46" customFormat="1" ht="14.25" customHeight="1">
      <c r="A4092" s="453">
        <v>26</v>
      </c>
      <c r="B4092" s="53" t="s">
        <v>1795</v>
      </c>
      <c r="C4092" s="57" t="s">
        <v>1796</v>
      </c>
      <c r="D4092" s="55"/>
      <c r="E4092" s="55"/>
      <c r="F4092" s="55"/>
      <c r="G4092" s="55"/>
      <c r="H4092" s="55"/>
      <c r="I4092" s="55"/>
      <c r="J4092" s="55"/>
      <c r="K4092" s="55"/>
      <c r="L4092" s="55"/>
      <c r="M4092" s="55"/>
      <c r="N4092" s="55"/>
      <c r="O4092" s="55"/>
      <c r="P4092" s="55"/>
      <c r="Q4092" s="55"/>
      <c r="R4092" s="55"/>
      <c r="S4092" s="55"/>
      <c r="T4092" s="55"/>
      <c r="U4092" s="55"/>
      <c r="V4092" s="55"/>
      <c r="W4092" s="55"/>
      <c r="X4092" s="55"/>
      <c r="Y4092" s="55"/>
      <c r="Z4092" s="55"/>
      <c r="AA4092" s="55"/>
      <c r="AB4092" s="22">
        <f t="shared" si="1286"/>
        <v>0</v>
      </c>
      <c r="AC4092" s="23">
        <v>0</v>
      </c>
      <c r="AD4092" s="56"/>
      <c r="AE4092" s="56"/>
      <c r="AF4092" s="56"/>
      <c r="AG4092" s="56"/>
      <c r="AH4092" s="56"/>
      <c r="AI4092" s="56"/>
      <c r="AJ4092" s="56"/>
      <c r="AK4092" s="56"/>
      <c r="AL4092" s="56">
        <v>26</v>
      </c>
      <c r="AM4092" s="56"/>
      <c r="AN4092" s="56"/>
      <c r="AO4092" s="56"/>
      <c r="AP4092" s="56">
        <v>1</v>
      </c>
      <c r="AQ4092" s="56"/>
      <c r="AR4092" s="56"/>
      <c r="AS4092" s="56"/>
      <c r="AT4092" s="56"/>
      <c r="AU4092" s="56"/>
      <c r="AV4092" s="56"/>
      <c r="AW4092" s="56"/>
      <c r="AX4092" s="56"/>
      <c r="AY4092" s="56"/>
      <c r="AZ4092" s="56"/>
      <c r="BA4092" s="56"/>
      <c r="BB4092" s="22">
        <f t="shared" si="1287"/>
        <v>27</v>
      </c>
      <c r="BC4092" s="23">
        <v>8</v>
      </c>
      <c r="BD4092" s="130">
        <f t="shared" si="1288"/>
        <v>27</v>
      </c>
      <c r="BE4092" s="130">
        <f t="shared" si="1289"/>
        <v>8</v>
      </c>
      <c r="BF4092" s="195">
        <f t="shared" si="1290"/>
        <v>337.5</v>
      </c>
      <c r="BG4092" s="373">
        <f t="shared" si="1292"/>
        <v>-19</v>
      </c>
    </row>
    <row r="4093" spans="1:61" s="46" customFormat="1" ht="14.25" customHeight="1">
      <c r="A4093" s="453">
        <v>27</v>
      </c>
      <c r="B4093" s="454" t="s">
        <v>1773</v>
      </c>
      <c r="C4093" s="458" t="s">
        <v>3465</v>
      </c>
      <c r="D4093" s="55"/>
      <c r="E4093" s="55"/>
      <c r="F4093" s="55"/>
      <c r="G4093" s="55"/>
      <c r="H4093" s="55"/>
      <c r="I4093" s="55"/>
      <c r="J4093" s="55"/>
      <c r="K4093" s="55"/>
      <c r="L4093" s="55"/>
      <c r="M4093" s="55"/>
      <c r="N4093" s="55"/>
      <c r="O4093" s="55"/>
      <c r="P4093" s="55"/>
      <c r="Q4093" s="55"/>
      <c r="R4093" s="55"/>
      <c r="S4093" s="55"/>
      <c r="T4093" s="55"/>
      <c r="U4093" s="55"/>
      <c r="V4093" s="55"/>
      <c r="W4093" s="55"/>
      <c r="X4093" s="55"/>
      <c r="Y4093" s="55"/>
      <c r="Z4093" s="55"/>
      <c r="AA4093" s="55"/>
      <c r="AB4093" s="22">
        <f t="shared" si="1286"/>
        <v>0</v>
      </c>
      <c r="AC4093" s="23">
        <v>0</v>
      </c>
      <c r="AD4093" s="56"/>
      <c r="AE4093" s="56"/>
      <c r="AF4093" s="56"/>
      <c r="AG4093" s="56"/>
      <c r="AH4093" s="56"/>
      <c r="AI4093" s="56"/>
      <c r="AJ4093" s="56"/>
      <c r="AK4093" s="56"/>
      <c r="AL4093" s="56"/>
      <c r="AM4093" s="56"/>
      <c r="AN4093" s="56"/>
      <c r="AO4093" s="56"/>
      <c r="AP4093" s="56"/>
      <c r="AQ4093" s="56"/>
      <c r="AR4093" s="56"/>
      <c r="AS4093" s="56"/>
      <c r="AT4093" s="56"/>
      <c r="AU4093" s="56"/>
      <c r="AV4093" s="56"/>
      <c r="AW4093" s="56"/>
      <c r="AX4093" s="56"/>
      <c r="AY4093" s="56"/>
      <c r="AZ4093" s="56"/>
      <c r="BA4093" s="56"/>
      <c r="BB4093" s="22">
        <f t="shared" si="1287"/>
        <v>0</v>
      </c>
      <c r="BC4093" s="23">
        <v>20</v>
      </c>
      <c r="BD4093" s="130">
        <f t="shared" si="1288"/>
        <v>0</v>
      </c>
      <c r="BE4093" s="130">
        <f t="shared" si="1289"/>
        <v>20</v>
      </c>
      <c r="BF4093" s="195">
        <f t="shared" si="1290"/>
        <v>0</v>
      </c>
      <c r="BG4093" s="373">
        <f t="shared" si="1292"/>
        <v>20</v>
      </c>
    </row>
    <row r="4094" spans="1:61" s="46" customFormat="1" ht="14.25" customHeight="1">
      <c r="A4094" s="453">
        <v>28</v>
      </c>
      <c r="B4094" s="53"/>
      <c r="C4094" s="54"/>
      <c r="D4094" s="55"/>
      <c r="E4094" s="55"/>
      <c r="F4094" s="55"/>
      <c r="G4094" s="55"/>
      <c r="H4094" s="55"/>
      <c r="I4094" s="55"/>
      <c r="J4094" s="55"/>
      <c r="K4094" s="55"/>
      <c r="L4094" s="55"/>
      <c r="M4094" s="55"/>
      <c r="N4094" s="55"/>
      <c r="O4094" s="55"/>
      <c r="P4094" s="55"/>
      <c r="Q4094" s="55"/>
      <c r="R4094" s="55"/>
      <c r="S4094" s="55"/>
      <c r="T4094" s="55"/>
      <c r="U4094" s="55"/>
      <c r="V4094" s="55"/>
      <c r="W4094" s="55"/>
      <c r="X4094" s="55"/>
      <c r="Y4094" s="55"/>
      <c r="Z4094" s="55"/>
      <c r="AA4094" s="55"/>
      <c r="AB4094" s="22">
        <f t="shared" si="1286"/>
        <v>0</v>
      </c>
      <c r="AC4094" s="23">
        <v>0</v>
      </c>
      <c r="AD4094" s="56"/>
      <c r="AE4094" s="56"/>
      <c r="AF4094" s="56"/>
      <c r="AG4094" s="56"/>
      <c r="AH4094" s="56"/>
      <c r="AI4094" s="56"/>
      <c r="AJ4094" s="56"/>
      <c r="AK4094" s="56"/>
      <c r="AL4094" s="56"/>
      <c r="AM4094" s="56"/>
      <c r="AN4094" s="56"/>
      <c r="AO4094" s="56"/>
      <c r="AP4094" s="56"/>
      <c r="AQ4094" s="56"/>
      <c r="AR4094" s="56"/>
      <c r="AS4094" s="56"/>
      <c r="AT4094" s="56"/>
      <c r="AU4094" s="56"/>
      <c r="AV4094" s="56"/>
      <c r="AW4094" s="56"/>
      <c r="AX4094" s="56"/>
      <c r="AY4094" s="56"/>
      <c r="AZ4094" s="56"/>
      <c r="BA4094" s="56"/>
      <c r="BB4094" s="22">
        <f t="shared" si="1287"/>
        <v>0</v>
      </c>
      <c r="BC4094" s="23">
        <v>0</v>
      </c>
      <c r="BD4094" s="130">
        <f t="shared" si="1288"/>
        <v>0</v>
      </c>
      <c r="BE4094" s="130">
        <f t="shared" si="1289"/>
        <v>0</v>
      </c>
      <c r="BF4094" s="195" t="e">
        <f t="shared" si="1290"/>
        <v>#DIV/0!</v>
      </c>
      <c r="BG4094" s="373">
        <f t="shared" si="1292"/>
        <v>0</v>
      </c>
    </row>
    <row r="4095" spans="1:61" s="46" customFormat="1" ht="14.25" customHeight="1">
      <c r="A4095" s="650" t="s">
        <v>1822</v>
      </c>
      <c r="B4095" s="651"/>
      <c r="C4095" s="651"/>
      <c r="D4095" s="52">
        <f t="shared" ref="D4095:AI4095" si="1293">SUM(D4096:D4097)</f>
        <v>0</v>
      </c>
      <c r="E4095" s="52">
        <f t="shared" si="1293"/>
        <v>0</v>
      </c>
      <c r="F4095" s="52">
        <f t="shared" si="1293"/>
        <v>0</v>
      </c>
      <c r="G4095" s="52">
        <f t="shared" si="1293"/>
        <v>0</v>
      </c>
      <c r="H4095" s="52">
        <f t="shared" si="1293"/>
        <v>0</v>
      </c>
      <c r="I4095" s="52">
        <f t="shared" si="1293"/>
        <v>0</v>
      </c>
      <c r="J4095" s="52">
        <f t="shared" si="1293"/>
        <v>0</v>
      </c>
      <c r="K4095" s="52">
        <f t="shared" si="1293"/>
        <v>0</v>
      </c>
      <c r="L4095" s="52">
        <f t="shared" si="1293"/>
        <v>0</v>
      </c>
      <c r="M4095" s="52">
        <f t="shared" si="1293"/>
        <v>0</v>
      </c>
      <c r="N4095" s="52">
        <f t="shared" si="1293"/>
        <v>0</v>
      </c>
      <c r="O4095" s="52">
        <f t="shared" si="1293"/>
        <v>0</v>
      </c>
      <c r="P4095" s="52">
        <f t="shared" si="1293"/>
        <v>0</v>
      </c>
      <c r="Q4095" s="52">
        <f t="shared" si="1293"/>
        <v>0</v>
      </c>
      <c r="R4095" s="52">
        <f t="shared" si="1293"/>
        <v>0</v>
      </c>
      <c r="S4095" s="52">
        <f t="shared" si="1293"/>
        <v>0</v>
      </c>
      <c r="T4095" s="52">
        <f t="shared" si="1293"/>
        <v>0</v>
      </c>
      <c r="U4095" s="52">
        <f t="shared" si="1293"/>
        <v>0</v>
      </c>
      <c r="V4095" s="52">
        <f t="shared" si="1293"/>
        <v>0</v>
      </c>
      <c r="W4095" s="52">
        <f t="shared" si="1293"/>
        <v>0</v>
      </c>
      <c r="X4095" s="52">
        <f t="shared" si="1293"/>
        <v>0</v>
      </c>
      <c r="Y4095" s="52">
        <f t="shared" si="1293"/>
        <v>0</v>
      </c>
      <c r="Z4095" s="52">
        <f t="shared" si="1293"/>
        <v>0</v>
      </c>
      <c r="AA4095" s="52">
        <f t="shared" si="1293"/>
        <v>0</v>
      </c>
      <c r="AB4095" s="52">
        <f t="shared" si="1293"/>
        <v>0</v>
      </c>
      <c r="AC4095" s="127">
        <f t="shared" si="1293"/>
        <v>0</v>
      </c>
      <c r="AD4095" s="52">
        <f t="shared" si="1293"/>
        <v>0</v>
      </c>
      <c r="AE4095" s="52">
        <f t="shared" si="1293"/>
        <v>0</v>
      </c>
      <c r="AF4095" s="52">
        <f t="shared" si="1293"/>
        <v>0</v>
      </c>
      <c r="AG4095" s="52">
        <f t="shared" si="1293"/>
        <v>0</v>
      </c>
      <c r="AH4095" s="52">
        <f t="shared" si="1293"/>
        <v>0</v>
      </c>
      <c r="AI4095" s="52">
        <f t="shared" si="1293"/>
        <v>0</v>
      </c>
      <c r="AJ4095" s="52">
        <f t="shared" ref="AJ4095:BC4095" si="1294">SUM(AJ4096:AJ4097)</f>
        <v>0</v>
      </c>
      <c r="AK4095" s="52">
        <f t="shared" si="1294"/>
        <v>0</v>
      </c>
      <c r="AL4095" s="52">
        <f t="shared" si="1294"/>
        <v>0</v>
      </c>
      <c r="AM4095" s="52">
        <f t="shared" si="1294"/>
        <v>0</v>
      </c>
      <c r="AN4095" s="52">
        <f t="shared" si="1294"/>
        <v>0</v>
      </c>
      <c r="AO4095" s="52">
        <f t="shared" si="1294"/>
        <v>0</v>
      </c>
      <c r="AP4095" s="52">
        <f t="shared" si="1294"/>
        <v>0</v>
      </c>
      <c r="AQ4095" s="52">
        <f t="shared" si="1294"/>
        <v>0</v>
      </c>
      <c r="AR4095" s="52">
        <f t="shared" si="1294"/>
        <v>0</v>
      </c>
      <c r="AS4095" s="52">
        <f t="shared" si="1294"/>
        <v>0</v>
      </c>
      <c r="AT4095" s="52">
        <f t="shared" si="1294"/>
        <v>0</v>
      </c>
      <c r="AU4095" s="52">
        <f t="shared" si="1294"/>
        <v>0</v>
      </c>
      <c r="AV4095" s="52">
        <f t="shared" si="1294"/>
        <v>0</v>
      </c>
      <c r="AW4095" s="52">
        <f t="shared" si="1294"/>
        <v>0</v>
      </c>
      <c r="AX4095" s="52">
        <f t="shared" si="1294"/>
        <v>0</v>
      </c>
      <c r="AY4095" s="52">
        <f t="shared" si="1294"/>
        <v>0</v>
      </c>
      <c r="AZ4095" s="52">
        <f t="shared" si="1294"/>
        <v>0</v>
      </c>
      <c r="BA4095" s="52">
        <f t="shared" si="1294"/>
        <v>0</v>
      </c>
      <c r="BB4095" s="52">
        <f t="shared" si="1294"/>
        <v>0</v>
      </c>
      <c r="BC4095" s="127">
        <f t="shared" si="1294"/>
        <v>0</v>
      </c>
      <c r="BD4095" s="130">
        <f t="shared" ref="BD4095:BD4114" si="1295">AB4095+BB4095</f>
        <v>0</v>
      </c>
      <c r="BE4095" s="130">
        <f t="shared" ref="BE4095:BE4114" si="1296">AC4095+BC4095</f>
        <v>0</v>
      </c>
      <c r="BF4095" s="195" t="e">
        <f t="shared" ref="BF4095:BF4124" si="1297">BD4095/BE4095*100</f>
        <v>#DIV/0!</v>
      </c>
      <c r="BG4095" s="373">
        <f t="shared" ref="BG4095:BG4114" si="1298">BE4095-BD4095</f>
        <v>0</v>
      </c>
    </row>
    <row r="4096" spans="1:61" s="46" customFormat="1" ht="21" customHeight="1">
      <c r="A4096" s="453"/>
      <c r="B4096" s="454"/>
      <c r="C4096" s="455"/>
      <c r="D4096" s="55"/>
      <c r="E4096" s="55"/>
      <c r="F4096" s="55"/>
      <c r="G4096" s="55"/>
      <c r="H4096" s="55"/>
      <c r="I4096" s="55"/>
      <c r="J4096" s="55"/>
      <c r="K4096" s="55"/>
      <c r="L4096" s="55"/>
      <c r="M4096" s="55"/>
      <c r="N4096" s="55"/>
      <c r="O4096" s="55"/>
      <c r="P4096" s="55"/>
      <c r="Q4096" s="55"/>
      <c r="R4096" s="55"/>
      <c r="S4096" s="55"/>
      <c r="T4096" s="55"/>
      <c r="U4096" s="55"/>
      <c r="V4096" s="55"/>
      <c r="W4096" s="55"/>
      <c r="X4096" s="55"/>
      <c r="Y4096" s="55"/>
      <c r="Z4096" s="55"/>
      <c r="AA4096" s="55"/>
      <c r="AB4096" s="22">
        <f>SUM(D4096:AA4096)</f>
        <v>0</v>
      </c>
      <c r="AC4096" s="23">
        <v>0</v>
      </c>
      <c r="AD4096" s="56"/>
      <c r="AE4096" s="56"/>
      <c r="AF4096" s="56"/>
      <c r="AG4096" s="56"/>
      <c r="AH4096" s="56"/>
      <c r="AI4096" s="56"/>
      <c r="AJ4096" s="56"/>
      <c r="AK4096" s="56"/>
      <c r="AL4096" s="56"/>
      <c r="AM4096" s="56"/>
      <c r="AN4096" s="56"/>
      <c r="AO4096" s="56"/>
      <c r="AP4096" s="56"/>
      <c r="AQ4096" s="56"/>
      <c r="AR4096" s="56"/>
      <c r="AS4096" s="56"/>
      <c r="AT4096" s="56"/>
      <c r="AU4096" s="56"/>
      <c r="AV4096" s="56"/>
      <c r="AW4096" s="56"/>
      <c r="AX4096" s="56"/>
      <c r="AY4096" s="56"/>
      <c r="AZ4096" s="56"/>
      <c r="BA4096" s="56"/>
      <c r="BB4096" s="22">
        <f>SUM(AD4096:BA4096)</f>
        <v>0</v>
      </c>
      <c r="BC4096" s="23">
        <v>0</v>
      </c>
      <c r="BD4096" s="130">
        <f t="shared" si="1295"/>
        <v>0</v>
      </c>
      <c r="BE4096" s="130">
        <f t="shared" si="1296"/>
        <v>0</v>
      </c>
      <c r="BF4096" s="195" t="e">
        <f t="shared" si="1297"/>
        <v>#DIV/0!</v>
      </c>
      <c r="BG4096" s="373">
        <f t="shared" si="1298"/>
        <v>0</v>
      </c>
      <c r="BH4096" s="426" t="s">
        <v>3675</v>
      </c>
      <c r="BI4096" s="420"/>
    </row>
    <row r="4097" spans="1:61" s="46" customFormat="1" ht="21" customHeight="1">
      <c r="A4097" s="453"/>
      <c r="B4097" s="454"/>
      <c r="C4097" s="455"/>
      <c r="D4097" s="55"/>
      <c r="E4097" s="55"/>
      <c r="F4097" s="55"/>
      <c r="G4097" s="55"/>
      <c r="H4097" s="55"/>
      <c r="I4097" s="55"/>
      <c r="J4097" s="55"/>
      <c r="K4097" s="55"/>
      <c r="L4097" s="55"/>
      <c r="M4097" s="55"/>
      <c r="N4097" s="55"/>
      <c r="O4097" s="55"/>
      <c r="P4097" s="55"/>
      <c r="Q4097" s="55"/>
      <c r="R4097" s="55"/>
      <c r="S4097" s="55"/>
      <c r="T4097" s="55"/>
      <c r="U4097" s="55"/>
      <c r="V4097" s="55"/>
      <c r="W4097" s="55"/>
      <c r="X4097" s="55"/>
      <c r="Y4097" s="55"/>
      <c r="Z4097" s="55"/>
      <c r="AA4097" s="55"/>
      <c r="AB4097" s="22">
        <f>SUM(D4097:AA4097)</f>
        <v>0</v>
      </c>
      <c r="AC4097" s="23">
        <v>0</v>
      </c>
      <c r="AD4097" s="56"/>
      <c r="AE4097" s="56"/>
      <c r="AF4097" s="56"/>
      <c r="AG4097" s="56"/>
      <c r="AH4097" s="56"/>
      <c r="AI4097" s="56"/>
      <c r="AJ4097" s="56"/>
      <c r="AK4097" s="56"/>
      <c r="AL4097" s="56"/>
      <c r="AM4097" s="56"/>
      <c r="AN4097" s="56"/>
      <c r="AO4097" s="56"/>
      <c r="AP4097" s="56"/>
      <c r="AQ4097" s="56"/>
      <c r="AR4097" s="56"/>
      <c r="AS4097" s="56"/>
      <c r="AT4097" s="56"/>
      <c r="AU4097" s="56"/>
      <c r="AV4097" s="56"/>
      <c r="AW4097" s="56"/>
      <c r="AX4097" s="56"/>
      <c r="AY4097" s="56"/>
      <c r="AZ4097" s="56"/>
      <c r="BA4097" s="56"/>
      <c r="BB4097" s="22">
        <f>SUM(AD4097:BA4097)</f>
        <v>0</v>
      </c>
      <c r="BC4097" s="23">
        <v>0</v>
      </c>
      <c r="BD4097" s="130">
        <f t="shared" si="1295"/>
        <v>0</v>
      </c>
      <c r="BE4097" s="130">
        <f t="shared" si="1296"/>
        <v>0</v>
      </c>
      <c r="BF4097" s="195" t="e">
        <f t="shared" si="1297"/>
        <v>#DIV/0!</v>
      </c>
      <c r="BG4097" s="373">
        <f t="shared" si="1298"/>
        <v>0</v>
      </c>
      <c r="BH4097" s="426" t="s">
        <v>3675</v>
      </c>
      <c r="BI4097" s="421"/>
    </row>
    <row r="4098" spans="1:61" s="46" customFormat="1" ht="14.25" customHeight="1">
      <c r="A4098" s="650" t="s">
        <v>1823</v>
      </c>
      <c r="B4098" s="651"/>
      <c r="C4098" s="651"/>
      <c r="D4098" s="52">
        <f t="shared" ref="D4098:AI4098" si="1299">SUM(D4099:D4113)</f>
        <v>0</v>
      </c>
      <c r="E4098" s="52">
        <f t="shared" si="1299"/>
        <v>0</v>
      </c>
      <c r="F4098" s="52">
        <f t="shared" si="1299"/>
        <v>0</v>
      </c>
      <c r="G4098" s="52">
        <f t="shared" si="1299"/>
        <v>0</v>
      </c>
      <c r="H4098" s="52">
        <f t="shared" si="1299"/>
        <v>51</v>
      </c>
      <c r="I4098" s="52">
        <f t="shared" si="1299"/>
        <v>0</v>
      </c>
      <c r="J4098" s="52">
        <f t="shared" si="1299"/>
        <v>0</v>
      </c>
      <c r="K4098" s="52">
        <f t="shared" si="1299"/>
        <v>0</v>
      </c>
      <c r="L4098" s="52">
        <f t="shared" si="1299"/>
        <v>180</v>
      </c>
      <c r="M4098" s="52">
        <f t="shared" si="1299"/>
        <v>0</v>
      </c>
      <c r="N4098" s="52">
        <f t="shared" si="1299"/>
        <v>0</v>
      </c>
      <c r="O4098" s="52">
        <f t="shared" si="1299"/>
        <v>0</v>
      </c>
      <c r="P4098" s="52">
        <f t="shared" si="1299"/>
        <v>126</v>
      </c>
      <c r="Q4098" s="52">
        <f t="shared" si="1299"/>
        <v>0</v>
      </c>
      <c r="R4098" s="52">
        <f t="shared" si="1299"/>
        <v>0</v>
      </c>
      <c r="S4098" s="52">
        <f t="shared" si="1299"/>
        <v>0</v>
      </c>
      <c r="T4098" s="52">
        <f t="shared" si="1299"/>
        <v>0</v>
      </c>
      <c r="U4098" s="52">
        <f t="shared" si="1299"/>
        <v>0</v>
      </c>
      <c r="V4098" s="52">
        <f t="shared" si="1299"/>
        <v>0</v>
      </c>
      <c r="W4098" s="52">
        <f t="shared" si="1299"/>
        <v>0</v>
      </c>
      <c r="X4098" s="52">
        <f t="shared" si="1299"/>
        <v>0</v>
      </c>
      <c r="Y4098" s="52">
        <f t="shared" si="1299"/>
        <v>0</v>
      </c>
      <c r="Z4098" s="52">
        <f t="shared" si="1299"/>
        <v>0</v>
      </c>
      <c r="AA4098" s="52">
        <f t="shared" si="1299"/>
        <v>0</v>
      </c>
      <c r="AB4098" s="52">
        <f t="shared" si="1299"/>
        <v>357</v>
      </c>
      <c r="AC4098" s="127">
        <f t="shared" si="1299"/>
        <v>1613</v>
      </c>
      <c r="AD4098" s="52">
        <f t="shared" si="1299"/>
        <v>0</v>
      </c>
      <c r="AE4098" s="52">
        <f t="shared" si="1299"/>
        <v>0</v>
      </c>
      <c r="AF4098" s="52">
        <f t="shared" si="1299"/>
        <v>0</v>
      </c>
      <c r="AG4098" s="52">
        <f t="shared" si="1299"/>
        <v>0</v>
      </c>
      <c r="AH4098" s="52">
        <f t="shared" si="1299"/>
        <v>78</v>
      </c>
      <c r="AI4098" s="52">
        <f t="shared" si="1299"/>
        <v>0</v>
      </c>
      <c r="AJ4098" s="52">
        <f t="shared" ref="AJ4098:BC4098" si="1300">SUM(AJ4099:AJ4113)</f>
        <v>0</v>
      </c>
      <c r="AK4098" s="52">
        <f t="shared" si="1300"/>
        <v>0</v>
      </c>
      <c r="AL4098" s="52">
        <f t="shared" si="1300"/>
        <v>264</v>
      </c>
      <c r="AM4098" s="52">
        <f t="shared" si="1300"/>
        <v>0</v>
      </c>
      <c r="AN4098" s="52">
        <f t="shared" si="1300"/>
        <v>0</v>
      </c>
      <c r="AO4098" s="52">
        <f t="shared" si="1300"/>
        <v>0</v>
      </c>
      <c r="AP4098" s="52">
        <f t="shared" si="1300"/>
        <v>140</v>
      </c>
      <c r="AQ4098" s="52">
        <f t="shared" si="1300"/>
        <v>0</v>
      </c>
      <c r="AR4098" s="52">
        <f t="shared" si="1300"/>
        <v>0</v>
      </c>
      <c r="AS4098" s="52">
        <f t="shared" si="1300"/>
        <v>0</v>
      </c>
      <c r="AT4098" s="52">
        <f t="shared" si="1300"/>
        <v>0</v>
      </c>
      <c r="AU4098" s="52">
        <f t="shared" si="1300"/>
        <v>0</v>
      </c>
      <c r="AV4098" s="52">
        <f t="shared" si="1300"/>
        <v>0</v>
      </c>
      <c r="AW4098" s="52">
        <f t="shared" si="1300"/>
        <v>0</v>
      </c>
      <c r="AX4098" s="52">
        <f t="shared" si="1300"/>
        <v>0</v>
      </c>
      <c r="AY4098" s="52">
        <f t="shared" si="1300"/>
        <v>0</v>
      </c>
      <c r="AZ4098" s="52">
        <f t="shared" si="1300"/>
        <v>0</v>
      </c>
      <c r="BA4098" s="52">
        <f t="shared" si="1300"/>
        <v>0</v>
      </c>
      <c r="BB4098" s="52">
        <f t="shared" si="1300"/>
        <v>482</v>
      </c>
      <c r="BC4098" s="127">
        <f t="shared" si="1300"/>
        <v>2737</v>
      </c>
      <c r="BD4098" s="130">
        <f t="shared" si="1295"/>
        <v>839</v>
      </c>
      <c r="BE4098" s="130">
        <f t="shared" si="1296"/>
        <v>4350</v>
      </c>
      <c r="BF4098" s="195">
        <f t="shared" si="1297"/>
        <v>19.287356321839081</v>
      </c>
      <c r="BG4098" s="375">
        <f t="shared" si="1298"/>
        <v>3511</v>
      </c>
    </row>
    <row r="4099" spans="1:61" s="46" customFormat="1" ht="21" customHeight="1">
      <c r="A4099" s="417">
        <v>1</v>
      </c>
      <c r="B4099" s="418" t="s">
        <v>1743</v>
      </c>
      <c r="C4099" s="419" t="s">
        <v>1744</v>
      </c>
      <c r="D4099" s="55"/>
      <c r="E4099" s="55"/>
      <c r="F4099" s="55"/>
      <c r="G4099" s="55"/>
      <c r="H4099" s="56"/>
      <c r="I4099" s="55"/>
      <c r="J4099" s="55"/>
      <c r="K4099" s="55"/>
      <c r="L4099" s="55">
        <v>1</v>
      </c>
      <c r="M4099" s="55"/>
      <c r="N4099" s="55"/>
      <c r="O4099" s="55"/>
      <c r="P4099" s="55">
        <v>1</v>
      </c>
      <c r="Q4099" s="55"/>
      <c r="R4099" s="55"/>
      <c r="S4099" s="55"/>
      <c r="T4099" s="55"/>
      <c r="U4099" s="55"/>
      <c r="V4099" s="55"/>
      <c r="W4099" s="55"/>
      <c r="X4099" s="55"/>
      <c r="Y4099" s="55"/>
      <c r="Z4099" s="55"/>
      <c r="AA4099" s="55"/>
      <c r="AB4099" s="22">
        <f t="shared" ref="AB4099:AB4113" si="1301">SUM(D4099:AA4099)</f>
        <v>2</v>
      </c>
      <c r="AC4099" s="23">
        <f>7+21</f>
        <v>28</v>
      </c>
      <c r="AD4099" s="56"/>
      <c r="AE4099" s="56"/>
      <c r="AF4099" s="56"/>
      <c r="AG4099" s="56"/>
      <c r="AH4099" s="56"/>
      <c r="AI4099" s="56"/>
      <c r="AJ4099" s="56"/>
      <c r="AK4099" s="56"/>
      <c r="AL4099" s="56"/>
      <c r="AM4099" s="56"/>
      <c r="AN4099" s="56"/>
      <c r="AO4099" s="56"/>
      <c r="AP4099" s="56"/>
      <c r="AQ4099" s="56"/>
      <c r="AR4099" s="56"/>
      <c r="AS4099" s="56"/>
      <c r="AT4099" s="56"/>
      <c r="AU4099" s="56"/>
      <c r="AV4099" s="56"/>
      <c r="AW4099" s="56"/>
      <c r="AX4099" s="56"/>
      <c r="AY4099" s="56"/>
      <c r="AZ4099" s="56"/>
      <c r="BA4099" s="56"/>
      <c r="BB4099" s="22">
        <f t="shared" ref="BB4099:BB4113" si="1302">SUM(AD4099:BA4099)</f>
        <v>0</v>
      </c>
      <c r="BC4099" s="23">
        <v>0</v>
      </c>
      <c r="BD4099" s="130">
        <f t="shared" ref="BD4099:BD4113" si="1303">AB4099+BB4099</f>
        <v>2</v>
      </c>
      <c r="BE4099" s="130">
        <f t="shared" si="1296"/>
        <v>28</v>
      </c>
      <c r="BF4099" s="195">
        <f t="shared" ref="BF4099:BF4113" si="1304">BD4099/BE4099*100</f>
        <v>7.1428571428571423</v>
      </c>
      <c r="BG4099" s="373">
        <f t="shared" ref="BG4099:BG4113" si="1305">BE4099-BD4099</f>
        <v>26</v>
      </c>
      <c r="BH4099" s="426" t="s">
        <v>3675</v>
      </c>
      <c r="BI4099" s="420"/>
    </row>
    <row r="4100" spans="1:61" s="46" customFormat="1" ht="21" customHeight="1">
      <c r="A4100" s="417">
        <v>2</v>
      </c>
      <c r="B4100" s="418" t="s">
        <v>1790</v>
      </c>
      <c r="C4100" s="419" t="s">
        <v>1791</v>
      </c>
      <c r="D4100" s="55"/>
      <c r="E4100" s="55"/>
      <c r="F4100" s="55"/>
      <c r="G4100" s="55"/>
      <c r="H4100" s="56"/>
      <c r="I4100" s="55"/>
      <c r="J4100" s="55"/>
      <c r="K4100" s="55"/>
      <c r="L4100" s="55">
        <v>1</v>
      </c>
      <c r="M4100" s="55"/>
      <c r="N4100" s="55"/>
      <c r="O4100" s="55"/>
      <c r="P4100" s="55"/>
      <c r="Q4100" s="55"/>
      <c r="R4100" s="55"/>
      <c r="S4100" s="55"/>
      <c r="T4100" s="55"/>
      <c r="U4100" s="55"/>
      <c r="V4100" s="55"/>
      <c r="W4100" s="55"/>
      <c r="X4100" s="55"/>
      <c r="Y4100" s="55"/>
      <c r="Z4100" s="55"/>
      <c r="AA4100" s="55"/>
      <c r="AB4100" s="22">
        <f t="shared" si="1301"/>
        <v>1</v>
      </c>
      <c r="AC4100" s="23">
        <v>3</v>
      </c>
      <c r="AD4100" s="56"/>
      <c r="AE4100" s="56"/>
      <c r="AF4100" s="56"/>
      <c r="AG4100" s="56"/>
      <c r="AH4100" s="56"/>
      <c r="AI4100" s="56"/>
      <c r="AJ4100" s="56"/>
      <c r="AK4100" s="56"/>
      <c r="AL4100" s="56"/>
      <c r="AM4100" s="56"/>
      <c r="AN4100" s="56"/>
      <c r="AO4100" s="56"/>
      <c r="AP4100" s="56"/>
      <c r="AQ4100" s="56"/>
      <c r="AR4100" s="56"/>
      <c r="AS4100" s="56"/>
      <c r="AT4100" s="56"/>
      <c r="AU4100" s="56"/>
      <c r="AV4100" s="56"/>
      <c r="AW4100" s="56"/>
      <c r="AX4100" s="56"/>
      <c r="AY4100" s="56"/>
      <c r="AZ4100" s="56"/>
      <c r="BA4100" s="56"/>
      <c r="BB4100" s="22">
        <f t="shared" si="1302"/>
        <v>0</v>
      </c>
      <c r="BC4100" s="23">
        <v>0</v>
      </c>
      <c r="BD4100" s="130">
        <f t="shared" si="1303"/>
        <v>1</v>
      </c>
      <c r="BE4100" s="130">
        <f t="shared" si="1296"/>
        <v>3</v>
      </c>
      <c r="BF4100" s="195">
        <f t="shared" si="1304"/>
        <v>33.333333333333329</v>
      </c>
      <c r="BG4100" s="373">
        <f t="shared" si="1305"/>
        <v>2</v>
      </c>
      <c r="BH4100" s="426" t="s">
        <v>3675</v>
      </c>
      <c r="BI4100" s="420"/>
    </row>
    <row r="4101" spans="1:61" s="46" customFormat="1" ht="21" customHeight="1">
      <c r="A4101" s="417">
        <v>3</v>
      </c>
      <c r="B4101" s="418" t="s">
        <v>1747</v>
      </c>
      <c r="C4101" s="419" t="s">
        <v>1748</v>
      </c>
      <c r="D4101" s="55"/>
      <c r="E4101" s="55"/>
      <c r="F4101" s="55"/>
      <c r="G4101" s="55"/>
      <c r="H4101" s="56">
        <v>13</v>
      </c>
      <c r="I4101" s="55"/>
      <c r="J4101" s="55"/>
      <c r="K4101" s="55"/>
      <c r="L4101" s="55">
        <v>52</v>
      </c>
      <c r="M4101" s="55"/>
      <c r="N4101" s="55"/>
      <c r="O4101" s="55"/>
      <c r="P4101" s="55">
        <v>52</v>
      </c>
      <c r="Q4101" s="55"/>
      <c r="R4101" s="55"/>
      <c r="S4101" s="55"/>
      <c r="T4101" s="55"/>
      <c r="U4101" s="55"/>
      <c r="V4101" s="55"/>
      <c r="W4101" s="55"/>
      <c r="X4101" s="55"/>
      <c r="Y4101" s="55"/>
      <c r="Z4101" s="55"/>
      <c r="AA4101" s="55"/>
      <c r="AB4101" s="22">
        <f t="shared" si="1301"/>
        <v>117</v>
      </c>
      <c r="AC4101" s="23">
        <v>600</v>
      </c>
      <c r="AD4101" s="56"/>
      <c r="AE4101" s="56"/>
      <c r="AF4101" s="56"/>
      <c r="AG4101" s="56"/>
      <c r="AH4101" s="56"/>
      <c r="AI4101" s="56"/>
      <c r="AJ4101" s="56"/>
      <c r="AK4101" s="56"/>
      <c r="AL4101" s="56"/>
      <c r="AM4101" s="56"/>
      <c r="AN4101" s="56"/>
      <c r="AO4101" s="56"/>
      <c r="AP4101" s="56"/>
      <c r="AQ4101" s="56"/>
      <c r="AR4101" s="56"/>
      <c r="AS4101" s="56"/>
      <c r="AT4101" s="56"/>
      <c r="AU4101" s="56"/>
      <c r="AV4101" s="56"/>
      <c r="AW4101" s="56"/>
      <c r="AX4101" s="56"/>
      <c r="AY4101" s="56"/>
      <c r="AZ4101" s="56"/>
      <c r="BA4101" s="56"/>
      <c r="BB4101" s="22">
        <f t="shared" si="1302"/>
        <v>0</v>
      </c>
      <c r="BC4101" s="23">
        <v>0</v>
      </c>
      <c r="BD4101" s="130">
        <f t="shared" si="1303"/>
        <v>117</v>
      </c>
      <c r="BE4101" s="130">
        <f t="shared" si="1296"/>
        <v>600</v>
      </c>
      <c r="BF4101" s="195">
        <f t="shared" si="1304"/>
        <v>19.5</v>
      </c>
      <c r="BG4101" s="373">
        <f t="shared" si="1305"/>
        <v>483</v>
      </c>
      <c r="BH4101" s="426" t="s">
        <v>3675</v>
      </c>
      <c r="BI4101" s="420"/>
    </row>
    <row r="4102" spans="1:61" s="46" customFormat="1" ht="21" customHeight="1">
      <c r="A4102" s="417">
        <v>4</v>
      </c>
      <c r="B4102" s="418" t="s">
        <v>1751</v>
      </c>
      <c r="C4102" s="419" t="s">
        <v>1752</v>
      </c>
      <c r="D4102" s="55"/>
      <c r="E4102" s="55"/>
      <c r="F4102" s="55"/>
      <c r="G4102" s="55"/>
      <c r="H4102" s="56"/>
      <c r="I4102" s="55"/>
      <c r="J4102" s="55"/>
      <c r="K4102" s="55"/>
      <c r="L4102" s="55"/>
      <c r="M4102" s="55"/>
      <c r="N4102" s="55"/>
      <c r="O4102" s="55"/>
      <c r="P4102" s="55"/>
      <c r="Q4102" s="55"/>
      <c r="R4102" s="55"/>
      <c r="S4102" s="55"/>
      <c r="T4102" s="55"/>
      <c r="U4102" s="55"/>
      <c r="V4102" s="55"/>
      <c r="W4102" s="55"/>
      <c r="X4102" s="55"/>
      <c r="Y4102" s="55"/>
      <c r="Z4102" s="55"/>
      <c r="AA4102" s="55"/>
      <c r="AB4102" s="22">
        <f t="shared" si="1301"/>
        <v>0</v>
      </c>
      <c r="AC4102" s="23">
        <f>3+19</f>
        <v>22</v>
      </c>
      <c r="AD4102" s="56"/>
      <c r="AE4102" s="56"/>
      <c r="AF4102" s="56"/>
      <c r="AG4102" s="56"/>
      <c r="AH4102" s="56"/>
      <c r="AI4102" s="56"/>
      <c r="AJ4102" s="56"/>
      <c r="AK4102" s="56"/>
      <c r="AL4102" s="56"/>
      <c r="AM4102" s="56"/>
      <c r="AN4102" s="56"/>
      <c r="AO4102" s="56"/>
      <c r="AP4102" s="56"/>
      <c r="AQ4102" s="56"/>
      <c r="AR4102" s="56"/>
      <c r="AS4102" s="56"/>
      <c r="AT4102" s="56"/>
      <c r="AU4102" s="56"/>
      <c r="AV4102" s="56"/>
      <c r="AW4102" s="56"/>
      <c r="AX4102" s="56"/>
      <c r="AY4102" s="56"/>
      <c r="AZ4102" s="56"/>
      <c r="BA4102" s="56"/>
      <c r="BB4102" s="22">
        <f t="shared" si="1302"/>
        <v>0</v>
      </c>
      <c r="BC4102" s="23">
        <v>0</v>
      </c>
      <c r="BD4102" s="130">
        <f t="shared" si="1303"/>
        <v>0</v>
      </c>
      <c r="BE4102" s="130">
        <f t="shared" si="1296"/>
        <v>22</v>
      </c>
      <c r="BF4102" s="195">
        <f t="shared" si="1304"/>
        <v>0</v>
      </c>
      <c r="BG4102" s="373">
        <f t="shared" si="1305"/>
        <v>22</v>
      </c>
      <c r="BH4102" s="426" t="s">
        <v>3675</v>
      </c>
      <c r="BI4102" s="420"/>
    </row>
    <row r="4103" spans="1:61" s="46" customFormat="1" ht="21" customHeight="1">
      <c r="A4103" s="417">
        <v>5</v>
      </c>
      <c r="B4103" s="418" t="s">
        <v>1753</v>
      </c>
      <c r="C4103" s="419" t="s">
        <v>1754</v>
      </c>
      <c r="D4103" s="55"/>
      <c r="E4103" s="55"/>
      <c r="F4103" s="55"/>
      <c r="G4103" s="55"/>
      <c r="H4103" s="56">
        <v>33</v>
      </c>
      <c r="I4103" s="55"/>
      <c r="J4103" s="55"/>
      <c r="K4103" s="55"/>
      <c r="L4103" s="55">
        <v>113</v>
      </c>
      <c r="M4103" s="55"/>
      <c r="N4103" s="55"/>
      <c r="O4103" s="55"/>
      <c r="P4103" s="55">
        <v>64</v>
      </c>
      <c r="Q4103" s="55"/>
      <c r="R4103" s="55"/>
      <c r="S4103" s="55"/>
      <c r="T4103" s="55"/>
      <c r="U4103" s="55"/>
      <c r="V4103" s="55"/>
      <c r="W4103" s="55"/>
      <c r="X4103" s="55"/>
      <c r="Y4103" s="55"/>
      <c r="Z4103" s="55"/>
      <c r="AA4103" s="55"/>
      <c r="AB4103" s="22">
        <f t="shared" si="1301"/>
        <v>210</v>
      </c>
      <c r="AC4103" s="23">
        <v>750</v>
      </c>
      <c r="AD4103" s="56"/>
      <c r="AE4103" s="56"/>
      <c r="AF4103" s="56"/>
      <c r="AG4103" s="56"/>
      <c r="AH4103" s="56"/>
      <c r="AI4103" s="56"/>
      <c r="AJ4103" s="56"/>
      <c r="AK4103" s="56"/>
      <c r="AL4103" s="56"/>
      <c r="AM4103" s="56"/>
      <c r="AN4103" s="56"/>
      <c r="AO4103" s="56"/>
      <c r="AP4103" s="56"/>
      <c r="AQ4103" s="56"/>
      <c r="AR4103" s="56"/>
      <c r="AS4103" s="56"/>
      <c r="AT4103" s="56"/>
      <c r="AU4103" s="56"/>
      <c r="AV4103" s="56"/>
      <c r="AW4103" s="56"/>
      <c r="AX4103" s="56"/>
      <c r="AY4103" s="56"/>
      <c r="AZ4103" s="56"/>
      <c r="BA4103" s="56"/>
      <c r="BB4103" s="22">
        <f t="shared" si="1302"/>
        <v>0</v>
      </c>
      <c r="BC4103" s="23">
        <v>0</v>
      </c>
      <c r="BD4103" s="130">
        <f t="shared" si="1303"/>
        <v>210</v>
      </c>
      <c r="BE4103" s="130">
        <f t="shared" si="1296"/>
        <v>750</v>
      </c>
      <c r="BF4103" s="195">
        <f t="shared" si="1304"/>
        <v>28.000000000000004</v>
      </c>
      <c r="BG4103" s="373">
        <f t="shared" si="1305"/>
        <v>540</v>
      </c>
      <c r="BH4103" s="426" t="s">
        <v>3675</v>
      </c>
      <c r="BI4103" s="420"/>
    </row>
    <row r="4104" spans="1:61" s="46" customFormat="1" ht="21" customHeight="1">
      <c r="A4104" s="417">
        <v>6</v>
      </c>
      <c r="B4104" s="418" t="s">
        <v>1775</v>
      </c>
      <c r="C4104" s="419" t="s">
        <v>1803</v>
      </c>
      <c r="D4104" s="55"/>
      <c r="E4104" s="55"/>
      <c r="F4104" s="55"/>
      <c r="G4104" s="55"/>
      <c r="H4104" s="56"/>
      <c r="I4104" s="55"/>
      <c r="J4104" s="55"/>
      <c r="K4104" s="55"/>
      <c r="L4104" s="55"/>
      <c r="M4104" s="55"/>
      <c r="N4104" s="55"/>
      <c r="O4104" s="55"/>
      <c r="P4104" s="55"/>
      <c r="Q4104" s="55"/>
      <c r="R4104" s="55"/>
      <c r="S4104" s="55"/>
      <c r="T4104" s="55"/>
      <c r="U4104" s="55"/>
      <c r="V4104" s="55"/>
      <c r="W4104" s="55"/>
      <c r="X4104" s="55"/>
      <c r="Y4104" s="55"/>
      <c r="Z4104" s="55"/>
      <c r="AA4104" s="55"/>
      <c r="AB4104" s="22">
        <f t="shared" si="1301"/>
        <v>0</v>
      </c>
      <c r="AC4104" s="23">
        <v>37</v>
      </c>
      <c r="AD4104" s="56"/>
      <c r="AE4104" s="56"/>
      <c r="AF4104" s="56"/>
      <c r="AG4104" s="56"/>
      <c r="AH4104" s="56"/>
      <c r="AI4104" s="56"/>
      <c r="AJ4104" s="56"/>
      <c r="AK4104" s="56"/>
      <c r="AL4104" s="56"/>
      <c r="AM4104" s="56"/>
      <c r="AN4104" s="56"/>
      <c r="AO4104" s="56"/>
      <c r="AP4104" s="56"/>
      <c r="AQ4104" s="56"/>
      <c r="AR4104" s="56"/>
      <c r="AS4104" s="56"/>
      <c r="AT4104" s="56"/>
      <c r="AU4104" s="56"/>
      <c r="AV4104" s="56"/>
      <c r="AW4104" s="56"/>
      <c r="AX4104" s="56"/>
      <c r="AY4104" s="56"/>
      <c r="AZ4104" s="56"/>
      <c r="BA4104" s="56"/>
      <c r="BB4104" s="22">
        <f t="shared" si="1302"/>
        <v>0</v>
      </c>
      <c r="BC4104" s="23">
        <v>0</v>
      </c>
      <c r="BD4104" s="130">
        <f t="shared" si="1303"/>
        <v>0</v>
      </c>
      <c r="BE4104" s="130">
        <f t="shared" si="1296"/>
        <v>37</v>
      </c>
      <c r="BF4104" s="195">
        <f t="shared" si="1304"/>
        <v>0</v>
      </c>
      <c r="BG4104" s="373">
        <f t="shared" si="1305"/>
        <v>37</v>
      </c>
      <c r="BH4104" s="426" t="s">
        <v>3675</v>
      </c>
      <c r="BI4104" s="421"/>
    </row>
    <row r="4105" spans="1:61" s="46" customFormat="1" ht="21" customHeight="1">
      <c r="A4105" s="417">
        <v>7</v>
      </c>
      <c r="B4105" s="418" t="s">
        <v>1756</v>
      </c>
      <c r="C4105" s="419" t="s">
        <v>1757</v>
      </c>
      <c r="D4105" s="55"/>
      <c r="E4105" s="55"/>
      <c r="F4105" s="55"/>
      <c r="G4105" s="55"/>
      <c r="H4105" s="56">
        <v>5</v>
      </c>
      <c r="I4105" s="55"/>
      <c r="J4105" s="55"/>
      <c r="K4105" s="55"/>
      <c r="L4105" s="55">
        <v>13</v>
      </c>
      <c r="M4105" s="55"/>
      <c r="N4105" s="55"/>
      <c r="O4105" s="55"/>
      <c r="P4105" s="55">
        <v>9</v>
      </c>
      <c r="Q4105" s="55"/>
      <c r="R4105" s="55"/>
      <c r="S4105" s="55"/>
      <c r="T4105" s="55"/>
      <c r="U4105" s="55"/>
      <c r="V4105" s="55"/>
      <c r="W4105" s="55"/>
      <c r="X4105" s="55"/>
      <c r="Y4105" s="55"/>
      <c r="Z4105" s="55"/>
      <c r="AA4105" s="55"/>
      <c r="AB4105" s="22">
        <f t="shared" si="1301"/>
        <v>27</v>
      </c>
      <c r="AC4105" s="23">
        <v>173</v>
      </c>
      <c r="AD4105" s="56"/>
      <c r="AE4105" s="56"/>
      <c r="AF4105" s="56"/>
      <c r="AG4105" s="56"/>
      <c r="AH4105" s="56"/>
      <c r="AI4105" s="56"/>
      <c r="AJ4105" s="56"/>
      <c r="AK4105" s="56"/>
      <c r="AL4105" s="56"/>
      <c r="AM4105" s="56"/>
      <c r="AN4105" s="56"/>
      <c r="AO4105" s="56"/>
      <c r="AP4105" s="56"/>
      <c r="AQ4105" s="56"/>
      <c r="AR4105" s="56"/>
      <c r="AS4105" s="56"/>
      <c r="AT4105" s="56"/>
      <c r="AU4105" s="56"/>
      <c r="AV4105" s="56"/>
      <c r="AW4105" s="56"/>
      <c r="AX4105" s="56"/>
      <c r="AY4105" s="56"/>
      <c r="AZ4105" s="56"/>
      <c r="BA4105" s="56"/>
      <c r="BB4105" s="22">
        <f t="shared" si="1302"/>
        <v>0</v>
      </c>
      <c r="BC4105" s="23">
        <v>0</v>
      </c>
      <c r="BD4105" s="130">
        <f t="shared" si="1303"/>
        <v>27</v>
      </c>
      <c r="BE4105" s="130">
        <f t="shared" si="1296"/>
        <v>173</v>
      </c>
      <c r="BF4105" s="195">
        <f t="shared" si="1304"/>
        <v>15.606936416184972</v>
      </c>
      <c r="BG4105" s="373">
        <f t="shared" si="1305"/>
        <v>146</v>
      </c>
      <c r="BH4105" s="426" t="s">
        <v>3675</v>
      </c>
      <c r="BI4105" s="421"/>
    </row>
    <row r="4106" spans="1:61" s="46" customFormat="1" ht="14.25" customHeight="1">
      <c r="A4106" s="181">
        <v>8</v>
      </c>
      <c r="B4106" s="53" t="s">
        <v>1759</v>
      </c>
      <c r="C4106" s="54" t="s">
        <v>2803</v>
      </c>
      <c r="D4106" s="55"/>
      <c r="E4106" s="55"/>
      <c r="F4106" s="55"/>
      <c r="G4106" s="55"/>
      <c r="H4106" s="55"/>
      <c r="I4106" s="55"/>
      <c r="J4106" s="55"/>
      <c r="K4106" s="55"/>
      <c r="L4106" s="55"/>
      <c r="M4106" s="55"/>
      <c r="N4106" s="55"/>
      <c r="O4106" s="55"/>
      <c r="P4106" s="55"/>
      <c r="Q4106" s="55"/>
      <c r="R4106" s="55"/>
      <c r="S4106" s="55"/>
      <c r="T4106" s="55"/>
      <c r="U4106" s="55"/>
      <c r="V4106" s="55"/>
      <c r="W4106" s="55"/>
      <c r="X4106" s="55"/>
      <c r="Y4106" s="55"/>
      <c r="Z4106" s="55"/>
      <c r="AA4106" s="55"/>
      <c r="AB4106" s="22">
        <f t="shared" si="1301"/>
        <v>0</v>
      </c>
      <c r="AC4106" s="23">
        <v>0</v>
      </c>
      <c r="AD4106" s="56"/>
      <c r="AE4106" s="56"/>
      <c r="AF4106" s="56"/>
      <c r="AG4106" s="56"/>
      <c r="AH4106" s="56"/>
      <c r="AI4106" s="56"/>
      <c r="AJ4106" s="56"/>
      <c r="AK4106" s="56"/>
      <c r="AL4106" s="56"/>
      <c r="AM4106" s="56"/>
      <c r="AN4106" s="56"/>
      <c r="AO4106" s="56"/>
      <c r="AP4106" s="56"/>
      <c r="AQ4106" s="56"/>
      <c r="AR4106" s="56"/>
      <c r="AS4106" s="56"/>
      <c r="AT4106" s="56"/>
      <c r="AU4106" s="56"/>
      <c r="AV4106" s="56"/>
      <c r="AW4106" s="56"/>
      <c r="AX4106" s="56"/>
      <c r="AY4106" s="56"/>
      <c r="AZ4106" s="56"/>
      <c r="BA4106" s="56"/>
      <c r="BB4106" s="22">
        <f t="shared" si="1302"/>
        <v>0</v>
      </c>
      <c r="BC4106" s="23">
        <v>1</v>
      </c>
      <c r="BD4106" s="130">
        <f t="shared" si="1303"/>
        <v>0</v>
      </c>
      <c r="BE4106" s="130">
        <f t="shared" si="1296"/>
        <v>1</v>
      </c>
      <c r="BF4106" s="195">
        <f t="shared" si="1304"/>
        <v>0</v>
      </c>
      <c r="BG4106" s="373">
        <f t="shared" si="1305"/>
        <v>1</v>
      </c>
    </row>
    <row r="4107" spans="1:61" s="46" customFormat="1" ht="14.25" customHeight="1">
      <c r="A4107" s="453">
        <v>9</v>
      </c>
      <c r="B4107" s="461" t="s">
        <v>814</v>
      </c>
      <c r="C4107" s="462" t="s">
        <v>3108</v>
      </c>
      <c r="D4107" s="55"/>
      <c r="E4107" s="55"/>
      <c r="F4107" s="55"/>
      <c r="G4107" s="55"/>
      <c r="H4107" s="55"/>
      <c r="I4107" s="55"/>
      <c r="J4107" s="55"/>
      <c r="K4107" s="55"/>
      <c r="L4107" s="55"/>
      <c r="M4107" s="55"/>
      <c r="N4107" s="55"/>
      <c r="O4107" s="55"/>
      <c r="P4107" s="55"/>
      <c r="Q4107" s="55"/>
      <c r="R4107" s="55"/>
      <c r="S4107" s="55"/>
      <c r="T4107" s="55"/>
      <c r="U4107" s="55"/>
      <c r="V4107" s="55"/>
      <c r="W4107" s="55"/>
      <c r="X4107" s="55"/>
      <c r="Y4107" s="55"/>
      <c r="Z4107" s="55"/>
      <c r="AA4107" s="55"/>
      <c r="AB4107" s="22">
        <f t="shared" si="1301"/>
        <v>0</v>
      </c>
      <c r="AC4107" s="23">
        <v>0</v>
      </c>
      <c r="AD4107" s="56"/>
      <c r="AE4107" s="56"/>
      <c r="AF4107" s="56"/>
      <c r="AG4107" s="56"/>
      <c r="AH4107" s="56"/>
      <c r="AI4107" s="56"/>
      <c r="AJ4107" s="56"/>
      <c r="AK4107" s="56"/>
      <c r="AL4107" s="56"/>
      <c r="AM4107" s="56"/>
      <c r="AN4107" s="56"/>
      <c r="AO4107" s="56"/>
      <c r="AP4107" s="56"/>
      <c r="AQ4107" s="56"/>
      <c r="AR4107" s="56"/>
      <c r="AS4107" s="56"/>
      <c r="AT4107" s="56"/>
      <c r="AU4107" s="56"/>
      <c r="AV4107" s="56"/>
      <c r="AW4107" s="56"/>
      <c r="AX4107" s="56"/>
      <c r="AY4107" s="56"/>
      <c r="AZ4107" s="56"/>
      <c r="BA4107" s="56"/>
      <c r="BB4107" s="22">
        <f t="shared" si="1302"/>
        <v>0</v>
      </c>
      <c r="BC4107" s="23">
        <v>7</v>
      </c>
      <c r="BD4107" s="130">
        <f t="shared" si="1303"/>
        <v>0</v>
      </c>
      <c r="BE4107" s="130">
        <f t="shared" si="1296"/>
        <v>7</v>
      </c>
      <c r="BF4107" s="195">
        <f t="shared" si="1304"/>
        <v>0</v>
      </c>
      <c r="BG4107" s="373">
        <f t="shared" si="1305"/>
        <v>7</v>
      </c>
    </row>
    <row r="4108" spans="1:61" s="46" customFormat="1" ht="14.25" customHeight="1">
      <c r="A4108" s="453">
        <v>10</v>
      </c>
      <c r="B4108" s="454" t="s">
        <v>1763</v>
      </c>
      <c r="C4108" s="455" t="s">
        <v>1764</v>
      </c>
      <c r="D4108" s="55"/>
      <c r="E4108" s="55"/>
      <c r="F4108" s="55"/>
      <c r="G4108" s="55"/>
      <c r="H4108" s="55"/>
      <c r="I4108" s="55"/>
      <c r="J4108" s="55"/>
      <c r="K4108" s="55"/>
      <c r="L4108" s="55"/>
      <c r="M4108" s="55"/>
      <c r="N4108" s="55"/>
      <c r="O4108" s="55"/>
      <c r="P4108" s="55"/>
      <c r="Q4108" s="55"/>
      <c r="R4108" s="55"/>
      <c r="S4108" s="55"/>
      <c r="T4108" s="55"/>
      <c r="U4108" s="55"/>
      <c r="V4108" s="55"/>
      <c r="W4108" s="55"/>
      <c r="X4108" s="55"/>
      <c r="Y4108" s="55"/>
      <c r="Z4108" s="55"/>
      <c r="AA4108" s="55"/>
      <c r="AB4108" s="22">
        <f t="shared" si="1301"/>
        <v>0</v>
      </c>
      <c r="AC4108" s="23">
        <v>0</v>
      </c>
      <c r="AD4108" s="56"/>
      <c r="AE4108" s="56"/>
      <c r="AF4108" s="56"/>
      <c r="AG4108" s="56"/>
      <c r="AH4108" s="56">
        <v>17</v>
      </c>
      <c r="AI4108" s="56"/>
      <c r="AJ4108" s="56"/>
      <c r="AK4108" s="56"/>
      <c r="AL4108" s="56">
        <v>63</v>
      </c>
      <c r="AM4108" s="56"/>
      <c r="AN4108" s="56"/>
      <c r="AO4108" s="56"/>
      <c r="AP4108" s="56">
        <v>61</v>
      </c>
      <c r="AQ4108" s="56"/>
      <c r="AR4108" s="56"/>
      <c r="AS4108" s="56"/>
      <c r="AT4108" s="56"/>
      <c r="AU4108" s="56"/>
      <c r="AV4108" s="56"/>
      <c r="AW4108" s="56"/>
      <c r="AX4108" s="56"/>
      <c r="AY4108" s="56"/>
      <c r="AZ4108" s="56"/>
      <c r="BA4108" s="56"/>
      <c r="BB4108" s="22">
        <f t="shared" si="1302"/>
        <v>141</v>
      </c>
      <c r="BC4108" s="23">
        <v>767</v>
      </c>
      <c r="BD4108" s="130">
        <f t="shared" si="1303"/>
        <v>141</v>
      </c>
      <c r="BE4108" s="130">
        <f t="shared" si="1296"/>
        <v>767</v>
      </c>
      <c r="BF4108" s="195">
        <f t="shared" si="1304"/>
        <v>18.383311603650586</v>
      </c>
      <c r="BG4108" s="373">
        <f t="shared" si="1305"/>
        <v>626</v>
      </c>
    </row>
    <row r="4109" spans="1:61" s="46" customFormat="1" ht="14.25" customHeight="1">
      <c r="A4109" s="453">
        <v>11</v>
      </c>
      <c r="B4109" s="454" t="s">
        <v>1765</v>
      </c>
      <c r="C4109" s="455" t="s">
        <v>1766</v>
      </c>
      <c r="D4109" s="55"/>
      <c r="E4109" s="55"/>
      <c r="F4109" s="55"/>
      <c r="G4109" s="55"/>
      <c r="H4109" s="55"/>
      <c r="I4109" s="55"/>
      <c r="J4109" s="55"/>
      <c r="K4109" s="55"/>
      <c r="L4109" s="55"/>
      <c r="M4109" s="55"/>
      <c r="N4109" s="55"/>
      <c r="O4109" s="55"/>
      <c r="P4109" s="55"/>
      <c r="Q4109" s="55"/>
      <c r="R4109" s="55"/>
      <c r="S4109" s="55"/>
      <c r="T4109" s="55"/>
      <c r="U4109" s="55"/>
      <c r="V4109" s="55"/>
      <c r="W4109" s="55"/>
      <c r="X4109" s="55"/>
      <c r="Y4109" s="55"/>
      <c r="Z4109" s="55"/>
      <c r="AA4109" s="55"/>
      <c r="AB4109" s="22">
        <f t="shared" si="1301"/>
        <v>0</v>
      </c>
      <c r="AC4109" s="23">
        <v>0</v>
      </c>
      <c r="AD4109" s="56"/>
      <c r="AE4109" s="56"/>
      <c r="AF4109" s="56"/>
      <c r="AG4109" s="56"/>
      <c r="AH4109" s="56"/>
      <c r="AI4109" s="56"/>
      <c r="AJ4109" s="56"/>
      <c r="AK4109" s="56"/>
      <c r="AL4109" s="56"/>
      <c r="AM4109" s="56"/>
      <c r="AN4109" s="56"/>
      <c r="AO4109" s="56"/>
      <c r="AP4109" s="56"/>
      <c r="AQ4109" s="56"/>
      <c r="AR4109" s="56"/>
      <c r="AS4109" s="56"/>
      <c r="AT4109" s="56"/>
      <c r="AU4109" s="56"/>
      <c r="AV4109" s="56"/>
      <c r="AW4109" s="56"/>
      <c r="AX4109" s="56"/>
      <c r="AY4109" s="56"/>
      <c r="AZ4109" s="56"/>
      <c r="BA4109" s="56"/>
      <c r="BB4109" s="22">
        <f t="shared" si="1302"/>
        <v>0</v>
      </c>
      <c r="BC4109" s="23">
        <v>1</v>
      </c>
      <c r="BD4109" s="130">
        <f t="shared" si="1303"/>
        <v>0</v>
      </c>
      <c r="BE4109" s="130">
        <f t="shared" si="1296"/>
        <v>1</v>
      </c>
      <c r="BF4109" s="195">
        <f t="shared" si="1304"/>
        <v>0</v>
      </c>
      <c r="BG4109" s="373">
        <f t="shared" si="1305"/>
        <v>1</v>
      </c>
    </row>
    <row r="4110" spans="1:61" s="46" customFormat="1" ht="14.25" customHeight="1">
      <c r="A4110" s="453">
        <v>12</v>
      </c>
      <c r="B4110" s="461" t="s">
        <v>1665</v>
      </c>
      <c r="C4110" s="462" t="s">
        <v>3110</v>
      </c>
      <c r="D4110" s="55"/>
      <c r="E4110" s="55"/>
      <c r="F4110" s="55"/>
      <c r="G4110" s="55"/>
      <c r="H4110" s="55"/>
      <c r="I4110" s="55"/>
      <c r="J4110" s="55"/>
      <c r="K4110" s="55"/>
      <c r="L4110" s="55"/>
      <c r="M4110" s="55"/>
      <c r="N4110" s="55"/>
      <c r="O4110" s="55"/>
      <c r="P4110" s="55"/>
      <c r="Q4110" s="55"/>
      <c r="R4110" s="55"/>
      <c r="S4110" s="55"/>
      <c r="T4110" s="55"/>
      <c r="U4110" s="55"/>
      <c r="V4110" s="55"/>
      <c r="W4110" s="55"/>
      <c r="X4110" s="55"/>
      <c r="Y4110" s="55"/>
      <c r="Z4110" s="55"/>
      <c r="AA4110" s="55"/>
      <c r="AB4110" s="22">
        <f t="shared" si="1301"/>
        <v>0</v>
      </c>
      <c r="AC4110" s="23">
        <v>0</v>
      </c>
      <c r="AD4110" s="56"/>
      <c r="AE4110" s="56"/>
      <c r="AF4110" s="56"/>
      <c r="AG4110" s="56"/>
      <c r="AH4110" s="56">
        <v>26</v>
      </c>
      <c r="AI4110" s="56"/>
      <c r="AJ4110" s="56"/>
      <c r="AK4110" s="56"/>
      <c r="AL4110" s="56">
        <v>87</v>
      </c>
      <c r="AM4110" s="56"/>
      <c r="AN4110" s="56"/>
      <c r="AO4110" s="56"/>
      <c r="AP4110" s="56">
        <v>17</v>
      </c>
      <c r="AQ4110" s="56"/>
      <c r="AR4110" s="56"/>
      <c r="AS4110" s="56"/>
      <c r="AT4110" s="56"/>
      <c r="AU4110" s="56"/>
      <c r="AV4110" s="56"/>
      <c r="AW4110" s="56"/>
      <c r="AX4110" s="56"/>
      <c r="AY4110" s="56"/>
      <c r="AZ4110" s="56"/>
      <c r="BA4110" s="56"/>
      <c r="BB4110" s="22">
        <f t="shared" si="1302"/>
        <v>130</v>
      </c>
      <c r="BC4110" s="23">
        <f>394+735</f>
        <v>1129</v>
      </c>
      <c r="BD4110" s="130">
        <f t="shared" si="1303"/>
        <v>130</v>
      </c>
      <c r="BE4110" s="130">
        <f t="shared" si="1296"/>
        <v>1129</v>
      </c>
      <c r="BF4110" s="195">
        <f t="shared" si="1304"/>
        <v>11.514614703277235</v>
      </c>
      <c r="BG4110" s="373">
        <f t="shared" si="1305"/>
        <v>999</v>
      </c>
    </row>
    <row r="4111" spans="1:61" s="46" customFormat="1" ht="14.25" customHeight="1">
      <c r="A4111" s="453">
        <v>14</v>
      </c>
      <c r="B4111" s="454" t="s">
        <v>1767</v>
      </c>
      <c r="C4111" s="455" t="s">
        <v>1779</v>
      </c>
      <c r="D4111" s="55"/>
      <c r="E4111" s="55"/>
      <c r="F4111" s="55"/>
      <c r="G4111" s="55"/>
      <c r="H4111" s="55"/>
      <c r="I4111" s="55"/>
      <c r="J4111" s="55"/>
      <c r="K4111" s="55"/>
      <c r="L4111" s="55"/>
      <c r="M4111" s="55"/>
      <c r="N4111" s="55"/>
      <c r="O4111" s="55"/>
      <c r="P4111" s="55"/>
      <c r="Q4111" s="55"/>
      <c r="R4111" s="55"/>
      <c r="S4111" s="55"/>
      <c r="T4111" s="55"/>
      <c r="U4111" s="55"/>
      <c r="V4111" s="55"/>
      <c r="W4111" s="55"/>
      <c r="X4111" s="55"/>
      <c r="Y4111" s="55"/>
      <c r="Z4111" s="55"/>
      <c r="AA4111" s="55"/>
      <c r="AB4111" s="22">
        <f t="shared" si="1301"/>
        <v>0</v>
      </c>
      <c r="AC4111" s="23">
        <v>0</v>
      </c>
      <c r="AD4111" s="56"/>
      <c r="AE4111" s="56"/>
      <c r="AF4111" s="56"/>
      <c r="AG4111" s="56"/>
      <c r="AH4111" s="56">
        <v>35</v>
      </c>
      <c r="AI4111" s="56"/>
      <c r="AJ4111" s="56"/>
      <c r="AK4111" s="56"/>
      <c r="AL4111" s="56">
        <v>112</v>
      </c>
      <c r="AM4111" s="56"/>
      <c r="AN4111" s="56"/>
      <c r="AO4111" s="56"/>
      <c r="AP4111" s="56">
        <v>62</v>
      </c>
      <c r="AQ4111" s="56"/>
      <c r="AR4111" s="56"/>
      <c r="AS4111" s="56"/>
      <c r="AT4111" s="56"/>
      <c r="AU4111" s="56"/>
      <c r="AV4111" s="56"/>
      <c r="AW4111" s="56"/>
      <c r="AX4111" s="56"/>
      <c r="AY4111" s="56"/>
      <c r="AZ4111" s="56"/>
      <c r="BA4111" s="56"/>
      <c r="BB4111" s="22">
        <f t="shared" si="1302"/>
        <v>209</v>
      </c>
      <c r="BC4111" s="23">
        <v>814</v>
      </c>
      <c r="BD4111" s="130">
        <f t="shared" si="1303"/>
        <v>209</v>
      </c>
      <c r="BE4111" s="130">
        <f t="shared" si="1296"/>
        <v>814</v>
      </c>
      <c r="BF4111" s="195">
        <f t="shared" si="1304"/>
        <v>25.675675675675674</v>
      </c>
      <c r="BG4111" s="373">
        <f t="shared" si="1305"/>
        <v>605</v>
      </c>
    </row>
    <row r="4112" spans="1:61" s="46" customFormat="1" ht="14.25" customHeight="1">
      <c r="A4112" s="453">
        <v>15</v>
      </c>
      <c r="B4112" s="456" t="s">
        <v>1795</v>
      </c>
      <c r="C4112" s="457" t="s">
        <v>3109</v>
      </c>
      <c r="D4112" s="55"/>
      <c r="E4112" s="55"/>
      <c r="F4112" s="55"/>
      <c r="G4112" s="55"/>
      <c r="H4112" s="55"/>
      <c r="I4112" s="55"/>
      <c r="J4112" s="55"/>
      <c r="K4112" s="55"/>
      <c r="L4112" s="55"/>
      <c r="M4112" s="55"/>
      <c r="N4112" s="55"/>
      <c r="O4112" s="55"/>
      <c r="P4112" s="55"/>
      <c r="Q4112" s="55"/>
      <c r="R4112" s="55"/>
      <c r="S4112" s="55"/>
      <c r="T4112" s="55"/>
      <c r="U4112" s="55"/>
      <c r="V4112" s="55"/>
      <c r="W4112" s="55"/>
      <c r="X4112" s="55"/>
      <c r="Y4112" s="55"/>
      <c r="Z4112" s="55"/>
      <c r="AA4112" s="55"/>
      <c r="AB4112" s="22">
        <f t="shared" si="1301"/>
        <v>0</v>
      </c>
      <c r="AC4112" s="23">
        <v>0</v>
      </c>
      <c r="AD4112" s="56"/>
      <c r="AE4112" s="56"/>
      <c r="AF4112" s="56"/>
      <c r="AG4112" s="56"/>
      <c r="AH4112" s="56"/>
      <c r="AI4112" s="56"/>
      <c r="AJ4112" s="56"/>
      <c r="AK4112" s="56"/>
      <c r="AL4112" s="56">
        <v>2</v>
      </c>
      <c r="AM4112" s="56"/>
      <c r="AN4112" s="56"/>
      <c r="AO4112" s="56"/>
      <c r="AP4112" s="56"/>
      <c r="AQ4112" s="56"/>
      <c r="AR4112" s="56"/>
      <c r="AS4112" s="56"/>
      <c r="AT4112" s="56"/>
      <c r="AU4112" s="56"/>
      <c r="AV4112" s="56"/>
      <c r="AW4112" s="56"/>
      <c r="AX4112" s="56"/>
      <c r="AY4112" s="56"/>
      <c r="AZ4112" s="56"/>
      <c r="BA4112" s="56"/>
      <c r="BB4112" s="22">
        <f t="shared" si="1302"/>
        <v>2</v>
      </c>
      <c r="BC4112" s="23">
        <v>13</v>
      </c>
      <c r="BD4112" s="130">
        <f t="shared" si="1303"/>
        <v>2</v>
      </c>
      <c r="BE4112" s="130">
        <f t="shared" si="1296"/>
        <v>13</v>
      </c>
      <c r="BF4112" s="195">
        <f t="shared" si="1304"/>
        <v>15.384615384615385</v>
      </c>
      <c r="BG4112" s="373">
        <f t="shared" si="1305"/>
        <v>11</v>
      </c>
    </row>
    <row r="4113" spans="1:61" s="46" customFormat="1" ht="14.25" customHeight="1">
      <c r="A4113" s="453">
        <v>16</v>
      </c>
      <c r="B4113" s="454" t="s">
        <v>1773</v>
      </c>
      <c r="C4113" s="455" t="s">
        <v>2475</v>
      </c>
      <c r="D4113" s="55"/>
      <c r="E4113" s="55"/>
      <c r="F4113" s="55"/>
      <c r="G4113" s="55"/>
      <c r="H4113" s="55"/>
      <c r="I4113" s="55"/>
      <c r="J4113" s="55"/>
      <c r="K4113" s="55"/>
      <c r="L4113" s="55"/>
      <c r="M4113" s="55"/>
      <c r="N4113" s="55"/>
      <c r="O4113" s="55"/>
      <c r="P4113" s="55"/>
      <c r="Q4113" s="55"/>
      <c r="R4113" s="55"/>
      <c r="S4113" s="55"/>
      <c r="T4113" s="55"/>
      <c r="U4113" s="55"/>
      <c r="V4113" s="55"/>
      <c r="W4113" s="55"/>
      <c r="X4113" s="55"/>
      <c r="Y4113" s="55"/>
      <c r="Z4113" s="55"/>
      <c r="AA4113" s="55"/>
      <c r="AB4113" s="22">
        <f t="shared" si="1301"/>
        <v>0</v>
      </c>
      <c r="AC4113" s="23">
        <v>0</v>
      </c>
      <c r="AD4113" s="56"/>
      <c r="AE4113" s="56"/>
      <c r="AF4113" s="56"/>
      <c r="AG4113" s="56"/>
      <c r="AH4113" s="56"/>
      <c r="AI4113" s="56"/>
      <c r="AJ4113" s="56"/>
      <c r="AK4113" s="56"/>
      <c r="AL4113" s="56"/>
      <c r="AM4113" s="56"/>
      <c r="AN4113" s="56"/>
      <c r="AO4113" s="56"/>
      <c r="AP4113" s="56"/>
      <c r="AQ4113" s="56"/>
      <c r="AR4113" s="56"/>
      <c r="AS4113" s="56"/>
      <c r="AT4113" s="56"/>
      <c r="AU4113" s="56"/>
      <c r="AV4113" s="56"/>
      <c r="AW4113" s="56"/>
      <c r="AX4113" s="56"/>
      <c r="AY4113" s="56"/>
      <c r="AZ4113" s="56"/>
      <c r="BA4113" s="56"/>
      <c r="BB4113" s="22">
        <f t="shared" si="1302"/>
        <v>0</v>
      </c>
      <c r="BC4113" s="23">
        <v>5</v>
      </c>
      <c r="BD4113" s="130">
        <f t="shared" si="1303"/>
        <v>0</v>
      </c>
      <c r="BE4113" s="130">
        <f t="shared" si="1296"/>
        <v>5</v>
      </c>
      <c r="BF4113" s="195">
        <f t="shared" si="1304"/>
        <v>0</v>
      </c>
      <c r="BG4113" s="373">
        <f t="shared" si="1305"/>
        <v>5</v>
      </c>
    </row>
    <row r="4114" spans="1:61" s="46" customFormat="1" ht="14.25" customHeight="1">
      <c r="A4114" s="648" t="s">
        <v>1825</v>
      </c>
      <c r="B4114" s="649"/>
      <c r="C4114" s="649"/>
      <c r="D4114" s="52">
        <f t="shared" ref="D4114:AI4114" si="1306">SUM(D4115:D4122)</f>
        <v>0</v>
      </c>
      <c r="E4114" s="52">
        <f t="shared" si="1306"/>
        <v>0</v>
      </c>
      <c r="F4114" s="52">
        <f t="shared" si="1306"/>
        <v>0</v>
      </c>
      <c r="G4114" s="52">
        <f t="shared" si="1306"/>
        <v>0</v>
      </c>
      <c r="H4114" s="52">
        <f t="shared" si="1306"/>
        <v>0</v>
      </c>
      <c r="I4114" s="52">
        <f t="shared" si="1306"/>
        <v>0</v>
      </c>
      <c r="J4114" s="52">
        <f t="shared" si="1306"/>
        <v>0</v>
      </c>
      <c r="K4114" s="52">
        <f t="shared" si="1306"/>
        <v>0</v>
      </c>
      <c r="L4114" s="52">
        <f t="shared" si="1306"/>
        <v>0</v>
      </c>
      <c r="M4114" s="52">
        <f t="shared" si="1306"/>
        <v>0</v>
      </c>
      <c r="N4114" s="52">
        <f t="shared" si="1306"/>
        <v>0</v>
      </c>
      <c r="O4114" s="52">
        <f t="shared" si="1306"/>
        <v>0</v>
      </c>
      <c r="P4114" s="52">
        <f t="shared" si="1306"/>
        <v>2</v>
      </c>
      <c r="Q4114" s="52">
        <f t="shared" si="1306"/>
        <v>0</v>
      </c>
      <c r="R4114" s="52">
        <f t="shared" si="1306"/>
        <v>0</v>
      </c>
      <c r="S4114" s="52">
        <f t="shared" si="1306"/>
        <v>0</v>
      </c>
      <c r="T4114" s="52">
        <f t="shared" si="1306"/>
        <v>0</v>
      </c>
      <c r="U4114" s="52">
        <f t="shared" si="1306"/>
        <v>0</v>
      </c>
      <c r="V4114" s="52">
        <f t="shared" si="1306"/>
        <v>0</v>
      </c>
      <c r="W4114" s="52">
        <f t="shared" si="1306"/>
        <v>0</v>
      </c>
      <c r="X4114" s="52">
        <f t="shared" si="1306"/>
        <v>0</v>
      </c>
      <c r="Y4114" s="52">
        <f t="shared" si="1306"/>
        <v>0</v>
      </c>
      <c r="Z4114" s="52">
        <f t="shared" si="1306"/>
        <v>0</v>
      </c>
      <c r="AA4114" s="52">
        <f t="shared" si="1306"/>
        <v>0</v>
      </c>
      <c r="AB4114" s="52">
        <f t="shared" si="1306"/>
        <v>2</v>
      </c>
      <c r="AC4114" s="127">
        <f t="shared" si="1306"/>
        <v>75</v>
      </c>
      <c r="AD4114" s="52">
        <f t="shared" si="1306"/>
        <v>0</v>
      </c>
      <c r="AE4114" s="52">
        <f t="shared" si="1306"/>
        <v>0</v>
      </c>
      <c r="AF4114" s="52">
        <f t="shared" si="1306"/>
        <v>0</v>
      </c>
      <c r="AG4114" s="52">
        <f t="shared" si="1306"/>
        <v>0</v>
      </c>
      <c r="AH4114" s="52">
        <f t="shared" si="1306"/>
        <v>0</v>
      </c>
      <c r="AI4114" s="52">
        <f t="shared" si="1306"/>
        <v>0</v>
      </c>
      <c r="AJ4114" s="52">
        <f t="shared" ref="AJ4114:BC4114" si="1307">SUM(AJ4115:AJ4122)</f>
        <v>0</v>
      </c>
      <c r="AK4114" s="52">
        <f t="shared" si="1307"/>
        <v>0</v>
      </c>
      <c r="AL4114" s="52">
        <f t="shared" si="1307"/>
        <v>0</v>
      </c>
      <c r="AM4114" s="52">
        <f t="shared" si="1307"/>
        <v>0</v>
      </c>
      <c r="AN4114" s="52">
        <f t="shared" si="1307"/>
        <v>0</v>
      </c>
      <c r="AO4114" s="52">
        <f t="shared" si="1307"/>
        <v>0</v>
      </c>
      <c r="AP4114" s="52">
        <f t="shared" si="1307"/>
        <v>0</v>
      </c>
      <c r="AQ4114" s="52">
        <f t="shared" si="1307"/>
        <v>0</v>
      </c>
      <c r="AR4114" s="52">
        <f t="shared" si="1307"/>
        <v>0</v>
      </c>
      <c r="AS4114" s="52">
        <f t="shared" si="1307"/>
        <v>0</v>
      </c>
      <c r="AT4114" s="52">
        <f t="shared" si="1307"/>
        <v>0</v>
      </c>
      <c r="AU4114" s="52">
        <f t="shared" si="1307"/>
        <v>0</v>
      </c>
      <c r="AV4114" s="52">
        <f t="shared" si="1307"/>
        <v>0</v>
      </c>
      <c r="AW4114" s="52">
        <f t="shared" si="1307"/>
        <v>0</v>
      </c>
      <c r="AX4114" s="52">
        <f t="shared" si="1307"/>
        <v>0</v>
      </c>
      <c r="AY4114" s="52">
        <f t="shared" si="1307"/>
        <v>0</v>
      </c>
      <c r="AZ4114" s="52">
        <f t="shared" si="1307"/>
        <v>0</v>
      </c>
      <c r="BA4114" s="52">
        <f t="shared" si="1307"/>
        <v>0</v>
      </c>
      <c r="BB4114" s="52">
        <f t="shared" si="1307"/>
        <v>0</v>
      </c>
      <c r="BC4114" s="127">
        <f t="shared" si="1307"/>
        <v>19</v>
      </c>
      <c r="BD4114" s="130">
        <f t="shared" si="1295"/>
        <v>2</v>
      </c>
      <c r="BE4114" s="130">
        <f t="shared" si="1296"/>
        <v>94</v>
      </c>
      <c r="BF4114" s="195">
        <f t="shared" si="1297"/>
        <v>2.1276595744680851</v>
      </c>
      <c r="BG4114" s="375">
        <f t="shared" si="1298"/>
        <v>92</v>
      </c>
    </row>
    <row r="4115" spans="1:61" s="46" customFormat="1" ht="21" customHeight="1">
      <c r="A4115" s="427">
        <v>1</v>
      </c>
      <c r="B4115" s="431" t="s">
        <v>1747</v>
      </c>
      <c r="C4115" s="419" t="s">
        <v>1748</v>
      </c>
      <c r="D4115" s="93"/>
      <c r="E4115" s="93"/>
      <c r="F4115" s="93"/>
      <c r="G4115" s="93"/>
      <c r="H4115" s="93"/>
      <c r="I4115" s="93"/>
      <c r="J4115" s="93"/>
      <c r="K4115" s="93"/>
      <c r="L4115" s="93"/>
      <c r="M4115" s="93"/>
      <c r="N4115" s="93"/>
      <c r="O4115" s="93"/>
      <c r="P4115" s="93"/>
      <c r="Q4115" s="93"/>
      <c r="R4115" s="93"/>
      <c r="S4115" s="93"/>
      <c r="T4115" s="93"/>
      <c r="U4115" s="93"/>
      <c r="V4115" s="93"/>
      <c r="W4115" s="93"/>
      <c r="X4115" s="93"/>
      <c r="Y4115" s="93"/>
      <c r="Z4115" s="93"/>
      <c r="AA4115" s="93"/>
      <c r="AB4115" s="22">
        <f t="shared" ref="AB4115:AB4122" si="1308">SUM(D4115:AA4115)</f>
        <v>0</v>
      </c>
      <c r="AC4115" s="23">
        <v>10</v>
      </c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22">
        <f t="shared" ref="BB4115:BB4122" si="1309">SUM(AD4115:BA4115)</f>
        <v>0</v>
      </c>
      <c r="BC4115" s="23">
        <v>0</v>
      </c>
      <c r="BD4115" s="130">
        <f t="shared" ref="BD4115:BD4122" si="1310">AB4115+BB4115</f>
        <v>0</v>
      </c>
      <c r="BE4115" s="130">
        <f t="shared" ref="BE4115:BE4122" si="1311">AC4115+BC4115</f>
        <v>10</v>
      </c>
      <c r="BF4115" s="195">
        <f t="shared" ref="BF4115:BF4122" si="1312">BD4115/BE4115*100</f>
        <v>0</v>
      </c>
      <c r="BG4115" s="373">
        <f t="shared" ref="BG4115:BG4122" si="1313">BE4115-BD4115</f>
        <v>10</v>
      </c>
      <c r="BH4115" s="426" t="s">
        <v>3675</v>
      </c>
      <c r="BI4115" s="420"/>
    </row>
    <row r="4116" spans="1:61" s="46" customFormat="1" ht="21" customHeight="1">
      <c r="A4116" s="427">
        <v>2</v>
      </c>
      <c r="B4116" s="428">
        <v>600173</v>
      </c>
      <c r="C4116" s="429" t="s">
        <v>3229</v>
      </c>
      <c r="D4116" s="93"/>
      <c r="E4116" s="93"/>
      <c r="F4116" s="93"/>
      <c r="G4116" s="93"/>
      <c r="H4116" s="93"/>
      <c r="I4116" s="93"/>
      <c r="J4116" s="93"/>
      <c r="K4116" s="93"/>
      <c r="L4116" s="93"/>
      <c r="M4116" s="93"/>
      <c r="N4116" s="93"/>
      <c r="O4116" s="93"/>
      <c r="P4116" s="93"/>
      <c r="Q4116" s="93"/>
      <c r="R4116" s="93"/>
      <c r="S4116" s="93"/>
      <c r="T4116" s="93"/>
      <c r="U4116" s="93"/>
      <c r="V4116" s="93"/>
      <c r="W4116" s="93"/>
      <c r="X4116" s="93"/>
      <c r="Y4116" s="93"/>
      <c r="Z4116" s="93"/>
      <c r="AA4116" s="93"/>
      <c r="AB4116" s="22">
        <f t="shared" si="1308"/>
        <v>0</v>
      </c>
      <c r="AC4116" s="64">
        <v>2</v>
      </c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22">
        <f t="shared" si="1309"/>
        <v>0</v>
      </c>
      <c r="BC4116" s="63">
        <v>0</v>
      </c>
      <c r="BD4116" s="130">
        <f t="shared" si="1310"/>
        <v>0</v>
      </c>
      <c r="BE4116" s="130">
        <f t="shared" si="1311"/>
        <v>2</v>
      </c>
      <c r="BF4116" s="195">
        <f t="shared" si="1312"/>
        <v>0</v>
      </c>
      <c r="BG4116" s="373">
        <f t="shared" si="1313"/>
        <v>2</v>
      </c>
      <c r="BH4116" s="426" t="s">
        <v>3675</v>
      </c>
      <c r="BI4116" s="421"/>
    </row>
    <row r="4117" spans="1:61" s="46" customFormat="1" ht="21" customHeight="1">
      <c r="A4117" s="427">
        <v>3</v>
      </c>
      <c r="B4117" s="418" t="s">
        <v>1753</v>
      </c>
      <c r="C4117" s="419" t="s">
        <v>1754</v>
      </c>
      <c r="D4117" s="93"/>
      <c r="E4117" s="93"/>
      <c r="F4117" s="93"/>
      <c r="G4117" s="93"/>
      <c r="H4117" s="93"/>
      <c r="I4117" s="93"/>
      <c r="J4117" s="93"/>
      <c r="K4117" s="93"/>
      <c r="L4117" s="93"/>
      <c r="M4117" s="93"/>
      <c r="N4117" s="93"/>
      <c r="O4117" s="93"/>
      <c r="P4117" s="93"/>
      <c r="Q4117" s="93"/>
      <c r="R4117" s="93"/>
      <c r="S4117" s="93"/>
      <c r="T4117" s="93"/>
      <c r="U4117" s="93"/>
      <c r="V4117" s="93"/>
      <c r="W4117" s="93"/>
      <c r="X4117" s="93"/>
      <c r="Y4117" s="93"/>
      <c r="Z4117" s="93"/>
      <c r="AA4117" s="93"/>
      <c r="AB4117" s="22">
        <f t="shared" si="1308"/>
        <v>0</v>
      </c>
      <c r="AC4117" s="23">
        <v>10</v>
      </c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22">
        <f t="shared" si="1309"/>
        <v>0</v>
      </c>
      <c r="BC4117" s="23">
        <v>0</v>
      </c>
      <c r="BD4117" s="130">
        <f t="shared" si="1310"/>
        <v>0</v>
      </c>
      <c r="BE4117" s="130">
        <f t="shared" si="1311"/>
        <v>10</v>
      </c>
      <c r="BF4117" s="195">
        <f t="shared" si="1312"/>
        <v>0</v>
      </c>
      <c r="BG4117" s="373">
        <f t="shared" si="1313"/>
        <v>10</v>
      </c>
      <c r="BH4117" s="426" t="s">
        <v>3675</v>
      </c>
      <c r="BI4117" s="420"/>
    </row>
    <row r="4118" spans="1:61" s="46" customFormat="1" ht="21" customHeight="1">
      <c r="A4118" s="427">
        <v>4</v>
      </c>
      <c r="B4118" s="428">
        <v>600349</v>
      </c>
      <c r="C4118" s="429" t="s">
        <v>1757</v>
      </c>
      <c r="D4118" s="93"/>
      <c r="E4118" s="93"/>
      <c r="F4118" s="93"/>
      <c r="G4118" s="93"/>
      <c r="H4118" s="93"/>
      <c r="I4118" s="93"/>
      <c r="J4118" s="93"/>
      <c r="K4118" s="93"/>
      <c r="L4118" s="93"/>
      <c r="M4118" s="93"/>
      <c r="N4118" s="93"/>
      <c r="O4118" s="93"/>
      <c r="P4118" s="95">
        <v>2</v>
      </c>
      <c r="Q4118" s="93"/>
      <c r="R4118" s="93"/>
      <c r="S4118" s="93"/>
      <c r="T4118" s="93"/>
      <c r="U4118" s="93"/>
      <c r="V4118" s="93"/>
      <c r="W4118" s="93"/>
      <c r="X4118" s="93"/>
      <c r="Y4118" s="93"/>
      <c r="Z4118" s="93"/>
      <c r="AA4118" s="93"/>
      <c r="AB4118" s="22">
        <f t="shared" si="1308"/>
        <v>2</v>
      </c>
      <c r="AC4118" s="64">
        <v>45</v>
      </c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22">
        <f t="shared" si="1309"/>
        <v>0</v>
      </c>
      <c r="BC4118" s="63">
        <v>0</v>
      </c>
      <c r="BD4118" s="130">
        <f t="shared" si="1310"/>
        <v>2</v>
      </c>
      <c r="BE4118" s="130">
        <f t="shared" si="1311"/>
        <v>45</v>
      </c>
      <c r="BF4118" s="195">
        <f t="shared" si="1312"/>
        <v>4.4444444444444446</v>
      </c>
      <c r="BG4118" s="373">
        <f t="shared" si="1313"/>
        <v>43</v>
      </c>
      <c r="BH4118" s="426" t="s">
        <v>3675</v>
      </c>
      <c r="BI4118" s="421"/>
    </row>
    <row r="4119" spans="1:61" s="46" customFormat="1" ht="14.25" customHeight="1">
      <c r="A4119" s="183">
        <v>5</v>
      </c>
      <c r="B4119" s="91" t="s">
        <v>1763</v>
      </c>
      <c r="C4119" s="92" t="s">
        <v>1826</v>
      </c>
      <c r="D4119" s="93"/>
      <c r="E4119" s="93"/>
      <c r="F4119" s="93"/>
      <c r="G4119" s="93"/>
      <c r="H4119" s="93"/>
      <c r="I4119" s="93"/>
      <c r="J4119" s="93"/>
      <c r="K4119" s="93"/>
      <c r="L4119" s="93"/>
      <c r="M4119" s="93"/>
      <c r="N4119" s="93"/>
      <c r="O4119" s="93"/>
      <c r="P4119" s="93"/>
      <c r="Q4119" s="93"/>
      <c r="R4119" s="93"/>
      <c r="S4119" s="93"/>
      <c r="T4119" s="93"/>
      <c r="U4119" s="93"/>
      <c r="V4119" s="93"/>
      <c r="W4119" s="93"/>
      <c r="X4119" s="93"/>
      <c r="Y4119" s="93"/>
      <c r="Z4119" s="93"/>
      <c r="AA4119" s="93"/>
      <c r="AB4119" s="22">
        <f t="shared" si="1308"/>
        <v>0</v>
      </c>
      <c r="AC4119" s="64">
        <v>0</v>
      </c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22">
        <f t="shared" si="1309"/>
        <v>0</v>
      </c>
      <c r="BC4119" s="63">
        <v>9</v>
      </c>
      <c r="BD4119" s="130">
        <f t="shared" si="1310"/>
        <v>0</v>
      </c>
      <c r="BE4119" s="130">
        <f t="shared" si="1311"/>
        <v>9</v>
      </c>
      <c r="BF4119" s="195">
        <f t="shared" si="1312"/>
        <v>0</v>
      </c>
      <c r="BG4119" s="373">
        <f t="shared" si="1313"/>
        <v>9</v>
      </c>
    </row>
    <row r="4120" spans="1:61" s="46" customFormat="1" ht="14.25" customHeight="1">
      <c r="A4120" s="183">
        <v>6</v>
      </c>
      <c r="B4120" s="91" t="s">
        <v>1665</v>
      </c>
      <c r="C4120" s="92" t="s">
        <v>1666</v>
      </c>
      <c r="D4120" s="93"/>
      <c r="E4120" s="93"/>
      <c r="F4120" s="93"/>
      <c r="G4120" s="93"/>
      <c r="H4120" s="93"/>
      <c r="I4120" s="93"/>
      <c r="J4120" s="93"/>
      <c r="K4120" s="93"/>
      <c r="L4120" s="93"/>
      <c r="M4120" s="93"/>
      <c r="N4120" s="93"/>
      <c r="O4120" s="93"/>
      <c r="P4120" s="93"/>
      <c r="Q4120" s="93"/>
      <c r="R4120" s="93"/>
      <c r="S4120" s="93"/>
      <c r="T4120" s="93"/>
      <c r="U4120" s="93"/>
      <c r="V4120" s="93"/>
      <c r="W4120" s="93"/>
      <c r="X4120" s="93"/>
      <c r="Y4120" s="93"/>
      <c r="Z4120" s="93"/>
      <c r="AA4120" s="93"/>
      <c r="AB4120" s="22">
        <f t="shared" si="1308"/>
        <v>0</v>
      </c>
      <c r="AC4120" s="64">
        <v>0</v>
      </c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22">
        <f t="shared" si="1309"/>
        <v>0</v>
      </c>
      <c r="BC4120" s="63">
        <v>1</v>
      </c>
      <c r="BD4120" s="130">
        <f t="shared" si="1310"/>
        <v>0</v>
      </c>
      <c r="BE4120" s="130">
        <f t="shared" si="1311"/>
        <v>1</v>
      </c>
      <c r="BF4120" s="195">
        <f t="shared" si="1312"/>
        <v>0</v>
      </c>
      <c r="BG4120" s="373">
        <f t="shared" si="1313"/>
        <v>1</v>
      </c>
    </row>
    <row r="4121" spans="1:61" s="46" customFormat="1" ht="14.25" customHeight="1">
      <c r="A4121" s="183">
        <v>7</v>
      </c>
      <c r="B4121" s="91" t="s">
        <v>1767</v>
      </c>
      <c r="C4121" s="92" t="s">
        <v>2802</v>
      </c>
      <c r="D4121" s="93"/>
      <c r="E4121" s="93"/>
      <c r="F4121" s="93"/>
      <c r="G4121" s="93"/>
      <c r="H4121" s="93"/>
      <c r="I4121" s="93"/>
      <c r="J4121" s="93"/>
      <c r="K4121" s="93"/>
      <c r="L4121" s="93"/>
      <c r="M4121" s="93"/>
      <c r="N4121" s="93"/>
      <c r="O4121" s="93"/>
      <c r="P4121" s="93"/>
      <c r="Q4121" s="93"/>
      <c r="R4121" s="93"/>
      <c r="S4121" s="93"/>
      <c r="T4121" s="93"/>
      <c r="U4121" s="93"/>
      <c r="V4121" s="93"/>
      <c r="W4121" s="93"/>
      <c r="X4121" s="93"/>
      <c r="Y4121" s="93"/>
      <c r="Z4121" s="93"/>
      <c r="AA4121" s="93"/>
      <c r="AB4121" s="22">
        <f t="shared" si="1308"/>
        <v>0</v>
      </c>
      <c r="AC4121" s="64">
        <v>0</v>
      </c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22">
        <f t="shared" si="1309"/>
        <v>0</v>
      </c>
      <c r="BC4121" s="63">
        <v>9</v>
      </c>
      <c r="BD4121" s="130">
        <f t="shared" si="1310"/>
        <v>0</v>
      </c>
      <c r="BE4121" s="130">
        <f t="shared" si="1311"/>
        <v>9</v>
      </c>
      <c r="BF4121" s="195">
        <f t="shared" si="1312"/>
        <v>0</v>
      </c>
      <c r="BG4121" s="373">
        <f t="shared" si="1313"/>
        <v>9</v>
      </c>
    </row>
    <row r="4122" spans="1:61" s="46" customFormat="1" ht="14.25" customHeight="1">
      <c r="A4122" s="183">
        <v>8</v>
      </c>
      <c r="B4122" s="91" t="s">
        <v>1821</v>
      </c>
      <c r="C4122" s="92" t="s">
        <v>1958</v>
      </c>
      <c r="D4122" s="93"/>
      <c r="E4122" s="93"/>
      <c r="F4122" s="93"/>
      <c r="G4122" s="93"/>
      <c r="H4122" s="93"/>
      <c r="I4122" s="93"/>
      <c r="J4122" s="93"/>
      <c r="K4122" s="93"/>
      <c r="L4122" s="93"/>
      <c r="M4122" s="93"/>
      <c r="N4122" s="93"/>
      <c r="O4122" s="93"/>
      <c r="P4122" s="93"/>
      <c r="Q4122" s="93"/>
      <c r="R4122" s="93"/>
      <c r="S4122" s="93"/>
      <c r="T4122" s="93"/>
      <c r="U4122" s="93"/>
      <c r="V4122" s="93"/>
      <c r="W4122" s="93"/>
      <c r="X4122" s="93"/>
      <c r="Y4122" s="93"/>
      <c r="Z4122" s="93"/>
      <c r="AA4122" s="93"/>
      <c r="AB4122" s="22">
        <f t="shared" si="1308"/>
        <v>0</v>
      </c>
      <c r="AC4122" s="64">
        <v>8</v>
      </c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22">
        <f t="shared" si="1309"/>
        <v>0</v>
      </c>
      <c r="BC4122" s="63">
        <v>0</v>
      </c>
      <c r="BD4122" s="130">
        <f t="shared" si="1310"/>
        <v>0</v>
      </c>
      <c r="BE4122" s="130">
        <f t="shared" si="1311"/>
        <v>8</v>
      </c>
      <c r="BF4122" s="195">
        <f t="shared" si="1312"/>
        <v>0</v>
      </c>
      <c r="BG4122" s="373">
        <f t="shared" si="1313"/>
        <v>8</v>
      </c>
    </row>
    <row r="4123" spans="1:61" s="46" customFormat="1" ht="14.25" customHeight="1">
      <c r="A4123" s="648" t="s">
        <v>1827</v>
      </c>
      <c r="B4123" s="649"/>
      <c r="C4123" s="649"/>
      <c r="D4123" s="52">
        <f t="shared" ref="D4123:BC4123" si="1314">D4124</f>
        <v>0</v>
      </c>
      <c r="E4123" s="52">
        <f t="shared" si="1314"/>
        <v>0</v>
      </c>
      <c r="F4123" s="52">
        <f t="shared" si="1314"/>
        <v>0</v>
      </c>
      <c r="G4123" s="52">
        <f t="shared" si="1314"/>
        <v>0</v>
      </c>
      <c r="H4123" s="52">
        <f t="shared" si="1314"/>
        <v>0</v>
      </c>
      <c r="I4123" s="52">
        <f t="shared" si="1314"/>
        <v>0</v>
      </c>
      <c r="J4123" s="52">
        <f t="shared" si="1314"/>
        <v>0</v>
      </c>
      <c r="K4123" s="52">
        <f t="shared" si="1314"/>
        <v>0</v>
      </c>
      <c r="L4123" s="52">
        <f t="shared" si="1314"/>
        <v>0</v>
      </c>
      <c r="M4123" s="52">
        <f t="shared" si="1314"/>
        <v>0</v>
      </c>
      <c r="N4123" s="52">
        <f t="shared" si="1314"/>
        <v>0</v>
      </c>
      <c r="O4123" s="52">
        <f t="shared" si="1314"/>
        <v>0</v>
      </c>
      <c r="P4123" s="52">
        <f t="shared" si="1314"/>
        <v>0</v>
      </c>
      <c r="Q4123" s="52">
        <f t="shared" si="1314"/>
        <v>0</v>
      </c>
      <c r="R4123" s="52">
        <f t="shared" si="1314"/>
        <v>0</v>
      </c>
      <c r="S4123" s="52">
        <f t="shared" si="1314"/>
        <v>0</v>
      </c>
      <c r="T4123" s="52">
        <f t="shared" si="1314"/>
        <v>0</v>
      </c>
      <c r="U4123" s="52">
        <f t="shared" si="1314"/>
        <v>0</v>
      </c>
      <c r="V4123" s="52">
        <f t="shared" si="1314"/>
        <v>0</v>
      </c>
      <c r="W4123" s="52">
        <f t="shared" si="1314"/>
        <v>0</v>
      </c>
      <c r="X4123" s="52">
        <f t="shared" si="1314"/>
        <v>0</v>
      </c>
      <c r="Y4123" s="52">
        <f t="shared" si="1314"/>
        <v>0</v>
      </c>
      <c r="Z4123" s="52">
        <f t="shared" si="1314"/>
        <v>0</v>
      </c>
      <c r="AA4123" s="52">
        <f t="shared" si="1314"/>
        <v>0</v>
      </c>
      <c r="AB4123" s="52">
        <f t="shared" si="1314"/>
        <v>0</v>
      </c>
      <c r="AC4123" s="127">
        <f t="shared" si="1314"/>
        <v>0</v>
      </c>
      <c r="AD4123" s="52">
        <f t="shared" si="1314"/>
        <v>0</v>
      </c>
      <c r="AE4123" s="52">
        <f t="shared" si="1314"/>
        <v>0</v>
      </c>
      <c r="AF4123" s="52">
        <f t="shared" si="1314"/>
        <v>0</v>
      </c>
      <c r="AG4123" s="52">
        <f t="shared" si="1314"/>
        <v>0</v>
      </c>
      <c r="AH4123" s="52">
        <f t="shared" si="1314"/>
        <v>0</v>
      </c>
      <c r="AI4123" s="52">
        <f t="shared" si="1314"/>
        <v>0</v>
      </c>
      <c r="AJ4123" s="52">
        <f t="shared" si="1314"/>
        <v>0</v>
      </c>
      <c r="AK4123" s="52">
        <f t="shared" si="1314"/>
        <v>0</v>
      </c>
      <c r="AL4123" s="52">
        <f t="shared" si="1314"/>
        <v>0</v>
      </c>
      <c r="AM4123" s="52">
        <f t="shared" si="1314"/>
        <v>0</v>
      </c>
      <c r="AN4123" s="52">
        <f t="shared" si="1314"/>
        <v>0</v>
      </c>
      <c r="AO4123" s="52">
        <f t="shared" si="1314"/>
        <v>0</v>
      </c>
      <c r="AP4123" s="52">
        <f t="shared" si="1314"/>
        <v>0</v>
      </c>
      <c r="AQ4123" s="52">
        <f t="shared" si="1314"/>
        <v>0</v>
      </c>
      <c r="AR4123" s="52">
        <f t="shared" si="1314"/>
        <v>0</v>
      </c>
      <c r="AS4123" s="52">
        <f t="shared" si="1314"/>
        <v>0</v>
      </c>
      <c r="AT4123" s="52">
        <f t="shared" si="1314"/>
        <v>0</v>
      </c>
      <c r="AU4123" s="52">
        <f t="shared" si="1314"/>
        <v>0</v>
      </c>
      <c r="AV4123" s="52">
        <f t="shared" si="1314"/>
        <v>0</v>
      </c>
      <c r="AW4123" s="52">
        <f t="shared" si="1314"/>
        <v>0</v>
      </c>
      <c r="AX4123" s="52">
        <f t="shared" si="1314"/>
        <v>0</v>
      </c>
      <c r="AY4123" s="52">
        <f t="shared" si="1314"/>
        <v>0</v>
      </c>
      <c r="AZ4123" s="52">
        <f t="shared" si="1314"/>
        <v>0</v>
      </c>
      <c r="BA4123" s="52">
        <f t="shared" si="1314"/>
        <v>0</v>
      </c>
      <c r="BB4123" s="52">
        <f t="shared" si="1314"/>
        <v>0</v>
      </c>
      <c r="BC4123" s="127">
        <f t="shared" si="1314"/>
        <v>0</v>
      </c>
      <c r="BD4123" s="130">
        <f t="shared" ref="BD4123:BD4161" si="1315">AB4123+BB4123</f>
        <v>0</v>
      </c>
      <c r="BE4123" s="130">
        <f t="shared" ref="BE4123:BE4161" si="1316">AC4123+BC4123</f>
        <v>0</v>
      </c>
      <c r="BF4123" s="195" t="e">
        <f t="shared" si="1297"/>
        <v>#DIV/0!</v>
      </c>
      <c r="BG4123" s="375">
        <f t="shared" ref="BG4123:BG4161" si="1317">BE4123-BD4123</f>
        <v>0</v>
      </c>
    </row>
    <row r="4124" spans="1:61" s="46" customFormat="1" ht="14.25" customHeight="1">
      <c r="A4124" s="184"/>
      <c r="B4124" s="185"/>
      <c r="C4124" s="185"/>
      <c r="D4124" s="55"/>
      <c r="E4124" s="55"/>
      <c r="F4124" s="55"/>
      <c r="G4124" s="55"/>
      <c r="H4124" s="55"/>
      <c r="I4124" s="55"/>
      <c r="J4124" s="55"/>
      <c r="K4124" s="55"/>
      <c r="L4124" s="55"/>
      <c r="M4124" s="55"/>
      <c r="N4124" s="55"/>
      <c r="O4124" s="55"/>
      <c r="P4124" s="55"/>
      <c r="Q4124" s="55"/>
      <c r="R4124" s="55"/>
      <c r="S4124" s="55"/>
      <c r="T4124" s="55"/>
      <c r="U4124" s="55"/>
      <c r="V4124" s="55"/>
      <c r="W4124" s="55"/>
      <c r="X4124" s="55"/>
      <c r="Y4124" s="55"/>
      <c r="Z4124" s="55"/>
      <c r="AA4124" s="55"/>
      <c r="AB4124" s="22">
        <f>SUM(D4124:AA4124)</f>
        <v>0</v>
      </c>
      <c r="AC4124" s="23">
        <v>0</v>
      </c>
      <c r="AD4124" s="186"/>
      <c r="AE4124" s="186"/>
      <c r="AF4124" s="186"/>
      <c r="AG4124" s="186"/>
      <c r="AH4124" s="186"/>
      <c r="AI4124" s="186"/>
      <c r="AJ4124" s="186"/>
      <c r="AK4124" s="186"/>
      <c r="AL4124" s="186"/>
      <c r="AM4124" s="186"/>
      <c r="AN4124" s="186"/>
      <c r="AO4124" s="186"/>
      <c r="AP4124" s="186"/>
      <c r="AQ4124" s="186"/>
      <c r="AR4124" s="186"/>
      <c r="AS4124" s="186"/>
      <c r="AT4124" s="186"/>
      <c r="AU4124" s="186"/>
      <c r="AV4124" s="186"/>
      <c r="AW4124" s="186"/>
      <c r="AX4124" s="186"/>
      <c r="AY4124" s="186"/>
      <c r="AZ4124" s="186"/>
      <c r="BA4124" s="186"/>
      <c r="BB4124" s="22">
        <f t="shared" ref="BB4124" si="1318">SUM(AD4124:BA4124)</f>
        <v>0</v>
      </c>
      <c r="BC4124" s="23">
        <v>0</v>
      </c>
      <c r="BD4124" s="130">
        <f t="shared" si="1315"/>
        <v>0</v>
      </c>
      <c r="BE4124" s="130">
        <f t="shared" si="1316"/>
        <v>0</v>
      </c>
      <c r="BF4124" s="195" t="e">
        <f t="shared" si="1297"/>
        <v>#DIV/0!</v>
      </c>
      <c r="BG4124" s="373">
        <f t="shared" si="1317"/>
        <v>0</v>
      </c>
    </row>
    <row r="4125" spans="1:61" s="46" customFormat="1" ht="14.25" customHeight="1">
      <c r="A4125" s="648" t="s">
        <v>1828</v>
      </c>
      <c r="B4125" s="649"/>
      <c r="C4125" s="649"/>
      <c r="D4125" s="52">
        <f t="shared" ref="D4125:AI4125" si="1319">SUM(D4126:D4131)</f>
        <v>0</v>
      </c>
      <c r="E4125" s="52">
        <f t="shared" si="1319"/>
        <v>0</v>
      </c>
      <c r="F4125" s="52">
        <f t="shared" si="1319"/>
        <v>0</v>
      </c>
      <c r="G4125" s="52">
        <f t="shared" si="1319"/>
        <v>0</v>
      </c>
      <c r="H4125" s="52">
        <f t="shared" si="1319"/>
        <v>0</v>
      </c>
      <c r="I4125" s="52">
        <f t="shared" si="1319"/>
        <v>0</v>
      </c>
      <c r="J4125" s="52">
        <f t="shared" si="1319"/>
        <v>0</v>
      </c>
      <c r="K4125" s="52">
        <f t="shared" si="1319"/>
        <v>0</v>
      </c>
      <c r="L4125" s="52">
        <f t="shared" si="1319"/>
        <v>3</v>
      </c>
      <c r="M4125" s="52">
        <f t="shared" si="1319"/>
        <v>0</v>
      </c>
      <c r="N4125" s="52">
        <f t="shared" si="1319"/>
        <v>0</v>
      </c>
      <c r="O4125" s="52">
        <f t="shared" si="1319"/>
        <v>0</v>
      </c>
      <c r="P4125" s="52">
        <f t="shared" si="1319"/>
        <v>4</v>
      </c>
      <c r="Q4125" s="52">
        <f t="shared" si="1319"/>
        <v>0</v>
      </c>
      <c r="R4125" s="52">
        <f t="shared" si="1319"/>
        <v>0</v>
      </c>
      <c r="S4125" s="52">
        <f t="shared" si="1319"/>
        <v>0</v>
      </c>
      <c r="T4125" s="52">
        <f t="shared" si="1319"/>
        <v>0</v>
      </c>
      <c r="U4125" s="52">
        <f t="shared" si="1319"/>
        <v>0</v>
      </c>
      <c r="V4125" s="52">
        <f t="shared" si="1319"/>
        <v>0</v>
      </c>
      <c r="W4125" s="52">
        <f t="shared" si="1319"/>
        <v>0</v>
      </c>
      <c r="X4125" s="52">
        <f t="shared" si="1319"/>
        <v>0</v>
      </c>
      <c r="Y4125" s="52">
        <f t="shared" si="1319"/>
        <v>0</v>
      </c>
      <c r="Z4125" s="52">
        <f t="shared" si="1319"/>
        <v>0</v>
      </c>
      <c r="AA4125" s="52">
        <f t="shared" si="1319"/>
        <v>0</v>
      </c>
      <c r="AB4125" s="52">
        <f t="shared" si="1319"/>
        <v>7</v>
      </c>
      <c r="AC4125" s="127">
        <f t="shared" si="1319"/>
        <v>0</v>
      </c>
      <c r="AD4125" s="52">
        <f t="shared" si="1319"/>
        <v>0</v>
      </c>
      <c r="AE4125" s="52">
        <f t="shared" si="1319"/>
        <v>0</v>
      </c>
      <c r="AF4125" s="52">
        <f t="shared" si="1319"/>
        <v>0</v>
      </c>
      <c r="AG4125" s="52">
        <f t="shared" si="1319"/>
        <v>0</v>
      </c>
      <c r="AH4125" s="52">
        <f t="shared" si="1319"/>
        <v>5</v>
      </c>
      <c r="AI4125" s="52">
        <f t="shared" si="1319"/>
        <v>0</v>
      </c>
      <c r="AJ4125" s="52">
        <f t="shared" ref="AJ4125:BC4125" si="1320">SUM(AJ4126:AJ4131)</f>
        <v>0</v>
      </c>
      <c r="AK4125" s="52">
        <f t="shared" si="1320"/>
        <v>0</v>
      </c>
      <c r="AL4125" s="52">
        <f t="shared" si="1320"/>
        <v>3</v>
      </c>
      <c r="AM4125" s="52">
        <f t="shared" si="1320"/>
        <v>0</v>
      </c>
      <c r="AN4125" s="52">
        <f t="shared" si="1320"/>
        <v>0</v>
      </c>
      <c r="AO4125" s="52">
        <f t="shared" si="1320"/>
        <v>0</v>
      </c>
      <c r="AP4125" s="52">
        <f t="shared" si="1320"/>
        <v>17</v>
      </c>
      <c r="AQ4125" s="52">
        <f t="shared" si="1320"/>
        <v>0</v>
      </c>
      <c r="AR4125" s="52">
        <f t="shared" si="1320"/>
        <v>0</v>
      </c>
      <c r="AS4125" s="52">
        <f t="shared" si="1320"/>
        <v>0</v>
      </c>
      <c r="AT4125" s="52">
        <f t="shared" si="1320"/>
        <v>0</v>
      </c>
      <c r="AU4125" s="52">
        <f t="shared" si="1320"/>
        <v>0</v>
      </c>
      <c r="AV4125" s="52">
        <f t="shared" si="1320"/>
        <v>0</v>
      </c>
      <c r="AW4125" s="52">
        <f t="shared" si="1320"/>
        <v>0</v>
      </c>
      <c r="AX4125" s="52">
        <f t="shared" si="1320"/>
        <v>0</v>
      </c>
      <c r="AY4125" s="52">
        <f t="shared" si="1320"/>
        <v>0</v>
      </c>
      <c r="AZ4125" s="52">
        <f t="shared" si="1320"/>
        <v>0</v>
      </c>
      <c r="BA4125" s="52">
        <f t="shared" si="1320"/>
        <v>0</v>
      </c>
      <c r="BB4125" s="52">
        <f t="shared" si="1320"/>
        <v>25</v>
      </c>
      <c r="BC4125" s="127">
        <f t="shared" si="1320"/>
        <v>0</v>
      </c>
      <c r="BD4125" s="130">
        <f t="shared" si="1315"/>
        <v>32</v>
      </c>
      <c r="BE4125" s="130">
        <f t="shared" si="1316"/>
        <v>0</v>
      </c>
      <c r="BF4125" s="195" t="e">
        <f t="shared" ref="BF4125:BF4186" si="1321">BD4125/BE4125*100</f>
        <v>#DIV/0!</v>
      </c>
      <c r="BG4125" s="375">
        <f t="shared" si="1317"/>
        <v>-32</v>
      </c>
    </row>
    <row r="4126" spans="1:61" s="46" customFormat="1" ht="21" customHeight="1">
      <c r="A4126" s="417">
        <v>1</v>
      </c>
      <c r="B4126" s="418" t="s">
        <v>1743</v>
      </c>
      <c r="C4126" s="419" t="s">
        <v>1744</v>
      </c>
      <c r="D4126" s="55"/>
      <c r="E4126" s="55"/>
      <c r="F4126" s="55"/>
      <c r="G4126" s="55"/>
      <c r="H4126" s="55"/>
      <c r="I4126" s="55"/>
      <c r="J4126" s="55"/>
      <c r="K4126" s="55"/>
      <c r="L4126" s="55">
        <v>1</v>
      </c>
      <c r="M4126" s="55"/>
      <c r="N4126" s="55"/>
      <c r="O4126" s="55"/>
      <c r="P4126" s="55">
        <v>4</v>
      </c>
      <c r="Q4126" s="55"/>
      <c r="R4126" s="55"/>
      <c r="S4126" s="55"/>
      <c r="T4126" s="55"/>
      <c r="U4126" s="55"/>
      <c r="V4126" s="55"/>
      <c r="W4126" s="55"/>
      <c r="X4126" s="55"/>
      <c r="Y4126" s="55"/>
      <c r="Z4126" s="55"/>
      <c r="AA4126" s="55"/>
      <c r="AB4126" s="22">
        <f t="shared" ref="AB4126:AB4131" si="1322">SUM(D4126:AA4126)</f>
        <v>5</v>
      </c>
      <c r="AC4126" s="23">
        <v>0</v>
      </c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22">
        <f t="shared" ref="BB4126:BB4131" si="1323">SUM(AD4126:BA4126)</f>
        <v>0</v>
      </c>
      <c r="BC4126" s="23">
        <v>0</v>
      </c>
      <c r="BD4126" s="130">
        <f t="shared" ref="BD4126" si="1324">AB4126+BB4126</f>
        <v>5</v>
      </c>
      <c r="BE4126" s="130">
        <f t="shared" ref="BE4126" si="1325">AC4126+BC4126</f>
        <v>0</v>
      </c>
      <c r="BF4126" s="195" t="e">
        <f t="shared" ref="BF4126:BF4131" si="1326">BD4126/BE4126*100</f>
        <v>#DIV/0!</v>
      </c>
      <c r="BG4126" s="373"/>
      <c r="BH4126" s="426" t="s">
        <v>3675</v>
      </c>
      <c r="BI4126" s="420"/>
    </row>
    <row r="4127" spans="1:61" s="46" customFormat="1" ht="21" customHeight="1">
      <c r="A4127" s="417">
        <v>2</v>
      </c>
      <c r="B4127" s="418" t="s">
        <v>1756</v>
      </c>
      <c r="C4127" s="419" t="s">
        <v>1757</v>
      </c>
      <c r="D4127" s="55"/>
      <c r="E4127" s="55"/>
      <c r="F4127" s="55"/>
      <c r="G4127" s="55"/>
      <c r="H4127" s="55"/>
      <c r="I4127" s="55"/>
      <c r="J4127" s="55"/>
      <c r="K4127" s="55"/>
      <c r="L4127" s="55">
        <v>1</v>
      </c>
      <c r="M4127" s="55"/>
      <c r="N4127" s="55"/>
      <c r="O4127" s="55"/>
      <c r="P4127" s="55"/>
      <c r="Q4127" s="55"/>
      <c r="R4127" s="55"/>
      <c r="S4127" s="55"/>
      <c r="T4127" s="55"/>
      <c r="U4127" s="55"/>
      <c r="V4127" s="55"/>
      <c r="W4127" s="55"/>
      <c r="X4127" s="55"/>
      <c r="Y4127" s="55"/>
      <c r="Z4127" s="55"/>
      <c r="AA4127" s="55"/>
      <c r="AB4127" s="22">
        <f t="shared" si="1322"/>
        <v>1</v>
      </c>
      <c r="AC4127" s="23">
        <v>0</v>
      </c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22">
        <f t="shared" si="1323"/>
        <v>0</v>
      </c>
      <c r="BC4127" s="23">
        <v>0</v>
      </c>
      <c r="BD4127" s="130">
        <f t="shared" ref="BD4127" si="1327">AB4127+BB4127</f>
        <v>1</v>
      </c>
      <c r="BE4127" s="130">
        <f t="shared" ref="BE4127" si="1328">AC4127+BC4127</f>
        <v>0</v>
      </c>
      <c r="BF4127" s="195" t="e">
        <f t="shared" si="1326"/>
        <v>#DIV/0!</v>
      </c>
      <c r="BG4127" s="373"/>
      <c r="BH4127" s="426" t="s">
        <v>3675</v>
      </c>
      <c r="BI4127" s="420"/>
    </row>
    <row r="4128" spans="1:61" s="46" customFormat="1" ht="21" customHeight="1">
      <c r="A4128" s="417">
        <v>3</v>
      </c>
      <c r="B4128" s="418" t="s">
        <v>1749</v>
      </c>
      <c r="C4128" s="419" t="s">
        <v>1750</v>
      </c>
      <c r="D4128" s="55"/>
      <c r="E4128" s="55"/>
      <c r="F4128" s="55"/>
      <c r="G4128" s="55"/>
      <c r="H4128" s="55"/>
      <c r="I4128" s="55"/>
      <c r="J4128" s="55"/>
      <c r="K4128" s="55"/>
      <c r="L4128" s="55">
        <v>1</v>
      </c>
      <c r="M4128" s="55"/>
      <c r="N4128" s="55"/>
      <c r="O4128" s="55"/>
      <c r="P4128" s="55"/>
      <c r="Q4128" s="55"/>
      <c r="R4128" s="55"/>
      <c r="S4128" s="55"/>
      <c r="T4128" s="55"/>
      <c r="U4128" s="55"/>
      <c r="V4128" s="55"/>
      <c r="W4128" s="55"/>
      <c r="X4128" s="55"/>
      <c r="Y4128" s="55"/>
      <c r="Z4128" s="55"/>
      <c r="AA4128" s="55"/>
      <c r="AB4128" s="22">
        <f t="shared" si="1322"/>
        <v>1</v>
      </c>
      <c r="AC4128" s="23">
        <v>0</v>
      </c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22">
        <f t="shared" si="1323"/>
        <v>0</v>
      </c>
      <c r="BC4128" s="23">
        <v>0</v>
      </c>
      <c r="BD4128" s="130">
        <f t="shared" ref="BD4128:BE4131" si="1329">AB4128+BB4128</f>
        <v>1</v>
      </c>
      <c r="BE4128" s="130">
        <f t="shared" si="1329"/>
        <v>0</v>
      </c>
      <c r="BF4128" s="195" t="e">
        <f t="shared" si="1326"/>
        <v>#DIV/0!</v>
      </c>
      <c r="BG4128" s="373">
        <f>BE4128-BD4128</f>
        <v>-1</v>
      </c>
      <c r="BH4128" s="426" t="s">
        <v>3675</v>
      </c>
      <c r="BI4128" s="421"/>
    </row>
    <row r="4129" spans="1:61" s="46" customFormat="1" ht="21" customHeight="1">
      <c r="A4129" s="453">
        <v>4</v>
      </c>
      <c r="B4129" s="91" t="s">
        <v>1763</v>
      </c>
      <c r="C4129" s="92" t="s">
        <v>1826</v>
      </c>
      <c r="D4129" s="55"/>
      <c r="E4129" s="55"/>
      <c r="F4129" s="55"/>
      <c r="G4129" s="55"/>
      <c r="H4129" s="55"/>
      <c r="I4129" s="55"/>
      <c r="J4129" s="55"/>
      <c r="K4129" s="55"/>
      <c r="L4129" s="55"/>
      <c r="M4129" s="55"/>
      <c r="N4129" s="55"/>
      <c r="O4129" s="55"/>
      <c r="P4129" s="55"/>
      <c r="Q4129" s="55"/>
      <c r="R4129" s="55"/>
      <c r="S4129" s="55"/>
      <c r="T4129" s="55"/>
      <c r="U4129" s="55"/>
      <c r="V4129" s="55"/>
      <c r="W4129" s="55"/>
      <c r="X4129" s="55"/>
      <c r="Y4129" s="55"/>
      <c r="Z4129" s="55"/>
      <c r="AA4129" s="55"/>
      <c r="AB4129" s="22">
        <f t="shared" si="1322"/>
        <v>0</v>
      </c>
      <c r="AC4129" s="23">
        <v>0</v>
      </c>
      <c r="AD4129" s="94"/>
      <c r="AE4129" s="94"/>
      <c r="AF4129" s="94"/>
      <c r="AG4129" s="94"/>
      <c r="AH4129" s="94">
        <v>2</v>
      </c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22">
        <f t="shared" si="1323"/>
        <v>2</v>
      </c>
      <c r="BC4129" s="23">
        <v>0</v>
      </c>
      <c r="BD4129" s="130">
        <f t="shared" si="1329"/>
        <v>2</v>
      </c>
      <c r="BE4129" s="130">
        <f t="shared" si="1329"/>
        <v>0</v>
      </c>
      <c r="BF4129" s="195" t="e">
        <f t="shared" si="1326"/>
        <v>#DIV/0!</v>
      </c>
      <c r="BG4129" s="373"/>
      <c r="BH4129" s="2"/>
    </row>
    <row r="4130" spans="1:61" s="46" customFormat="1" ht="21" customHeight="1">
      <c r="A4130" s="453">
        <v>5</v>
      </c>
      <c r="B4130" s="91" t="s">
        <v>1767</v>
      </c>
      <c r="C4130" s="92" t="s">
        <v>1768</v>
      </c>
      <c r="D4130" s="55"/>
      <c r="E4130" s="55"/>
      <c r="F4130" s="55"/>
      <c r="G4130" s="55"/>
      <c r="H4130" s="55"/>
      <c r="I4130" s="55"/>
      <c r="J4130" s="55"/>
      <c r="K4130" s="55"/>
      <c r="L4130" s="55"/>
      <c r="M4130" s="55"/>
      <c r="N4130" s="55"/>
      <c r="O4130" s="55"/>
      <c r="P4130" s="55"/>
      <c r="Q4130" s="55"/>
      <c r="R4130" s="55"/>
      <c r="S4130" s="55"/>
      <c r="T4130" s="55"/>
      <c r="U4130" s="55"/>
      <c r="V4130" s="55"/>
      <c r="W4130" s="55"/>
      <c r="X4130" s="55"/>
      <c r="Y4130" s="55"/>
      <c r="Z4130" s="55"/>
      <c r="AA4130" s="55"/>
      <c r="AB4130" s="22">
        <f t="shared" si="1322"/>
        <v>0</v>
      </c>
      <c r="AC4130" s="23">
        <v>0</v>
      </c>
      <c r="AD4130" s="94"/>
      <c r="AE4130" s="94"/>
      <c r="AF4130" s="94"/>
      <c r="AG4130" s="94"/>
      <c r="AH4130" s="94"/>
      <c r="AI4130" s="94"/>
      <c r="AJ4130" s="94"/>
      <c r="AK4130" s="94"/>
      <c r="AL4130" s="94">
        <v>1</v>
      </c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22">
        <f t="shared" si="1323"/>
        <v>1</v>
      </c>
      <c r="BC4130" s="23">
        <v>0</v>
      </c>
      <c r="BD4130" s="130">
        <f t="shared" ref="BD4130" si="1330">AB4130+BB4130</f>
        <v>1</v>
      </c>
      <c r="BE4130" s="130">
        <f t="shared" ref="BE4130" si="1331">AC4130+BC4130</f>
        <v>0</v>
      </c>
      <c r="BF4130" s="195" t="e">
        <f t="shared" si="1326"/>
        <v>#DIV/0!</v>
      </c>
      <c r="BG4130" s="373"/>
      <c r="BH4130" s="2"/>
    </row>
    <row r="4131" spans="1:61" s="46" customFormat="1" ht="21" customHeight="1">
      <c r="A4131" s="453">
        <v>6</v>
      </c>
      <c r="B4131" s="91" t="s">
        <v>1771</v>
      </c>
      <c r="C4131" s="92" t="s">
        <v>1772</v>
      </c>
      <c r="D4131" s="55"/>
      <c r="E4131" s="55"/>
      <c r="F4131" s="55"/>
      <c r="G4131" s="55"/>
      <c r="H4131" s="55"/>
      <c r="I4131" s="55"/>
      <c r="J4131" s="55"/>
      <c r="K4131" s="55"/>
      <c r="L4131" s="55"/>
      <c r="M4131" s="55"/>
      <c r="N4131" s="55"/>
      <c r="O4131" s="55"/>
      <c r="P4131" s="55"/>
      <c r="Q4131" s="55"/>
      <c r="R4131" s="55"/>
      <c r="S4131" s="55"/>
      <c r="T4131" s="55"/>
      <c r="U4131" s="55"/>
      <c r="V4131" s="55"/>
      <c r="W4131" s="55"/>
      <c r="X4131" s="55"/>
      <c r="Y4131" s="55"/>
      <c r="Z4131" s="55"/>
      <c r="AA4131" s="55"/>
      <c r="AB4131" s="22">
        <f t="shared" si="1322"/>
        <v>0</v>
      </c>
      <c r="AC4131" s="23">
        <v>0</v>
      </c>
      <c r="AD4131" s="94"/>
      <c r="AE4131" s="94"/>
      <c r="AF4131" s="94"/>
      <c r="AG4131" s="94"/>
      <c r="AH4131" s="94">
        <v>3</v>
      </c>
      <c r="AI4131" s="94"/>
      <c r="AJ4131" s="94"/>
      <c r="AK4131" s="94"/>
      <c r="AL4131" s="94">
        <v>2</v>
      </c>
      <c r="AM4131" s="94"/>
      <c r="AN4131" s="94"/>
      <c r="AO4131" s="94"/>
      <c r="AP4131" s="94">
        <v>17</v>
      </c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22">
        <f t="shared" si="1323"/>
        <v>22</v>
      </c>
      <c r="BC4131" s="23">
        <v>0</v>
      </c>
      <c r="BD4131" s="130">
        <f t="shared" si="1329"/>
        <v>22</v>
      </c>
      <c r="BE4131" s="130">
        <f t="shared" si="1329"/>
        <v>0</v>
      </c>
      <c r="BF4131" s="195" t="e">
        <f t="shared" si="1326"/>
        <v>#DIV/0!</v>
      </c>
      <c r="BG4131" s="373"/>
      <c r="BH4131" s="2"/>
    </row>
    <row r="4132" spans="1:61" s="46" customFormat="1" ht="14.25" customHeight="1">
      <c r="A4132" s="650" t="s">
        <v>1829</v>
      </c>
      <c r="B4132" s="651"/>
      <c r="C4132" s="651"/>
      <c r="D4132" s="52">
        <f t="shared" ref="D4132:AI4132" si="1332">SUM(D4133:D4158)</f>
        <v>831</v>
      </c>
      <c r="E4132" s="52">
        <f t="shared" si="1332"/>
        <v>0</v>
      </c>
      <c r="F4132" s="52">
        <f t="shared" si="1332"/>
        <v>0</v>
      </c>
      <c r="G4132" s="52">
        <f t="shared" si="1332"/>
        <v>0</v>
      </c>
      <c r="H4132" s="52">
        <f t="shared" si="1332"/>
        <v>1453</v>
      </c>
      <c r="I4132" s="52">
        <f t="shared" si="1332"/>
        <v>0</v>
      </c>
      <c r="J4132" s="52">
        <f t="shared" si="1332"/>
        <v>0</v>
      </c>
      <c r="K4132" s="52">
        <f t="shared" si="1332"/>
        <v>0</v>
      </c>
      <c r="L4132" s="52">
        <f t="shared" si="1332"/>
        <v>4671</v>
      </c>
      <c r="M4132" s="52">
        <f t="shared" si="1332"/>
        <v>0</v>
      </c>
      <c r="N4132" s="52">
        <f t="shared" si="1332"/>
        <v>0</v>
      </c>
      <c r="O4132" s="52">
        <f t="shared" si="1332"/>
        <v>0</v>
      </c>
      <c r="P4132" s="52">
        <f t="shared" si="1332"/>
        <v>3888</v>
      </c>
      <c r="Q4132" s="52">
        <f t="shared" si="1332"/>
        <v>0</v>
      </c>
      <c r="R4132" s="52">
        <f t="shared" si="1332"/>
        <v>0</v>
      </c>
      <c r="S4132" s="52">
        <f t="shared" si="1332"/>
        <v>0</v>
      </c>
      <c r="T4132" s="52">
        <f t="shared" si="1332"/>
        <v>0</v>
      </c>
      <c r="U4132" s="52">
        <f t="shared" si="1332"/>
        <v>0</v>
      </c>
      <c r="V4132" s="52">
        <f t="shared" si="1332"/>
        <v>0</v>
      </c>
      <c r="W4132" s="52">
        <f t="shared" si="1332"/>
        <v>0</v>
      </c>
      <c r="X4132" s="52">
        <f t="shared" si="1332"/>
        <v>0</v>
      </c>
      <c r="Y4132" s="52">
        <f t="shared" si="1332"/>
        <v>0</v>
      </c>
      <c r="Z4132" s="52">
        <f t="shared" si="1332"/>
        <v>0</v>
      </c>
      <c r="AA4132" s="52">
        <f t="shared" si="1332"/>
        <v>0</v>
      </c>
      <c r="AB4132" s="52">
        <f t="shared" si="1332"/>
        <v>10843</v>
      </c>
      <c r="AC4132" s="127">
        <f t="shared" si="1332"/>
        <v>29955</v>
      </c>
      <c r="AD4132" s="52">
        <f t="shared" si="1332"/>
        <v>297</v>
      </c>
      <c r="AE4132" s="52">
        <f t="shared" si="1332"/>
        <v>0</v>
      </c>
      <c r="AF4132" s="52">
        <f t="shared" si="1332"/>
        <v>0</v>
      </c>
      <c r="AG4132" s="52">
        <f t="shared" si="1332"/>
        <v>0</v>
      </c>
      <c r="AH4132" s="52">
        <f t="shared" si="1332"/>
        <v>584</v>
      </c>
      <c r="AI4132" s="52">
        <f t="shared" si="1332"/>
        <v>0</v>
      </c>
      <c r="AJ4132" s="52">
        <f t="shared" ref="AJ4132:BC4132" si="1333">SUM(AJ4133:AJ4158)</f>
        <v>0</v>
      </c>
      <c r="AK4132" s="52">
        <f t="shared" si="1333"/>
        <v>0</v>
      </c>
      <c r="AL4132" s="52">
        <f t="shared" si="1333"/>
        <v>2505</v>
      </c>
      <c r="AM4132" s="52">
        <f t="shared" si="1333"/>
        <v>0</v>
      </c>
      <c r="AN4132" s="52">
        <f t="shared" si="1333"/>
        <v>0</v>
      </c>
      <c r="AO4132" s="52">
        <f t="shared" si="1333"/>
        <v>0</v>
      </c>
      <c r="AP4132" s="52">
        <f t="shared" si="1333"/>
        <v>2272</v>
      </c>
      <c r="AQ4132" s="52">
        <f t="shared" si="1333"/>
        <v>0</v>
      </c>
      <c r="AR4132" s="52">
        <f t="shared" si="1333"/>
        <v>0</v>
      </c>
      <c r="AS4132" s="52">
        <f t="shared" si="1333"/>
        <v>0</v>
      </c>
      <c r="AT4132" s="52">
        <f t="shared" si="1333"/>
        <v>0</v>
      </c>
      <c r="AU4132" s="52">
        <f t="shared" si="1333"/>
        <v>0</v>
      </c>
      <c r="AV4132" s="52">
        <f t="shared" si="1333"/>
        <v>0</v>
      </c>
      <c r="AW4132" s="52">
        <f t="shared" si="1333"/>
        <v>0</v>
      </c>
      <c r="AX4132" s="52">
        <f t="shared" si="1333"/>
        <v>0</v>
      </c>
      <c r="AY4132" s="52">
        <f t="shared" si="1333"/>
        <v>0</v>
      </c>
      <c r="AZ4132" s="52">
        <f t="shared" si="1333"/>
        <v>0</v>
      </c>
      <c r="BA4132" s="52">
        <f t="shared" si="1333"/>
        <v>0</v>
      </c>
      <c r="BB4132" s="52">
        <f t="shared" si="1333"/>
        <v>5658</v>
      </c>
      <c r="BC4132" s="127">
        <f t="shared" si="1333"/>
        <v>19827</v>
      </c>
      <c r="BD4132" s="130">
        <f t="shared" si="1315"/>
        <v>16501</v>
      </c>
      <c r="BE4132" s="130">
        <f t="shared" si="1316"/>
        <v>49782</v>
      </c>
      <c r="BF4132" s="195">
        <f t="shared" si="1321"/>
        <v>33.146518822064202</v>
      </c>
      <c r="BG4132" s="375">
        <f t="shared" si="1317"/>
        <v>33281</v>
      </c>
    </row>
    <row r="4133" spans="1:61" s="46" customFormat="1" ht="21" customHeight="1">
      <c r="A4133" s="417">
        <v>1</v>
      </c>
      <c r="B4133" s="418" t="s">
        <v>1743</v>
      </c>
      <c r="C4133" s="419" t="s">
        <v>1744</v>
      </c>
      <c r="D4133" s="55">
        <v>171</v>
      </c>
      <c r="E4133" s="55"/>
      <c r="F4133" s="55"/>
      <c r="G4133" s="55"/>
      <c r="H4133" s="56">
        <f>10+120</f>
        <v>130</v>
      </c>
      <c r="I4133" s="55"/>
      <c r="J4133" s="55"/>
      <c r="K4133" s="55"/>
      <c r="L4133" s="55">
        <f>214+92</f>
        <v>306</v>
      </c>
      <c r="M4133" s="55"/>
      <c r="N4133" s="55"/>
      <c r="O4133" s="55"/>
      <c r="P4133" s="55">
        <v>152</v>
      </c>
      <c r="Q4133" s="55"/>
      <c r="R4133" s="55"/>
      <c r="S4133" s="55"/>
      <c r="T4133" s="55"/>
      <c r="U4133" s="55"/>
      <c r="V4133" s="55"/>
      <c r="W4133" s="55"/>
      <c r="X4133" s="55"/>
      <c r="Y4133" s="55"/>
      <c r="Z4133" s="55"/>
      <c r="AA4133" s="55"/>
      <c r="AB4133" s="22">
        <f t="shared" ref="AB4133:AB4158" si="1334">SUM(D4133:AA4133)</f>
        <v>759</v>
      </c>
      <c r="AC4133" s="23">
        <v>980</v>
      </c>
      <c r="AD4133" s="56"/>
      <c r="AE4133" s="56"/>
      <c r="AF4133" s="56"/>
      <c r="AG4133" s="56"/>
      <c r="AH4133" s="56"/>
      <c r="AI4133" s="56"/>
      <c r="AJ4133" s="56"/>
      <c r="AK4133" s="56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  <c r="AV4133" s="56"/>
      <c r="AW4133" s="56"/>
      <c r="AX4133" s="56"/>
      <c r="AY4133" s="56"/>
      <c r="AZ4133" s="56"/>
      <c r="BA4133" s="56"/>
      <c r="BB4133" s="22">
        <f t="shared" ref="BB4133:BB4158" si="1335">SUM(AD4133:BA4133)</f>
        <v>0</v>
      </c>
      <c r="BC4133" s="23">
        <v>0</v>
      </c>
      <c r="BD4133" s="130">
        <f t="shared" ref="BD4133:BD4158" si="1336">AB4133+BB4133</f>
        <v>759</v>
      </c>
      <c r="BE4133" s="130">
        <f t="shared" si="1316"/>
        <v>980</v>
      </c>
      <c r="BF4133" s="195">
        <f t="shared" ref="BF4133:BF4158" si="1337">BD4133/BE4133*100</f>
        <v>77.448979591836732</v>
      </c>
      <c r="BG4133" s="373">
        <f t="shared" ref="BG4133:BG4158" si="1338">BE4133-BD4133</f>
        <v>221</v>
      </c>
      <c r="BH4133" s="421" t="s">
        <v>3675</v>
      </c>
      <c r="BI4133" s="420"/>
    </row>
    <row r="4134" spans="1:61" s="46" customFormat="1" ht="21" customHeight="1">
      <c r="A4134" s="417">
        <v>2</v>
      </c>
      <c r="B4134" s="418" t="s">
        <v>2275</v>
      </c>
      <c r="C4134" s="419" t="s">
        <v>2276</v>
      </c>
      <c r="D4134" s="55"/>
      <c r="E4134" s="55"/>
      <c r="F4134" s="55"/>
      <c r="G4134" s="55"/>
      <c r="H4134" s="56"/>
      <c r="I4134" s="55"/>
      <c r="J4134" s="55"/>
      <c r="K4134" s="55"/>
      <c r="L4134" s="55">
        <v>1</v>
      </c>
      <c r="M4134" s="55"/>
      <c r="N4134" s="55"/>
      <c r="O4134" s="55"/>
      <c r="P4134" s="55"/>
      <c r="Q4134" s="55"/>
      <c r="R4134" s="55"/>
      <c r="S4134" s="55"/>
      <c r="T4134" s="55"/>
      <c r="U4134" s="55"/>
      <c r="V4134" s="55"/>
      <c r="W4134" s="55"/>
      <c r="X4134" s="55"/>
      <c r="Y4134" s="55"/>
      <c r="Z4134" s="55"/>
      <c r="AA4134" s="55"/>
      <c r="AB4134" s="22">
        <f t="shared" si="1334"/>
        <v>1</v>
      </c>
      <c r="AC4134" s="23">
        <v>0</v>
      </c>
      <c r="AD4134" s="56"/>
      <c r="AE4134" s="56"/>
      <c r="AF4134" s="56"/>
      <c r="AG4134" s="56"/>
      <c r="AH4134" s="56"/>
      <c r="AI4134" s="56"/>
      <c r="AJ4134" s="56"/>
      <c r="AK4134" s="56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  <c r="AV4134" s="56"/>
      <c r="AW4134" s="56"/>
      <c r="AX4134" s="56"/>
      <c r="AY4134" s="56"/>
      <c r="AZ4134" s="56"/>
      <c r="BA4134" s="56"/>
      <c r="BB4134" s="22">
        <f t="shared" si="1335"/>
        <v>0</v>
      </c>
      <c r="BC4134" s="23">
        <v>0</v>
      </c>
      <c r="BD4134" s="130">
        <f t="shared" ref="BD4134" si="1339">AB4134+BB4134</f>
        <v>1</v>
      </c>
      <c r="BE4134" s="130">
        <f t="shared" ref="BE4134" si="1340">AC4134+BC4134</f>
        <v>0</v>
      </c>
      <c r="BF4134" s="195" t="e">
        <f t="shared" ref="BF4134" si="1341">BD4134/BE4134*100</f>
        <v>#DIV/0!</v>
      </c>
      <c r="BG4134" s="373"/>
      <c r="BH4134" s="421"/>
      <c r="BI4134" s="420"/>
    </row>
    <row r="4135" spans="1:61" s="46" customFormat="1" ht="21" customHeight="1">
      <c r="A4135" s="417">
        <v>3</v>
      </c>
      <c r="B4135" s="418" t="s">
        <v>1745</v>
      </c>
      <c r="C4135" s="419" t="s">
        <v>1746</v>
      </c>
      <c r="D4135" s="55"/>
      <c r="E4135" s="55"/>
      <c r="F4135" s="55"/>
      <c r="G4135" s="55"/>
      <c r="H4135" s="56"/>
      <c r="I4135" s="55"/>
      <c r="J4135" s="55"/>
      <c r="K4135" s="55"/>
      <c r="L4135" s="55"/>
      <c r="M4135" s="55"/>
      <c r="N4135" s="55"/>
      <c r="O4135" s="55"/>
      <c r="P4135" s="55"/>
      <c r="Q4135" s="55"/>
      <c r="R4135" s="55"/>
      <c r="S4135" s="55"/>
      <c r="T4135" s="55"/>
      <c r="U4135" s="55"/>
      <c r="V4135" s="55"/>
      <c r="W4135" s="55"/>
      <c r="X4135" s="55"/>
      <c r="Y4135" s="55"/>
      <c r="Z4135" s="55"/>
      <c r="AA4135" s="55"/>
      <c r="AB4135" s="22">
        <f t="shared" si="1334"/>
        <v>0</v>
      </c>
      <c r="AC4135" s="23">
        <v>1</v>
      </c>
      <c r="AD4135" s="56"/>
      <c r="AE4135" s="56"/>
      <c r="AF4135" s="56"/>
      <c r="AG4135" s="56"/>
      <c r="AH4135" s="56"/>
      <c r="AI4135" s="56"/>
      <c r="AJ4135" s="56"/>
      <c r="AK4135" s="56"/>
      <c r="AL4135" s="285"/>
      <c r="AM4135" s="56"/>
      <c r="AN4135" s="56"/>
      <c r="AO4135" s="56"/>
      <c r="AP4135" s="56"/>
      <c r="AQ4135" s="56"/>
      <c r="AR4135" s="56"/>
      <c r="AS4135" s="56"/>
      <c r="AT4135" s="56"/>
      <c r="AU4135" s="56"/>
      <c r="AV4135" s="56"/>
      <c r="AW4135" s="56"/>
      <c r="AX4135" s="56"/>
      <c r="AY4135" s="56"/>
      <c r="AZ4135" s="56"/>
      <c r="BA4135" s="56"/>
      <c r="BB4135" s="22">
        <f t="shared" si="1335"/>
        <v>0</v>
      </c>
      <c r="BC4135" s="23">
        <v>18</v>
      </c>
      <c r="BD4135" s="130">
        <f t="shared" si="1336"/>
        <v>0</v>
      </c>
      <c r="BE4135" s="130">
        <f t="shared" si="1316"/>
        <v>19</v>
      </c>
      <c r="BF4135" s="195">
        <f t="shared" si="1337"/>
        <v>0</v>
      </c>
      <c r="BG4135" s="373">
        <f t="shared" si="1338"/>
        <v>19</v>
      </c>
      <c r="BH4135" s="421" t="s">
        <v>3675</v>
      </c>
      <c r="BI4135" s="420"/>
    </row>
    <row r="4136" spans="1:61" s="46" customFormat="1" ht="21" customHeight="1">
      <c r="A4136" s="417">
        <v>4</v>
      </c>
      <c r="B4136" s="418" t="s">
        <v>1790</v>
      </c>
      <c r="C4136" s="419" t="s">
        <v>1791</v>
      </c>
      <c r="D4136" s="55"/>
      <c r="E4136" s="55"/>
      <c r="F4136" s="55"/>
      <c r="G4136" s="55"/>
      <c r="H4136" s="56"/>
      <c r="I4136" s="55"/>
      <c r="J4136" s="55"/>
      <c r="K4136" s="55"/>
      <c r="L4136" s="55">
        <v>2</v>
      </c>
      <c r="M4136" s="55"/>
      <c r="N4136" s="55"/>
      <c r="O4136" s="55"/>
      <c r="P4136" s="55"/>
      <c r="Q4136" s="55"/>
      <c r="R4136" s="55"/>
      <c r="S4136" s="55"/>
      <c r="T4136" s="55"/>
      <c r="U4136" s="55"/>
      <c r="V4136" s="55"/>
      <c r="W4136" s="55"/>
      <c r="X4136" s="55"/>
      <c r="Y4136" s="55"/>
      <c r="Z4136" s="55"/>
      <c r="AA4136" s="55"/>
      <c r="AB4136" s="22">
        <f t="shared" si="1334"/>
        <v>2</v>
      </c>
      <c r="AC4136" s="23">
        <v>15</v>
      </c>
      <c r="AD4136" s="56"/>
      <c r="AE4136" s="56"/>
      <c r="AF4136" s="56"/>
      <c r="AG4136" s="56"/>
      <c r="AH4136" s="56"/>
      <c r="AI4136" s="56"/>
      <c r="AJ4136" s="56"/>
      <c r="AK4136" s="56"/>
      <c r="AL4136" s="285"/>
      <c r="AM4136" s="56"/>
      <c r="AN4136" s="56"/>
      <c r="AO4136" s="56"/>
      <c r="AP4136" s="56"/>
      <c r="AQ4136" s="56"/>
      <c r="AR4136" s="56"/>
      <c r="AS4136" s="56"/>
      <c r="AT4136" s="56"/>
      <c r="AU4136" s="56"/>
      <c r="AV4136" s="56"/>
      <c r="AW4136" s="56"/>
      <c r="AX4136" s="56"/>
      <c r="AY4136" s="56"/>
      <c r="AZ4136" s="56"/>
      <c r="BA4136" s="56"/>
      <c r="BB4136" s="22">
        <f t="shared" si="1335"/>
        <v>0</v>
      </c>
      <c r="BC4136" s="23">
        <v>0</v>
      </c>
      <c r="BD4136" s="130">
        <f t="shared" si="1336"/>
        <v>2</v>
      </c>
      <c r="BE4136" s="130">
        <f t="shared" si="1316"/>
        <v>15</v>
      </c>
      <c r="BF4136" s="195">
        <f t="shared" si="1337"/>
        <v>13.333333333333334</v>
      </c>
      <c r="BG4136" s="373">
        <f t="shared" si="1338"/>
        <v>13</v>
      </c>
      <c r="BH4136" s="421" t="s">
        <v>3675</v>
      </c>
      <c r="BI4136" s="420"/>
    </row>
    <row r="4137" spans="1:61" s="46" customFormat="1" ht="21" customHeight="1">
      <c r="A4137" s="417">
        <v>5</v>
      </c>
      <c r="B4137" s="418" t="s">
        <v>1813</v>
      </c>
      <c r="C4137" s="419" t="s">
        <v>2292</v>
      </c>
      <c r="D4137" s="55"/>
      <c r="E4137" s="55"/>
      <c r="F4137" s="55"/>
      <c r="G4137" s="55"/>
      <c r="H4137" s="56"/>
      <c r="I4137" s="55"/>
      <c r="J4137" s="55"/>
      <c r="K4137" s="55"/>
      <c r="L4137" s="55"/>
      <c r="M4137" s="55"/>
      <c r="N4137" s="55"/>
      <c r="O4137" s="55"/>
      <c r="P4137" s="55"/>
      <c r="Q4137" s="55"/>
      <c r="R4137" s="55"/>
      <c r="S4137" s="55"/>
      <c r="T4137" s="55"/>
      <c r="U4137" s="55"/>
      <c r="V4137" s="55"/>
      <c r="W4137" s="55"/>
      <c r="X4137" s="55"/>
      <c r="Y4137" s="55"/>
      <c r="Z4137" s="55"/>
      <c r="AA4137" s="55"/>
      <c r="AB4137" s="22">
        <f t="shared" si="1334"/>
        <v>0</v>
      </c>
      <c r="AC4137" s="23">
        <f>3+1</f>
        <v>4</v>
      </c>
      <c r="AD4137" s="56"/>
      <c r="AE4137" s="56"/>
      <c r="AF4137" s="56"/>
      <c r="AG4137" s="56"/>
      <c r="AH4137" s="56"/>
      <c r="AI4137" s="56"/>
      <c r="AJ4137" s="56"/>
      <c r="AK4137" s="56"/>
      <c r="AL4137" s="285"/>
      <c r="AM4137" s="56"/>
      <c r="AN4137" s="56"/>
      <c r="AO4137" s="56"/>
      <c r="AP4137" s="56"/>
      <c r="AQ4137" s="56"/>
      <c r="AR4137" s="56"/>
      <c r="AS4137" s="56"/>
      <c r="AT4137" s="56"/>
      <c r="AU4137" s="56"/>
      <c r="AV4137" s="56"/>
      <c r="AW4137" s="56"/>
      <c r="AX4137" s="56"/>
      <c r="AY4137" s="56"/>
      <c r="AZ4137" s="56"/>
      <c r="BA4137" s="56"/>
      <c r="BB4137" s="22">
        <f t="shared" si="1335"/>
        <v>0</v>
      </c>
      <c r="BC4137" s="23">
        <v>0</v>
      </c>
      <c r="BD4137" s="130">
        <f t="shared" si="1336"/>
        <v>0</v>
      </c>
      <c r="BE4137" s="130">
        <f t="shared" si="1316"/>
        <v>4</v>
      </c>
      <c r="BF4137" s="195">
        <f t="shared" si="1337"/>
        <v>0</v>
      </c>
      <c r="BG4137" s="373">
        <f t="shared" si="1338"/>
        <v>4</v>
      </c>
      <c r="BH4137" s="421" t="s">
        <v>3675</v>
      </c>
      <c r="BI4137" s="421"/>
    </row>
    <row r="4138" spans="1:61" s="46" customFormat="1" ht="21" customHeight="1">
      <c r="A4138" s="417">
        <v>6</v>
      </c>
      <c r="B4138" s="418" t="s">
        <v>1747</v>
      </c>
      <c r="C4138" s="419" t="s">
        <v>1748</v>
      </c>
      <c r="D4138" s="55">
        <v>204</v>
      </c>
      <c r="E4138" s="55"/>
      <c r="F4138" s="55"/>
      <c r="G4138" s="55"/>
      <c r="H4138" s="56">
        <f>123+201</f>
        <v>324</v>
      </c>
      <c r="I4138" s="55"/>
      <c r="J4138" s="55"/>
      <c r="K4138" s="55"/>
      <c r="L4138" s="55">
        <f>831+139</f>
        <v>970</v>
      </c>
      <c r="M4138" s="55"/>
      <c r="N4138" s="55"/>
      <c r="O4138" s="55"/>
      <c r="P4138" s="55">
        <v>835</v>
      </c>
      <c r="Q4138" s="55"/>
      <c r="R4138" s="55"/>
      <c r="S4138" s="55"/>
      <c r="T4138" s="55"/>
      <c r="U4138" s="55"/>
      <c r="V4138" s="55"/>
      <c r="W4138" s="55"/>
      <c r="X4138" s="55"/>
      <c r="Y4138" s="55"/>
      <c r="Z4138" s="55"/>
      <c r="AA4138" s="55"/>
      <c r="AB4138" s="22">
        <f t="shared" si="1334"/>
        <v>2333</v>
      </c>
      <c r="AC4138" s="23">
        <v>5735</v>
      </c>
      <c r="AD4138" s="56"/>
      <c r="AE4138" s="56"/>
      <c r="AF4138" s="56"/>
      <c r="AG4138" s="56"/>
      <c r="AH4138" s="56"/>
      <c r="AI4138" s="56"/>
      <c r="AJ4138" s="56"/>
      <c r="AK4138" s="56"/>
      <c r="AL4138" s="285"/>
      <c r="AM4138" s="56"/>
      <c r="AN4138" s="56"/>
      <c r="AO4138" s="56"/>
      <c r="AP4138" s="56"/>
      <c r="AQ4138" s="56"/>
      <c r="AR4138" s="56"/>
      <c r="AS4138" s="56"/>
      <c r="AT4138" s="56"/>
      <c r="AU4138" s="56"/>
      <c r="AV4138" s="56"/>
      <c r="AW4138" s="56"/>
      <c r="AX4138" s="56"/>
      <c r="AY4138" s="56"/>
      <c r="AZ4138" s="56"/>
      <c r="BA4138" s="56"/>
      <c r="BB4138" s="22">
        <f t="shared" si="1335"/>
        <v>0</v>
      </c>
      <c r="BC4138" s="23">
        <v>0</v>
      </c>
      <c r="BD4138" s="130">
        <f t="shared" si="1336"/>
        <v>2333</v>
      </c>
      <c r="BE4138" s="130">
        <f t="shared" si="1316"/>
        <v>5735</v>
      </c>
      <c r="BF4138" s="195">
        <f t="shared" si="1337"/>
        <v>40.68003487358326</v>
      </c>
      <c r="BG4138" s="373">
        <f t="shared" si="1338"/>
        <v>3402</v>
      </c>
      <c r="BH4138" s="421" t="s">
        <v>3675</v>
      </c>
      <c r="BI4138" s="420"/>
    </row>
    <row r="4139" spans="1:61" s="46" customFormat="1" ht="21" customHeight="1">
      <c r="A4139" s="417">
        <v>7</v>
      </c>
      <c r="B4139" s="418" t="s">
        <v>1749</v>
      </c>
      <c r="C4139" s="419" t="s">
        <v>1750</v>
      </c>
      <c r="D4139" s="55">
        <v>18</v>
      </c>
      <c r="E4139" s="55"/>
      <c r="F4139" s="55"/>
      <c r="G4139" s="55"/>
      <c r="H4139" s="56">
        <f>1+32</f>
        <v>33</v>
      </c>
      <c r="I4139" s="55"/>
      <c r="J4139" s="55"/>
      <c r="K4139" s="55"/>
      <c r="L4139" s="55">
        <f>41+7</f>
        <v>48</v>
      </c>
      <c r="M4139" s="55"/>
      <c r="N4139" s="55"/>
      <c r="O4139" s="55"/>
      <c r="P4139" s="55">
        <v>4</v>
      </c>
      <c r="Q4139" s="55"/>
      <c r="R4139" s="55"/>
      <c r="S4139" s="55"/>
      <c r="T4139" s="55"/>
      <c r="U4139" s="55"/>
      <c r="V4139" s="55"/>
      <c r="W4139" s="55"/>
      <c r="X4139" s="55"/>
      <c r="Y4139" s="55"/>
      <c r="Z4139" s="55"/>
      <c r="AA4139" s="55"/>
      <c r="AB4139" s="22">
        <f t="shared" si="1334"/>
        <v>103</v>
      </c>
      <c r="AC4139" s="23">
        <v>455</v>
      </c>
      <c r="AD4139" s="56"/>
      <c r="AE4139" s="56"/>
      <c r="AF4139" s="56"/>
      <c r="AG4139" s="56"/>
      <c r="AH4139" s="56"/>
      <c r="AI4139" s="56"/>
      <c r="AJ4139" s="56"/>
      <c r="AK4139" s="56"/>
      <c r="AL4139" s="285"/>
      <c r="AM4139" s="56"/>
      <c r="AN4139" s="56"/>
      <c r="AO4139" s="56"/>
      <c r="AP4139" s="56"/>
      <c r="AQ4139" s="56"/>
      <c r="AR4139" s="56"/>
      <c r="AS4139" s="56"/>
      <c r="AT4139" s="56"/>
      <c r="AU4139" s="56"/>
      <c r="AV4139" s="56"/>
      <c r="AW4139" s="56"/>
      <c r="AX4139" s="56"/>
      <c r="AY4139" s="56"/>
      <c r="AZ4139" s="56"/>
      <c r="BA4139" s="56"/>
      <c r="BB4139" s="22">
        <f t="shared" si="1335"/>
        <v>0</v>
      </c>
      <c r="BC4139" s="23">
        <v>0</v>
      </c>
      <c r="BD4139" s="130">
        <f t="shared" si="1336"/>
        <v>103</v>
      </c>
      <c r="BE4139" s="130">
        <f t="shared" si="1316"/>
        <v>455</v>
      </c>
      <c r="BF4139" s="195">
        <f t="shared" si="1337"/>
        <v>22.637362637362639</v>
      </c>
      <c r="BG4139" s="373">
        <f t="shared" si="1338"/>
        <v>352</v>
      </c>
      <c r="BH4139" s="421" t="s">
        <v>3675</v>
      </c>
      <c r="BI4139" s="421"/>
    </row>
    <row r="4140" spans="1:61" s="46" customFormat="1" ht="21" customHeight="1">
      <c r="A4140" s="417">
        <v>8</v>
      </c>
      <c r="B4140" s="418" t="s">
        <v>1801</v>
      </c>
      <c r="C4140" s="419" t="s">
        <v>1802</v>
      </c>
      <c r="D4140" s="55"/>
      <c r="E4140" s="55"/>
      <c r="F4140" s="55"/>
      <c r="G4140" s="55"/>
      <c r="H4140" s="56">
        <f>8+1</f>
        <v>9</v>
      </c>
      <c r="I4140" s="55"/>
      <c r="J4140" s="55"/>
      <c r="K4140" s="55"/>
      <c r="L4140" s="55">
        <f>16+1</f>
        <v>17</v>
      </c>
      <c r="M4140" s="55"/>
      <c r="N4140" s="55"/>
      <c r="O4140" s="55"/>
      <c r="P4140" s="55">
        <v>45</v>
      </c>
      <c r="Q4140" s="55"/>
      <c r="R4140" s="55"/>
      <c r="S4140" s="55"/>
      <c r="T4140" s="55"/>
      <c r="U4140" s="55"/>
      <c r="V4140" s="55"/>
      <c r="W4140" s="55"/>
      <c r="X4140" s="55"/>
      <c r="Y4140" s="55"/>
      <c r="Z4140" s="55"/>
      <c r="AA4140" s="55"/>
      <c r="AB4140" s="22">
        <f t="shared" si="1334"/>
        <v>71</v>
      </c>
      <c r="AC4140" s="23">
        <f>11+74</f>
        <v>85</v>
      </c>
      <c r="AD4140" s="56"/>
      <c r="AE4140" s="56"/>
      <c r="AF4140" s="56"/>
      <c r="AG4140" s="56"/>
      <c r="AH4140" s="56"/>
      <c r="AI4140" s="56"/>
      <c r="AJ4140" s="56"/>
      <c r="AK4140" s="56"/>
      <c r="AL4140" s="285"/>
      <c r="AM4140" s="56"/>
      <c r="AN4140" s="56"/>
      <c r="AO4140" s="56"/>
      <c r="AP4140" s="56"/>
      <c r="AQ4140" s="56"/>
      <c r="AR4140" s="56"/>
      <c r="AS4140" s="56"/>
      <c r="AT4140" s="56"/>
      <c r="AU4140" s="56"/>
      <c r="AV4140" s="56"/>
      <c r="AW4140" s="56"/>
      <c r="AX4140" s="56"/>
      <c r="AY4140" s="56"/>
      <c r="AZ4140" s="56"/>
      <c r="BA4140" s="56"/>
      <c r="BB4140" s="22">
        <f t="shared" si="1335"/>
        <v>0</v>
      </c>
      <c r="BC4140" s="23">
        <v>0</v>
      </c>
      <c r="BD4140" s="130">
        <f t="shared" si="1336"/>
        <v>71</v>
      </c>
      <c r="BE4140" s="130">
        <f t="shared" si="1316"/>
        <v>85</v>
      </c>
      <c r="BF4140" s="195">
        <f t="shared" si="1337"/>
        <v>83.529411764705884</v>
      </c>
      <c r="BG4140" s="373">
        <f t="shared" si="1338"/>
        <v>14</v>
      </c>
      <c r="BH4140" s="421" t="s">
        <v>3675</v>
      </c>
      <c r="BI4140" s="421"/>
    </row>
    <row r="4141" spans="1:61" s="46" customFormat="1" ht="21" customHeight="1">
      <c r="A4141" s="417">
        <v>9</v>
      </c>
      <c r="B4141" s="432" t="s">
        <v>1801</v>
      </c>
      <c r="C4141" s="419" t="s">
        <v>1802</v>
      </c>
      <c r="D4141" s="55"/>
      <c r="E4141" s="55"/>
      <c r="F4141" s="55"/>
      <c r="G4141" s="55"/>
      <c r="H4141" s="56"/>
      <c r="I4141" s="55"/>
      <c r="J4141" s="55"/>
      <c r="K4141" s="55"/>
      <c r="L4141" s="55"/>
      <c r="M4141" s="55"/>
      <c r="N4141" s="55"/>
      <c r="O4141" s="55"/>
      <c r="P4141" s="55"/>
      <c r="Q4141" s="55"/>
      <c r="R4141" s="55"/>
      <c r="S4141" s="55"/>
      <c r="T4141" s="55"/>
      <c r="U4141" s="55"/>
      <c r="V4141" s="55"/>
      <c r="W4141" s="55"/>
      <c r="X4141" s="55"/>
      <c r="Y4141" s="55"/>
      <c r="Z4141" s="55"/>
      <c r="AA4141" s="55"/>
      <c r="AB4141" s="22">
        <f t="shared" si="1334"/>
        <v>0</v>
      </c>
      <c r="AC4141" s="23">
        <v>28</v>
      </c>
      <c r="AD4141" s="56"/>
      <c r="AE4141" s="56"/>
      <c r="AF4141" s="56"/>
      <c r="AG4141" s="56"/>
      <c r="AH4141" s="56"/>
      <c r="AI4141" s="56"/>
      <c r="AJ4141" s="56"/>
      <c r="AK4141" s="56"/>
      <c r="AL4141" s="285"/>
      <c r="AM4141" s="56"/>
      <c r="AN4141" s="56"/>
      <c r="AO4141" s="56"/>
      <c r="AP4141" s="56"/>
      <c r="AQ4141" s="56"/>
      <c r="AR4141" s="56"/>
      <c r="AS4141" s="56"/>
      <c r="AT4141" s="56"/>
      <c r="AU4141" s="56"/>
      <c r="AV4141" s="56"/>
      <c r="AW4141" s="56"/>
      <c r="AX4141" s="56"/>
      <c r="AY4141" s="56"/>
      <c r="AZ4141" s="56"/>
      <c r="BA4141" s="56"/>
      <c r="BB4141" s="22">
        <f t="shared" si="1335"/>
        <v>0</v>
      </c>
      <c r="BC4141" s="23">
        <v>0</v>
      </c>
      <c r="BD4141" s="130">
        <f t="shared" si="1336"/>
        <v>0</v>
      </c>
      <c r="BE4141" s="130">
        <f t="shared" si="1316"/>
        <v>28</v>
      </c>
      <c r="BF4141" s="195">
        <f t="shared" si="1337"/>
        <v>0</v>
      </c>
      <c r="BG4141" s="373">
        <f t="shared" si="1338"/>
        <v>28</v>
      </c>
      <c r="BH4141" s="421" t="s">
        <v>3675</v>
      </c>
      <c r="BI4141" s="421"/>
    </row>
    <row r="4142" spans="1:61" s="46" customFormat="1" ht="21" customHeight="1">
      <c r="A4142" s="417">
        <v>10</v>
      </c>
      <c r="B4142" s="418" t="s">
        <v>1751</v>
      </c>
      <c r="C4142" s="419" t="s">
        <v>1752</v>
      </c>
      <c r="D4142" s="55"/>
      <c r="E4142" s="55"/>
      <c r="F4142" s="55"/>
      <c r="G4142" s="55"/>
      <c r="H4142" s="56">
        <v>6</v>
      </c>
      <c r="I4142" s="55"/>
      <c r="J4142" s="55"/>
      <c r="K4142" s="55"/>
      <c r="L4142" s="55">
        <v>17</v>
      </c>
      <c r="M4142" s="55"/>
      <c r="N4142" s="55"/>
      <c r="O4142" s="55"/>
      <c r="P4142" s="55">
        <v>5</v>
      </c>
      <c r="Q4142" s="55"/>
      <c r="R4142" s="55"/>
      <c r="S4142" s="55"/>
      <c r="T4142" s="55"/>
      <c r="U4142" s="55"/>
      <c r="V4142" s="55"/>
      <c r="W4142" s="55"/>
      <c r="X4142" s="55"/>
      <c r="Y4142" s="55"/>
      <c r="Z4142" s="55"/>
      <c r="AA4142" s="55"/>
      <c r="AB4142" s="22">
        <f t="shared" si="1334"/>
        <v>28</v>
      </c>
      <c r="AC4142" s="23">
        <f>265+18</f>
        <v>283</v>
      </c>
      <c r="AD4142" s="56"/>
      <c r="AE4142" s="56"/>
      <c r="AF4142" s="56"/>
      <c r="AG4142" s="56"/>
      <c r="AH4142" s="56"/>
      <c r="AI4142" s="56"/>
      <c r="AJ4142" s="56"/>
      <c r="AK4142" s="56"/>
      <c r="AL4142" s="285"/>
      <c r="AM4142" s="56"/>
      <c r="AN4142" s="56"/>
      <c r="AO4142" s="56"/>
      <c r="AP4142" s="56"/>
      <c r="AQ4142" s="56"/>
      <c r="AR4142" s="56"/>
      <c r="AS4142" s="56"/>
      <c r="AT4142" s="56"/>
      <c r="AU4142" s="56"/>
      <c r="AV4142" s="56"/>
      <c r="AW4142" s="56"/>
      <c r="AX4142" s="56"/>
      <c r="AY4142" s="56"/>
      <c r="AZ4142" s="56"/>
      <c r="BA4142" s="56"/>
      <c r="BB4142" s="22">
        <f t="shared" si="1335"/>
        <v>0</v>
      </c>
      <c r="BC4142" s="23">
        <v>0</v>
      </c>
      <c r="BD4142" s="130">
        <f t="shared" si="1336"/>
        <v>28</v>
      </c>
      <c r="BE4142" s="130">
        <f t="shared" si="1316"/>
        <v>283</v>
      </c>
      <c r="BF4142" s="195">
        <f t="shared" si="1337"/>
        <v>9.8939929328621901</v>
      </c>
      <c r="BG4142" s="373">
        <f t="shared" si="1338"/>
        <v>255</v>
      </c>
      <c r="BH4142" s="421" t="s">
        <v>3675</v>
      </c>
      <c r="BI4142" s="420"/>
    </row>
    <row r="4143" spans="1:61" s="46" customFormat="1" ht="21" customHeight="1">
      <c r="A4143" s="417">
        <v>11</v>
      </c>
      <c r="B4143" s="418" t="s">
        <v>1753</v>
      </c>
      <c r="C4143" s="419" t="s">
        <v>1754</v>
      </c>
      <c r="D4143" s="55">
        <v>128</v>
      </c>
      <c r="E4143" s="55"/>
      <c r="F4143" s="55"/>
      <c r="G4143" s="55"/>
      <c r="H4143" s="56">
        <f>115+82</f>
        <v>197</v>
      </c>
      <c r="I4143" s="55"/>
      <c r="J4143" s="55"/>
      <c r="K4143" s="55"/>
      <c r="L4143" s="55">
        <f>565+72</f>
        <v>637</v>
      </c>
      <c r="M4143" s="55"/>
      <c r="N4143" s="55"/>
      <c r="O4143" s="55"/>
      <c r="P4143" s="55">
        <v>529</v>
      </c>
      <c r="Q4143" s="55"/>
      <c r="R4143" s="55"/>
      <c r="S4143" s="55"/>
      <c r="T4143" s="55"/>
      <c r="U4143" s="55"/>
      <c r="V4143" s="55"/>
      <c r="W4143" s="55"/>
      <c r="X4143" s="55"/>
      <c r="Y4143" s="55"/>
      <c r="Z4143" s="55"/>
      <c r="AA4143" s="55"/>
      <c r="AB4143" s="22">
        <f t="shared" si="1334"/>
        <v>1491</v>
      </c>
      <c r="AC4143" s="23">
        <v>3780</v>
      </c>
      <c r="AD4143" s="56"/>
      <c r="AE4143" s="56"/>
      <c r="AF4143" s="56"/>
      <c r="AG4143" s="56"/>
      <c r="AH4143" s="56"/>
      <c r="AI4143" s="56"/>
      <c r="AJ4143" s="56"/>
      <c r="AK4143" s="56"/>
      <c r="AL4143" s="285"/>
      <c r="AM4143" s="56"/>
      <c r="AN4143" s="56"/>
      <c r="AO4143" s="56"/>
      <c r="AP4143" s="56"/>
      <c r="AQ4143" s="56"/>
      <c r="AR4143" s="56"/>
      <c r="AS4143" s="56"/>
      <c r="AT4143" s="56"/>
      <c r="AU4143" s="56"/>
      <c r="AV4143" s="56"/>
      <c r="AW4143" s="56"/>
      <c r="AX4143" s="56"/>
      <c r="AY4143" s="56"/>
      <c r="AZ4143" s="56"/>
      <c r="BA4143" s="56"/>
      <c r="BB4143" s="22">
        <f t="shared" si="1335"/>
        <v>0</v>
      </c>
      <c r="BC4143" s="23">
        <v>0</v>
      </c>
      <c r="BD4143" s="130">
        <f t="shared" si="1336"/>
        <v>1491</v>
      </c>
      <c r="BE4143" s="130">
        <f t="shared" si="1316"/>
        <v>3780</v>
      </c>
      <c r="BF4143" s="195">
        <f t="shared" si="1337"/>
        <v>39.444444444444443</v>
      </c>
      <c r="BG4143" s="373">
        <f t="shared" si="1338"/>
        <v>2289</v>
      </c>
      <c r="BH4143" s="421" t="s">
        <v>3675</v>
      </c>
      <c r="BI4143" s="420"/>
    </row>
    <row r="4144" spans="1:61" s="46" customFormat="1" ht="21" customHeight="1">
      <c r="A4144" s="417">
        <v>12</v>
      </c>
      <c r="B4144" s="418" t="s">
        <v>1775</v>
      </c>
      <c r="C4144" s="423" t="s">
        <v>1830</v>
      </c>
      <c r="D4144" s="55"/>
      <c r="E4144" s="55"/>
      <c r="F4144" s="55"/>
      <c r="G4144" s="55"/>
      <c r="H4144" s="56"/>
      <c r="I4144" s="55"/>
      <c r="J4144" s="55"/>
      <c r="K4144" s="55"/>
      <c r="L4144" s="55"/>
      <c r="M4144" s="55"/>
      <c r="N4144" s="55"/>
      <c r="O4144" s="55"/>
      <c r="P4144" s="55"/>
      <c r="Q4144" s="55"/>
      <c r="R4144" s="55"/>
      <c r="S4144" s="55"/>
      <c r="T4144" s="55"/>
      <c r="U4144" s="55"/>
      <c r="V4144" s="55"/>
      <c r="W4144" s="55"/>
      <c r="X4144" s="55"/>
      <c r="Y4144" s="55"/>
      <c r="Z4144" s="55"/>
      <c r="AA4144" s="55"/>
      <c r="AB4144" s="22">
        <f t="shared" si="1334"/>
        <v>0</v>
      </c>
      <c r="AC4144" s="23">
        <v>710</v>
      </c>
      <c r="AD4144" s="56"/>
      <c r="AE4144" s="56"/>
      <c r="AF4144" s="56"/>
      <c r="AG4144" s="56"/>
      <c r="AH4144" s="56"/>
      <c r="AI4144" s="56"/>
      <c r="AJ4144" s="56"/>
      <c r="AK4144" s="56"/>
      <c r="AL4144" s="285"/>
      <c r="AM4144" s="56"/>
      <c r="AN4144" s="56"/>
      <c r="AO4144" s="56"/>
      <c r="AP4144" s="56"/>
      <c r="AQ4144" s="56"/>
      <c r="AR4144" s="56"/>
      <c r="AS4144" s="56"/>
      <c r="AT4144" s="56"/>
      <c r="AU4144" s="56"/>
      <c r="AV4144" s="56"/>
      <c r="AW4144" s="56"/>
      <c r="AX4144" s="56"/>
      <c r="AY4144" s="56"/>
      <c r="AZ4144" s="56"/>
      <c r="BA4144" s="56"/>
      <c r="BB4144" s="22">
        <f t="shared" si="1335"/>
        <v>0</v>
      </c>
      <c r="BC4144" s="23">
        <v>0</v>
      </c>
      <c r="BD4144" s="130">
        <f t="shared" si="1336"/>
        <v>0</v>
      </c>
      <c r="BE4144" s="130">
        <f t="shared" si="1316"/>
        <v>710</v>
      </c>
      <c r="BF4144" s="195">
        <f t="shared" si="1337"/>
        <v>0</v>
      </c>
      <c r="BG4144" s="373">
        <f t="shared" si="1338"/>
        <v>710</v>
      </c>
      <c r="BH4144" s="421" t="s">
        <v>3675</v>
      </c>
      <c r="BI4144" s="421"/>
    </row>
    <row r="4145" spans="1:61" s="46" customFormat="1" ht="21" customHeight="1">
      <c r="A4145" s="417">
        <v>13</v>
      </c>
      <c r="B4145" s="418" t="s">
        <v>2148</v>
      </c>
      <c r="C4145" s="419" t="s">
        <v>3230</v>
      </c>
      <c r="D4145" s="55"/>
      <c r="E4145" s="55"/>
      <c r="F4145" s="55"/>
      <c r="G4145" s="55"/>
      <c r="H4145" s="56"/>
      <c r="I4145" s="55"/>
      <c r="J4145" s="55"/>
      <c r="K4145" s="55"/>
      <c r="L4145" s="55"/>
      <c r="M4145" s="55"/>
      <c r="N4145" s="55"/>
      <c r="O4145" s="55"/>
      <c r="P4145" s="55"/>
      <c r="Q4145" s="55"/>
      <c r="R4145" s="55"/>
      <c r="S4145" s="55"/>
      <c r="T4145" s="55"/>
      <c r="U4145" s="55"/>
      <c r="V4145" s="55"/>
      <c r="W4145" s="55"/>
      <c r="X4145" s="55"/>
      <c r="Y4145" s="55"/>
      <c r="Z4145" s="55"/>
      <c r="AA4145" s="55"/>
      <c r="AB4145" s="22">
        <f t="shared" si="1334"/>
        <v>0</v>
      </c>
      <c r="AC4145" s="23">
        <v>1164</v>
      </c>
      <c r="AD4145" s="56"/>
      <c r="AE4145" s="56"/>
      <c r="AF4145" s="56"/>
      <c r="AG4145" s="56"/>
      <c r="AH4145" s="56"/>
      <c r="AI4145" s="56"/>
      <c r="AJ4145" s="56"/>
      <c r="AK4145" s="56"/>
      <c r="AL4145" s="285"/>
      <c r="AM4145" s="56"/>
      <c r="AN4145" s="56"/>
      <c r="AO4145" s="56"/>
      <c r="AP4145" s="56"/>
      <c r="AQ4145" s="56"/>
      <c r="AR4145" s="56"/>
      <c r="AS4145" s="56"/>
      <c r="AT4145" s="56"/>
      <c r="AU4145" s="56"/>
      <c r="AV4145" s="56"/>
      <c r="AW4145" s="56"/>
      <c r="AX4145" s="56"/>
      <c r="AY4145" s="56"/>
      <c r="AZ4145" s="56"/>
      <c r="BA4145" s="56"/>
      <c r="BB4145" s="22">
        <f t="shared" si="1335"/>
        <v>0</v>
      </c>
      <c r="BC4145" s="23">
        <v>0</v>
      </c>
      <c r="BD4145" s="130">
        <f t="shared" si="1336"/>
        <v>0</v>
      </c>
      <c r="BE4145" s="130">
        <f t="shared" si="1316"/>
        <v>1164</v>
      </c>
      <c r="BF4145" s="195">
        <f t="shared" si="1337"/>
        <v>0</v>
      </c>
      <c r="BG4145" s="373">
        <f t="shared" si="1338"/>
        <v>1164</v>
      </c>
      <c r="BH4145" s="421" t="s">
        <v>3675</v>
      </c>
      <c r="BI4145" s="420"/>
    </row>
    <row r="4146" spans="1:61" s="46" customFormat="1" ht="21" customHeight="1">
      <c r="A4146" s="417">
        <v>14</v>
      </c>
      <c r="B4146" s="418" t="s">
        <v>1756</v>
      </c>
      <c r="C4146" s="419" t="s">
        <v>1757</v>
      </c>
      <c r="D4146" s="55">
        <v>310</v>
      </c>
      <c r="E4146" s="55"/>
      <c r="F4146" s="55"/>
      <c r="G4146" s="55"/>
      <c r="H4146" s="56">
        <f>518+236</f>
        <v>754</v>
      </c>
      <c r="I4146" s="55"/>
      <c r="J4146" s="55"/>
      <c r="K4146" s="55"/>
      <c r="L4146" s="55">
        <f>2478+195</f>
        <v>2673</v>
      </c>
      <c r="M4146" s="55"/>
      <c r="N4146" s="55"/>
      <c r="O4146" s="55"/>
      <c r="P4146" s="55">
        <v>2318</v>
      </c>
      <c r="Q4146" s="55"/>
      <c r="R4146" s="55"/>
      <c r="S4146" s="55"/>
      <c r="T4146" s="55"/>
      <c r="U4146" s="55"/>
      <c r="V4146" s="55"/>
      <c r="W4146" s="55"/>
      <c r="X4146" s="55"/>
      <c r="Y4146" s="55"/>
      <c r="Z4146" s="55"/>
      <c r="AA4146" s="55"/>
      <c r="AB4146" s="22">
        <f t="shared" si="1334"/>
        <v>6055</v>
      </c>
      <c r="AC4146" s="23">
        <v>16715</v>
      </c>
      <c r="AD4146" s="56"/>
      <c r="AE4146" s="56"/>
      <c r="AF4146" s="56"/>
      <c r="AG4146" s="56"/>
      <c r="AH4146" s="56"/>
      <c r="AI4146" s="56"/>
      <c r="AJ4146" s="56"/>
      <c r="AK4146" s="56"/>
      <c r="AL4146" s="285"/>
      <c r="AM4146" s="56"/>
      <c r="AN4146" s="56"/>
      <c r="AO4146" s="56"/>
      <c r="AP4146" s="56"/>
      <c r="AQ4146" s="56"/>
      <c r="AR4146" s="56"/>
      <c r="AS4146" s="56"/>
      <c r="AT4146" s="56"/>
      <c r="AU4146" s="56"/>
      <c r="AV4146" s="56"/>
      <c r="AW4146" s="56"/>
      <c r="AX4146" s="56"/>
      <c r="AY4146" s="56"/>
      <c r="AZ4146" s="56"/>
      <c r="BA4146" s="56"/>
      <c r="BB4146" s="22">
        <f t="shared" si="1335"/>
        <v>0</v>
      </c>
      <c r="BC4146" s="23">
        <v>0</v>
      </c>
      <c r="BD4146" s="130">
        <f t="shared" si="1336"/>
        <v>6055</v>
      </c>
      <c r="BE4146" s="130">
        <f t="shared" si="1316"/>
        <v>16715</v>
      </c>
      <c r="BF4146" s="195">
        <f t="shared" si="1337"/>
        <v>36.22494765180975</v>
      </c>
      <c r="BG4146" s="373">
        <f t="shared" si="1338"/>
        <v>10660</v>
      </c>
      <c r="BH4146" s="421" t="s">
        <v>3675</v>
      </c>
      <c r="BI4146" s="421"/>
    </row>
    <row r="4147" spans="1:61" s="46" customFormat="1" ht="14.25" customHeight="1">
      <c r="A4147" s="181">
        <v>15</v>
      </c>
      <c r="B4147" s="53" t="s">
        <v>1831</v>
      </c>
      <c r="C4147" s="57" t="s">
        <v>1832</v>
      </c>
      <c r="D4147" s="55"/>
      <c r="E4147" s="55"/>
      <c r="F4147" s="55"/>
      <c r="G4147" s="55"/>
      <c r="H4147" s="55"/>
      <c r="I4147" s="55"/>
      <c r="J4147" s="55"/>
      <c r="K4147" s="55"/>
      <c r="L4147" s="55"/>
      <c r="M4147" s="55"/>
      <c r="N4147" s="55"/>
      <c r="O4147" s="55"/>
      <c r="P4147" s="55"/>
      <c r="Q4147" s="55"/>
      <c r="R4147" s="55"/>
      <c r="S4147" s="55"/>
      <c r="T4147" s="55"/>
      <c r="U4147" s="55"/>
      <c r="V4147" s="55"/>
      <c r="W4147" s="55"/>
      <c r="X4147" s="55"/>
      <c r="Y4147" s="55"/>
      <c r="Z4147" s="55"/>
      <c r="AA4147" s="55"/>
      <c r="AB4147" s="22">
        <f t="shared" si="1334"/>
        <v>0</v>
      </c>
      <c r="AC4147" s="23">
        <v>0</v>
      </c>
      <c r="AD4147" s="56"/>
      <c r="AE4147" s="56"/>
      <c r="AF4147" s="56"/>
      <c r="AG4147" s="56"/>
      <c r="AH4147" s="56"/>
      <c r="AI4147" s="56"/>
      <c r="AJ4147" s="56"/>
      <c r="AK4147" s="56"/>
      <c r="AL4147" s="285"/>
      <c r="AM4147" s="56"/>
      <c r="AN4147" s="56"/>
      <c r="AO4147" s="56"/>
      <c r="AP4147" s="56"/>
      <c r="AQ4147" s="56"/>
      <c r="AR4147" s="56"/>
      <c r="AS4147" s="56"/>
      <c r="AT4147" s="56"/>
      <c r="AU4147" s="56"/>
      <c r="AV4147" s="56"/>
      <c r="AW4147" s="56"/>
      <c r="AX4147" s="56"/>
      <c r="AY4147" s="56"/>
      <c r="AZ4147" s="56"/>
      <c r="BA4147" s="56"/>
      <c r="BB4147" s="22">
        <f t="shared" si="1335"/>
        <v>0</v>
      </c>
      <c r="BC4147" s="23">
        <v>42</v>
      </c>
      <c r="BD4147" s="130">
        <f t="shared" si="1336"/>
        <v>0</v>
      </c>
      <c r="BE4147" s="130">
        <f t="shared" si="1316"/>
        <v>42</v>
      </c>
      <c r="BF4147" s="195">
        <f t="shared" si="1337"/>
        <v>0</v>
      </c>
      <c r="BG4147" s="373">
        <f t="shared" si="1338"/>
        <v>42</v>
      </c>
    </row>
    <row r="4148" spans="1:61" s="46" customFormat="1" ht="14.25" customHeight="1">
      <c r="A4148" s="181">
        <v>16</v>
      </c>
      <c r="B4148" s="454" t="s">
        <v>1763</v>
      </c>
      <c r="C4148" s="455" t="s">
        <v>1764</v>
      </c>
      <c r="D4148" s="55"/>
      <c r="E4148" s="55"/>
      <c r="F4148" s="55"/>
      <c r="G4148" s="55"/>
      <c r="H4148" s="55"/>
      <c r="I4148" s="55"/>
      <c r="J4148" s="55"/>
      <c r="K4148" s="55"/>
      <c r="L4148" s="55"/>
      <c r="M4148" s="55"/>
      <c r="N4148" s="55"/>
      <c r="O4148" s="55"/>
      <c r="P4148" s="55"/>
      <c r="Q4148" s="55"/>
      <c r="R4148" s="55"/>
      <c r="S4148" s="55"/>
      <c r="T4148" s="55"/>
      <c r="U4148" s="55"/>
      <c r="V4148" s="55"/>
      <c r="W4148" s="55"/>
      <c r="X4148" s="55"/>
      <c r="Y4148" s="55"/>
      <c r="Z4148" s="55"/>
      <c r="AA4148" s="55"/>
      <c r="AB4148" s="22">
        <f t="shared" si="1334"/>
        <v>0</v>
      </c>
      <c r="AC4148" s="23">
        <v>0</v>
      </c>
      <c r="AD4148" s="56"/>
      <c r="AE4148" s="56"/>
      <c r="AF4148" s="56"/>
      <c r="AG4148" s="56"/>
      <c r="AH4148" s="56">
        <f>108+13</f>
        <v>121</v>
      </c>
      <c r="AI4148" s="56"/>
      <c r="AJ4148" s="56"/>
      <c r="AK4148" s="56"/>
      <c r="AL4148" s="285">
        <f>765+9</f>
        <v>774</v>
      </c>
      <c r="AM4148" s="56"/>
      <c r="AN4148" s="56"/>
      <c r="AO4148" s="56"/>
      <c r="AP4148" s="56">
        <v>789</v>
      </c>
      <c r="AQ4148" s="56"/>
      <c r="AR4148" s="56"/>
      <c r="AS4148" s="56"/>
      <c r="AT4148" s="56"/>
      <c r="AU4148" s="56"/>
      <c r="AV4148" s="56"/>
      <c r="AW4148" s="56"/>
      <c r="AX4148" s="56"/>
      <c r="AY4148" s="56"/>
      <c r="AZ4148" s="56"/>
      <c r="BA4148" s="56"/>
      <c r="BB4148" s="22">
        <f t="shared" si="1335"/>
        <v>1684</v>
      </c>
      <c r="BC4148" s="23">
        <v>5166</v>
      </c>
      <c r="BD4148" s="130">
        <f t="shared" si="1336"/>
        <v>1684</v>
      </c>
      <c r="BE4148" s="130">
        <f t="shared" si="1316"/>
        <v>5166</v>
      </c>
      <c r="BF4148" s="195">
        <f t="shared" si="1337"/>
        <v>32.597754548974059</v>
      </c>
      <c r="BG4148" s="373">
        <f t="shared" si="1338"/>
        <v>3482</v>
      </c>
    </row>
    <row r="4149" spans="1:61" s="46" customFormat="1" ht="14.25" customHeight="1">
      <c r="A4149" s="181">
        <v>17</v>
      </c>
      <c r="B4149" s="454" t="s">
        <v>1765</v>
      </c>
      <c r="C4149" s="455" t="s">
        <v>1766</v>
      </c>
      <c r="D4149" s="55"/>
      <c r="E4149" s="55"/>
      <c r="F4149" s="55"/>
      <c r="G4149" s="55"/>
      <c r="H4149" s="55"/>
      <c r="I4149" s="55"/>
      <c r="J4149" s="55"/>
      <c r="K4149" s="55"/>
      <c r="L4149" s="55"/>
      <c r="M4149" s="55"/>
      <c r="N4149" s="55"/>
      <c r="O4149" s="55"/>
      <c r="P4149" s="55"/>
      <c r="Q4149" s="55"/>
      <c r="R4149" s="55"/>
      <c r="S4149" s="55"/>
      <c r="T4149" s="55"/>
      <c r="U4149" s="55"/>
      <c r="V4149" s="55"/>
      <c r="W4149" s="55"/>
      <c r="X4149" s="55"/>
      <c r="Y4149" s="55"/>
      <c r="Z4149" s="55"/>
      <c r="AA4149" s="55"/>
      <c r="AB4149" s="22">
        <f t="shared" si="1334"/>
        <v>0</v>
      </c>
      <c r="AC4149" s="23">
        <v>0</v>
      </c>
      <c r="AD4149" s="56"/>
      <c r="AE4149" s="56"/>
      <c r="AF4149" s="56"/>
      <c r="AG4149" s="56"/>
      <c r="AH4149" s="56">
        <v>4</v>
      </c>
      <c r="AI4149" s="56"/>
      <c r="AJ4149" s="56"/>
      <c r="AK4149" s="56"/>
      <c r="AL4149" s="56">
        <v>1</v>
      </c>
      <c r="AM4149" s="56"/>
      <c r="AN4149" s="56"/>
      <c r="AO4149" s="56"/>
      <c r="AP4149" s="56"/>
      <c r="AQ4149" s="56"/>
      <c r="AR4149" s="56"/>
      <c r="AS4149" s="56"/>
      <c r="AT4149" s="56"/>
      <c r="AU4149" s="56"/>
      <c r="AV4149" s="56"/>
      <c r="AW4149" s="56"/>
      <c r="AX4149" s="56"/>
      <c r="AY4149" s="56"/>
      <c r="AZ4149" s="56"/>
      <c r="BA4149" s="56"/>
      <c r="BB4149" s="22">
        <f t="shared" si="1335"/>
        <v>5</v>
      </c>
      <c r="BC4149" s="23">
        <v>5</v>
      </c>
      <c r="BD4149" s="130">
        <f t="shared" si="1336"/>
        <v>5</v>
      </c>
      <c r="BE4149" s="130">
        <f t="shared" si="1316"/>
        <v>5</v>
      </c>
      <c r="BF4149" s="195">
        <f t="shared" si="1337"/>
        <v>100</v>
      </c>
      <c r="BG4149" s="373">
        <f t="shared" si="1338"/>
        <v>0</v>
      </c>
    </row>
    <row r="4150" spans="1:61" s="46" customFormat="1" ht="14.25" customHeight="1">
      <c r="A4150" s="181">
        <v>18</v>
      </c>
      <c r="B4150" s="454" t="s">
        <v>1818</v>
      </c>
      <c r="C4150" s="455" t="s">
        <v>1819</v>
      </c>
      <c r="D4150" s="55"/>
      <c r="E4150" s="55"/>
      <c r="F4150" s="55"/>
      <c r="G4150" s="55"/>
      <c r="H4150" s="55"/>
      <c r="I4150" s="55"/>
      <c r="J4150" s="55"/>
      <c r="K4150" s="55"/>
      <c r="L4150" s="55"/>
      <c r="M4150" s="55"/>
      <c r="N4150" s="55"/>
      <c r="O4150" s="55"/>
      <c r="P4150" s="55"/>
      <c r="Q4150" s="55"/>
      <c r="R4150" s="55"/>
      <c r="S4150" s="55"/>
      <c r="T4150" s="55"/>
      <c r="U4150" s="55"/>
      <c r="V4150" s="55"/>
      <c r="W4150" s="55"/>
      <c r="X4150" s="55"/>
      <c r="Y4150" s="55"/>
      <c r="Z4150" s="55"/>
      <c r="AA4150" s="55"/>
      <c r="AB4150" s="22">
        <f t="shared" si="1334"/>
        <v>0</v>
      </c>
      <c r="AC4150" s="23">
        <v>0</v>
      </c>
      <c r="AD4150" s="56"/>
      <c r="AE4150" s="56"/>
      <c r="AF4150" s="56"/>
      <c r="AG4150" s="56"/>
      <c r="AH4150" s="56"/>
      <c r="AI4150" s="56"/>
      <c r="AJ4150" s="56"/>
      <c r="AK4150" s="56"/>
      <c r="AL4150" s="56">
        <v>1</v>
      </c>
      <c r="AM4150" s="56"/>
      <c r="AN4150" s="56"/>
      <c r="AO4150" s="56"/>
      <c r="AP4150" s="56"/>
      <c r="AQ4150" s="56"/>
      <c r="AR4150" s="56"/>
      <c r="AS4150" s="56"/>
      <c r="AT4150" s="56"/>
      <c r="AU4150" s="56"/>
      <c r="AV4150" s="56"/>
      <c r="AW4150" s="56"/>
      <c r="AX4150" s="56"/>
      <c r="AY4150" s="56"/>
      <c r="AZ4150" s="56"/>
      <c r="BA4150" s="56"/>
      <c r="BB4150" s="22">
        <f t="shared" si="1335"/>
        <v>1</v>
      </c>
      <c r="BC4150" s="23">
        <v>0</v>
      </c>
      <c r="BD4150" s="130">
        <f t="shared" ref="BD4150" si="1342">AB4150+BB4150</f>
        <v>1</v>
      </c>
      <c r="BE4150" s="130">
        <f t="shared" ref="BE4150" si="1343">AC4150+BC4150</f>
        <v>0</v>
      </c>
      <c r="BF4150" s="195" t="e">
        <f t="shared" ref="BF4150" si="1344">BD4150/BE4150*100</f>
        <v>#DIV/0!</v>
      </c>
      <c r="BG4150" s="373"/>
    </row>
    <row r="4151" spans="1:61" s="46" customFormat="1" ht="14.25" customHeight="1">
      <c r="A4151" s="181">
        <v>19</v>
      </c>
      <c r="B4151" s="456" t="s">
        <v>1118</v>
      </c>
      <c r="C4151" s="457" t="s">
        <v>3107</v>
      </c>
      <c r="D4151" s="55"/>
      <c r="E4151" s="55"/>
      <c r="F4151" s="55"/>
      <c r="G4151" s="55"/>
      <c r="H4151" s="55"/>
      <c r="I4151" s="55"/>
      <c r="J4151" s="55"/>
      <c r="K4151" s="55"/>
      <c r="L4151" s="55"/>
      <c r="M4151" s="55"/>
      <c r="N4151" s="55"/>
      <c r="O4151" s="55"/>
      <c r="P4151" s="55"/>
      <c r="Q4151" s="55"/>
      <c r="R4151" s="55"/>
      <c r="S4151" s="55"/>
      <c r="T4151" s="55"/>
      <c r="U4151" s="55"/>
      <c r="V4151" s="55"/>
      <c r="W4151" s="55"/>
      <c r="X4151" s="55"/>
      <c r="Y4151" s="55"/>
      <c r="Z4151" s="55"/>
      <c r="AA4151" s="55"/>
      <c r="AB4151" s="22">
        <f t="shared" si="1334"/>
        <v>0</v>
      </c>
      <c r="AC4151" s="23">
        <v>0</v>
      </c>
      <c r="AD4151" s="56"/>
      <c r="AE4151" s="56"/>
      <c r="AF4151" s="56"/>
      <c r="AG4151" s="56"/>
      <c r="AH4151" s="56"/>
      <c r="AI4151" s="56"/>
      <c r="AJ4151" s="56"/>
      <c r="AK4151" s="56"/>
      <c r="AL4151" s="285"/>
      <c r="AM4151" s="56"/>
      <c r="AN4151" s="56"/>
      <c r="AO4151" s="56"/>
      <c r="AP4151" s="56"/>
      <c r="AQ4151" s="56"/>
      <c r="AR4151" s="56"/>
      <c r="AS4151" s="56"/>
      <c r="AT4151" s="56"/>
      <c r="AU4151" s="56"/>
      <c r="AV4151" s="56"/>
      <c r="AW4151" s="56"/>
      <c r="AX4151" s="56"/>
      <c r="AY4151" s="56"/>
      <c r="AZ4151" s="56"/>
      <c r="BA4151" s="56"/>
      <c r="BB4151" s="22">
        <f t="shared" si="1335"/>
        <v>0</v>
      </c>
      <c r="BC4151" s="23">
        <v>2</v>
      </c>
      <c r="BD4151" s="130">
        <f t="shared" si="1336"/>
        <v>0</v>
      </c>
      <c r="BE4151" s="130">
        <f t="shared" si="1316"/>
        <v>2</v>
      </c>
      <c r="BF4151" s="195">
        <f t="shared" si="1337"/>
        <v>0</v>
      </c>
      <c r="BG4151" s="373">
        <f t="shared" si="1338"/>
        <v>2</v>
      </c>
    </row>
    <row r="4152" spans="1:61" s="46" customFormat="1" ht="14.25" customHeight="1">
      <c r="A4152" s="181">
        <v>20</v>
      </c>
      <c r="B4152" s="461" t="s">
        <v>1665</v>
      </c>
      <c r="C4152" s="462" t="s">
        <v>3110</v>
      </c>
      <c r="D4152" s="55"/>
      <c r="E4152" s="55"/>
      <c r="F4152" s="55"/>
      <c r="G4152" s="55"/>
      <c r="H4152" s="55"/>
      <c r="I4152" s="55"/>
      <c r="J4152" s="55"/>
      <c r="K4152" s="55"/>
      <c r="L4152" s="55"/>
      <c r="M4152" s="55"/>
      <c r="N4152" s="55"/>
      <c r="O4152" s="55"/>
      <c r="P4152" s="55"/>
      <c r="Q4152" s="55"/>
      <c r="R4152" s="55"/>
      <c r="S4152" s="55"/>
      <c r="T4152" s="55"/>
      <c r="U4152" s="55"/>
      <c r="V4152" s="55"/>
      <c r="W4152" s="55"/>
      <c r="X4152" s="55"/>
      <c r="Y4152" s="55"/>
      <c r="Z4152" s="55"/>
      <c r="AA4152" s="55"/>
      <c r="AB4152" s="22">
        <f t="shared" si="1334"/>
        <v>0</v>
      </c>
      <c r="AC4152" s="23">
        <v>0</v>
      </c>
      <c r="AD4152" s="56">
        <v>40</v>
      </c>
      <c r="AE4152" s="56"/>
      <c r="AF4152" s="56"/>
      <c r="AG4152" s="56"/>
      <c r="AH4152" s="56">
        <f>80+47</f>
        <v>127</v>
      </c>
      <c r="AI4152" s="56"/>
      <c r="AJ4152" s="56"/>
      <c r="AK4152" s="56"/>
      <c r="AL4152" s="285">
        <f>627+36</f>
        <v>663</v>
      </c>
      <c r="AM4152" s="56"/>
      <c r="AN4152" s="56"/>
      <c r="AO4152" s="56"/>
      <c r="AP4152" s="56">
        <v>554</v>
      </c>
      <c r="AQ4152" s="56"/>
      <c r="AR4152" s="56"/>
      <c r="AS4152" s="56"/>
      <c r="AT4152" s="56"/>
      <c r="AU4152" s="56"/>
      <c r="AV4152" s="56"/>
      <c r="AW4152" s="56"/>
      <c r="AX4152" s="56"/>
      <c r="AY4152" s="56"/>
      <c r="AZ4152" s="56"/>
      <c r="BA4152" s="56"/>
      <c r="BB4152" s="22">
        <f t="shared" si="1335"/>
        <v>1384</v>
      </c>
      <c r="BC4152" s="23">
        <v>3370</v>
      </c>
      <c r="BD4152" s="130">
        <f t="shared" si="1336"/>
        <v>1384</v>
      </c>
      <c r="BE4152" s="130">
        <f t="shared" si="1316"/>
        <v>3370</v>
      </c>
      <c r="BF4152" s="195">
        <f t="shared" si="1337"/>
        <v>41.068249258160236</v>
      </c>
      <c r="BG4152" s="373">
        <f t="shared" si="1338"/>
        <v>1986</v>
      </c>
    </row>
    <row r="4153" spans="1:61" s="46" customFormat="1" ht="14.25" customHeight="1">
      <c r="A4153" s="181">
        <v>21</v>
      </c>
      <c r="B4153" s="454" t="s">
        <v>1665</v>
      </c>
      <c r="C4153" s="458" t="s">
        <v>1666</v>
      </c>
      <c r="D4153" s="55"/>
      <c r="E4153" s="55"/>
      <c r="F4153" s="55"/>
      <c r="G4153" s="55"/>
      <c r="H4153" s="55"/>
      <c r="I4153" s="55"/>
      <c r="J4153" s="55"/>
      <c r="K4153" s="55"/>
      <c r="L4153" s="55"/>
      <c r="M4153" s="55"/>
      <c r="N4153" s="55"/>
      <c r="O4153" s="55"/>
      <c r="P4153" s="55"/>
      <c r="Q4153" s="55"/>
      <c r="R4153" s="55"/>
      <c r="S4153" s="55"/>
      <c r="T4153" s="55"/>
      <c r="U4153" s="55"/>
      <c r="V4153" s="55"/>
      <c r="W4153" s="55"/>
      <c r="X4153" s="55"/>
      <c r="Y4153" s="55"/>
      <c r="Z4153" s="55"/>
      <c r="AA4153" s="55"/>
      <c r="AB4153" s="22">
        <f t="shared" si="1334"/>
        <v>0</v>
      </c>
      <c r="AC4153" s="23">
        <v>0</v>
      </c>
      <c r="AD4153" s="56"/>
      <c r="AE4153" s="56"/>
      <c r="AF4153" s="56"/>
      <c r="AG4153" s="56"/>
      <c r="AH4153" s="56"/>
      <c r="AI4153" s="56"/>
      <c r="AJ4153" s="56"/>
      <c r="AK4153" s="56"/>
      <c r="AL4153" s="56"/>
      <c r="AM4153" s="56"/>
      <c r="AN4153" s="56"/>
      <c r="AO4153" s="56"/>
      <c r="AP4153" s="56"/>
      <c r="AQ4153" s="56"/>
      <c r="AR4153" s="56"/>
      <c r="AS4153" s="56"/>
      <c r="AT4153" s="56"/>
      <c r="AU4153" s="56"/>
      <c r="AV4153" s="56"/>
      <c r="AW4153" s="56"/>
      <c r="AX4153" s="56"/>
      <c r="AY4153" s="56"/>
      <c r="AZ4153" s="56"/>
      <c r="BA4153" s="56"/>
      <c r="BB4153" s="22">
        <f t="shared" si="1335"/>
        <v>0</v>
      </c>
      <c r="BC4153" s="23">
        <v>4540</v>
      </c>
      <c r="BD4153" s="130">
        <f t="shared" si="1336"/>
        <v>0</v>
      </c>
      <c r="BE4153" s="130">
        <f t="shared" si="1316"/>
        <v>4540</v>
      </c>
      <c r="BF4153" s="195">
        <f t="shared" si="1337"/>
        <v>0</v>
      </c>
      <c r="BG4153" s="373">
        <f t="shared" si="1338"/>
        <v>4540</v>
      </c>
    </row>
    <row r="4154" spans="1:61" s="46" customFormat="1" ht="14.25" customHeight="1">
      <c r="A4154" s="181">
        <v>22</v>
      </c>
      <c r="B4154" s="454" t="s">
        <v>1767</v>
      </c>
      <c r="C4154" s="458" t="s">
        <v>1770</v>
      </c>
      <c r="D4154" s="55"/>
      <c r="E4154" s="55"/>
      <c r="F4154" s="55"/>
      <c r="G4154" s="55"/>
      <c r="H4154" s="55"/>
      <c r="I4154" s="55"/>
      <c r="J4154" s="55"/>
      <c r="K4154" s="55"/>
      <c r="L4154" s="55"/>
      <c r="M4154" s="55"/>
      <c r="N4154" s="55"/>
      <c r="O4154" s="55"/>
      <c r="P4154" s="55"/>
      <c r="Q4154" s="55"/>
      <c r="R4154" s="55"/>
      <c r="S4154" s="55"/>
      <c r="T4154" s="55"/>
      <c r="U4154" s="55"/>
      <c r="V4154" s="55"/>
      <c r="W4154" s="55"/>
      <c r="X4154" s="55"/>
      <c r="Y4154" s="55"/>
      <c r="Z4154" s="55"/>
      <c r="AA4154" s="55"/>
      <c r="AB4154" s="22">
        <f t="shared" si="1334"/>
        <v>0</v>
      </c>
      <c r="AC4154" s="23">
        <v>0</v>
      </c>
      <c r="AD4154" s="56">
        <v>240</v>
      </c>
      <c r="AE4154" s="56"/>
      <c r="AF4154" s="56"/>
      <c r="AG4154" s="56"/>
      <c r="AH4154" s="56">
        <f>138+175</f>
        <v>313</v>
      </c>
      <c r="AI4154" s="56"/>
      <c r="AJ4154" s="56"/>
      <c r="AK4154" s="56"/>
      <c r="AL4154" s="56">
        <f>870+154</f>
        <v>1024</v>
      </c>
      <c r="AM4154" s="56"/>
      <c r="AN4154" s="56"/>
      <c r="AO4154" s="56"/>
      <c r="AP4154" s="56">
        <v>872</v>
      </c>
      <c r="AQ4154" s="56"/>
      <c r="AR4154" s="56"/>
      <c r="AS4154" s="56"/>
      <c r="AT4154" s="56"/>
      <c r="AU4154" s="56"/>
      <c r="AV4154" s="56"/>
      <c r="AW4154" s="56"/>
      <c r="AX4154" s="56"/>
      <c r="AY4154" s="56"/>
      <c r="AZ4154" s="56"/>
      <c r="BA4154" s="56"/>
      <c r="BB4154" s="22">
        <f t="shared" si="1335"/>
        <v>2449</v>
      </c>
      <c r="BC4154" s="23">
        <v>5750</v>
      </c>
      <c r="BD4154" s="130">
        <f t="shared" si="1336"/>
        <v>2449</v>
      </c>
      <c r="BE4154" s="130">
        <f t="shared" si="1316"/>
        <v>5750</v>
      </c>
      <c r="BF4154" s="195">
        <f t="shared" si="1337"/>
        <v>42.591304347826089</v>
      </c>
      <c r="BG4154" s="373">
        <f t="shared" si="1338"/>
        <v>3301</v>
      </c>
    </row>
    <row r="4155" spans="1:61" s="46" customFormat="1" ht="14.25" customHeight="1">
      <c r="A4155" s="181">
        <v>23</v>
      </c>
      <c r="B4155" s="454" t="s">
        <v>1769</v>
      </c>
      <c r="C4155" s="458" t="s">
        <v>1770</v>
      </c>
      <c r="D4155" s="55"/>
      <c r="E4155" s="55"/>
      <c r="F4155" s="55"/>
      <c r="G4155" s="55"/>
      <c r="H4155" s="55"/>
      <c r="I4155" s="55"/>
      <c r="J4155" s="55"/>
      <c r="K4155" s="55"/>
      <c r="L4155" s="55"/>
      <c r="M4155" s="55"/>
      <c r="N4155" s="55"/>
      <c r="O4155" s="55"/>
      <c r="P4155" s="55"/>
      <c r="Q4155" s="55"/>
      <c r="R4155" s="55"/>
      <c r="S4155" s="55"/>
      <c r="T4155" s="55"/>
      <c r="U4155" s="55"/>
      <c r="V4155" s="55"/>
      <c r="W4155" s="55"/>
      <c r="X4155" s="55"/>
      <c r="Y4155" s="55"/>
      <c r="Z4155" s="55"/>
      <c r="AA4155" s="55"/>
      <c r="AB4155" s="22">
        <f t="shared" si="1334"/>
        <v>0</v>
      </c>
      <c r="AC4155" s="23">
        <v>0</v>
      </c>
      <c r="AD4155" s="56"/>
      <c r="AE4155" s="56"/>
      <c r="AF4155" s="56"/>
      <c r="AG4155" s="56"/>
      <c r="AH4155" s="56"/>
      <c r="AI4155" s="56"/>
      <c r="AJ4155" s="56"/>
      <c r="AK4155" s="56"/>
      <c r="AL4155" s="56">
        <v>4</v>
      </c>
      <c r="AM4155" s="56"/>
      <c r="AN4155" s="56"/>
      <c r="AO4155" s="56"/>
      <c r="AP4155" s="56"/>
      <c r="AQ4155" s="56"/>
      <c r="AR4155" s="56"/>
      <c r="AS4155" s="56"/>
      <c r="AT4155" s="56"/>
      <c r="AU4155" s="56"/>
      <c r="AV4155" s="56"/>
      <c r="AW4155" s="56"/>
      <c r="AX4155" s="56"/>
      <c r="AY4155" s="56"/>
      <c r="AZ4155" s="56"/>
      <c r="BA4155" s="56"/>
      <c r="BB4155" s="22">
        <f t="shared" si="1335"/>
        <v>4</v>
      </c>
      <c r="BC4155" s="23">
        <v>118</v>
      </c>
      <c r="BD4155" s="130">
        <f t="shared" si="1336"/>
        <v>4</v>
      </c>
      <c r="BE4155" s="130">
        <f t="shared" si="1316"/>
        <v>118</v>
      </c>
      <c r="BF4155" s="195">
        <f t="shared" si="1337"/>
        <v>3.3898305084745761</v>
      </c>
      <c r="BG4155" s="373">
        <f t="shared" si="1338"/>
        <v>114</v>
      </c>
    </row>
    <row r="4156" spans="1:61" s="46" customFormat="1" ht="14.25" customHeight="1">
      <c r="A4156" s="181">
        <v>24</v>
      </c>
      <c r="B4156" s="454" t="s">
        <v>1771</v>
      </c>
      <c r="C4156" s="458" t="s">
        <v>1772</v>
      </c>
      <c r="D4156" s="55"/>
      <c r="E4156" s="55"/>
      <c r="F4156" s="55"/>
      <c r="G4156" s="55"/>
      <c r="H4156" s="55"/>
      <c r="I4156" s="55"/>
      <c r="J4156" s="55"/>
      <c r="K4156" s="55"/>
      <c r="L4156" s="55"/>
      <c r="M4156" s="55"/>
      <c r="N4156" s="55"/>
      <c r="O4156" s="55"/>
      <c r="P4156" s="55"/>
      <c r="Q4156" s="55"/>
      <c r="R4156" s="55"/>
      <c r="S4156" s="55"/>
      <c r="T4156" s="55"/>
      <c r="U4156" s="55"/>
      <c r="V4156" s="55"/>
      <c r="W4156" s="55"/>
      <c r="X4156" s="55"/>
      <c r="Y4156" s="55"/>
      <c r="Z4156" s="55"/>
      <c r="AA4156" s="55"/>
      <c r="AB4156" s="22">
        <f t="shared" si="1334"/>
        <v>0</v>
      </c>
      <c r="AC4156" s="23">
        <v>0</v>
      </c>
      <c r="AD4156" s="56">
        <v>10</v>
      </c>
      <c r="AE4156" s="56"/>
      <c r="AF4156" s="56"/>
      <c r="AG4156" s="56"/>
      <c r="AH4156" s="56">
        <v>8</v>
      </c>
      <c r="AI4156" s="56"/>
      <c r="AJ4156" s="56"/>
      <c r="AK4156" s="56"/>
      <c r="AL4156" s="56">
        <v>5</v>
      </c>
      <c r="AM4156" s="56"/>
      <c r="AN4156" s="56"/>
      <c r="AO4156" s="56"/>
      <c r="AP4156" s="56"/>
      <c r="AQ4156" s="56"/>
      <c r="AR4156" s="56"/>
      <c r="AS4156" s="56"/>
      <c r="AT4156" s="56"/>
      <c r="AU4156" s="56"/>
      <c r="AV4156" s="56"/>
      <c r="AW4156" s="56"/>
      <c r="AX4156" s="56"/>
      <c r="AY4156" s="56"/>
      <c r="AZ4156" s="56"/>
      <c r="BA4156" s="56"/>
      <c r="BB4156" s="22">
        <f t="shared" si="1335"/>
        <v>23</v>
      </c>
      <c r="BC4156" s="23">
        <v>92</v>
      </c>
      <c r="BD4156" s="130">
        <f t="shared" si="1336"/>
        <v>23</v>
      </c>
      <c r="BE4156" s="130">
        <f t="shared" si="1316"/>
        <v>92</v>
      </c>
      <c r="BF4156" s="195">
        <f t="shared" si="1337"/>
        <v>25</v>
      </c>
      <c r="BG4156" s="373">
        <f t="shared" si="1338"/>
        <v>69</v>
      </c>
    </row>
    <row r="4157" spans="1:61" s="46" customFormat="1" ht="14.25" customHeight="1">
      <c r="A4157" s="181">
        <v>25</v>
      </c>
      <c r="B4157" s="456" t="s">
        <v>1795</v>
      </c>
      <c r="C4157" s="457" t="s">
        <v>3109</v>
      </c>
      <c r="D4157" s="55"/>
      <c r="E4157" s="55"/>
      <c r="F4157" s="55"/>
      <c r="G4157" s="55"/>
      <c r="H4157" s="55"/>
      <c r="I4157" s="55"/>
      <c r="J4157" s="55"/>
      <c r="K4157" s="55"/>
      <c r="L4157" s="55"/>
      <c r="M4157" s="55"/>
      <c r="N4157" s="55"/>
      <c r="O4157" s="55"/>
      <c r="P4157" s="55"/>
      <c r="Q4157" s="55"/>
      <c r="R4157" s="55"/>
      <c r="S4157" s="55"/>
      <c r="T4157" s="55"/>
      <c r="U4157" s="55"/>
      <c r="V4157" s="55"/>
      <c r="W4157" s="55"/>
      <c r="X4157" s="55"/>
      <c r="Y4157" s="55"/>
      <c r="Z4157" s="55"/>
      <c r="AA4157" s="55"/>
      <c r="AB4157" s="22">
        <f t="shared" si="1334"/>
        <v>0</v>
      </c>
      <c r="AC4157" s="23">
        <v>0</v>
      </c>
      <c r="AD4157" s="56">
        <v>7</v>
      </c>
      <c r="AE4157" s="56"/>
      <c r="AF4157" s="56"/>
      <c r="AG4157" s="56"/>
      <c r="AH4157" s="56">
        <v>11</v>
      </c>
      <c r="AI4157" s="56"/>
      <c r="AJ4157" s="56"/>
      <c r="AK4157" s="56"/>
      <c r="AL4157" s="285">
        <f>26+7</f>
        <v>33</v>
      </c>
      <c r="AM4157" s="56"/>
      <c r="AN4157" s="56"/>
      <c r="AO4157" s="56"/>
      <c r="AP4157" s="56">
        <v>57</v>
      </c>
      <c r="AQ4157" s="56"/>
      <c r="AR4157" s="56"/>
      <c r="AS4157" s="56"/>
      <c r="AT4157" s="56"/>
      <c r="AU4157" s="56"/>
      <c r="AV4157" s="56"/>
      <c r="AW4157" s="56"/>
      <c r="AX4157" s="56"/>
      <c r="AY4157" s="56"/>
      <c r="AZ4157" s="56"/>
      <c r="BA4157" s="56"/>
      <c r="BB4157" s="22">
        <f t="shared" si="1335"/>
        <v>108</v>
      </c>
      <c r="BC4157" s="23">
        <f>374+213</f>
        <v>587</v>
      </c>
      <c r="BD4157" s="130">
        <f t="shared" si="1336"/>
        <v>108</v>
      </c>
      <c r="BE4157" s="130">
        <f t="shared" si="1316"/>
        <v>587</v>
      </c>
      <c r="BF4157" s="195">
        <f t="shared" si="1337"/>
        <v>18.39863713798978</v>
      </c>
      <c r="BG4157" s="373">
        <f t="shared" si="1338"/>
        <v>479</v>
      </c>
    </row>
    <row r="4158" spans="1:61" s="46" customFormat="1" ht="14.25" customHeight="1">
      <c r="A4158" s="181">
        <v>26</v>
      </c>
      <c r="B4158" s="454" t="s">
        <v>1773</v>
      </c>
      <c r="C4158" s="458" t="s">
        <v>2475</v>
      </c>
      <c r="D4158" s="55"/>
      <c r="E4158" s="55"/>
      <c r="F4158" s="55"/>
      <c r="G4158" s="55"/>
      <c r="H4158" s="55"/>
      <c r="I4158" s="55"/>
      <c r="J4158" s="55"/>
      <c r="K4158" s="55"/>
      <c r="L4158" s="55"/>
      <c r="M4158" s="55"/>
      <c r="N4158" s="55"/>
      <c r="O4158" s="55"/>
      <c r="P4158" s="55"/>
      <c r="Q4158" s="55"/>
      <c r="R4158" s="55"/>
      <c r="S4158" s="55"/>
      <c r="T4158" s="55"/>
      <c r="U4158" s="55"/>
      <c r="V4158" s="55"/>
      <c r="W4158" s="55"/>
      <c r="X4158" s="55"/>
      <c r="Y4158" s="55"/>
      <c r="Z4158" s="55"/>
      <c r="AA4158" s="55"/>
      <c r="AB4158" s="22">
        <f t="shared" si="1334"/>
        <v>0</v>
      </c>
      <c r="AC4158" s="23">
        <v>0</v>
      </c>
      <c r="AD4158" s="56"/>
      <c r="AE4158" s="56"/>
      <c r="AF4158" s="56"/>
      <c r="AG4158" s="56"/>
      <c r="AH4158" s="56"/>
      <c r="AI4158" s="56"/>
      <c r="AJ4158" s="56"/>
      <c r="AK4158" s="56"/>
      <c r="AL4158" s="56"/>
      <c r="AM4158" s="56"/>
      <c r="AN4158" s="56"/>
      <c r="AO4158" s="56"/>
      <c r="AP4158" s="56"/>
      <c r="AQ4158" s="56"/>
      <c r="AR4158" s="56"/>
      <c r="AS4158" s="56"/>
      <c r="AT4158" s="56"/>
      <c r="AU4158" s="56"/>
      <c r="AV4158" s="56"/>
      <c r="AW4158" s="56"/>
      <c r="AX4158" s="56"/>
      <c r="AY4158" s="56"/>
      <c r="AZ4158" s="56"/>
      <c r="BA4158" s="56"/>
      <c r="BB4158" s="22">
        <f t="shared" si="1335"/>
        <v>0</v>
      </c>
      <c r="BC4158" s="23">
        <v>137</v>
      </c>
      <c r="BD4158" s="130">
        <f t="shared" si="1336"/>
        <v>0</v>
      </c>
      <c r="BE4158" s="130">
        <f t="shared" si="1316"/>
        <v>137</v>
      </c>
      <c r="BF4158" s="195">
        <f t="shared" si="1337"/>
        <v>0</v>
      </c>
      <c r="BG4158" s="373">
        <f t="shared" si="1338"/>
        <v>137</v>
      </c>
    </row>
    <row r="4159" spans="1:61" s="46" customFormat="1" ht="14.25" customHeight="1">
      <c r="A4159" s="650" t="s">
        <v>1833</v>
      </c>
      <c r="B4159" s="651"/>
      <c r="C4159" s="651"/>
      <c r="D4159" s="52">
        <f t="shared" ref="D4159:AI4159" si="1345">SUM(D4160:D4160)</f>
        <v>0</v>
      </c>
      <c r="E4159" s="52">
        <f t="shared" si="1345"/>
        <v>0</v>
      </c>
      <c r="F4159" s="52">
        <f t="shared" si="1345"/>
        <v>0</v>
      </c>
      <c r="G4159" s="52">
        <f t="shared" si="1345"/>
        <v>0</v>
      </c>
      <c r="H4159" s="52">
        <f t="shared" si="1345"/>
        <v>0</v>
      </c>
      <c r="I4159" s="52">
        <f t="shared" si="1345"/>
        <v>0</v>
      </c>
      <c r="J4159" s="52">
        <f t="shared" si="1345"/>
        <v>0</v>
      </c>
      <c r="K4159" s="52">
        <f t="shared" si="1345"/>
        <v>0</v>
      </c>
      <c r="L4159" s="52">
        <f t="shared" si="1345"/>
        <v>0</v>
      </c>
      <c r="M4159" s="52">
        <f t="shared" si="1345"/>
        <v>0</v>
      </c>
      <c r="N4159" s="52">
        <f t="shared" si="1345"/>
        <v>0</v>
      </c>
      <c r="O4159" s="52">
        <f t="shared" si="1345"/>
        <v>0</v>
      </c>
      <c r="P4159" s="52">
        <f t="shared" si="1345"/>
        <v>0</v>
      </c>
      <c r="Q4159" s="52">
        <f t="shared" si="1345"/>
        <v>0</v>
      </c>
      <c r="R4159" s="52">
        <f t="shared" si="1345"/>
        <v>0</v>
      </c>
      <c r="S4159" s="52">
        <f t="shared" si="1345"/>
        <v>0</v>
      </c>
      <c r="T4159" s="52">
        <f t="shared" si="1345"/>
        <v>0</v>
      </c>
      <c r="U4159" s="52">
        <f t="shared" si="1345"/>
        <v>0</v>
      </c>
      <c r="V4159" s="52">
        <f t="shared" si="1345"/>
        <v>0</v>
      </c>
      <c r="W4159" s="52">
        <f t="shared" si="1345"/>
        <v>0</v>
      </c>
      <c r="X4159" s="52">
        <f t="shared" si="1345"/>
        <v>0</v>
      </c>
      <c r="Y4159" s="52">
        <f t="shared" si="1345"/>
        <v>0</v>
      </c>
      <c r="Z4159" s="52">
        <f t="shared" si="1345"/>
        <v>0</v>
      </c>
      <c r="AA4159" s="52">
        <f t="shared" si="1345"/>
        <v>0</v>
      </c>
      <c r="AB4159" s="52">
        <f t="shared" si="1345"/>
        <v>0</v>
      </c>
      <c r="AC4159" s="127">
        <f t="shared" si="1345"/>
        <v>0</v>
      </c>
      <c r="AD4159" s="52">
        <f t="shared" si="1345"/>
        <v>0</v>
      </c>
      <c r="AE4159" s="52">
        <f t="shared" si="1345"/>
        <v>0</v>
      </c>
      <c r="AF4159" s="52">
        <f t="shared" si="1345"/>
        <v>0</v>
      </c>
      <c r="AG4159" s="52">
        <f t="shared" si="1345"/>
        <v>0</v>
      </c>
      <c r="AH4159" s="52">
        <f t="shared" si="1345"/>
        <v>0</v>
      </c>
      <c r="AI4159" s="52">
        <f t="shared" si="1345"/>
        <v>0</v>
      </c>
      <c r="AJ4159" s="52">
        <f t="shared" ref="AJ4159:BC4159" si="1346">SUM(AJ4160:AJ4160)</f>
        <v>0</v>
      </c>
      <c r="AK4159" s="52">
        <f t="shared" si="1346"/>
        <v>0</v>
      </c>
      <c r="AL4159" s="52">
        <f t="shared" si="1346"/>
        <v>0</v>
      </c>
      <c r="AM4159" s="52">
        <f t="shared" si="1346"/>
        <v>0</v>
      </c>
      <c r="AN4159" s="52">
        <f t="shared" si="1346"/>
        <v>0</v>
      </c>
      <c r="AO4159" s="52">
        <f t="shared" si="1346"/>
        <v>0</v>
      </c>
      <c r="AP4159" s="52">
        <f t="shared" si="1346"/>
        <v>0</v>
      </c>
      <c r="AQ4159" s="52">
        <f t="shared" si="1346"/>
        <v>0</v>
      </c>
      <c r="AR4159" s="52">
        <f t="shared" si="1346"/>
        <v>0</v>
      </c>
      <c r="AS4159" s="52">
        <f t="shared" si="1346"/>
        <v>0</v>
      </c>
      <c r="AT4159" s="52">
        <f t="shared" si="1346"/>
        <v>0</v>
      </c>
      <c r="AU4159" s="52">
        <f t="shared" si="1346"/>
        <v>0</v>
      </c>
      <c r="AV4159" s="52">
        <f t="shared" si="1346"/>
        <v>0</v>
      </c>
      <c r="AW4159" s="52">
        <f t="shared" si="1346"/>
        <v>0</v>
      </c>
      <c r="AX4159" s="52">
        <f t="shared" si="1346"/>
        <v>0</v>
      </c>
      <c r="AY4159" s="52">
        <f t="shared" si="1346"/>
        <v>0</v>
      </c>
      <c r="AZ4159" s="52">
        <f t="shared" si="1346"/>
        <v>0</v>
      </c>
      <c r="BA4159" s="52">
        <f t="shared" si="1346"/>
        <v>0</v>
      </c>
      <c r="BB4159" s="52">
        <f t="shared" si="1346"/>
        <v>0</v>
      </c>
      <c r="BC4159" s="127">
        <f t="shared" si="1346"/>
        <v>0</v>
      </c>
      <c r="BD4159" s="130">
        <f t="shared" si="1315"/>
        <v>0</v>
      </c>
      <c r="BE4159" s="130">
        <f t="shared" si="1316"/>
        <v>0</v>
      </c>
      <c r="BF4159" s="195" t="e">
        <f t="shared" si="1321"/>
        <v>#DIV/0!</v>
      </c>
      <c r="BG4159" s="375">
        <f t="shared" si="1317"/>
        <v>0</v>
      </c>
    </row>
    <row r="4160" spans="1:61" s="46" customFormat="1" ht="21" customHeight="1">
      <c r="A4160" s="453"/>
      <c r="B4160" s="454"/>
      <c r="C4160" s="455"/>
      <c r="D4160" s="55"/>
      <c r="E4160" s="55"/>
      <c r="F4160" s="55"/>
      <c r="G4160" s="55"/>
      <c r="H4160" s="55"/>
      <c r="I4160" s="55"/>
      <c r="J4160" s="55"/>
      <c r="K4160" s="55"/>
      <c r="L4160" s="55"/>
      <c r="M4160" s="55"/>
      <c r="N4160" s="55"/>
      <c r="O4160" s="55"/>
      <c r="P4160" s="55"/>
      <c r="Q4160" s="55"/>
      <c r="R4160" s="55"/>
      <c r="S4160" s="55"/>
      <c r="T4160" s="55"/>
      <c r="U4160" s="55"/>
      <c r="V4160" s="55"/>
      <c r="W4160" s="55"/>
      <c r="X4160" s="55"/>
      <c r="Y4160" s="55"/>
      <c r="Z4160" s="55"/>
      <c r="AA4160" s="55"/>
      <c r="AB4160" s="22">
        <f t="shared" ref="AB4160" si="1347">SUM(D4160:AA4160)</f>
        <v>0</v>
      </c>
      <c r="AC4160" s="23">
        <v>0</v>
      </c>
      <c r="AD4160" s="56"/>
      <c r="AE4160" s="56"/>
      <c r="AF4160" s="56"/>
      <c r="AG4160" s="56"/>
      <c r="AH4160" s="56"/>
      <c r="AI4160" s="56"/>
      <c r="AJ4160" s="56"/>
      <c r="AK4160" s="56"/>
      <c r="AL4160" s="56"/>
      <c r="AM4160" s="56"/>
      <c r="AN4160" s="56"/>
      <c r="AO4160" s="56"/>
      <c r="AP4160" s="56"/>
      <c r="AQ4160" s="56"/>
      <c r="AR4160" s="56"/>
      <c r="AS4160" s="56"/>
      <c r="AT4160" s="56"/>
      <c r="AU4160" s="56"/>
      <c r="AV4160" s="56"/>
      <c r="AW4160" s="56"/>
      <c r="AX4160" s="56"/>
      <c r="AY4160" s="56"/>
      <c r="AZ4160" s="56"/>
      <c r="BA4160" s="56"/>
      <c r="BB4160" s="22">
        <f t="shared" ref="BB4160" si="1348">SUM(AD4160:BA4160)</f>
        <v>0</v>
      </c>
      <c r="BC4160" s="23">
        <v>0</v>
      </c>
      <c r="BD4160" s="130">
        <f t="shared" ref="BD4160:BE4160" si="1349">AB4160+BB4160</f>
        <v>0</v>
      </c>
      <c r="BE4160" s="130">
        <f t="shared" si="1349"/>
        <v>0</v>
      </c>
      <c r="BF4160" s="195" t="e">
        <f t="shared" ref="BF4160" si="1350">BD4160/BE4160*100</f>
        <v>#DIV/0!</v>
      </c>
      <c r="BG4160" s="373">
        <f t="shared" ref="BG4160" si="1351">BE4160-BD4160</f>
        <v>0</v>
      </c>
      <c r="BH4160" s="426" t="s">
        <v>3675</v>
      </c>
      <c r="BI4160" s="420"/>
    </row>
    <row r="4161" spans="1:61" s="46" customFormat="1" ht="14.25" customHeight="1">
      <c r="A4161" s="648" t="s">
        <v>1835</v>
      </c>
      <c r="B4161" s="649"/>
      <c r="C4161" s="649"/>
      <c r="D4161" s="52">
        <f t="shared" ref="D4161:AI4161" si="1352">SUM(D4162:D4185)</f>
        <v>17</v>
      </c>
      <c r="E4161" s="52">
        <f t="shared" si="1352"/>
        <v>0</v>
      </c>
      <c r="F4161" s="52">
        <f t="shared" si="1352"/>
        <v>0</v>
      </c>
      <c r="G4161" s="52">
        <f t="shared" si="1352"/>
        <v>0</v>
      </c>
      <c r="H4161" s="52">
        <f t="shared" si="1352"/>
        <v>71</v>
      </c>
      <c r="I4161" s="52">
        <f t="shared" si="1352"/>
        <v>0</v>
      </c>
      <c r="J4161" s="52">
        <f t="shared" si="1352"/>
        <v>0</v>
      </c>
      <c r="K4161" s="52">
        <f t="shared" si="1352"/>
        <v>0</v>
      </c>
      <c r="L4161" s="52">
        <f t="shared" si="1352"/>
        <v>436</v>
      </c>
      <c r="M4161" s="52">
        <f t="shared" si="1352"/>
        <v>0</v>
      </c>
      <c r="N4161" s="52">
        <f t="shared" si="1352"/>
        <v>0</v>
      </c>
      <c r="O4161" s="52">
        <f t="shared" si="1352"/>
        <v>0</v>
      </c>
      <c r="P4161" s="52">
        <f t="shared" si="1352"/>
        <v>369</v>
      </c>
      <c r="Q4161" s="52">
        <f t="shared" si="1352"/>
        <v>0</v>
      </c>
      <c r="R4161" s="52">
        <f t="shared" si="1352"/>
        <v>0</v>
      </c>
      <c r="S4161" s="52">
        <f t="shared" si="1352"/>
        <v>0</v>
      </c>
      <c r="T4161" s="52">
        <f t="shared" si="1352"/>
        <v>0</v>
      </c>
      <c r="U4161" s="52">
        <f t="shared" si="1352"/>
        <v>0</v>
      </c>
      <c r="V4161" s="52">
        <f t="shared" si="1352"/>
        <v>0</v>
      </c>
      <c r="W4161" s="52">
        <f t="shared" si="1352"/>
        <v>0</v>
      </c>
      <c r="X4161" s="52">
        <f t="shared" si="1352"/>
        <v>0</v>
      </c>
      <c r="Y4161" s="52">
        <f t="shared" si="1352"/>
        <v>0</v>
      </c>
      <c r="Z4161" s="52">
        <f t="shared" si="1352"/>
        <v>0</v>
      </c>
      <c r="AA4161" s="52">
        <f t="shared" si="1352"/>
        <v>0</v>
      </c>
      <c r="AB4161" s="52">
        <f t="shared" si="1352"/>
        <v>893</v>
      </c>
      <c r="AC4161" s="127">
        <f t="shared" si="1352"/>
        <v>3535</v>
      </c>
      <c r="AD4161" s="52">
        <f t="shared" si="1352"/>
        <v>0</v>
      </c>
      <c r="AE4161" s="52">
        <f t="shared" si="1352"/>
        <v>0</v>
      </c>
      <c r="AF4161" s="52">
        <f t="shared" si="1352"/>
        <v>0</v>
      </c>
      <c r="AG4161" s="52">
        <f t="shared" si="1352"/>
        <v>0</v>
      </c>
      <c r="AH4161" s="52">
        <f t="shared" si="1352"/>
        <v>74</v>
      </c>
      <c r="AI4161" s="52">
        <f t="shared" si="1352"/>
        <v>0</v>
      </c>
      <c r="AJ4161" s="52">
        <f t="shared" ref="AJ4161:BC4161" si="1353">SUM(AJ4162:AJ4185)</f>
        <v>0</v>
      </c>
      <c r="AK4161" s="52">
        <f t="shared" si="1353"/>
        <v>0</v>
      </c>
      <c r="AL4161" s="52">
        <f t="shared" si="1353"/>
        <v>483</v>
      </c>
      <c r="AM4161" s="52">
        <f t="shared" si="1353"/>
        <v>0</v>
      </c>
      <c r="AN4161" s="52">
        <f t="shared" si="1353"/>
        <v>0</v>
      </c>
      <c r="AO4161" s="52">
        <f t="shared" si="1353"/>
        <v>0</v>
      </c>
      <c r="AP4161" s="52">
        <f t="shared" si="1353"/>
        <v>186</v>
      </c>
      <c r="AQ4161" s="52">
        <f t="shared" si="1353"/>
        <v>0</v>
      </c>
      <c r="AR4161" s="52">
        <f t="shared" si="1353"/>
        <v>0</v>
      </c>
      <c r="AS4161" s="52">
        <f t="shared" si="1353"/>
        <v>0</v>
      </c>
      <c r="AT4161" s="52">
        <f t="shared" si="1353"/>
        <v>0</v>
      </c>
      <c r="AU4161" s="52">
        <f t="shared" si="1353"/>
        <v>0</v>
      </c>
      <c r="AV4161" s="52">
        <f t="shared" si="1353"/>
        <v>0</v>
      </c>
      <c r="AW4161" s="52">
        <f t="shared" si="1353"/>
        <v>0</v>
      </c>
      <c r="AX4161" s="52">
        <f t="shared" si="1353"/>
        <v>0</v>
      </c>
      <c r="AY4161" s="52">
        <f t="shared" si="1353"/>
        <v>0</v>
      </c>
      <c r="AZ4161" s="52">
        <f t="shared" si="1353"/>
        <v>0</v>
      </c>
      <c r="BA4161" s="52">
        <f t="shared" si="1353"/>
        <v>0</v>
      </c>
      <c r="BB4161" s="52">
        <f t="shared" si="1353"/>
        <v>743</v>
      </c>
      <c r="BC4161" s="127">
        <f t="shared" si="1353"/>
        <v>2941</v>
      </c>
      <c r="BD4161" s="130">
        <f t="shared" si="1315"/>
        <v>1636</v>
      </c>
      <c r="BE4161" s="130">
        <f t="shared" si="1316"/>
        <v>6476</v>
      </c>
      <c r="BF4161" s="195">
        <f t="shared" si="1321"/>
        <v>25.262507720815318</v>
      </c>
      <c r="BG4161" s="375">
        <f t="shared" si="1317"/>
        <v>4840</v>
      </c>
    </row>
    <row r="4162" spans="1:61" s="46" customFormat="1" ht="21" customHeight="1">
      <c r="A4162" s="417">
        <v>1</v>
      </c>
      <c r="B4162" s="418" t="s">
        <v>2275</v>
      </c>
      <c r="C4162" s="419" t="s">
        <v>2276</v>
      </c>
      <c r="D4162" s="55"/>
      <c r="E4162" s="55"/>
      <c r="F4162" s="55"/>
      <c r="G4162" s="55"/>
      <c r="H4162" s="56"/>
      <c r="I4162" s="55"/>
      <c r="J4162" s="55"/>
      <c r="K4162" s="55"/>
      <c r="L4162" s="55"/>
      <c r="M4162" s="55"/>
      <c r="N4162" s="55"/>
      <c r="O4162" s="55"/>
      <c r="P4162" s="55"/>
      <c r="Q4162" s="55"/>
      <c r="R4162" s="55"/>
      <c r="S4162" s="55"/>
      <c r="T4162" s="55"/>
      <c r="U4162" s="55"/>
      <c r="V4162" s="55"/>
      <c r="W4162" s="55"/>
      <c r="X4162" s="55"/>
      <c r="Y4162" s="55"/>
      <c r="Z4162" s="55"/>
      <c r="AA4162" s="55"/>
      <c r="AB4162" s="22">
        <f t="shared" ref="AB4162:AB4185" si="1354">SUM(D4162:AA4162)</f>
        <v>0</v>
      </c>
      <c r="AC4162" s="23">
        <v>1</v>
      </c>
      <c r="AD4162" s="56"/>
      <c r="AE4162" s="56"/>
      <c r="AF4162" s="56"/>
      <c r="AG4162" s="56"/>
      <c r="AH4162" s="56"/>
      <c r="AI4162" s="56"/>
      <c r="AJ4162" s="56"/>
      <c r="AK4162" s="56"/>
      <c r="AL4162" s="56"/>
      <c r="AM4162" s="56"/>
      <c r="AN4162" s="56"/>
      <c r="AO4162" s="56"/>
      <c r="AP4162" s="56"/>
      <c r="AQ4162" s="56"/>
      <c r="AR4162" s="56"/>
      <c r="AS4162" s="56"/>
      <c r="AT4162" s="56"/>
      <c r="AU4162" s="56"/>
      <c r="AV4162" s="56"/>
      <c r="AW4162" s="56"/>
      <c r="AX4162" s="56"/>
      <c r="AY4162" s="56"/>
      <c r="AZ4162" s="56"/>
      <c r="BA4162" s="56"/>
      <c r="BB4162" s="22">
        <f t="shared" ref="BB4162:BB4185" si="1355">SUM(AD4162:BA4162)</f>
        <v>0</v>
      </c>
      <c r="BC4162" s="23">
        <v>0</v>
      </c>
      <c r="BD4162" s="130">
        <f t="shared" ref="BD4162:BD4185" si="1356">AB4162+BB4162</f>
        <v>0</v>
      </c>
      <c r="BE4162" s="130">
        <f t="shared" ref="BE4162:BE4185" si="1357">AC4162+BC4162</f>
        <v>1</v>
      </c>
      <c r="BF4162" s="195">
        <f t="shared" ref="BF4162:BF4185" si="1358">BD4162/BE4162*100</f>
        <v>0</v>
      </c>
      <c r="BG4162" s="373">
        <f t="shared" ref="BG4162:BG4185" si="1359">BE4162-BD4162</f>
        <v>1</v>
      </c>
      <c r="BH4162" s="426" t="s">
        <v>3675</v>
      </c>
      <c r="BI4162" s="421"/>
    </row>
    <row r="4163" spans="1:61" s="46" customFormat="1" ht="21" customHeight="1">
      <c r="A4163" s="417">
        <v>2</v>
      </c>
      <c r="B4163" s="418" t="s">
        <v>1743</v>
      </c>
      <c r="C4163" s="419" t="s">
        <v>1744</v>
      </c>
      <c r="D4163" s="55"/>
      <c r="E4163" s="55"/>
      <c r="F4163" s="55"/>
      <c r="G4163" s="55"/>
      <c r="H4163" s="56">
        <f>1+1</f>
        <v>2</v>
      </c>
      <c r="I4163" s="55"/>
      <c r="J4163" s="55"/>
      <c r="K4163" s="55"/>
      <c r="L4163" s="55">
        <v>16</v>
      </c>
      <c r="M4163" s="55"/>
      <c r="N4163" s="55"/>
      <c r="O4163" s="55"/>
      <c r="P4163" s="55">
        <v>21</v>
      </c>
      <c r="Q4163" s="55"/>
      <c r="R4163" s="55"/>
      <c r="S4163" s="55"/>
      <c r="T4163" s="55"/>
      <c r="U4163" s="55"/>
      <c r="V4163" s="55"/>
      <c r="W4163" s="55"/>
      <c r="X4163" s="55"/>
      <c r="Y4163" s="55"/>
      <c r="Z4163" s="55"/>
      <c r="AA4163" s="55"/>
      <c r="AB4163" s="22">
        <f t="shared" si="1354"/>
        <v>39</v>
      </c>
      <c r="AC4163" s="23">
        <f>42+124</f>
        <v>166</v>
      </c>
      <c r="AD4163" s="56"/>
      <c r="AE4163" s="56"/>
      <c r="AF4163" s="56"/>
      <c r="AG4163" s="56"/>
      <c r="AH4163" s="56"/>
      <c r="AI4163" s="56"/>
      <c r="AJ4163" s="56"/>
      <c r="AK4163" s="56"/>
      <c r="AL4163" s="56"/>
      <c r="AM4163" s="56"/>
      <c r="AN4163" s="56"/>
      <c r="AO4163" s="56"/>
      <c r="AP4163" s="56"/>
      <c r="AQ4163" s="56"/>
      <c r="AR4163" s="56"/>
      <c r="AS4163" s="56"/>
      <c r="AT4163" s="56"/>
      <c r="AU4163" s="56"/>
      <c r="AV4163" s="56"/>
      <c r="AW4163" s="56"/>
      <c r="AX4163" s="56"/>
      <c r="AY4163" s="56"/>
      <c r="AZ4163" s="56"/>
      <c r="BA4163" s="56"/>
      <c r="BB4163" s="22">
        <f t="shared" si="1355"/>
        <v>0</v>
      </c>
      <c r="BC4163" s="23">
        <v>0</v>
      </c>
      <c r="BD4163" s="130">
        <f t="shared" si="1356"/>
        <v>39</v>
      </c>
      <c r="BE4163" s="130">
        <f t="shared" si="1357"/>
        <v>166</v>
      </c>
      <c r="BF4163" s="195">
        <f t="shared" si="1358"/>
        <v>23.493975903614459</v>
      </c>
      <c r="BG4163" s="373">
        <f t="shared" si="1359"/>
        <v>127</v>
      </c>
      <c r="BH4163" s="426" t="s">
        <v>3675</v>
      </c>
      <c r="BI4163" s="420"/>
    </row>
    <row r="4164" spans="1:61" s="46" customFormat="1" ht="21" customHeight="1">
      <c r="A4164" s="417">
        <v>3</v>
      </c>
      <c r="B4164" s="418" t="s">
        <v>1790</v>
      </c>
      <c r="C4164" s="419" t="s">
        <v>1791</v>
      </c>
      <c r="D4164" s="55"/>
      <c r="E4164" s="55"/>
      <c r="F4164" s="55"/>
      <c r="G4164" s="55"/>
      <c r="H4164" s="56"/>
      <c r="I4164" s="55"/>
      <c r="J4164" s="55"/>
      <c r="K4164" s="55"/>
      <c r="L4164" s="55"/>
      <c r="M4164" s="55"/>
      <c r="N4164" s="55"/>
      <c r="O4164" s="55"/>
      <c r="P4164" s="55"/>
      <c r="Q4164" s="55"/>
      <c r="R4164" s="55"/>
      <c r="S4164" s="55"/>
      <c r="T4164" s="55"/>
      <c r="U4164" s="55"/>
      <c r="V4164" s="55"/>
      <c r="W4164" s="55"/>
      <c r="X4164" s="55"/>
      <c r="Y4164" s="55"/>
      <c r="Z4164" s="55"/>
      <c r="AA4164" s="55"/>
      <c r="AB4164" s="22">
        <f t="shared" si="1354"/>
        <v>0</v>
      </c>
      <c r="AC4164" s="23">
        <v>1</v>
      </c>
      <c r="AD4164" s="56"/>
      <c r="AE4164" s="56"/>
      <c r="AF4164" s="56"/>
      <c r="AG4164" s="56"/>
      <c r="AH4164" s="56"/>
      <c r="AI4164" s="56"/>
      <c r="AJ4164" s="56"/>
      <c r="AK4164" s="56"/>
      <c r="AL4164" s="56"/>
      <c r="AM4164" s="56"/>
      <c r="AN4164" s="56"/>
      <c r="AO4164" s="56"/>
      <c r="AP4164" s="56"/>
      <c r="AQ4164" s="56"/>
      <c r="AR4164" s="56"/>
      <c r="AS4164" s="56"/>
      <c r="AT4164" s="56"/>
      <c r="AU4164" s="56"/>
      <c r="AV4164" s="56"/>
      <c r="AW4164" s="56"/>
      <c r="AX4164" s="56"/>
      <c r="AY4164" s="56"/>
      <c r="AZ4164" s="56"/>
      <c r="BA4164" s="56"/>
      <c r="BB4164" s="22">
        <f t="shared" si="1355"/>
        <v>0</v>
      </c>
      <c r="BC4164" s="23">
        <v>0</v>
      </c>
      <c r="BD4164" s="130">
        <f t="shared" si="1356"/>
        <v>0</v>
      </c>
      <c r="BE4164" s="130">
        <f t="shared" si="1357"/>
        <v>1</v>
      </c>
      <c r="BF4164" s="195">
        <f t="shared" si="1358"/>
        <v>0</v>
      </c>
      <c r="BG4164" s="373">
        <f t="shared" si="1359"/>
        <v>1</v>
      </c>
      <c r="BH4164" s="426" t="s">
        <v>3675</v>
      </c>
      <c r="BI4164" s="420"/>
    </row>
    <row r="4165" spans="1:61" s="46" customFormat="1" ht="21" customHeight="1">
      <c r="A4165" s="417">
        <v>4</v>
      </c>
      <c r="B4165" s="418" t="s">
        <v>1813</v>
      </c>
      <c r="C4165" s="419" t="s">
        <v>2292</v>
      </c>
      <c r="D4165" s="55"/>
      <c r="E4165" s="55"/>
      <c r="F4165" s="55"/>
      <c r="G4165" s="55"/>
      <c r="H4165" s="56"/>
      <c r="I4165" s="55"/>
      <c r="J4165" s="55"/>
      <c r="K4165" s="55"/>
      <c r="L4165" s="55"/>
      <c r="M4165" s="55"/>
      <c r="N4165" s="55"/>
      <c r="O4165" s="55"/>
      <c r="P4165" s="55"/>
      <c r="Q4165" s="55"/>
      <c r="R4165" s="55"/>
      <c r="S4165" s="55"/>
      <c r="T4165" s="55"/>
      <c r="U4165" s="55"/>
      <c r="V4165" s="55"/>
      <c r="W4165" s="55"/>
      <c r="X4165" s="55"/>
      <c r="Y4165" s="55"/>
      <c r="Z4165" s="55"/>
      <c r="AA4165" s="55"/>
      <c r="AB4165" s="22">
        <f t="shared" si="1354"/>
        <v>0</v>
      </c>
      <c r="AC4165" s="23">
        <v>9</v>
      </c>
      <c r="AD4165" s="56"/>
      <c r="AE4165" s="56"/>
      <c r="AF4165" s="56"/>
      <c r="AG4165" s="56"/>
      <c r="AH4165" s="56"/>
      <c r="AI4165" s="56"/>
      <c r="AJ4165" s="56"/>
      <c r="AK4165" s="56"/>
      <c r="AL4165" s="56"/>
      <c r="AM4165" s="56"/>
      <c r="AN4165" s="56"/>
      <c r="AO4165" s="56"/>
      <c r="AP4165" s="56"/>
      <c r="AQ4165" s="56"/>
      <c r="AR4165" s="56"/>
      <c r="AS4165" s="56"/>
      <c r="AT4165" s="56"/>
      <c r="AU4165" s="56"/>
      <c r="AV4165" s="56"/>
      <c r="AW4165" s="56"/>
      <c r="AX4165" s="56"/>
      <c r="AY4165" s="56"/>
      <c r="AZ4165" s="56"/>
      <c r="BA4165" s="56"/>
      <c r="BB4165" s="22">
        <f t="shared" si="1355"/>
        <v>0</v>
      </c>
      <c r="BC4165" s="23">
        <v>0</v>
      </c>
      <c r="BD4165" s="130">
        <f t="shared" si="1356"/>
        <v>0</v>
      </c>
      <c r="BE4165" s="130">
        <f t="shared" si="1357"/>
        <v>9</v>
      </c>
      <c r="BF4165" s="195">
        <f t="shared" si="1358"/>
        <v>0</v>
      </c>
      <c r="BG4165" s="373">
        <f t="shared" si="1359"/>
        <v>9</v>
      </c>
      <c r="BH4165" s="426" t="s">
        <v>3675</v>
      </c>
      <c r="BI4165" s="421"/>
    </row>
    <row r="4166" spans="1:61" s="46" customFormat="1" ht="21" customHeight="1">
      <c r="A4166" s="417">
        <v>5</v>
      </c>
      <c r="B4166" s="418" t="s">
        <v>1814</v>
      </c>
      <c r="C4166" s="419" t="s">
        <v>1815</v>
      </c>
      <c r="D4166" s="55"/>
      <c r="E4166" s="55"/>
      <c r="F4166" s="55"/>
      <c r="G4166" s="55"/>
      <c r="H4166" s="56"/>
      <c r="I4166" s="55"/>
      <c r="J4166" s="55"/>
      <c r="K4166" s="55"/>
      <c r="L4166" s="55">
        <v>1</v>
      </c>
      <c r="M4166" s="55"/>
      <c r="N4166" s="55"/>
      <c r="O4166" s="55"/>
      <c r="P4166" s="55"/>
      <c r="Q4166" s="55"/>
      <c r="R4166" s="55"/>
      <c r="S4166" s="55"/>
      <c r="T4166" s="55"/>
      <c r="U4166" s="55"/>
      <c r="V4166" s="55"/>
      <c r="W4166" s="55"/>
      <c r="X4166" s="55"/>
      <c r="Y4166" s="55"/>
      <c r="Z4166" s="55"/>
      <c r="AA4166" s="55"/>
      <c r="AB4166" s="22">
        <f t="shared" si="1354"/>
        <v>1</v>
      </c>
      <c r="AC4166" s="23">
        <v>0</v>
      </c>
      <c r="AD4166" s="56"/>
      <c r="AE4166" s="56"/>
      <c r="AF4166" s="56"/>
      <c r="AG4166" s="56"/>
      <c r="AH4166" s="56"/>
      <c r="AI4166" s="56"/>
      <c r="AJ4166" s="56"/>
      <c r="AK4166" s="56"/>
      <c r="AL4166" s="56"/>
      <c r="AM4166" s="56"/>
      <c r="AN4166" s="56"/>
      <c r="AO4166" s="56"/>
      <c r="AP4166" s="56"/>
      <c r="AQ4166" s="56"/>
      <c r="AR4166" s="56"/>
      <c r="AS4166" s="56"/>
      <c r="AT4166" s="56"/>
      <c r="AU4166" s="56"/>
      <c r="AV4166" s="56"/>
      <c r="AW4166" s="56"/>
      <c r="AX4166" s="56"/>
      <c r="AY4166" s="56"/>
      <c r="AZ4166" s="56"/>
      <c r="BA4166" s="56"/>
      <c r="BB4166" s="22">
        <f t="shared" si="1355"/>
        <v>0</v>
      </c>
      <c r="BC4166" s="23">
        <v>0</v>
      </c>
      <c r="BD4166" s="130">
        <f t="shared" ref="BD4166" si="1360">AB4166+BB4166</f>
        <v>1</v>
      </c>
      <c r="BE4166" s="130">
        <f t="shared" ref="BE4166" si="1361">AC4166+BC4166</f>
        <v>0</v>
      </c>
      <c r="BF4166" s="195" t="e">
        <f t="shared" ref="BF4166" si="1362">BD4166/BE4166*100</f>
        <v>#DIV/0!</v>
      </c>
      <c r="BG4166" s="373"/>
      <c r="BH4166" s="426" t="s">
        <v>3675</v>
      </c>
      <c r="BI4166" s="421"/>
    </row>
    <row r="4167" spans="1:61" s="46" customFormat="1" ht="21" customHeight="1">
      <c r="A4167" s="417">
        <v>6</v>
      </c>
      <c r="B4167" s="418" t="s">
        <v>1747</v>
      </c>
      <c r="C4167" s="419" t="s">
        <v>1748</v>
      </c>
      <c r="D4167" s="55"/>
      <c r="E4167" s="55"/>
      <c r="F4167" s="55"/>
      <c r="G4167" s="55"/>
      <c r="H4167" s="56">
        <f>7+21</f>
        <v>28</v>
      </c>
      <c r="I4167" s="55"/>
      <c r="J4167" s="55"/>
      <c r="K4167" s="55"/>
      <c r="L4167" s="55">
        <v>142</v>
      </c>
      <c r="M4167" s="55"/>
      <c r="N4167" s="55"/>
      <c r="O4167" s="55"/>
      <c r="P4167" s="55">
        <v>96</v>
      </c>
      <c r="Q4167" s="55"/>
      <c r="R4167" s="55"/>
      <c r="S4167" s="55"/>
      <c r="T4167" s="55"/>
      <c r="U4167" s="55"/>
      <c r="V4167" s="55"/>
      <c r="W4167" s="55"/>
      <c r="X4167" s="55"/>
      <c r="Y4167" s="55"/>
      <c r="Z4167" s="55"/>
      <c r="AA4167" s="55"/>
      <c r="AB4167" s="22">
        <f t="shared" si="1354"/>
        <v>266</v>
      </c>
      <c r="AC4167" s="23">
        <f>59+934</f>
        <v>993</v>
      </c>
      <c r="AD4167" s="56"/>
      <c r="AE4167" s="56"/>
      <c r="AF4167" s="56"/>
      <c r="AG4167" s="56"/>
      <c r="AH4167" s="56"/>
      <c r="AI4167" s="56"/>
      <c r="AJ4167" s="56"/>
      <c r="AK4167" s="56"/>
      <c r="AL4167" s="285"/>
      <c r="AM4167" s="56"/>
      <c r="AN4167" s="56"/>
      <c r="AO4167" s="56"/>
      <c r="AP4167" s="56"/>
      <c r="AQ4167" s="56"/>
      <c r="AR4167" s="56"/>
      <c r="AS4167" s="56"/>
      <c r="AT4167" s="56"/>
      <c r="AU4167" s="56"/>
      <c r="AV4167" s="56"/>
      <c r="AW4167" s="56"/>
      <c r="AX4167" s="56"/>
      <c r="AY4167" s="56"/>
      <c r="AZ4167" s="56"/>
      <c r="BA4167" s="56"/>
      <c r="BB4167" s="22">
        <f t="shared" si="1355"/>
        <v>0</v>
      </c>
      <c r="BC4167" s="23">
        <v>0</v>
      </c>
      <c r="BD4167" s="130">
        <f t="shared" si="1356"/>
        <v>266</v>
      </c>
      <c r="BE4167" s="130">
        <f t="shared" si="1357"/>
        <v>993</v>
      </c>
      <c r="BF4167" s="195">
        <f t="shared" si="1358"/>
        <v>26.787512588116819</v>
      </c>
      <c r="BG4167" s="373">
        <f t="shared" si="1359"/>
        <v>727</v>
      </c>
      <c r="BH4167" s="426" t="s">
        <v>3675</v>
      </c>
      <c r="BI4167" s="420"/>
    </row>
    <row r="4168" spans="1:61" s="46" customFormat="1" ht="21" customHeight="1">
      <c r="A4168" s="417">
        <v>7</v>
      </c>
      <c r="B4168" s="418" t="s">
        <v>1749</v>
      </c>
      <c r="C4168" s="419" t="s">
        <v>1750</v>
      </c>
      <c r="D4168" s="55"/>
      <c r="E4168" s="55"/>
      <c r="F4168" s="55"/>
      <c r="G4168" s="55"/>
      <c r="H4168" s="56"/>
      <c r="I4168" s="55"/>
      <c r="J4168" s="55"/>
      <c r="K4168" s="55"/>
      <c r="L4168" s="55">
        <v>7</v>
      </c>
      <c r="M4168" s="55"/>
      <c r="N4168" s="55"/>
      <c r="O4168" s="55"/>
      <c r="P4168" s="55">
        <v>7</v>
      </c>
      <c r="Q4168" s="55"/>
      <c r="R4168" s="55"/>
      <c r="S4168" s="55"/>
      <c r="T4168" s="55"/>
      <c r="U4168" s="55"/>
      <c r="V4168" s="55"/>
      <c r="W4168" s="55"/>
      <c r="X4168" s="55"/>
      <c r="Y4168" s="55"/>
      <c r="Z4168" s="55"/>
      <c r="AA4168" s="55"/>
      <c r="AB4168" s="22">
        <f t="shared" si="1354"/>
        <v>14</v>
      </c>
      <c r="AC4168" s="23">
        <f>15+47</f>
        <v>62</v>
      </c>
      <c r="AD4168" s="56"/>
      <c r="AE4168" s="56"/>
      <c r="AF4168" s="56"/>
      <c r="AG4168" s="56"/>
      <c r="AH4168" s="56"/>
      <c r="AI4168" s="56"/>
      <c r="AJ4168" s="56"/>
      <c r="AK4168" s="56"/>
      <c r="AL4168" s="56"/>
      <c r="AM4168" s="56"/>
      <c r="AN4168" s="56"/>
      <c r="AO4168" s="56"/>
      <c r="AP4168" s="56"/>
      <c r="AQ4168" s="56"/>
      <c r="AR4168" s="56"/>
      <c r="AS4168" s="56"/>
      <c r="AT4168" s="56"/>
      <c r="AU4168" s="56"/>
      <c r="AV4168" s="56"/>
      <c r="AW4168" s="56"/>
      <c r="AX4168" s="56"/>
      <c r="AY4168" s="56"/>
      <c r="AZ4168" s="56"/>
      <c r="BA4168" s="56"/>
      <c r="BB4168" s="22">
        <f t="shared" si="1355"/>
        <v>0</v>
      </c>
      <c r="BC4168" s="23">
        <v>0</v>
      </c>
      <c r="BD4168" s="130">
        <f t="shared" si="1356"/>
        <v>14</v>
      </c>
      <c r="BE4168" s="130">
        <f t="shared" si="1357"/>
        <v>62</v>
      </c>
      <c r="BF4168" s="195">
        <f t="shared" si="1358"/>
        <v>22.58064516129032</v>
      </c>
      <c r="BG4168" s="373">
        <f t="shared" si="1359"/>
        <v>48</v>
      </c>
      <c r="BH4168" s="426" t="s">
        <v>3675</v>
      </c>
      <c r="BI4168" s="421"/>
    </row>
    <row r="4169" spans="1:61" s="46" customFormat="1" ht="21" customHeight="1">
      <c r="A4169" s="417">
        <v>8</v>
      </c>
      <c r="B4169" s="418" t="s">
        <v>1801</v>
      </c>
      <c r="C4169" s="419" t="s">
        <v>1802</v>
      </c>
      <c r="D4169" s="55"/>
      <c r="E4169" s="55"/>
      <c r="F4169" s="55"/>
      <c r="G4169" s="55"/>
      <c r="H4169" s="56">
        <v>1</v>
      </c>
      <c r="I4169" s="55"/>
      <c r="J4169" s="55"/>
      <c r="K4169" s="55"/>
      <c r="L4169" s="55"/>
      <c r="M4169" s="55"/>
      <c r="N4169" s="55"/>
      <c r="O4169" s="55"/>
      <c r="P4169" s="55">
        <v>1</v>
      </c>
      <c r="Q4169" s="55"/>
      <c r="R4169" s="55"/>
      <c r="S4169" s="55"/>
      <c r="T4169" s="55"/>
      <c r="U4169" s="55"/>
      <c r="V4169" s="55"/>
      <c r="W4169" s="55"/>
      <c r="X4169" s="55"/>
      <c r="Y4169" s="55"/>
      <c r="Z4169" s="55"/>
      <c r="AA4169" s="55"/>
      <c r="AB4169" s="22">
        <f t="shared" si="1354"/>
        <v>2</v>
      </c>
      <c r="AC4169" s="23">
        <f>1+25</f>
        <v>26</v>
      </c>
      <c r="AD4169" s="56"/>
      <c r="AE4169" s="56"/>
      <c r="AF4169" s="56"/>
      <c r="AG4169" s="56"/>
      <c r="AH4169" s="56"/>
      <c r="AI4169" s="56"/>
      <c r="AJ4169" s="56"/>
      <c r="AK4169" s="56"/>
      <c r="AL4169" s="56"/>
      <c r="AM4169" s="56"/>
      <c r="AN4169" s="56"/>
      <c r="AO4169" s="56"/>
      <c r="AP4169" s="56"/>
      <c r="AQ4169" s="56"/>
      <c r="AR4169" s="56"/>
      <c r="AS4169" s="56"/>
      <c r="AT4169" s="56"/>
      <c r="AU4169" s="56"/>
      <c r="AV4169" s="56"/>
      <c r="AW4169" s="56"/>
      <c r="AX4169" s="56"/>
      <c r="AY4169" s="56"/>
      <c r="AZ4169" s="56"/>
      <c r="BA4169" s="56"/>
      <c r="BB4169" s="22">
        <f t="shared" si="1355"/>
        <v>0</v>
      </c>
      <c r="BC4169" s="23">
        <v>0</v>
      </c>
      <c r="BD4169" s="130">
        <f t="shared" si="1356"/>
        <v>2</v>
      </c>
      <c r="BE4169" s="130">
        <f t="shared" si="1357"/>
        <v>26</v>
      </c>
      <c r="BF4169" s="195">
        <f t="shared" si="1358"/>
        <v>7.6923076923076925</v>
      </c>
      <c r="BG4169" s="373">
        <f t="shared" si="1359"/>
        <v>24</v>
      </c>
      <c r="BH4169" s="426" t="s">
        <v>3675</v>
      </c>
      <c r="BI4169" s="421"/>
    </row>
    <row r="4170" spans="1:61" s="46" customFormat="1" ht="21" customHeight="1">
      <c r="A4170" s="417">
        <v>9</v>
      </c>
      <c r="B4170" s="432" t="s">
        <v>1801</v>
      </c>
      <c r="C4170" s="419" t="s">
        <v>1802</v>
      </c>
      <c r="D4170" s="60"/>
      <c r="E4170" s="60"/>
      <c r="F4170" s="60"/>
      <c r="G4170" s="60"/>
      <c r="H4170" s="56"/>
      <c r="I4170" s="60"/>
      <c r="J4170" s="60"/>
      <c r="K4170" s="60"/>
      <c r="L4170" s="60"/>
      <c r="M4170" s="60"/>
      <c r="N4170" s="60"/>
      <c r="O4170" s="60"/>
      <c r="P4170" s="60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  <c r="AA4170" s="60"/>
      <c r="AB4170" s="22">
        <f t="shared" si="1354"/>
        <v>0</v>
      </c>
      <c r="AC4170" s="23">
        <v>2</v>
      </c>
      <c r="AD4170" s="56"/>
      <c r="AE4170" s="56"/>
      <c r="AF4170" s="56"/>
      <c r="AG4170" s="56"/>
      <c r="AH4170" s="56"/>
      <c r="AI4170" s="56"/>
      <c r="AJ4170" s="56"/>
      <c r="AK4170" s="56"/>
      <c r="AL4170" s="285"/>
      <c r="AM4170" s="56"/>
      <c r="AN4170" s="56"/>
      <c r="AO4170" s="56"/>
      <c r="AP4170" s="56"/>
      <c r="AQ4170" s="56"/>
      <c r="AR4170" s="56"/>
      <c r="AS4170" s="56"/>
      <c r="AT4170" s="56"/>
      <c r="AU4170" s="56"/>
      <c r="AV4170" s="56"/>
      <c r="AW4170" s="56"/>
      <c r="AX4170" s="56"/>
      <c r="AY4170" s="56"/>
      <c r="AZ4170" s="56"/>
      <c r="BA4170" s="56"/>
      <c r="BB4170" s="22">
        <f t="shared" si="1355"/>
        <v>0</v>
      </c>
      <c r="BC4170" s="23">
        <v>0</v>
      </c>
      <c r="BD4170" s="130">
        <f t="shared" si="1356"/>
        <v>0</v>
      </c>
      <c r="BE4170" s="130">
        <f t="shared" si="1357"/>
        <v>2</v>
      </c>
      <c r="BF4170" s="195">
        <f t="shared" si="1358"/>
        <v>0</v>
      </c>
      <c r="BG4170" s="373">
        <f t="shared" si="1359"/>
        <v>2</v>
      </c>
      <c r="BH4170" s="426" t="s">
        <v>3675</v>
      </c>
      <c r="BI4170" s="421"/>
    </row>
    <row r="4171" spans="1:61" s="46" customFormat="1" ht="21" customHeight="1">
      <c r="A4171" s="417">
        <v>10</v>
      </c>
      <c r="B4171" s="418" t="s">
        <v>1751</v>
      </c>
      <c r="C4171" s="419" t="s">
        <v>1752</v>
      </c>
      <c r="D4171" s="55"/>
      <c r="E4171" s="55"/>
      <c r="F4171" s="55"/>
      <c r="G4171" s="55"/>
      <c r="H4171" s="56">
        <v>2</v>
      </c>
      <c r="I4171" s="55"/>
      <c r="J4171" s="55"/>
      <c r="K4171" s="55"/>
      <c r="L4171" s="55">
        <v>2</v>
      </c>
      <c r="M4171" s="55"/>
      <c r="N4171" s="55"/>
      <c r="O4171" s="55"/>
      <c r="P4171" s="55"/>
      <c r="Q4171" s="55"/>
      <c r="R4171" s="55"/>
      <c r="S4171" s="55"/>
      <c r="T4171" s="55"/>
      <c r="U4171" s="55"/>
      <c r="V4171" s="55"/>
      <c r="W4171" s="55"/>
      <c r="X4171" s="55"/>
      <c r="Y4171" s="55"/>
      <c r="Z4171" s="55"/>
      <c r="AA4171" s="55"/>
      <c r="AB4171" s="22">
        <f t="shared" si="1354"/>
        <v>4</v>
      </c>
      <c r="AC4171" s="23">
        <f>14+5</f>
        <v>19</v>
      </c>
      <c r="AD4171" s="56"/>
      <c r="AE4171" s="56"/>
      <c r="AF4171" s="56"/>
      <c r="AG4171" s="56"/>
      <c r="AH4171" s="56"/>
      <c r="AI4171" s="56"/>
      <c r="AJ4171" s="56"/>
      <c r="AK4171" s="56"/>
      <c r="AL4171" s="56"/>
      <c r="AM4171" s="56"/>
      <c r="AN4171" s="56"/>
      <c r="AO4171" s="56"/>
      <c r="AP4171" s="56"/>
      <c r="AQ4171" s="56"/>
      <c r="AR4171" s="56"/>
      <c r="AS4171" s="56"/>
      <c r="AT4171" s="56"/>
      <c r="AU4171" s="56"/>
      <c r="AV4171" s="56"/>
      <c r="AW4171" s="56"/>
      <c r="AX4171" s="56"/>
      <c r="AY4171" s="56"/>
      <c r="AZ4171" s="56"/>
      <c r="BA4171" s="56"/>
      <c r="BB4171" s="22">
        <f t="shared" si="1355"/>
        <v>0</v>
      </c>
      <c r="BC4171" s="23">
        <v>0</v>
      </c>
      <c r="BD4171" s="130">
        <f t="shared" si="1356"/>
        <v>4</v>
      </c>
      <c r="BE4171" s="130">
        <f t="shared" si="1357"/>
        <v>19</v>
      </c>
      <c r="BF4171" s="195">
        <f t="shared" si="1358"/>
        <v>21.052631578947366</v>
      </c>
      <c r="BG4171" s="373">
        <f t="shared" si="1359"/>
        <v>15</v>
      </c>
      <c r="BH4171" s="426" t="s">
        <v>3675</v>
      </c>
      <c r="BI4171" s="420"/>
    </row>
    <row r="4172" spans="1:61" s="46" customFormat="1" ht="21" customHeight="1">
      <c r="A4172" s="417">
        <v>11</v>
      </c>
      <c r="B4172" s="418" t="s">
        <v>1753</v>
      </c>
      <c r="C4172" s="419" t="s">
        <v>1754</v>
      </c>
      <c r="D4172" s="55"/>
      <c r="E4172" s="55"/>
      <c r="F4172" s="55"/>
      <c r="G4172" s="55"/>
      <c r="H4172" s="56">
        <f>4+22</f>
        <v>26</v>
      </c>
      <c r="I4172" s="55"/>
      <c r="J4172" s="55"/>
      <c r="K4172" s="55"/>
      <c r="L4172" s="55">
        <v>143</v>
      </c>
      <c r="M4172" s="55"/>
      <c r="N4172" s="55"/>
      <c r="O4172" s="55"/>
      <c r="P4172" s="55">
        <v>75</v>
      </c>
      <c r="Q4172" s="55"/>
      <c r="R4172" s="55"/>
      <c r="S4172" s="55"/>
      <c r="T4172" s="55"/>
      <c r="U4172" s="55"/>
      <c r="V4172" s="55"/>
      <c r="W4172" s="55"/>
      <c r="X4172" s="55"/>
      <c r="Y4172" s="55"/>
      <c r="Z4172" s="55"/>
      <c r="AA4172" s="55"/>
      <c r="AB4172" s="22">
        <f t="shared" si="1354"/>
        <v>244</v>
      </c>
      <c r="AC4172" s="23">
        <f>41+731</f>
        <v>772</v>
      </c>
      <c r="AD4172" s="56"/>
      <c r="AE4172" s="56"/>
      <c r="AF4172" s="56"/>
      <c r="AG4172" s="56"/>
      <c r="AH4172" s="56"/>
      <c r="AI4172" s="56"/>
      <c r="AJ4172" s="56"/>
      <c r="AK4172" s="56"/>
      <c r="AL4172" s="56"/>
      <c r="AM4172" s="56"/>
      <c r="AN4172" s="56"/>
      <c r="AO4172" s="56"/>
      <c r="AP4172" s="56"/>
      <c r="AQ4172" s="56"/>
      <c r="AR4172" s="56"/>
      <c r="AS4172" s="56"/>
      <c r="AT4172" s="56"/>
      <c r="AU4172" s="56"/>
      <c r="AV4172" s="56"/>
      <c r="AW4172" s="56"/>
      <c r="AX4172" s="56"/>
      <c r="AY4172" s="56"/>
      <c r="AZ4172" s="56"/>
      <c r="BA4172" s="56"/>
      <c r="BB4172" s="22">
        <f t="shared" si="1355"/>
        <v>0</v>
      </c>
      <c r="BC4172" s="23">
        <v>0</v>
      </c>
      <c r="BD4172" s="130">
        <f t="shared" si="1356"/>
        <v>244</v>
      </c>
      <c r="BE4172" s="130">
        <f t="shared" si="1357"/>
        <v>772</v>
      </c>
      <c r="BF4172" s="195">
        <f t="shared" si="1358"/>
        <v>31.606217616580313</v>
      </c>
      <c r="BG4172" s="373">
        <f t="shared" si="1359"/>
        <v>528</v>
      </c>
      <c r="BH4172" s="426" t="s">
        <v>3675</v>
      </c>
      <c r="BI4172" s="420"/>
    </row>
    <row r="4173" spans="1:61" s="46" customFormat="1" ht="21" customHeight="1">
      <c r="A4173" s="417">
        <v>12</v>
      </c>
      <c r="B4173" s="418" t="s">
        <v>1775</v>
      </c>
      <c r="C4173" s="419" t="s">
        <v>1959</v>
      </c>
      <c r="D4173" s="55"/>
      <c r="E4173" s="55"/>
      <c r="F4173" s="55"/>
      <c r="G4173" s="55"/>
      <c r="H4173" s="56"/>
      <c r="I4173" s="55"/>
      <c r="J4173" s="55"/>
      <c r="K4173" s="55"/>
      <c r="L4173" s="55"/>
      <c r="M4173" s="55"/>
      <c r="N4173" s="55"/>
      <c r="O4173" s="55"/>
      <c r="P4173" s="55"/>
      <c r="Q4173" s="55"/>
      <c r="R4173" s="55"/>
      <c r="S4173" s="55"/>
      <c r="T4173" s="55"/>
      <c r="U4173" s="55"/>
      <c r="V4173" s="55"/>
      <c r="W4173" s="55"/>
      <c r="X4173" s="55"/>
      <c r="Y4173" s="55"/>
      <c r="Z4173" s="55"/>
      <c r="AA4173" s="55"/>
      <c r="AB4173" s="22">
        <f t="shared" si="1354"/>
        <v>0</v>
      </c>
      <c r="AC4173" s="23">
        <v>155</v>
      </c>
      <c r="AD4173" s="56"/>
      <c r="AE4173" s="56"/>
      <c r="AF4173" s="56"/>
      <c r="AG4173" s="56"/>
      <c r="AH4173" s="56"/>
      <c r="AI4173" s="56"/>
      <c r="AJ4173" s="56"/>
      <c r="AK4173" s="56"/>
      <c r="AL4173" s="285"/>
      <c r="AM4173" s="56"/>
      <c r="AN4173" s="56"/>
      <c r="AO4173" s="56"/>
      <c r="AP4173" s="56"/>
      <c r="AQ4173" s="56"/>
      <c r="AR4173" s="56"/>
      <c r="AS4173" s="56"/>
      <c r="AT4173" s="56"/>
      <c r="AU4173" s="56"/>
      <c r="AV4173" s="56"/>
      <c r="AW4173" s="56"/>
      <c r="AX4173" s="56"/>
      <c r="AY4173" s="56"/>
      <c r="AZ4173" s="56"/>
      <c r="BA4173" s="56"/>
      <c r="BB4173" s="22">
        <f t="shared" si="1355"/>
        <v>0</v>
      </c>
      <c r="BC4173" s="23">
        <v>0</v>
      </c>
      <c r="BD4173" s="130">
        <f t="shared" si="1356"/>
        <v>0</v>
      </c>
      <c r="BE4173" s="130">
        <f t="shared" si="1357"/>
        <v>155</v>
      </c>
      <c r="BF4173" s="195">
        <f t="shared" si="1358"/>
        <v>0</v>
      </c>
      <c r="BG4173" s="373">
        <f t="shared" si="1359"/>
        <v>155</v>
      </c>
      <c r="BH4173" s="426" t="s">
        <v>3675</v>
      </c>
      <c r="BI4173" s="421"/>
    </row>
    <row r="4174" spans="1:61" s="46" customFormat="1" ht="21" customHeight="1">
      <c r="A4174" s="417">
        <v>13</v>
      </c>
      <c r="B4174" s="418" t="s">
        <v>2887</v>
      </c>
      <c r="C4174" s="419" t="s">
        <v>2888</v>
      </c>
      <c r="D4174" s="55"/>
      <c r="E4174" s="55"/>
      <c r="F4174" s="55"/>
      <c r="G4174" s="55"/>
      <c r="H4174" s="56"/>
      <c r="I4174" s="55"/>
      <c r="J4174" s="55"/>
      <c r="K4174" s="55"/>
      <c r="L4174" s="55"/>
      <c r="M4174" s="55"/>
      <c r="N4174" s="55"/>
      <c r="O4174" s="55"/>
      <c r="P4174" s="55"/>
      <c r="Q4174" s="55"/>
      <c r="R4174" s="55"/>
      <c r="S4174" s="55"/>
      <c r="T4174" s="55"/>
      <c r="U4174" s="55"/>
      <c r="V4174" s="55"/>
      <c r="W4174" s="55"/>
      <c r="X4174" s="55"/>
      <c r="Y4174" s="55"/>
      <c r="Z4174" s="55"/>
      <c r="AA4174" s="55"/>
      <c r="AB4174" s="22">
        <f t="shared" si="1354"/>
        <v>0</v>
      </c>
      <c r="AC4174" s="23">
        <v>1</v>
      </c>
      <c r="AD4174" s="56"/>
      <c r="AE4174" s="56"/>
      <c r="AF4174" s="56"/>
      <c r="AG4174" s="56"/>
      <c r="AH4174" s="56"/>
      <c r="AI4174" s="56"/>
      <c r="AJ4174" s="56"/>
      <c r="AK4174" s="56"/>
      <c r="AL4174" s="285"/>
      <c r="AM4174" s="56"/>
      <c r="AN4174" s="56"/>
      <c r="AO4174" s="56"/>
      <c r="AP4174" s="56"/>
      <c r="AQ4174" s="56"/>
      <c r="AR4174" s="56"/>
      <c r="AS4174" s="56"/>
      <c r="AT4174" s="56"/>
      <c r="AU4174" s="56"/>
      <c r="AV4174" s="56"/>
      <c r="AW4174" s="56"/>
      <c r="AX4174" s="56"/>
      <c r="AY4174" s="56"/>
      <c r="AZ4174" s="56"/>
      <c r="BA4174" s="56"/>
      <c r="BB4174" s="22">
        <f t="shared" si="1355"/>
        <v>0</v>
      </c>
      <c r="BC4174" s="23">
        <v>0</v>
      </c>
      <c r="BD4174" s="130">
        <f t="shared" si="1356"/>
        <v>0</v>
      </c>
      <c r="BE4174" s="130">
        <f t="shared" si="1357"/>
        <v>1</v>
      </c>
      <c r="BF4174" s="195">
        <f t="shared" si="1358"/>
        <v>0</v>
      </c>
      <c r="BG4174" s="373">
        <f t="shared" si="1359"/>
        <v>1</v>
      </c>
      <c r="BH4174" s="426" t="s">
        <v>3675</v>
      </c>
      <c r="BI4174" s="421"/>
    </row>
    <row r="4175" spans="1:61" s="46" customFormat="1" ht="21" customHeight="1">
      <c r="A4175" s="417">
        <v>14</v>
      </c>
      <c r="B4175" s="418" t="s">
        <v>1756</v>
      </c>
      <c r="C4175" s="419" t="s">
        <v>1757</v>
      </c>
      <c r="D4175" s="55">
        <v>17</v>
      </c>
      <c r="E4175" s="55"/>
      <c r="F4175" s="55"/>
      <c r="G4175" s="55"/>
      <c r="H4175" s="56">
        <f>4+8</f>
        <v>12</v>
      </c>
      <c r="I4175" s="55"/>
      <c r="J4175" s="55"/>
      <c r="K4175" s="55"/>
      <c r="L4175" s="55">
        <v>125</v>
      </c>
      <c r="M4175" s="55"/>
      <c r="N4175" s="55"/>
      <c r="O4175" s="55"/>
      <c r="P4175" s="55">
        <v>169</v>
      </c>
      <c r="Q4175" s="55"/>
      <c r="R4175" s="55"/>
      <c r="S4175" s="55"/>
      <c r="T4175" s="55"/>
      <c r="U4175" s="55"/>
      <c r="V4175" s="55"/>
      <c r="W4175" s="55"/>
      <c r="X4175" s="55"/>
      <c r="Y4175" s="55"/>
      <c r="Z4175" s="55"/>
      <c r="AA4175" s="55"/>
      <c r="AB4175" s="22">
        <f t="shared" si="1354"/>
        <v>323</v>
      </c>
      <c r="AC4175" s="23">
        <v>1328</v>
      </c>
      <c r="AD4175" s="56"/>
      <c r="AE4175" s="56"/>
      <c r="AF4175" s="56"/>
      <c r="AG4175" s="56"/>
      <c r="AH4175" s="56"/>
      <c r="AI4175" s="56"/>
      <c r="AJ4175" s="56"/>
      <c r="AK4175" s="56"/>
      <c r="AL4175" s="285"/>
      <c r="AM4175" s="56"/>
      <c r="AN4175" s="56"/>
      <c r="AO4175" s="56"/>
      <c r="AP4175" s="56"/>
      <c r="AQ4175" s="56"/>
      <c r="AR4175" s="56"/>
      <c r="AS4175" s="56"/>
      <c r="AT4175" s="56"/>
      <c r="AU4175" s="56"/>
      <c r="AV4175" s="56"/>
      <c r="AW4175" s="56"/>
      <c r="AX4175" s="56"/>
      <c r="AY4175" s="56"/>
      <c r="AZ4175" s="56"/>
      <c r="BA4175" s="56"/>
      <c r="BB4175" s="22">
        <f t="shared" si="1355"/>
        <v>0</v>
      </c>
      <c r="BC4175" s="23">
        <v>0</v>
      </c>
      <c r="BD4175" s="130">
        <f t="shared" si="1356"/>
        <v>323</v>
      </c>
      <c r="BE4175" s="130">
        <f t="shared" si="1357"/>
        <v>1328</v>
      </c>
      <c r="BF4175" s="195">
        <f t="shared" si="1358"/>
        <v>24.322289156626507</v>
      </c>
      <c r="BG4175" s="373">
        <f t="shared" si="1359"/>
        <v>1005</v>
      </c>
      <c r="BH4175" s="426" t="s">
        <v>3675</v>
      </c>
      <c r="BI4175" s="421"/>
    </row>
    <row r="4176" spans="1:61" s="46" customFormat="1" ht="14.25" customHeight="1">
      <c r="A4176" s="453">
        <v>15</v>
      </c>
      <c r="B4176" s="454" t="s">
        <v>1763</v>
      </c>
      <c r="C4176" s="455" t="s">
        <v>1764</v>
      </c>
      <c r="D4176" s="55"/>
      <c r="E4176" s="55"/>
      <c r="F4176" s="55"/>
      <c r="G4176" s="55"/>
      <c r="H4176" s="55"/>
      <c r="I4176" s="55"/>
      <c r="J4176" s="55"/>
      <c r="K4176" s="55"/>
      <c r="L4176" s="55"/>
      <c r="M4176" s="55"/>
      <c r="N4176" s="55"/>
      <c r="O4176" s="55"/>
      <c r="P4176" s="55"/>
      <c r="Q4176" s="55"/>
      <c r="R4176" s="55"/>
      <c r="S4176" s="55"/>
      <c r="T4176" s="55"/>
      <c r="U4176" s="55"/>
      <c r="V4176" s="55"/>
      <c r="W4176" s="55"/>
      <c r="X4176" s="55"/>
      <c r="Y4176" s="55"/>
      <c r="Z4176" s="55"/>
      <c r="AA4176" s="55"/>
      <c r="AB4176" s="22">
        <f t="shared" si="1354"/>
        <v>0</v>
      </c>
      <c r="AC4176" s="23">
        <v>0</v>
      </c>
      <c r="AD4176" s="56"/>
      <c r="AE4176" s="56"/>
      <c r="AF4176" s="56"/>
      <c r="AG4176" s="56"/>
      <c r="AH4176" s="56">
        <f>7+21</f>
        <v>28</v>
      </c>
      <c r="AI4176" s="56"/>
      <c r="AJ4176" s="56"/>
      <c r="AK4176" s="56"/>
      <c r="AL4176" s="285">
        <v>156</v>
      </c>
      <c r="AM4176" s="56"/>
      <c r="AN4176" s="56"/>
      <c r="AO4176" s="56"/>
      <c r="AP4176" s="56">
        <v>84</v>
      </c>
      <c r="AQ4176" s="56"/>
      <c r="AR4176" s="56"/>
      <c r="AS4176" s="56"/>
      <c r="AT4176" s="56"/>
      <c r="AU4176" s="56"/>
      <c r="AV4176" s="56"/>
      <c r="AW4176" s="56"/>
      <c r="AX4176" s="56"/>
      <c r="AY4176" s="56"/>
      <c r="AZ4176" s="56"/>
      <c r="BA4176" s="56"/>
      <c r="BB4176" s="22">
        <f t="shared" si="1355"/>
        <v>268</v>
      </c>
      <c r="BC4176" s="23">
        <v>902</v>
      </c>
      <c r="BD4176" s="130">
        <f t="shared" si="1356"/>
        <v>268</v>
      </c>
      <c r="BE4176" s="130">
        <f t="shared" si="1357"/>
        <v>902</v>
      </c>
      <c r="BF4176" s="195">
        <f t="shared" si="1358"/>
        <v>29.711751662971174</v>
      </c>
      <c r="BG4176" s="373">
        <f t="shared" si="1359"/>
        <v>634</v>
      </c>
    </row>
    <row r="4177" spans="1:61" s="46" customFormat="1" ht="14.25" customHeight="1">
      <c r="A4177" s="453">
        <v>16</v>
      </c>
      <c r="B4177" s="454" t="s">
        <v>1765</v>
      </c>
      <c r="C4177" s="455" t="s">
        <v>1766</v>
      </c>
      <c r="D4177" s="55"/>
      <c r="E4177" s="55"/>
      <c r="F4177" s="55"/>
      <c r="G4177" s="55"/>
      <c r="H4177" s="55"/>
      <c r="I4177" s="55"/>
      <c r="J4177" s="55"/>
      <c r="K4177" s="55"/>
      <c r="L4177" s="55"/>
      <c r="M4177" s="55"/>
      <c r="N4177" s="55"/>
      <c r="O4177" s="55"/>
      <c r="P4177" s="55"/>
      <c r="Q4177" s="55"/>
      <c r="R4177" s="55"/>
      <c r="S4177" s="55"/>
      <c r="T4177" s="55"/>
      <c r="U4177" s="55"/>
      <c r="V4177" s="55"/>
      <c r="W4177" s="55"/>
      <c r="X4177" s="55"/>
      <c r="Y4177" s="55"/>
      <c r="Z4177" s="55"/>
      <c r="AA4177" s="55"/>
      <c r="AB4177" s="22">
        <f t="shared" si="1354"/>
        <v>0</v>
      </c>
      <c r="AC4177" s="23">
        <v>0</v>
      </c>
      <c r="AD4177" s="56"/>
      <c r="AE4177" s="56"/>
      <c r="AF4177" s="56"/>
      <c r="AG4177" s="56"/>
      <c r="AH4177" s="56">
        <v>1</v>
      </c>
      <c r="AI4177" s="56"/>
      <c r="AJ4177" s="56"/>
      <c r="AK4177" s="56"/>
      <c r="AL4177" s="285"/>
      <c r="AM4177" s="56"/>
      <c r="AN4177" s="56"/>
      <c r="AO4177" s="56"/>
      <c r="AP4177" s="56"/>
      <c r="AQ4177" s="56"/>
      <c r="AR4177" s="56"/>
      <c r="AS4177" s="56"/>
      <c r="AT4177" s="56"/>
      <c r="AU4177" s="56"/>
      <c r="AV4177" s="56"/>
      <c r="AW4177" s="56"/>
      <c r="AX4177" s="56"/>
      <c r="AY4177" s="56"/>
      <c r="AZ4177" s="56"/>
      <c r="BA4177" s="56"/>
      <c r="BB4177" s="22">
        <f t="shared" si="1355"/>
        <v>1</v>
      </c>
      <c r="BC4177" s="23">
        <v>0</v>
      </c>
      <c r="BD4177" s="130">
        <f t="shared" ref="BD4177" si="1363">AB4177+BB4177</f>
        <v>1</v>
      </c>
      <c r="BE4177" s="130">
        <f t="shared" ref="BE4177" si="1364">AC4177+BC4177</f>
        <v>0</v>
      </c>
      <c r="BF4177" s="195" t="e">
        <f t="shared" ref="BF4177" si="1365">BD4177/BE4177*100</f>
        <v>#DIV/0!</v>
      </c>
      <c r="BG4177" s="373"/>
    </row>
    <row r="4178" spans="1:61" s="46" customFormat="1" ht="14.25" customHeight="1">
      <c r="A4178" s="453">
        <v>17</v>
      </c>
      <c r="B4178" s="454" t="s">
        <v>1777</v>
      </c>
      <c r="C4178" s="455" t="s">
        <v>1778</v>
      </c>
      <c r="D4178" s="55"/>
      <c r="E4178" s="55"/>
      <c r="F4178" s="55"/>
      <c r="G4178" s="55"/>
      <c r="H4178" s="55"/>
      <c r="I4178" s="55"/>
      <c r="J4178" s="55"/>
      <c r="K4178" s="55"/>
      <c r="L4178" s="55"/>
      <c r="M4178" s="55"/>
      <c r="N4178" s="55"/>
      <c r="O4178" s="55"/>
      <c r="P4178" s="55"/>
      <c r="Q4178" s="55"/>
      <c r="R4178" s="55"/>
      <c r="S4178" s="55"/>
      <c r="T4178" s="55"/>
      <c r="U4178" s="55"/>
      <c r="V4178" s="55"/>
      <c r="W4178" s="55"/>
      <c r="X4178" s="55"/>
      <c r="Y4178" s="55"/>
      <c r="Z4178" s="55"/>
      <c r="AA4178" s="55"/>
      <c r="AB4178" s="22">
        <f t="shared" si="1354"/>
        <v>0</v>
      </c>
      <c r="AC4178" s="23">
        <v>0</v>
      </c>
      <c r="AD4178" s="56"/>
      <c r="AE4178" s="56"/>
      <c r="AF4178" s="56"/>
      <c r="AG4178" s="56"/>
      <c r="AH4178" s="56"/>
      <c r="AI4178" s="56"/>
      <c r="AJ4178" s="56"/>
      <c r="AK4178" s="56"/>
      <c r="AL4178" s="285"/>
      <c r="AM4178" s="56"/>
      <c r="AN4178" s="56"/>
      <c r="AO4178" s="56"/>
      <c r="AP4178" s="56"/>
      <c r="AQ4178" s="56"/>
      <c r="AR4178" s="56"/>
      <c r="AS4178" s="56"/>
      <c r="AT4178" s="56"/>
      <c r="AU4178" s="56"/>
      <c r="AV4178" s="56"/>
      <c r="AW4178" s="56"/>
      <c r="AX4178" s="56"/>
      <c r="AY4178" s="56"/>
      <c r="AZ4178" s="56"/>
      <c r="BA4178" s="56"/>
      <c r="BB4178" s="22">
        <f t="shared" si="1355"/>
        <v>0</v>
      </c>
      <c r="BC4178" s="23">
        <v>1</v>
      </c>
      <c r="BD4178" s="130">
        <f t="shared" si="1356"/>
        <v>0</v>
      </c>
      <c r="BE4178" s="130">
        <f t="shared" si="1357"/>
        <v>1</v>
      </c>
      <c r="BF4178" s="195">
        <f t="shared" si="1358"/>
        <v>0</v>
      </c>
      <c r="BG4178" s="373">
        <f t="shared" si="1359"/>
        <v>1</v>
      </c>
    </row>
    <row r="4179" spans="1:61" s="46" customFormat="1" ht="14.25" customHeight="1">
      <c r="A4179" s="453">
        <v>18</v>
      </c>
      <c r="B4179" s="461" t="s">
        <v>1665</v>
      </c>
      <c r="C4179" s="462" t="s">
        <v>3110</v>
      </c>
      <c r="D4179" s="55"/>
      <c r="E4179" s="55"/>
      <c r="F4179" s="55"/>
      <c r="G4179" s="55"/>
      <c r="H4179" s="55"/>
      <c r="I4179" s="55"/>
      <c r="J4179" s="55"/>
      <c r="K4179" s="55"/>
      <c r="L4179" s="55"/>
      <c r="M4179" s="55"/>
      <c r="N4179" s="55"/>
      <c r="O4179" s="55"/>
      <c r="P4179" s="55"/>
      <c r="Q4179" s="55"/>
      <c r="R4179" s="55"/>
      <c r="S4179" s="55"/>
      <c r="T4179" s="55"/>
      <c r="U4179" s="55"/>
      <c r="V4179" s="55"/>
      <c r="W4179" s="55"/>
      <c r="X4179" s="55"/>
      <c r="Y4179" s="55"/>
      <c r="Z4179" s="55"/>
      <c r="AA4179" s="55"/>
      <c r="AB4179" s="22">
        <f t="shared" si="1354"/>
        <v>0</v>
      </c>
      <c r="AC4179" s="23">
        <v>0</v>
      </c>
      <c r="AD4179" s="56"/>
      <c r="AE4179" s="56"/>
      <c r="AF4179" s="56"/>
      <c r="AG4179" s="56"/>
      <c r="AH4179" s="56">
        <f>2+16</f>
        <v>18</v>
      </c>
      <c r="AI4179" s="56"/>
      <c r="AJ4179" s="56"/>
      <c r="AK4179" s="56"/>
      <c r="AL4179" s="285">
        <v>141</v>
      </c>
      <c r="AM4179" s="56"/>
      <c r="AN4179" s="56"/>
      <c r="AO4179" s="56"/>
      <c r="AP4179" s="56">
        <v>1</v>
      </c>
      <c r="AQ4179" s="56"/>
      <c r="AR4179" s="56"/>
      <c r="AS4179" s="56"/>
      <c r="AT4179" s="56"/>
      <c r="AU4179" s="56"/>
      <c r="AV4179" s="56"/>
      <c r="AW4179" s="56"/>
      <c r="AX4179" s="56"/>
      <c r="AY4179" s="56"/>
      <c r="AZ4179" s="56"/>
      <c r="BA4179" s="56"/>
      <c r="BB4179" s="22">
        <f t="shared" si="1355"/>
        <v>160</v>
      </c>
      <c r="BC4179" s="23">
        <v>344</v>
      </c>
      <c r="BD4179" s="130">
        <f t="shared" si="1356"/>
        <v>160</v>
      </c>
      <c r="BE4179" s="130">
        <f t="shared" si="1357"/>
        <v>344</v>
      </c>
      <c r="BF4179" s="195">
        <f t="shared" si="1358"/>
        <v>46.511627906976742</v>
      </c>
      <c r="BG4179" s="373">
        <f t="shared" si="1359"/>
        <v>184</v>
      </c>
    </row>
    <row r="4180" spans="1:61" s="46" customFormat="1" ht="14.25" customHeight="1">
      <c r="A4180" s="453">
        <v>19</v>
      </c>
      <c r="B4180" s="454" t="s">
        <v>1665</v>
      </c>
      <c r="C4180" s="455" t="s">
        <v>1666</v>
      </c>
      <c r="D4180" s="55"/>
      <c r="E4180" s="55"/>
      <c r="F4180" s="55"/>
      <c r="G4180" s="55"/>
      <c r="H4180" s="55"/>
      <c r="I4180" s="55"/>
      <c r="J4180" s="55"/>
      <c r="K4180" s="55"/>
      <c r="L4180" s="55"/>
      <c r="M4180" s="55"/>
      <c r="N4180" s="55"/>
      <c r="O4180" s="55"/>
      <c r="P4180" s="55"/>
      <c r="Q4180" s="55"/>
      <c r="R4180" s="55"/>
      <c r="S4180" s="55"/>
      <c r="T4180" s="55"/>
      <c r="U4180" s="55"/>
      <c r="V4180" s="55"/>
      <c r="W4180" s="55"/>
      <c r="X4180" s="55"/>
      <c r="Y4180" s="55"/>
      <c r="Z4180" s="55"/>
      <c r="AA4180" s="55"/>
      <c r="AB4180" s="22">
        <f t="shared" si="1354"/>
        <v>0</v>
      </c>
      <c r="AC4180" s="23">
        <v>0</v>
      </c>
      <c r="AD4180" s="56"/>
      <c r="AE4180" s="56"/>
      <c r="AF4180" s="56"/>
      <c r="AG4180" s="56"/>
      <c r="AH4180" s="56"/>
      <c r="AI4180" s="56"/>
      <c r="AJ4180" s="56"/>
      <c r="AK4180" s="56"/>
      <c r="AL4180" s="56"/>
      <c r="AM4180" s="56"/>
      <c r="AN4180" s="56"/>
      <c r="AO4180" s="56"/>
      <c r="AP4180" s="56"/>
      <c r="AQ4180" s="56"/>
      <c r="AR4180" s="56"/>
      <c r="AS4180" s="56"/>
      <c r="AT4180" s="56"/>
      <c r="AU4180" s="56"/>
      <c r="AV4180" s="56"/>
      <c r="AW4180" s="56"/>
      <c r="AX4180" s="56"/>
      <c r="AY4180" s="56"/>
      <c r="AZ4180" s="56"/>
      <c r="BA4180" s="56"/>
      <c r="BB4180" s="22">
        <f t="shared" si="1355"/>
        <v>0</v>
      </c>
      <c r="BC4180" s="23">
        <v>760</v>
      </c>
      <c r="BD4180" s="130">
        <f t="shared" si="1356"/>
        <v>0</v>
      </c>
      <c r="BE4180" s="130">
        <f t="shared" si="1357"/>
        <v>760</v>
      </c>
      <c r="BF4180" s="195">
        <f t="shared" si="1358"/>
        <v>0</v>
      </c>
      <c r="BG4180" s="373">
        <f t="shared" si="1359"/>
        <v>760</v>
      </c>
    </row>
    <row r="4181" spans="1:61" s="46" customFormat="1" ht="14.25" customHeight="1">
      <c r="A4181" s="453">
        <v>20</v>
      </c>
      <c r="B4181" s="454" t="s">
        <v>1767</v>
      </c>
      <c r="C4181" s="458" t="s">
        <v>1768</v>
      </c>
      <c r="D4181" s="55"/>
      <c r="E4181" s="55"/>
      <c r="F4181" s="55"/>
      <c r="G4181" s="55"/>
      <c r="H4181" s="55"/>
      <c r="I4181" s="55"/>
      <c r="J4181" s="55"/>
      <c r="K4181" s="55"/>
      <c r="L4181" s="55"/>
      <c r="M4181" s="55"/>
      <c r="N4181" s="55"/>
      <c r="O4181" s="55"/>
      <c r="P4181" s="55"/>
      <c r="Q4181" s="55"/>
      <c r="R4181" s="55"/>
      <c r="S4181" s="55"/>
      <c r="T4181" s="55"/>
      <c r="U4181" s="55"/>
      <c r="V4181" s="55"/>
      <c r="W4181" s="55"/>
      <c r="X4181" s="55"/>
      <c r="Y4181" s="55"/>
      <c r="Z4181" s="55"/>
      <c r="AA4181" s="55"/>
      <c r="AB4181" s="22">
        <f t="shared" si="1354"/>
        <v>0</v>
      </c>
      <c r="AC4181" s="23">
        <v>0</v>
      </c>
      <c r="AD4181" s="56"/>
      <c r="AE4181" s="56"/>
      <c r="AF4181" s="56"/>
      <c r="AG4181" s="56"/>
      <c r="AH4181" s="56">
        <f>7+20</f>
        <v>27</v>
      </c>
      <c r="AI4181" s="56"/>
      <c r="AJ4181" s="56"/>
      <c r="AK4181" s="56"/>
      <c r="AL4181" s="285">
        <v>185</v>
      </c>
      <c r="AM4181" s="56"/>
      <c r="AN4181" s="56"/>
      <c r="AO4181" s="56"/>
      <c r="AP4181" s="56">
        <v>101</v>
      </c>
      <c r="AQ4181" s="56"/>
      <c r="AR4181" s="56"/>
      <c r="AS4181" s="56"/>
      <c r="AT4181" s="56"/>
      <c r="AU4181" s="56"/>
      <c r="AV4181" s="56"/>
      <c r="AW4181" s="56"/>
      <c r="AX4181" s="56"/>
      <c r="AY4181" s="56"/>
      <c r="AZ4181" s="56"/>
      <c r="BA4181" s="56"/>
      <c r="BB4181" s="22">
        <f t="shared" si="1355"/>
        <v>313</v>
      </c>
      <c r="BC4181" s="23">
        <v>915</v>
      </c>
      <c r="BD4181" s="130">
        <f t="shared" si="1356"/>
        <v>313</v>
      </c>
      <c r="BE4181" s="130">
        <f t="shared" si="1357"/>
        <v>915</v>
      </c>
      <c r="BF4181" s="195">
        <f t="shared" si="1358"/>
        <v>34.207650273224047</v>
      </c>
      <c r="BG4181" s="373">
        <f t="shared" si="1359"/>
        <v>602</v>
      </c>
    </row>
    <row r="4182" spans="1:61" s="46" customFormat="1" ht="14.25" customHeight="1">
      <c r="A4182" s="453">
        <v>21</v>
      </c>
      <c r="B4182" s="454" t="s">
        <v>1771</v>
      </c>
      <c r="C4182" s="458" t="s">
        <v>1834</v>
      </c>
      <c r="D4182" s="55"/>
      <c r="E4182" s="55"/>
      <c r="F4182" s="55"/>
      <c r="G4182" s="55"/>
      <c r="H4182" s="55"/>
      <c r="I4182" s="55"/>
      <c r="J4182" s="55"/>
      <c r="K4182" s="55"/>
      <c r="L4182" s="55"/>
      <c r="M4182" s="55"/>
      <c r="N4182" s="55"/>
      <c r="O4182" s="55"/>
      <c r="P4182" s="55"/>
      <c r="Q4182" s="55"/>
      <c r="R4182" s="55"/>
      <c r="S4182" s="55"/>
      <c r="T4182" s="55"/>
      <c r="U4182" s="55"/>
      <c r="V4182" s="55"/>
      <c r="W4182" s="55"/>
      <c r="X4182" s="55"/>
      <c r="Y4182" s="55"/>
      <c r="Z4182" s="55"/>
      <c r="AA4182" s="55"/>
      <c r="AB4182" s="22">
        <f t="shared" si="1354"/>
        <v>0</v>
      </c>
      <c r="AC4182" s="23">
        <v>0</v>
      </c>
      <c r="AD4182" s="56"/>
      <c r="AE4182" s="56"/>
      <c r="AF4182" s="56"/>
      <c r="AG4182" s="56"/>
      <c r="AH4182" s="56"/>
      <c r="AI4182" s="56"/>
      <c r="AJ4182" s="56"/>
      <c r="AK4182" s="56"/>
      <c r="AL4182" s="56"/>
      <c r="AM4182" s="56"/>
      <c r="AN4182" s="56"/>
      <c r="AO4182" s="56"/>
      <c r="AP4182" s="56"/>
      <c r="AQ4182" s="56"/>
      <c r="AR4182" s="56"/>
      <c r="AS4182" s="56"/>
      <c r="AT4182" s="56"/>
      <c r="AU4182" s="56"/>
      <c r="AV4182" s="56"/>
      <c r="AW4182" s="56"/>
      <c r="AX4182" s="56"/>
      <c r="AY4182" s="56"/>
      <c r="AZ4182" s="56"/>
      <c r="BA4182" s="56"/>
      <c r="BB4182" s="22">
        <f t="shared" si="1355"/>
        <v>0</v>
      </c>
      <c r="BC4182" s="23">
        <v>5</v>
      </c>
      <c r="BD4182" s="130">
        <f t="shared" si="1356"/>
        <v>0</v>
      </c>
      <c r="BE4182" s="130">
        <f t="shared" si="1357"/>
        <v>5</v>
      </c>
      <c r="BF4182" s="195">
        <f t="shared" si="1358"/>
        <v>0</v>
      </c>
      <c r="BG4182" s="373">
        <f t="shared" si="1359"/>
        <v>5</v>
      </c>
    </row>
    <row r="4183" spans="1:61" s="46" customFormat="1" ht="14.25" customHeight="1">
      <c r="A4183" s="453">
        <v>22</v>
      </c>
      <c r="B4183" s="456" t="s">
        <v>1795</v>
      </c>
      <c r="C4183" s="457" t="s">
        <v>3109</v>
      </c>
      <c r="D4183" s="55"/>
      <c r="E4183" s="55"/>
      <c r="F4183" s="55"/>
      <c r="G4183" s="55"/>
      <c r="H4183" s="55"/>
      <c r="I4183" s="55"/>
      <c r="J4183" s="55"/>
      <c r="K4183" s="55"/>
      <c r="L4183" s="55"/>
      <c r="M4183" s="55"/>
      <c r="N4183" s="55"/>
      <c r="O4183" s="55"/>
      <c r="P4183" s="55"/>
      <c r="Q4183" s="55"/>
      <c r="R4183" s="55"/>
      <c r="S4183" s="55"/>
      <c r="T4183" s="55"/>
      <c r="U4183" s="55"/>
      <c r="V4183" s="55"/>
      <c r="W4183" s="55"/>
      <c r="X4183" s="55"/>
      <c r="Y4183" s="55"/>
      <c r="Z4183" s="55"/>
      <c r="AA4183" s="55"/>
      <c r="AB4183" s="22">
        <f t="shared" si="1354"/>
        <v>0</v>
      </c>
      <c r="AC4183" s="23">
        <v>0</v>
      </c>
      <c r="AD4183" s="56"/>
      <c r="AE4183" s="56"/>
      <c r="AF4183" s="56"/>
      <c r="AG4183" s="56"/>
      <c r="AH4183" s="56"/>
      <c r="AI4183" s="56"/>
      <c r="AJ4183" s="56"/>
      <c r="AK4183" s="56"/>
      <c r="AL4183" s="56">
        <v>1</v>
      </c>
      <c r="AM4183" s="56"/>
      <c r="AN4183" s="56"/>
      <c r="AO4183" s="56"/>
      <c r="AP4183" s="56"/>
      <c r="AQ4183" s="56"/>
      <c r="AR4183" s="56"/>
      <c r="AS4183" s="56"/>
      <c r="AT4183" s="56"/>
      <c r="AU4183" s="56"/>
      <c r="AV4183" s="56"/>
      <c r="AW4183" s="56"/>
      <c r="AX4183" s="56"/>
      <c r="AY4183" s="56"/>
      <c r="AZ4183" s="56"/>
      <c r="BA4183" s="56"/>
      <c r="BB4183" s="22">
        <f t="shared" si="1355"/>
        <v>1</v>
      </c>
      <c r="BC4183" s="23">
        <v>10</v>
      </c>
      <c r="BD4183" s="130">
        <f t="shared" si="1356"/>
        <v>1</v>
      </c>
      <c r="BE4183" s="130">
        <f t="shared" si="1357"/>
        <v>10</v>
      </c>
      <c r="BF4183" s="195">
        <f t="shared" si="1358"/>
        <v>10</v>
      </c>
      <c r="BG4183" s="373">
        <f t="shared" si="1359"/>
        <v>9</v>
      </c>
    </row>
    <row r="4184" spans="1:61" s="46" customFormat="1" ht="14.25" customHeight="1">
      <c r="A4184" s="453">
        <v>23</v>
      </c>
      <c r="B4184" s="53" t="s">
        <v>1795</v>
      </c>
      <c r="C4184" s="57" t="s">
        <v>1796</v>
      </c>
      <c r="D4184" s="55"/>
      <c r="E4184" s="55"/>
      <c r="F4184" s="55"/>
      <c r="G4184" s="55"/>
      <c r="H4184" s="55"/>
      <c r="I4184" s="55"/>
      <c r="J4184" s="55"/>
      <c r="K4184" s="55"/>
      <c r="L4184" s="55"/>
      <c r="M4184" s="55"/>
      <c r="N4184" s="55"/>
      <c r="O4184" s="55"/>
      <c r="P4184" s="55"/>
      <c r="Q4184" s="55"/>
      <c r="R4184" s="55"/>
      <c r="S4184" s="55"/>
      <c r="T4184" s="55"/>
      <c r="U4184" s="55"/>
      <c r="V4184" s="55"/>
      <c r="W4184" s="55"/>
      <c r="X4184" s="55"/>
      <c r="Y4184" s="55"/>
      <c r="Z4184" s="55"/>
      <c r="AA4184" s="55"/>
      <c r="AB4184" s="22">
        <f t="shared" si="1354"/>
        <v>0</v>
      </c>
      <c r="AC4184" s="23">
        <v>0</v>
      </c>
      <c r="AD4184" s="56"/>
      <c r="AE4184" s="56"/>
      <c r="AF4184" s="56"/>
      <c r="AG4184" s="56"/>
      <c r="AH4184" s="56"/>
      <c r="AI4184" s="56"/>
      <c r="AJ4184" s="56"/>
      <c r="AK4184" s="56"/>
      <c r="AL4184" s="285"/>
      <c r="AM4184" s="56"/>
      <c r="AN4184" s="56"/>
      <c r="AO4184" s="56"/>
      <c r="AP4184" s="56"/>
      <c r="AQ4184" s="56"/>
      <c r="AR4184" s="56"/>
      <c r="AS4184" s="56"/>
      <c r="AT4184" s="56"/>
      <c r="AU4184" s="56"/>
      <c r="AV4184" s="56"/>
      <c r="AW4184" s="56"/>
      <c r="AX4184" s="56"/>
      <c r="AY4184" s="56"/>
      <c r="AZ4184" s="56"/>
      <c r="BA4184" s="56"/>
      <c r="BB4184" s="22">
        <f t="shared" si="1355"/>
        <v>0</v>
      </c>
      <c r="BC4184" s="23">
        <v>4</v>
      </c>
      <c r="BD4184" s="130">
        <f t="shared" si="1356"/>
        <v>0</v>
      </c>
      <c r="BE4184" s="130">
        <f t="shared" si="1357"/>
        <v>4</v>
      </c>
      <c r="BF4184" s="195">
        <f t="shared" si="1358"/>
        <v>0</v>
      </c>
      <c r="BG4184" s="373">
        <f t="shared" si="1359"/>
        <v>4</v>
      </c>
    </row>
    <row r="4185" spans="1:61" s="46" customFormat="1" ht="14.25" customHeight="1">
      <c r="A4185" s="453">
        <v>24</v>
      </c>
      <c r="B4185" s="53"/>
      <c r="C4185" s="54"/>
      <c r="D4185" s="55"/>
      <c r="E4185" s="55"/>
      <c r="F4185" s="55"/>
      <c r="G4185" s="55"/>
      <c r="H4185" s="55"/>
      <c r="I4185" s="55"/>
      <c r="J4185" s="55"/>
      <c r="K4185" s="55"/>
      <c r="L4185" s="55"/>
      <c r="M4185" s="55"/>
      <c r="N4185" s="55"/>
      <c r="O4185" s="55"/>
      <c r="P4185" s="55"/>
      <c r="Q4185" s="55"/>
      <c r="R4185" s="55"/>
      <c r="S4185" s="55"/>
      <c r="T4185" s="55"/>
      <c r="U4185" s="55"/>
      <c r="V4185" s="55"/>
      <c r="W4185" s="55"/>
      <c r="X4185" s="55"/>
      <c r="Y4185" s="55"/>
      <c r="Z4185" s="55"/>
      <c r="AA4185" s="55"/>
      <c r="AB4185" s="22">
        <f t="shared" si="1354"/>
        <v>0</v>
      </c>
      <c r="AC4185" s="23">
        <v>0</v>
      </c>
      <c r="AD4185" s="56"/>
      <c r="AE4185" s="56"/>
      <c r="AF4185" s="56"/>
      <c r="AG4185" s="56"/>
      <c r="AH4185" s="56"/>
      <c r="AI4185" s="56"/>
      <c r="AJ4185" s="56"/>
      <c r="AK4185" s="56"/>
      <c r="AL4185" s="56"/>
      <c r="AM4185" s="56"/>
      <c r="AN4185" s="56"/>
      <c r="AO4185" s="56"/>
      <c r="AP4185" s="56"/>
      <c r="AQ4185" s="56"/>
      <c r="AR4185" s="56"/>
      <c r="AS4185" s="56"/>
      <c r="AT4185" s="56"/>
      <c r="AU4185" s="56"/>
      <c r="AV4185" s="56"/>
      <c r="AW4185" s="56"/>
      <c r="AX4185" s="56"/>
      <c r="AY4185" s="56"/>
      <c r="AZ4185" s="56"/>
      <c r="BA4185" s="56"/>
      <c r="BB4185" s="22">
        <f t="shared" si="1355"/>
        <v>0</v>
      </c>
      <c r="BC4185" s="23">
        <v>0</v>
      </c>
      <c r="BD4185" s="130">
        <f t="shared" si="1356"/>
        <v>0</v>
      </c>
      <c r="BE4185" s="130">
        <f t="shared" si="1357"/>
        <v>0</v>
      </c>
      <c r="BF4185" s="195" t="e">
        <f t="shared" si="1358"/>
        <v>#DIV/0!</v>
      </c>
      <c r="BG4185" s="373">
        <f t="shared" si="1359"/>
        <v>0</v>
      </c>
    </row>
    <row r="4186" spans="1:61" s="46" customFormat="1" ht="14.25" customHeight="1">
      <c r="A4186" s="648" t="s">
        <v>1836</v>
      </c>
      <c r="B4186" s="649"/>
      <c r="C4186" s="649"/>
      <c r="D4186" s="52">
        <f t="shared" ref="D4186:AI4186" si="1366">SUM(D4187:D4219)</f>
        <v>521</v>
      </c>
      <c r="E4186" s="52">
        <f t="shared" si="1366"/>
        <v>0</v>
      </c>
      <c r="F4186" s="52">
        <f t="shared" si="1366"/>
        <v>0</v>
      </c>
      <c r="G4186" s="52">
        <f t="shared" si="1366"/>
        <v>0</v>
      </c>
      <c r="H4186" s="52">
        <f t="shared" si="1366"/>
        <v>996</v>
      </c>
      <c r="I4186" s="52">
        <f t="shared" si="1366"/>
        <v>0</v>
      </c>
      <c r="J4186" s="52">
        <f t="shared" si="1366"/>
        <v>0</v>
      </c>
      <c r="K4186" s="52">
        <f t="shared" si="1366"/>
        <v>0</v>
      </c>
      <c r="L4186" s="52">
        <f t="shared" si="1366"/>
        <v>3382</v>
      </c>
      <c r="M4186" s="52">
        <f t="shared" si="1366"/>
        <v>0</v>
      </c>
      <c r="N4186" s="52">
        <f t="shared" si="1366"/>
        <v>0</v>
      </c>
      <c r="O4186" s="52">
        <f t="shared" si="1366"/>
        <v>0</v>
      </c>
      <c r="P4186" s="52">
        <f t="shared" si="1366"/>
        <v>1913</v>
      </c>
      <c r="Q4186" s="52">
        <f t="shared" si="1366"/>
        <v>0</v>
      </c>
      <c r="R4186" s="52">
        <f t="shared" si="1366"/>
        <v>0</v>
      </c>
      <c r="S4186" s="52">
        <f t="shared" si="1366"/>
        <v>0</v>
      </c>
      <c r="T4186" s="52">
        <f t="shared" si="1366"/>
        <v>0</v>
      </c>
      <c r="U4186" s="52">
        <f t="shared" si="1366"/>
        <v>0</v>
      </c>
      <c r="V4186" s="52">
        <f t="shared" si="1366"/>
        <v>0</v>
      </c>
      <c r="W4186" s="52">
        <f t="shared" si="1366"/>
        <v>0</v>
      </c>
      <c r="X4186" s="52">
        <f t="shared" si="1366"/>
        <v>0</v>
      </c>
      <c r="Y4186" s="52">
        <f t="shared" si="1366"/>
        <v>0</v>
      </c>
      <c r="Z4186" s="52">
        <f t="shared" si="1366"/>
        <v>0</v>
      </c>
      <c r="AA4186" s="52">
        <f t="shared" si="1366"/>
        <v>0</v>
      </c>
      <c r="AB4186" s="52">
        <f t="shared" si="1366"/>
        <v>6812</v>
      </c>
      <c r="AC4186" s="127">
        <f t="shared" si="1366"/>
        <v>20410</v>
      </c>
      <c r="AD4186" s="52">
        <f t="shared" si="1366"/>
        <v>178</v>
      </c>
      <c r="AE4186" s="52">
        <f t="shared" si="1366"/>
        <v>0</v>
      </c>
      <c r="AF4186" s="52">
        <f t="shared" si="1366"/>
        <v>0</v>
      </c>
      <c r="AG4186" s="52">
        <f t="shared" si="1366"/>
        <v>0</v>
      </c>
      <c r="AH4186" s="52">
        <f t="shared" si="1366"/>
        <v>303</v>
      </c>
      <c r="AI4186" s="52">
        <f t="shared" si="1366"/>
        <v>0</v>
      </c>
      <c r="AJ4186" s="52">
        <f t="shared" ref="AJ4186:BC4186" si="1367">SUM(AJ4187:AJ4219)</f>
        <v>0</v>
      </c>
      <c r="AK4186" s="52">
        <f t="shared" si="1367"/>
        <v>0</v>
      </c>
      <c r="AL4186" s="52">
        <f t="shared" si="1367"/>
        <v>1158</v>
      </c>
      <c r="AM4186" s="52">
        <f t="shared" si="1367"/>
        <v>0</v>
      </c>
      <c r="AN4186" s="52">
        <f t="shared" si="1367"/>
        <v>0</v>
      </c>
      <c r="AO4186" s="52">
        <f t="shared" si="1367"/>
        <v>0</v>
      </c>
      <c r="AP4186" s="52">
        <f t="shared" si="1367"/>
        <v>508</v>
      </c>
      <c r="AQ4186" s="52">
        <f t="shared" si="1367"/>
        <v>0</v>
      </c>
      <c r="AR4186" s="52">
        <f t="shared" si="1367"/>
        <v>0</v>
      </c>
      <c r="AS4186" s="52">
        <f t="shared" si="1367"/>
        <v>0</v>
      </c>
      <c r="AT4186" s="52">
        <f t="shared" si="1367"/>
        <v>0</v>
      </c>
      <c r="AU4186" s="52">
        <f t="shared" si="1367"/>
        <v>0</v>
      </c>
      <c r="AV4186" s="52">
        <f t="shared" si="1367"/>
        <v>0</v>
      </c>
      <c r="AW4186" s="52">
        <f t="shared" si="1367"/>
        <v>0</v>
      </c>
      <c r="AX4186" s="52">
        <f t="shared" si="1367"/>
        <v>0</v>
      </c>
      <c r="AY4186" s="52">
        <f t="shared" si="1367"/>
        <v>0</v>
      </c>
      <c r="AZ4186" s="52">
        <f t="shared" si="1367"/>
        <v>0</v>
      </c>
      <c r="BA4186" s="52">
        <f t="shared" si="1367"/>
        <v>0</v>
      </c>
      <c r="BB4186" s="52">
        <f t="shared" si="1367"/>
        <v>2147</v>
      </c>
      <c r="BC4186" s="127">
        <f t="shared" si="1367"/>
        <v>9988</v>
      </c>
      <c r="BD4186" s="130">
        <f t="shared" ref="BD4186" si="1368">AB4186+BB4186</f>
        <v>8959</v>
      </c>
      <c r="BE4186" s="130">
        <f t="shared" ref="BE4186" si="1369">AC4186+BC4186</f>
        <v>30398</v>
      </c>
      <c r="BF4186" s="195">
        <f t="shared" si="1321"/>
        <v>29.472333706164878</v>
      </c>
      <c r="BG4186" s="375">
        <f t="shared" ref="BG4186" si="1370">BE4186-BD4186</f>
        <v>21439</v>
      </c>
    </row>
    <row r="4187" spans="1:61" s="46" customFormat="1" ht="21" customHeight="1">
      <c r="A4187" s="417">
        <v>1</v>
      </c>
      <c r="B4187" s="418" t="s">
        <v>2275</v>
      </c>
      <c r="C4187" s="419" t="s">
        <v>2276</v>
      </c>
      <c r="D4187" s="55"/>
      <c r="E4187" s="55"/>
      <c r="F4187" s="55"/>
      <c r="G4187" s="55"/>
      <c r="H4187" s="56"/>
      <c r="I4187" s="55"/>
      <c r="J4187" s="55"/>
      <c r="K4187" s="55"/>
      <c r="L4187" s="55"/>
      <c r="M4187" s="55"/>
      <c r="N4187" s="55"/>
      <c r="O4187" s="55"/>
      <c r="P4187" s="55"/>
      <c r="Q4187" s="55"/>
      <c r="R4187" s="55"/>
      <c r="S4187" s="55"/>
      <c r="T4187" s="55"/>
      <c r="U4187" s="55"/>
      <c r="V4187" s="55"/>
      <c r="W4187" s="55"/>
      <c r="X4187" s="55"/>
      <c r="Y4187" s="55"/>
      <c r="Z4187" s="55"/>
      <c r="AA4187" s="55"/>
      <c r="AB4187" s="22">
        <f t="shared" ref="AB4187:AB4219" si="1371">SUM(D4187:AA4187)</f>
        <v>0</v>
      </c>
      <c r="AC4187" s="23">
        <v>1</v>
      </c>
      <c r="AD4187" s="56"/>
      <c r="AE4187" s="56"/>
      <c r="AF4187" s="56"/>
      <c r="AG4187" s="56"/>
      <c r="AH4187" s="56"/>
      <c r="AI4187" s="56"/>
      <c r="AJ4187" s="56"/>
      <c r="AK4187" s="56"/>
      <c r="AL4187" s="285"/>
      <c r="AM4187" s="56"/>
      <c r="AN4187" s="56"/>
      <c r="AO4187" s="56"/>
      <c r="AP4187" s="56"/>
      <c r="AQ4187" s="56"/>
      <c r="AR4187" s="56"/>
      <c r="AS4187" s="56"/>
      <c r="AT4187" s="56"/>
      <c r="AU4187" s="56"/>
      <c r="AV4187" s="56"/>
      <c r="AW4187" s="56"/>
      <c r="AX4187" s="56"/>
      <c r="AY4187" s="56"/>
      <c r="AZ4187" s="56"/>
      <c r="BA4187" s="56"/>
      <c r="BB4187" s="22">
        <f t="shared" ref="BB4187:BB4219" si="1372">SUM(AD4187:BA4187)</f>
        <v>0</v>
      </c>
      <c r="BC4187" s="23">
        <v>0</v>
      </c>
      <c r="BD4187" s="130">
        <f t="shared" ref="BD4187:BD4219" si="1373">AB4187+BB4187</f>
        <v>0</v>
      </c>
      <c r="BE4187" s="130">
        <f t="shared" ref="BE4187:BE4219" si="1374">AC4187+BC4187</f>
        <v>1</v>
      </c>
      <c r="BF4187" s="195">
        <f t="shared" ref="BF4187:BF4219" si="1375">BD4187/BE4187*100</f>
        <v>0</v>
      </c>
      <c r="BG4187" s="373">
        <f t="shared" ref="BG4187:BG4219" si="1376">BE4187-BD4187</f>
        <v>1</v>
      </c>
      <c r="BH4187" s="426" t="s">
        <v>3675</v>
      </c>
      <c r="BI4187" s="421"/>
    </row>
    <row r="4188" spans="1:61" s="46" customFormat="1" ht="21" customHeight="1">
      <c r="A4188" s="417">
        <v>2</v>
      </c>
      <c r="B4188" s="418" t="s">
        <v>1788</v>
      </c>
      <c r="C4188" s="419" t="s">
        <v>1789</v>
      </c>
      <c r="D4188" s="55"/>
      <c r="E4188" s="55"/>
      <c r="F4188" s="55"/>
      <c r="G4188" s="55"/>
      <c r="H4188" s="56"/>
      <c r="I4188" s="55"/>
      <c r="J4188" s="55"/>
      <c r="K4188" s="55"/>
      <c r="L4188" s="55">
        <v>44</v>
      </c>
      <c r="M4188" s="55"/>
      <c r="N4188" s="55"/>
      <c r="O4188" s="55"/>
      <c r="P4188" s="55">
        <v>6</v>
      </c>
      <c r="Q4188" s="55"/>
      <c r="R4188" s="55"/>
      <c r="S4188" s="55"/>
      <c r="T4188" s="55"/>
      <c r="U4188" s="55"/>
      <c r="V4188" s="55"/>
      <c r="W4188" s="55"/>
      <c r="X4188" s="55"/>
      <c r="Y4188" s="55"/>
      <c r="Z4188" s="55"/>
      <c r="AA4188" s="55"/>
      <c r="AB4188" s="22">
        <f t="shared" si="1371"/>
        <v>50</v>
      </c>
      <c r="AC4188" s="23">
        <v>285</v>
      </c>
      <c r="AD4188" s="56"/>
      <c r="AE4188" s="56"/>
      <c r="AF4188" s="56"/>
      <c r="AG4188" s="56"/>
      <c r="AH4188" s="56"/>
      <c r="AI4188" s="56"/>
      <c r="AJ4188" s="56"/>
      <c r="AK4188" s="56"/>
      <c r="AL4188" s="285"/>
      <c r="AM4188" s="56"/>
      <c r="AN4188" s="56"/>
      <c r="AO4188" s="56"/>
      <c r="AP4188" s="56"/>
      <c r="AQ4188" s="56"/>
      <c r="AR4188" s="56"/>
      <c r="AS4188" s="56"/>
      <c r="AT4188" s="56"/>
      <c r="AU4188" s="56"/>
      <c r="AV4188" s="56"/>
      <c r="AW4188" s="56"/>
      <c r="AX4188" s="56"/>
      <c r="AY4188" s="56"/>
      <c r="AZ4188" s="56"/>
      <c r="BA4188" s="56"/>
      <c r="BB4188" s="22">
        <f t="shared" si="1372"/>
        <v>0</v>
      </c>
      <c r="BC4188" s="23">
        <v>0</v>
      </c>
      <c r="BD4188" s="130">
        <f t="shared" si="1373"/>
        <v>50</v>
      </c>
      <c r="BE4188" s="130">
        <f t="shared" si="1374"/>
        <v>285</v>
      </c>
      <c r="BF4188" s="195">
        <f t="shared" si="1375"/>
        <v>17.543859649122805</v>
      </c>
      <c r="BG4188" s="373">
        <f t="shared" si="1376"/>
        <v>235</v>
      </c>
      <c r="BH4188" s="426" t="s">
        <v>3675</v>
      </c>
      <c r="BI4188" s="421"/>
    </row>
    <row r="4189" spans="1:61" s="46" customFormat="1" ht="21" customHeight="1">
      <c r="A4189" s="417">
        <v>3</v>
      </c>
      <c r="B4189" s="418" t="s">
        <v>1743</v>
      </c>
      <c r="C4189" s="419" t="s">
        <v>1744</v>
      </c>
      <c r="D4189" s="55">
        <v>83</v>
      </c>
      <c r="E4189" s="55"/>
      <c r="F4189" s="55"/>
      <c r="G4189" s="55"/>
      <c r="H4189" s="56">
        <f>139+17</f>
        <v>156</v>
      </c>
      <c r="I4189" s="55"/>
      <c r="J4189" s="55"/>
      <c r="K4189" s="55"/>
      <c r="L4189" s="55">
        <f>88+153</f>
        <v>241</v>
      </c>
      <c r="M4189" s="55"/>
      <c r="N4189" s="55"/>
      <c r="O4189" s="55"/>
      <c r="P4189" s="55">
        <f>10+134</f>
        <v>144</v>
      </c>
      <c r="Q4189" s="55"/>
      <c r="R4189" s="55"/>
      <c r="S4189" s="55"/>
      <c r="T4189" s="55"/>
      <c r="U4189" s="55"/>
      <c r="V4189" s="55"/>
      <c r="W4189" s="55"/>
      <c r="X4189" s="55"/>
      <c r="Y4189" s="55"/>
      <c r="Z4189" s="55"/>
      <c r="AA4189" s="55"/>
      <c r="AB4189" s="22">
        <f t="shared" si="1371"/>
        <v>624</v>
      </c>
      <c r="AC4189" s="23">
        <v>1710</v>
      </c>
      <c r="AD4189" s="56"/>
      <c r="AE4189" s="56"/>
      <c r="AF4189" s="56"/>
      <c r="AG4189" s="56"/>
      <c r="AH4189" s="56"/>
      <c r="AI4189" s="56"/>
      <c r="AJ4189" s="56"/>
      <c r="AK4189" s="56"/>
      <c r="AL4189" s="285"/>
      <c r="AM4189" s="56"/>
      <c r="AN4189" s="56"/>
      <c r="AO4189" s="56"/>
      <c r="AP4189" s="56"/>
      <c r="AQ4189" s="56"/>
      <c r="AR4189" s="56"/>
      <c r="AS4189" s="56"/>
      <c r="AT4189" s="56"/>
      <c r="AU4189" s="56"/>
      <c r="AV4189" s="56"/>
      <c r="AW4189" s="56"/>
      <c r="AX4189" s="56"/>
      <c r="AY4189" s="56"/>
      <c r="AZ4189" s="56"/>
      <c r="BA4189" s="56"/>
      <c r="BB4189" s="22">
        <f t="shared" si="1372"/>
        <v>0</v>
      </c>
      <c r="BC4189" s="23">
        <v>0</v>
      </c>
      <c r="BD4189" s="130">
        <f t="shared" si="1373"/>
        <v>624</v>
      </c>
      <c r="BE4189" s="130">
        <f t="shared" si="1374"/>
        <v>1710</v>
      </c>
      <c r="BF4189" s="195">
        <f t="shared" si="1375"/>
        <v>36.491228070175438</v>
      </c>
      <c r="BG4189" s="373">
        <f t="shared" si="1376"/>
        <v>1086</v>
      </c>
      <c r="BH4189" s="426" t="s">
        <v>3675</v>
      </c>
      <c r="BI4189" s="420"/>
    </row>
    <row r="4190" spans="1:61" s="46" customFormat="1" ht="21" customHeight="1">
      <c r="A4190" s="417">
        <v>4</v>
      </c>
      <c r="B4190" s="418" t="s">
        <v>1745</v>
      </c>
      <c r="C4190" s="419" t="s">
        <v>1746</v>
      </c>
      <c r="D4190" s="55"/>
      <c r="E4190" s="55"/>
      <c r="F4190" s="55"/>
      <c r="G4190" s="55"/>
      <c r="H4190" s="56"/>
      <c r="I4190" s="55"/>
      <c r="J4190" s="55"/>
      <c r="K4190" s="55"/>
      <c r="L4190" s="55"/>
      <c r="M4190" s="55"/>
      <c r="N4190" s="55"/>
      <c r="O4190" s="55"/>
      <c r="P4190" s="55">
        <f>2+1</f>
        <v>3</v>
      </c>
      <c r="Q4190" s="55"/>
      <c r="R4190" s="55"/>
      <c r="S4190" s="55"/>
      <c r="T4190" s="55"/>
      <c r="U4190" s="55"/>
      <c r="V4190" s="55"/>
      <c r="W4190" s="55"/>
      <c r="X4190" s="55"/>
      <c r="Y4190" s="55"/>
      <c r="Z4190" s="55"/>
      <c r="AA4190" s="55"/>
      <c r="AB4190" s="22">
        <f t="shared" si="1371"/>
        <v>3</v>
      </c>
      <c r="AC4190" s="23">
        <v>0</v>
      </c>
      <c r="AD4190" s="56"/>
      <c r="AE4190" s="56"/>
      <c r="AF4190" s="56"/>
      <c r="AG4190" s="56"/>
      <c r="AH4190" s="56"/>
      <c r="AI4190" s="56"/>
      <c r="AJ4190" s="56"/>
      <c r="AK4190" s="56"/>
      <c r="AL4190" s="285"/>
      <c r="AM4190" s="56"/>
      <c r="AN4190" s="56"/>
      <c r="AO4190" s="56"/>
      <c r="AP4190" s="56"/>
      <c r="AQ4190" s="56"/>
      <c r="AR4190" s="56"/>
      <c r="AS4190" s="56"/>
      <c r="AT4190" s="56"/>
      <c r="AU4190" s="56"/>
      <c r="AV4190" s="56"/>
      <c r="AW4190" s="56"/>
      <c r="AX4190" s="56"/>
      <c r="AY4190" s="56"/>
      <c r="AZ4190" s="56"/>
      <c r="BA4190" s="56"/>
      <c r="BB4190" s="22">
        <f t="shared" si="1372"/>
        <v>0</v>
      </c>
      <c r="BC4190" s="23">
        <v>3</v>
      </c>
      <c r="BD4190" s="130">
        <f t="shared" si="1373"/>
        <v>3</v>
      </c>
      <c r="BE4190" s="130">
        <f t="shared" si="1374"/>
        <v>3</v>
      </c>
      <c r="BF4190" s="195">
        <f t="shared" si="1375"/>
        <v>100</v>
      </c>
      <c r="BG4190" s="373">
        <f t="shared" si="1376"/>
        <v>0</v>
      </c>
      <c r="BH4190" s="426" t="s">
        <v>3675</v>
      </c>
      <c r="BI4190" s="420"/>
    </row>
    <row r="4191" spans="1:61" s="46" customFormat="1" ht="21" customHeight="1">
      <c r="A4191" s="417">
        <v>5</v>
      </c>
      <c r="B4191" s="418" t="s">
        <v>1790</v>
      </c>
      <c r="C4191" s="419" t="s">
        <v>1791</v>
      </c>
      <c r="D4191" s="55"/>
      <c r="E4191" s="55"/>
      <c r="F4191" s="55"/>
      <c r="G4191" s="55"/>
      <c r="H4191" s="56"/>
      <c r="I4191" s="55"/>
      <c r="J4191" s="55"/>
      <c r="K4191" s="55"/>
      <c r="L4191" s="55"/>
      <c r="M4191" s="55"/>
      <c r="N4191" s="55"/>
      <c r="O4191" s="55"/>
      <c r="P4191" s="55"/>
      <c r="Q4191" s="55"/>
      <c r="R4191" s="55"/>
      <c r="S4191" s="55"/>
      <c r="T4191" s="55"/>
      <c r="U4191" s="55"/>
      <c r="V4191" s="55"/>
      <c r="W4191" s="55"/>
      <c r="X4191" s="55"/>
      <c r="Y4191" s="55"/>
      <c r="Z4191" s="55"/>
      <c r="AA4191" s="55"/>
      <c r="AB4191" s="22">
        <f t="shared" si="1371"/>
        <v>0</v>
      </c>
      <c r="AC4191" s="23">
        <v>2</v>
      </c>
      <c r="AD4191" s="56"/>
      <c r="AE4191" s="56"/>
      <c r="AF4191" s="56"/>
      <c r="AG4191" s="56"/>
      <c r="AH4191" s="56"/>
      <c r="AI4191" s="56"/>
      <c r="AJ4191" s="56"/>
      <c r="AK4191" s="56"/>
      <c r="AL4191" s="285"/>
      <c r="AM4191" s="56"/>
      <c r="AN4191" s="56"/>
      <c r="AO4191" s="56"/>
      <c r="AP4191" s="56"/>
      <c r="AQ4191" s="56"/>
      <c r="AR4191" s="56"/>
      <c r="AS4191" s="56"/>
      <c r="AT4191" s="56"/>
      <c r="AU4191" s="56"/>
      <c r="AV4191" s="56"/>
      <c r="AW4191" s="56"/>
      <c r="AX4191" s="56"/>
      <c r="AY4191" s="56"/>
      <c r="AZ4191" s="56"/>
      <c r="BA4191" s="56"/>
      <c r="BB4191" s="22">
        <f t="shared" si="1372"/>
        <v>0</v>
      </c>
      <c r="BC4191" s="23">
        <v>0</v>
      </c>
      <c r="BD4191" s="130">
        <f t="shared" si="1373"/>
        <v>0</v>
      </c>
      <c r="BE4191" s="130">
        <f t="shared" si="1374"/>
        <v>2</v>
      </c>
      <c r="BF4191" s="195">
        <f t="shared" si="1375"/>
        <v>0</v>
      </c>
      <c r="BG4191" s="373">
        <f t="shared" si="1376"/>
        <v>2</v>
      </c>
      <c r="BH4191" s="426" t="s">
        <v>3675</v>
      </c>
      <c r="BI4191" s="420"/>
    </row>
    <row r="4192" spans="1:61" s="46" customFormat="1" ht="21" customHeight="1">
      <c r="A4192" s="417">
        <v>6</v>
      </c>
      <c r="B4192" s="418" t="s">
        <v>1813</v>
      </c>
      <c r="C4192" s="419" t="s">
        <v>2292</v>
      </c>
      <c r="D4192" s="55"/>
      <c r="E4192" s="55"/>
      <c r="F4192" s="55"/>
      <c r="G4192" s="55"/>
      <c r="H4192" s="56">
        <v>23</v>
      </c>
      <c r="I4192" s="55"/>
      <c r="J4192" s="55"/>
      <c r="K4192" s="55"/>
      <c r="L4192" s="55">
        <v>341</v>
      </c>
      <c r="M4192" s="55"/>
      <c r="N4192" s="55"/>
      <c r="O4192" s="55"/>
      <c r="P4192" s="55">
        <v>40</v>
      </c>
      <c r="Q4192" s="55"/>
      <c r="R4192" s="55"/>
      <c r="S4192" s="55"/>
      <c r="T4192" s="55"/>
      <c r="U4192" s="55"/>
      <c r="V4192" s="55"/>
      <c r="W4192" s="55"/>
      <c r="X4192" s="55"/>
      <c r="Y4192" s="55"/>
      <c r="Z4192" s="55"/>
      <c r="AA4192" s="55"/>
      <c r="AB4192" s="22">
        <f t="shared" si="1371"/>
        <v>404</v>
      </c>
      <c r="AC4192" s="23">
        <v>1475</v>
      </c>
      <c r="AD4192" s="56"/>
      <c r="AE4192" s="56"/>
      <c r="AF4192" s="56"/>
      <c r="AG4192" s="56"/>
      <c r="AH4192" s="56"/>
      <c r="AI4192" s="56"/>
      <c r="AJ4192" s="56"/>
      <c r="AK4192" s="56"/>
      <c r="AL4192" s="285"/>
      <c r="AM4192" s="56"/>
      <c r="AN4192" s="56"/>
      <c r="AO4192" s="56"/>
      <c r="AP4192" s="56"/>
      <c r="AQ4192" s="56"/>
      <c r="AR4192" s="56"/>
      <c r="AS4192" s="56"/>
      <c r="AT4192" s="56"/>
      <c r="AU4192" s="56"/>
      <c r="AV4192" s="56"/>
      <c r="AW4192" s="56"/>
      <c r="AX4192" s="56"/>
      <c r="AY4192" s="56"/>
      <c r="AZ4192" s="56"/>
      <c r="BA4192" s="56"/>
      <c r="BB4192" s="22">
        <f t="shared" si="1372"/>
        <v>0</v>
      </c>
      <c r="BC4192" s="23">
        <v>0</v>
      </c>
      <c r="BD4192" s="130">
        <f t="shared" si="1373"/>
        <v>404</v>
      </c>
      <c r="BE4192" s="130">
        <f t="shared" si="1374"/>
        <v>1475</v>
      </c>
      <c r="BF4192" s="195">
        <f t="shared" si="1375"/>
        <v>27.389830508474578</v>
      </c>
      <c r="BG4192" s="373">
        <f t="shared" si="1376"/>
        <v>1071</v>
      </c>
      <c r="BH4192" s="426" t="s">
        <v>3675</v>
      </c>
      <c r="BI4192" s="421"/>
    </row>
    <row r="4193" spans="1:61" s="46" customFormat="1" ht="21" customHeight="1">
      <c r="A4193" s="417">
        <v>7</v>
      </c>
      <c r="B4193" s="418" t="s">
        <v>1747</v>
      </c>
      <c r="C4193" s="419" t="s">
        <v>1748</v>
      </c>
      <c r="D4193" s="55">
        <v>136</v>
      </c>
      <c r="E4193" s="55"/>
      <c r="F4193" s="55"/>
      <c r="G4193" s="55"/>
      <c r="H4193" s="56">
        <f>185+33</f>
        <v>218</v>
      </c>
      <c r="I4193" s="55"/>
      <c r="J4193" s="55"/>
      <c r="K4193" s="55"/>
      <c r="L4193" s="55">
        <f>106+584</f>
        <v>690</v>
      </c>
      <c r="M4193" s="55"/>
      <c r="N4193" s="55"/>
      <c r="O4193" s="55"/>
      <c r="P4193" s="55">
        <f>25+254</f>
        <v>279</v>
      </c>
      <c r="Q4193" s="55"/>
      <c r="R4193" s="55"/>
      <c r="S4193" s="55"/>
      <c r="T4193" s="55"/>
      <c r="U4193" s="55"/>
      <c r="V4193" s="55"/>
      <c r="W4193" s="55"/>
      <c r="X4193" s="55"/>
      <c r="Y4193" s="55"/>
      <c r="Z4193" s="55"/>
      <c r="AA4193" s="55"/>
      <c r="AB4193" s="22">
        <f t="shared" si="1371"/>
        <v>1323</v>
      </c>
      <c r="AC4193" s="23">
        <v>3151</v>
      </c>
      <c r="AD4193" s="56"/>
      <c r="AE4193" s="56"/>
      <c r="AF4193" s="56"/>
      <c r="AG4193" s="56"/>
      <c r="AH4193" s="56"/>
      <c r="AI4193" s="56"/>
      <c r="AJ4193" s="56"/>
      <c r="AK4193" s="56"/>
      <c r="AL4193" s="285"/>
      <c r="AM4193" s="56"/>
      <c r="AN4193" s="56"/>
      <c r="AO4193" s="56"/>
      <c r="AP4193" s="56"/>
      <c r="AQ4193" s="56"/>
      <c r="AR4193" s="56"/>
      <c r="AS4193" s="56"/>
      <c r="AT4193" s="56"/>
      <c r="AU4193" s="56"/>
      <c r="AV4193" s="56"/>
      <c r="AW4193" s="56"/>
      <c r="AX4193" s="56"/>
      <c r="AY4193" s="56"/>
      <c r="AZ4193" s="56"/>
      <c r="BA4193" s="56"/>
      <c r="BB4193" s="22">
        <f t="shared" si="1372"/>
        <v>0</v>
      </c>
      <c r="BC4193" s="23">
        <v>0</v>
      </c>
      <c r="BD4193" s="130">
        <f t="shared" si="1373"/>
        <v>1323</v>
      </c>
      <c r="BE4193" s="130">
        <f t="shared" si="1374"/>
        <v>3151</v>
      </c>
      <c r="BF4193" s="195">
        <f t="shared" si="1375"/>
        <v>41.986670898127578</v>
      </c>
      <c r="BG4193" s="373">
        <f t="shared" si="1376"/>
        <v>1828</v>
      </c>
      <c r="BH4193" s="426" t="s">
        <v>3675</v>
      </c>
      <c r="BI4193" s="420"/>
    </row>
    <row r="4194" spans="1:61" s="46" customFormat="1" ht="21" customHeight="1">
      <c r="A4194" s="417">
        <v>8</v>
      </c>
      <c r="B4194" s="418" t="s">
        <v>1749</v>
      </c>
      <c r="C4194" s="419" t="s">
        <v>1750</v>
      </c>
      <c r="D4194" s="55">
        <v>48</v>
      </c>
      <c r="E4194" s="55"/>
      <c r="F4194" s="55"/>
      <c r="G4194" s="55"/>
      <c r="H4194" s="56">
        <f>136+6</f>
        <v>142</v>
      </c>
      <c r="I4194" s="55"/>
      <c r="J4194" s="55"/>
      <c r="K4194" s="55"/>
      <c r="L4194" s="55">
        <f>67+112</f>
        <v>179</v>
      </c>
      <c r="M4194" s="55"/>
      <c r="N4194" s="55"/>
      <c r="O4194" s="55"/>
      <c r="P4194" s="55">
        <f>6+75</f>
        <v>81</v>
      </c>
      <c r="Q4194" s="55"/>
      <c r="R4194" s="55"/>
      <c r="S4194" s="55"/>
      <c r="T4194" s="55"/>
      <c r="U4194" s="55"/>
      <c r="V4194" s="55"/>
      <c r="W4194" s="55"/>
      <c r="X4194" s="55"/>
      <c r="Y4194" s="55"/>
      <c r="Z4194" s="55"/>
      <c r="AA4194" s="55"/>
      <c r="AB4194" s="22">
        <f t="shared" si="1371"/>
        <v>450</v>
      </c>
      <c r="AC4194" s="23">
        <v>1396</v>
      </c>
      <c r="AD4194" s="56"/>
      <c r="AE4194" s="56"/>
      <c r="AF4194" s="56"/>
      <c r="AG4194" s="56"/>
      <c r="AH4194" s="56"/>
      <c r="AI4194" s="56"/>
      <c r="AJ4194" s="56"/>
      <c r="AK4194" s="56"/>
      <c r="AL4194" s="285"/>
      <c r="AM4194" s="56"/>
      <c r="AN4194" s="56"/>
      <c r="AO4194" s="56"/>
      <c r="AP4194" s="56"/>
      <c r="AQ4194" s="56"/>
      <c r="AR4194" s="56"/>
      <c r="AS4194" s="56"/>
      <c r="AT4194" s="56"/>
      <c r="AU4194" s="56"/>
      <c r="AV4194" s="56"/>
      <c r="AW4194" s="56"/>
      <c r="AX4194" s="56"/>
      <c r="AY4194" s="56"/>
      <c r="AZ4194" s="56"/>
      <c r="BA4194" s="56"/>
      <c r="BB4194" s="22">
        <f t="shared" si="1372"/>
        <v>0</v>
      </c>
      <c r="BC4194" s="23">
        <v>0</v>
      </c>
      <c r="BD4194" s="130">
        <f t="shared" si="1373"/>
        <v>450</v>
      </c>
      <c r="BE4194" s="130">
        <f t="shared" si="1374"/>
        <v>1396</v>
      </c>
      <c r="BF4194" s="195">
        <f t="shared" si="1375"/>
        <v>32.234957020057308</v>
      </c>
      <c r="BG4194" s="373">
        <f t="shared" si="1376"/>
        <v>946</v>
      </c>
      <c r="BH4194" s="426" t="s">
        <v>3675</v>
      </c>
      <c r="BI4194" s="421"/>
    </row>
    <row r="4195" spans="1:61" s="46" customFormat="1" ht="21" customHeight="1">
      <c r="A4195" s="417">
        <v>9</v>
      </c>
      <c r="B4195" s="418" t="s">
        <v>1801</v>
      </c>
      <c r="C4195" s="419" t="s">
        <v>1802</v>
      </c>
      <c r="D4195" s="55"/>
      <c r="E4195" s="55"/>
      <c r="F4195" s="55"/>
      <c r="G4195" s="55"/>
      <c r="H4195" s="56"/>
      <c r="I4195" s="55"/>
      <c r="J4195" s="55"/>
      <c r="K4195" s="55"/>
      <c r="L4195" s="55">
        <v>75</v>
      </c>
      <c r="M4195" s="55"/>
      <c r="N4195" s="55"/>
      <c r="O4195" s="55"/>
      <c r="P4195" s="55">
        <v>13</v>
      </c>
      <c r="Q4195" s="55"/>
      <c r="R4195" s="55"/>
      <c r="S4195" s="55"/>
      <c r="T4195" s="55"/>
      <c r="U4195" s="55"/>
      <c r="V4195" s="55"/>
      <c r="W4195" s="55"/>
      <c r="X4195" s="55"/>
      <c r="Y4195" s="55"/>
      <c r="Z4195" s="55"/>
      <c r="AA4195" s="55"/>
      <c r="AB4195" s="22">
        <f t="shared" si="1371"/>
        <v>88</v>
      </c>
      <c r="AC4195" s="23">
        <f>2+572</f>
        <v>574</v>
      </c>
      <c r="AD4195" s="56"/>
      <c r="AE4195" s="56"/>
      <c r="AF4195" s="56"/>
      <c r="AG4195" s="56"/>
      <c r="AH4195" s="56"/>
      <c r="AI4195" s="56"/>
      <c r="AJ4195" s="56"/>
      <c r="AK4195" s="56"/>
      <c r="AL4195" s="285"/>
      <c r="AM4195" s="56"/>
      <c r="AN4195" s="56"/>
      <c r="AO4195" s="56"/>
      <c r="AP4195" s="56"/>
      <c r="AQ4195" s="56"/>
      <c r="AR4195" s="56"/>
      <c r="AS4195" s="56"/>
      <c r="AT4195" s="56"/>
      <c r="AU4195" s="56"/>
      <c r="AV4195" s="56"/>
      <c r="AW4195" s="56"/>
      <c r="AX4195" s="56"/>
      <c r="AY4195" s="56"/>
      <c r="AZ4195" s="56"/>
      <c r="BA4195" s="56"/>
      <c r="BB4195" s="22">
        <f t="shared" si="1372"/>
        <v>0</v>
      </c>
      <c r="BC4195" s="23">
        <v>0</v>
      </c>
      <c r="BD4195" s="130">
        <f t="shared" si="1373"/>
        <v>88</v>
      </c>
      <c r="BE4195" s="130">
        <f t="shared" si="1374"/>
        <v>574</v>
      </c>
      <c r="BF4195" s="195">
        <f t="shared" si="1375"/>
        <v>15.331010452961671</v>
      </c>
      <c r="BG4195" s="373">
        <f t="shared" si="1376"/>
        <v>486</v>
      </c>
      <c r="BH4195" s="426" t="s">
        <v>3675</v>
      </c>
      <c r="BI4195" s="421"/>
    </row>
    <row r="4196" spans="1:61" s="46" customFormat="1" ht="21" customHeight="1">
      <c r="A4196" s="417">
        <v>10</v>
      </c>
      <c r="B4196" s="418" t="s">
        <v>1751</v>
      </c>
      <c r="C4196" s="419" t="s">
        <v>1752</v>
      </c>
      <c r="D4196" s="55">
        <v>8</v>
      </c>
      <c r="E4196" s="55"/>
      <c r="F4196" s="55"/>
      <c r="G4196" s="55"/>
      <c r="H4196" s="56">
        <f>2+5</f>
        <v>7</v>
      </c>
      <c r="I4196" s="55"/>
      <c r="J4196" s="55"/>
      <c r="K4196" s="55"/>
      <c r="L4196" s="55">
        <v>4</v>
      </c>
      <c r="M4196" s="55"/>
      <c r="N4196" s="55"/>
      <c r="O4196" s="55"/>
      <c r="P4196" s="55"/>
      <c r="Q4196" s="55"/>
      <c r="R4196" s="55"/>
      <c r="S4196" s="55"/>
      <c r="T4196" s="55"/>
      <c r="U4196" s="55"/>
      <c r="V4196" s="55"/>
      <c r="W4196" s="55"/>
      <c r="X4196" s="55"/>
      <c r="Y4196" s="55"/>
      <c r="Z4196" s="55"/>
      <c r="AA4196" s="55"/>
      <c r="AB4196" s="22">
        <f t="shared" si="1371"/>
        <v>19</v>
      </c>
      <c r="AC4196" s="23">
        <f>106+16</f>
        <v>122</v>
      </c>
      <c r="AD4196" s="56"/>
      <c r="AE4196" s="56"/>
      <c r="AF4196" s="56"/>
      <c r="AG4196" s="56"/>
      <c r="AH4196" s="56"/>
      <c r="AI4196" s="56"/>
      <c r="AJ4196" s="56"/>
      <c r="AK4196" s="56"/>
      <c r="AL4196" s="285"/>
      <c r="AM4196" s="56"/>
      <c r="AN4196" s="56"/>
      <c r="AO4196" s="56"/>
      <c r="AP4196" s="56"/>
      <c r="AQ4196" s="56"/>
      <c r="AR4196" s="56"/>
      <c r="AS4196" s="56"/>
      <c r="AT4196" s="56"/>
      <c r="AU4196" s="56"/>
      <c r="AV4196" s="56"/>
      <c r="AW4196" s="56"/>
      <c r="AX4196" s="56"/>
      <c r="AY4196" s="56"/>
      <c r="AZ4196" s="56"/>
      <c r="BA4196" s="56"/>
      <c r="BB4196" s="22">
        <f t="shared" si="1372"/>
        <v>0</v>
      </c>
      <c r="BC4196" s="23">
        <v>0</v>
      </c>
      <c r="BD4196" s="130">
        <f t="shared" si="1373"/>
        <v>19</v>
      </c>
      <c r="BE4196" s="130">
        <f t="shared" si="1374"/>
        <v>122</v>
      </c>
      <c r="BF4196" s="195">
        <f t="shared" si="1375"/>
        <v>15.573770491803279</v>
      </c>
      <c r="BG4196" s="373">
        <f t="shared" si="1376"/>
        <v>103</v>
      </c>
      <c r="BH4196" s="426" t="s">
        <v>3675</v>
      </c>
      <c r="BI4196" s="420"/>
    </row>
    <row r="4197" spans="1:61" s="46" customFormat="1" ht="21" customHeight="1">
      <c r="A4197" s="417">
        <v>12</v>
      </c>
      <c r="B4197" s="418" t="s">
        <v>1753</v>
      </c>
      <c r="C4197" s="419" t="s">
        <v>1754</v>
      </c>
      <c r="D4197" s="55">
        <v>49</v>
      </c>
      <c r="E4197" s="55"/>
      <c r="F4197" s="55"/>
      <c r="G4197" s="55"/>
      <c r="H4197" s="56">
        <f>48+27</f>
        <v>75</v>
      </c>
      <c r="I4197" s="55"/>
      <c r="J4197" s="55"/>
      <c r="K4197" s="55"/>
      <c r="L4197" s="55">
        <f>28+423</f>
        <v>451</v>
      </c>
      <c r="M4197" s="55"/>
      <c r="N4197" s="55"/>
      <c r="O4197" s="55"/>
      <c r="P4197" s="55">
        <f>1+161</f>
        <v>162</v>
      </c>
      <c r="Q4197" s="55"/>
      <c r="R4197" s="55"/>
      <c r="S4197" s="55"/>
      <c r="T4197" s="55"/>
      <c r="U4197" s="55"/>
      <c r="V4197" s="55"/>
      <c r="W4197" s="55"/>
      <c r="X4197" s="55"/>
      <c r="Y4197" s="55"/>
      <c r="Z4197" s="55"/>
      <c r="AA4197" s="55"/>
      <c r="AB4197" s="22">
        <f t="shared" si="1371"/>
        <v>737</v>
      </c>
      <c r="AC4197" s="23">
        <v>2020</v>
      </c>
      <c r="AD4197" s="56"/>
      <c r="AE4197" s="56"/>
      <c r="AF4197" s="56"/>
      <c r="AG4197" s="56"/>
      <c r="AH4197" s="56"/>
      <c r="AI4197" s="56"/>
      <c r="AJ4197" s="56"/>
      <c r="AK4197" s="56"/>
      <c r="AL4197" s="285"/>
      <c r="AM4197" s="56"/>
      <c r="AN4197" s="56"/>
      <c r="AO4197" s="56"/>
      <c r="AP4197" s="56"/>
      <c r="AQ4197" s="56"/>
      <c r="AR4197" s="56"/>
      <c r="AS4197" s="56"/>
      <c r="AT4197" s="56"/>
      <c r="AU4197" s="56"/>
      <c r="AV4197" s="56"/>
      <c r="AW4197" s="56"/>
      <c r="AX4197" s="56"/>
      <c r="AY4197" s="56"/>
      <c r="AZ4197" s="56"/>
      <c r="BA4197" s="56"/>
      <c r="BB4197" s="22">
        <f t="shared" si="1372"/>
        <v>0</v>
      </c>
      <c r="BC4197" s="23">
        <v>0</v>
      </c>
      <c r="BD4197" s="130">
        <f t="shared" si="1373"/>
        <v>737</v>
      </c>
      <c r="BE4197" s="130">
        <f t="shared" si="1374"/>
        <v>2020</v>
      </c>
      <c r="BF4197" s="195">
        <f t="shared" si="1375"/>
        <v>36.485148514851481</v>
      </c>
      <c r="BG4197" s="373">
        <f t="shared" si="1376"/>
        <v>1283</v>
      </c>
      <c r="BH4197" s="426" t="s">
        <v>3675</v>
      </c>
      <c r="BI4197" s="420"/>
    </row>
    <row r="4198" spans="1:61" s="46" customFormat="1" ht="21" customHeight="1">
      <c r="A4198" s="417">
        <v>13</v>
      </c>
      <c r="B4198" s="418" t="s">
        <v>1775</v>
      </c>
      <c r="C4198" s="419" t="s">
        <v>1837</v>
      </c>
      <c r="D4198" s="55"/>
      <c r="E4198" s="55"/>
      <c r="F4198" s="55"/>
      <c r="G4198" s="55"/>
      <c r="H4198" s="56"/>
      <c r="I4198" s="55"/>
      <c r="J4198" s="55"/>
      <c r="K4198" s="55"/>
      <c r="L4198" s="55"/>
      <c r="M4198" s="55"/>
      <c r="N4198" s="55"/>
      <c r="O4198" s="55"/>
      <c r="P4198" s="55"/>
      <c r="Q4198" s="55"/>
      <c r="R4198" s="55"/>
      <c r="S4198" s="55"/>
      <c r="T4198" s="55"/>
      <c r="U4198" s="55"/>
      <c r="V4198" s="55"/>
      <c r="W4198" s="55"/>
      <c r="X4198" s="55"/>
      <c r="Y4198" s="55"/>
      <c r="Z4198" s="55"/>
      <c r="AA4198" s="55"/>
      <c r="AB4198" s="22">
        <f t="shared" si="1371"/>
        <v>0</v>
      </c>
      <c r="AC4198" s="23">
        <v>46</v>
      </c>
      <c r="AD4198" s="56"/>
      <c r="AE4198" s="56"/>
      <c r="AF4198" s="56"/>
      <c r="AG4198" s="56"/>
      <c r="AH4198" s="56"/>
      <c r="AI4198" s="56"/>
      <c r="AJ4198" s="56"/>
      <c r="AK4198" s="56"/>
      <c r="AL4198" s="285"/>
      <c r="AM4198" s="56"/>
      <c r="AN4198" s="56"/>
      <c r="AO4198" s="56"/>
      <c r="AP4198" s="56"/>
      <c r="AQ4198" s="56"/>
      <c r="AR4198" s="56"/>
      <c r="AS4198" s="56"/>
      <c r="AT4198" s="56"/>
      <c r="AU4198" s="56"/>
      <c r="AV4198" s="56"/>
      <c r="AW4198" s="56"/>
      <c r="AX4198" s="56"/>
      <c r="AY4198" s="56"/>
      <c r="AZ4198" s="56"/>
      <c r="BA4198" s="56"/>
      <c r="BB4198" s="22">
        <f t="shared" si="1372"/>
        <v>0</v>
      </c>
      <c r="BC4198" s="23">
        <v>0</v>
      </c>
      <c r="BD4198" s="130">
        <f t="shared" si="1373"/>
        <v>0</v>
      </c>
      <c r="BE4198" s="130">
        <f t="shared" si="1374"/>
        <v>46</v>
      </c>
      <c r="BF4198" s="195">
        <f t="shared" si="1375"/>
        <v>0</v>
      </c>
      <c r="BG4198" s="373">
        <f t="shared" si="1376"/>
        <v>46</v>
      </c>
      <c r="BH4198" s="426" t="s">
        <v>3675</v>
      </c>
      <c r="BI4198" s="421"/>
    </row>
    <row r="4199" spans="1:61" s="46" customFormat="1" ht="21" customHeight="1">
      <c r="A4199" s="417">
        <v>14</v>
      </c>
      <c r="B4199" s="418" t="s">
        <v>2148</v>
      </c>
      <c r="C4199" s="419" t="s">
        <v>2149</v>
      </c>
      <c r="D4199" s="55"/>
      <c r="E4199" s="55"/>
      <c r="F4199" s="55"/>
      <c r="G4199" s="55"/>
      <c r="H4199" s="56"/>
      <c r="I4199" s="55"/>
      <c r="J4199" s="55"/>
      <c r="K4199" s="55"/>
      <c r="L4199" s="55"/>
      <c r="M4199" s="55"/>
      <c r="N4199" s="55"/>
      <c r="O4199" s="55"/>
      <c r="P4199" s="55"/>
      <c r="Q4199" s="55"/>
      <c r="R4199" s="55"/>
      <c r="S4199" s="55"/>
      <c r="T4199" s="55"/>
      <c r="U4199" s="55"/>
      <c r="V4199" s="55"/>
      <c r="W4199" s="55"/>
      <c r="X4199" s="55"/>
      <c r="Y4199" s="55"/>
      <c r="Z4199" s="55"/>
      <c r="AA4199" s="55"/>
      <c r="AB4199" s="22">
        <f t="shared" si="1371"/>
        <v>0</v>
      </c>
      <c r="AC4199" s="23">
        <v>1</v>
      </c>
      <c r="AD4199" s="56"/>
      <c r="AE4199" s="56"/>
      <c r="AF4199" s="56"/>
      <c r="AG4199" s="56"/>
      <c r="AH4199" s="56"/>
      <c r="AI4199" s="56"/>
      <c r="AJ4199" s="56"/>
      <c r="AK4199" s="56"/>
      <c r="AL4199" s="285"/>
      <c r="AM4199" s="56"/>
      <c r="AN4199" s="56"/>
      <c r="AO4199" s="56"/>
      <c r="AP4199" s="56"/>
      <c r="AQ4199" s="56"/>
      <c r="AR4199" s="56"/>
      <c r="AS4199" s="56"/>
      <c r="AT4199" s="56"/>
      <c r="AU4199" s="56"/>
      <c r="AV4199" s="56"/>
      <c r="AW4199" s="56"/>
      <c r="AX4199" s="56"/>
      <c r="AY4199" s="56"/>
      <c r="AZ4199" s="56"/>
      <c r="BA4199" s="56"/>
      <c r="BB4199" s="22">
        <f t="shared" si="1372"/>
        <v>0</v>
      </c>
      <c r="BC4199" s="23">
        <v>0</v>
      </c>
      <c r="BD4199" s="130">
        <f t="shared" si="1373"/>
        <v>0</v>
      </c>
      <c r="BE4199" s="130">
        <f t="shared" si="1374"/>
        <v>1</v>
      </c>
      <c r="BF4199" s="195">
        <f t="shared" si="1375"/>
        <v>0</v>
      </c>
      <c r="BG4199" s="373">
        <f t="shared" si="1376"/>
        <v>1</v>
      </c>
      <c r="BH4199" s="426" t="s">
        <v>3675</v>
      </c>
      <c r="BI4199" s="420"/>
    </row>
    <row r="4200" spans="1:61" s="46" customFormat="1" ht="21" customHeight="1">
      <c r="A4200" s="417">
        <v>15</v>
      </c>
      <c r="B4200" s="418" t="s">
        <v>1756</v>
      </c>
      <c r="C4200" s="419" t="s">
        <v>1757</v>
      </c>
      <c r="D4200" s="55">
        <v>197</v>
      </c>
      <c r="E4200" s="55"/>
      <c r="F4200" s="55"/>
      <c r="G4200" s="55"/>
      <c r="H4200" s="56">
        <f>179+196</f>
        <v>375</v>
      </c>
      <c r="I4200" s="55"/>
      <c r="J4200" s="55"/>
      <c r="K4200" s="55"/>
      <c r="L4200" s="55">
        <f>181+1176</f>
        <v>1357</v>
      </c>
      <c r="M4200" s="55"/>
      <c r="N4200" s="55"/>
      <c r="O4200" s="55"/>
      <c r="P4200" s="55">
        <f>24+1161</f>
        <v>1185</v>
      </c>
      <c r="Q4200" s="55"/>
      <c r="R4200" s="55"/>
      <c r="S4200" s="55"/>
      <c r="T4200" s="55"/>
      <c r="U4200" s="55"/>
      <c r="V4200" s="55"/>
      <c r="W4200" s="55"/>
      <c r="X4200" s="55"/>
      <c r="Y4200" s="55"/>
      <c r="Z4200" s="55"/>
      <c r="AA4200" s="55"/>
      <c r="AB4200" s="22">
        <f t="shared" si="1371"/>
        <v>3114</v>
      </c>
      <c r="AC4200" s="23">
        <v>9627</v>
      </c>
      <c r="AD4200" s="56"/>
      <c r="AE4200" s="56"/>
      <c r="AF4200" s="56"/>
      <c r="AG4200" s="56"/>
      <c r="AH4200" s="56"/>
      <c r="AI4200" s="56"/>
      <c r="AJ4200" s="56"/>
      <c r="AK4200" s="56"/>
      <c r="AL4200" s="285"/>
      <c r="AM4200" s="56"/>
      <c r="AN4200" s="56"/>
      <c r="AO4200" s="56"/>
      <c r="AP4200" s="56"/>
      <c r="AQ4200" s="56"/>
      <c r="AR4200" s="56"/>
      <c r="AS4200" s="56"/>
      <c r="AT4200" s="56"/>
      <c r="AU4200" s="56"/>
      <c r="AV4200" s="56"/>
      <c r="AW4200" s="56"/>
      <c r="AX4200" s="56"/>
      <c r="AY4200" s="56"/>
      <c r="AZ4200" s="56"/>
      <c r="BA4200" s="56"/>
      <c r="BB4200" s="22">
        <f t="shared" si="1372"/>
        <v>0</v>
      </c>
      <c r="BC4200" s="23">
        <v>0</v>
      </c>
      <c r="BD4200" s="130">
        <f t="shared" si="1373"/>
        <v>3114</v>
      </c>
      <c r="BE4200" s="130">
        <f t="shared" si="1374"/>
        <v>9627</v>
      </c>
      <c r="BF4200" s="195">
        <f t="shared" si="1375"/>
        <v>32.346525397320036</v>
      </c>
      <c r="BG4200" s="373">
        <f t="shared" si="1376"/>
        <v>6513</v>
      </c>
      <c r="BH4200" s="426" t="s">
        <v>3675</v>
      </c>
      <c r="BI4200" s="421"/>
    </row>
    <row r="4201" spans="1:61" s="46" customFormat="1" ht="14.25" customHeight="1">
      <c r="A4201" s="181">
        <v>16</v>
      </c>
      <c r="B4201" s="53" t="s">
        <v>2522</v>
      </c>
      <c r="C4201" s="54" t="s">
        <v>2523</v>
      </c>
      <c r="D4201" s="55"/>
      <c r="E4201" s="55"/>
      <c r="F4201" s="55"/>
      <c r="G4201" s="55"/>
      <c r="H4201" s="55"/>
      <c r="I4201" s="55"/>
      <c r="J4201" s="55"/>
      <c r="K4201" s="55"/>
      <c r="L4201" s="55"/>
      <c r="M4201" s="55"/>
      <c r="N4201" s="55"/>
      <c r="O4201" s="55"/>
      <c r="P4201" s="55"/>
      <c r="Q4201" s="55"/>
      <c r="R4201" s="55"/>
      <c r="S4201" s="55"/>
      <c r="T4201" s="55"/>
      <c r="U4201" s="55"/>
      <c r="V4201" s="55"/>
      <c r="W4201" s="55"/>
      <c r="X4201" s="55"/>
      <c r="Y4201" s="55"/>
      <c r="Z4201" s="55"/>
      <c r="AA4201" s="55"/>
      <c r="AB4201" s="22">
        <f t="shared" si="1371"/>
        <v>0</v>
      </c>
      <c r="AC4201" s="23">
        <v>0</v>
      </c>
      <c r="AD4201" s="56"/>
      <c r="AE4201" s="56"/>
      <c r="AF4201" s="56"/>
      <c r="AG4201" s="56"/>
      <c r="AH4201" s="56"/>
      <c r="AI4201" s="56"/>
      <c r="AJ4201" s="56"/>
      <c r="AK4201" s="56"/>
      <c r="AL4201" s="285"/>
      <c r="AM4201" s="56"/>
      <c r="AN4201" s="56"/>
      <c r="AO4201" s="56"/>
      <c r="AP4201" s="56"/>
      <c r="AQ4201" s="56"/>
      <c r="AR4201" s="56"/>
      <c r="AS4201" s="56"/>
      <c r="AT4201" s="56"/>
      <c r="AU4201" s="56"/>
      <c r="AV4201" s="56"/>
      <c r="AW4201" s="56"/>
      <c r="AX4201" s="56"/>
      <c r="AY4201" s="56"/>
      <c r="AZ4201" s="56"/>
      <c r="BA4201" s="56"/>
      <c r="BB4201" s="22">
        <f t="shared" si="1372"/>
        <v>0</v>
      </c>
      <c r="BC4201" s="23">
        <v>1</v>
      </c>
      <c r="BD4201" s="130">
        <f t="shared" si="1373"/>
        <v>0</v>
      </c>
      <c r="BE4201" s="130">
        <f t="shared" si="1374"/>
        <v>1</v>
      </c>
      <c r="BF4201" s="195">
        <f t="shared" si="1375"/>
        <v>0</v>
      </c>
      <c r="BG4201" s="373">
        <f t="shared" si="1376"/>
        <v>1</v>
      </c>
    </row>
    <row r="4202" spans="1:61" s="46" customFormat="1" ht="14.25" customHeight="1">
      <c r="A4202" s="453">
        <v>17</v>
      </c>
      <c r="B4202" s="461" t="s">
        <v>814</v>
      </c>
      <c r="C4202" s="531" t="s">
        <v>3108</v>
      </c>
      <c r="D4202" s="55"/>
      <c r="E4202" s="55"/>
      <c r="F4202" s="55"/>
      <c r="G4202" s="55"/>
      <c r="H4202" s="55"/>
      <c r="I4202" s="55"/>
      <c r="J4202" s="55"/>
      <c r="K4202" s="55"/>
      <c r="L4202" s="55"/>
      <c r="M4202" s="55"/>
      <c r="N4202" s="55"/>
      <c r="O4202" s="55"/>
      <c r="P4202" s="55"/>
      <c r="Q4202" s="55"/>
      <c r="R4202" s="55"/>
      <c r="S4202" s="55"/>
      <c r="T4202" s="55"/>
      <c r="U4202" s="55"/>
      <c r="V4202" s="55"/>
      <c r="W4202" s="55"/>
      <c r="X4202" s="55"/>
      <c r="Y4202" s="55"/>
      <c r="Z4202" s="55"/>
      <c r="AA4202" s="55"/>
      <c r="AB4202" s="22">
        <f t="shared" si="1371"/>
        <v>0</v>
      </c>
      <c r="AC4202" s="23">
        <v>0</v>
      </c>
      <c r="AD4202" s="56"/>
      <c r="AE4202" s="56"/>
      <c r="AF4202" s="56"/>
      <c r="AG4202" s="56"/>
      <c r="AH4202" s="56"/>
      <c r="AI4202" s="56"/>
      <c r="AJ4202" s="56"/>
      <c r="AK4202" s="56"/>
      <c r="AL4202" s="285"/>
      <c r="AM4202" s="56"/>
      <c r="AN4202" s="56"/>
      <c r="AO4202" s="56"/>
      <c r="AP4202" s="56"/>
      <c r="AQ4202" s="56"/>
      <c r="AR4202" s="56"/>
      <c r="AS4202" s="56"/>
      <c r="AT4202" s="56"/>
      <c r="AU4202" s="56"/>
      <c r="AV4202" s="56"/>
      <c r="AW4202" s="56"/>
      <c r="AX4202" s="56"/>
      <c r="AY4202" s="56"/>
      <c r="AZ4202" s="56"/>
      <c r="BA4202" s="56"/>
      <c r="BB4202" s="22">
        <f t="shared" si="1372"/>
        <v>0</v>
      </c>
      <c r="BC4202" s="23">
        <v>2282</v>
      </c>
      <c r="BD4202" s="130">
        <f t="shared" si="1373"/>
        <v>0</v>
      </c>
      <c r="BE4202" s="130">
        <f t="shared" si="1374"/>
        <v>2282</v>
      </c>
      <c r="BF4202" s="195">
        <f t="shared" si="1375"/>
        <v>0</v>
      </c>
      <c r="BG4202" s="373">
        <f t="shared" si="1376"/>
        <v>2282</v>
      </c>
    </row>
    <row r="4203" spans="1:61" s="46" customFormat="1" ht="14.25" customHeight="1">
      <c r="A4203" s="453">
        <v>18</v>
      </c>
      <c r="B4203" s="557" t="s">
        <v>1804</v>
      </c>
      <c r="C4203" s="558" t="s">
        <v>1805</v>
      </c>
      <c r="D4203" s="55"/>
      <c r="E4203" s="55"/>
      <c r="F4203" s="55"/>
      <c r="G4203" s="55"/>
      <c r="H4203" s="55"/>
      <c r="I4203" s="55"/>
      <c r="J4203" s="55"/>
      <c r="K4203" s="55"/>
      <c r="L4203" s="55"/>
      <c r="M4203" s="55"/>
      <c r="N4203" s="55"/>
      <c r="O4203" s="55"/>
      <c r="P4203" s="55"/>
      <c r="Q4203" s="55"/>
      <c r="R4203" s="55"/>
      <c r="S4203" s="55"/>
      <c r="T4203" s="55"/>
      <c r="U4203" s="55"/>
      <c r="V4203" s="55"/>
      <c r="W4203" s="55"/>
      <c r="X4203" s="55"/>
      <c r="Y4203" s="55"/>
      <c r="Z4203" s="55"/>
      <c r="AA4203" s="55"/>
      <c r="AB4203" s="22">
        <f t="shared" si="1371"/>
        <v>0</v>
      </c>
      <c r="AC4203" s="23">
        <v>0</v>
      </c>
      <c r="AD4203" s="56"/>
      <c r="AE4203" s="56"/>
      <c r="AF4203" s="56"/>
      <c r="AG4203" s="56"/>
      <c r="AH4203" s="56"/>
      <c r="AI4203" s="56"/>
      <c r="AJ4203" s="56"/>
      <c r="AK4203" s="56"/>
      <c r="AL4203" s="285">
        <v>1</v>
      </c>
      <c r="AM4203" s="56"/>
      <c r="AN4203" s="56"/>
      <c r="AO4203" s="56"/>
      <c r="AP4203" s="56"/>
      <c r="AQ4203" s="56"/>
      <c r="AR4203" s="56"/>
      <c r="AS4203" s="56"/>
      <c r="AT4203" s="56"/>
      <c r="AU4203" s="56"/>
      <c r="AV4203" s="56"/>
      <c r="AW4203" s="56"/>
      <c r="AX4203" s="56"/>
      <c r="AY4203" s="56"/>
      <c r="AZ4203" s="56"/>
      <c r="BA4203" s="56"/>
      <c r="BB4203" s="22">
        <f t="shared" si="1372"/>
        <v>1</v>
      </c>
      <c r="BC4203" s="23">
        <v>0</v>
      </c>
      <c r="BD4203" s="130">
        <f t="shared" ref="BD4203" si="1377">AB4203+BB4203</f>
        <v>1</v>
      </c>
      <c r="BE4203" s="130">
        <f t="shared" ref="BE4203" si="1378">AC4203+BC4203</f>
        <v>0</v>
      </c>
      <c r="BF4203" s="195" t="e">
        <f t="shared" ref="BF4203" si="1379">BD4203/BE4203*100</f>
        <v>#DIV/0!</v>
      </c>
      <c r="BG4203" s="373"/>
    </row>
    <row r="4204" spans="1:61" s="46" customFormat="1" ht="14.25" customHeight="1">
      <c r="A4204" s="453">
        <v>19</v>
      </c>
      <c r="B4204" s="454" t="s">
        <v>1761</v>
      </c>
      <c r="C4204" s="455" t="s">
        <v>1762</v>
      </c>
      <c r="D4204" s="55"/>
      <c r="E4204" s="55"/>
      <c r="F4204" s="55"/>
      <c r="G4204" s="55"/>
      <c r="H4204" s="55"/>
      <c r="I4204" s="55"/>
      <c r="J4204" s="55"/>
      <c r="K4204" s="55"/>
      <c r="L4204" s="55"/>
      <c r="M4204" s="55"/>
      <c r="N4204" s="55"/>
      <c r="O4204" s="55"/>
      <c r="P4204" s="55"/>
      <c r="Q4204" s="55"/>
      <c r="R4204" s="55"/>
      <c r="S4204" s="55"/>
      <c r="T4204" s="55"/>
      <c r="U4204" s="55"/>
      <c r="V4204" s="55"/>
      <c r="W4204" s="55"/>
      <c r="X4204" s="55"/>
      <c r="Y4204" s="55"/>
      <c r="Z4204" s="55"/>
      <c r="AA4204" s="55"/>
      <c r="AB4204" s="22">
        <f t="shared" si="1371"/>
        <v>0</v>
      </c>
      <c r="AC4204" s="23">
        <v>0</v>
      </c>
      <c r="AD4204" s="56"/>
      <c r="AE4204" s="56"/>
      <c r="AF4204" s="56"/>
      <c r="AG4204" s="56"/>
      <c r="AH4204" s="56"/>
      <c r="AI4204" s="56"/>
      <c r="AJ4204" s="56"/>
      <c r="AK4204" s="56"/>
      <c r="AL4204" s="285"/>
      <c r="AM4204" s="56"/>
      <c r="AN4204" s="56"/>
      <c r="AO4204" s="56"/>
      <c r="AP4204" s="56"/>
      <c r="AQ4204" s="56"/>
      <c r="AR4204" s="56"/>
      <c r="AS4204" s="56"/>
      <c r="AT4204" s="56"/>
      <c r="AU4204" s="56"/>
      <c r="AV4204" s="56"/>
      <c r="AW4204" s="56"/>
      <c r="AX4204" s="56"/>
      <c r="AY4204" s="56"/>
      <c r="AZ4204" s="56"/>
      <c r="BA4204" s="56"/>
      <c r="BB4204" s="22">
        <f t="shared" si="1372"/>
        <v>0</v>
      </c>
      <c r="BC4204" s="23">
        <v>1</v>
      </c>
      <c r="BD4204" s="130">
        <f t="shared" si="1373"/>
        <v>0</v>
      </c>
      <c r="BE4204" s="130">
        <f t="shared" si="1374"/>
        <v>1</v>
      </c>
      <c r="BF4204" s="195">
        <f t="shared" si="1375"/>
        <v>0</v>
      </c>
      <c r="BG4204" s="373">
        <f t="shared" si="1376"/>
        <v>1</v>
      </c>
    </row>
    <row r="4205" spans="1:61" s="46" customFormat="1" ht="14.25" customHeight="1">
      <c r="A4205" s="181">
        <v>20</v>
      </c>
      <c r="B4205" s="454" t="s">
        <v>1763</v>
      </c>
      <c r="C4205" s="463" t="s">
        <v>1764</v>
      </c>
      <c r="D4205" s="55"/>
      <c r="E4205" s="55"/>
      <c r="F4205" s="55"/>
      <c r="G4205" s="55"/>
      <c r="H4205" s="55"/>
      <c r="I4205" s="55"/>
      <c r="J4205" s="55"/>
      <c r="K4205" s="55"/>
      <c r="L4205" s="55"/>
      <c r="M4205" s="55"/>
      <c r="N4205" s="55"/>
      <c r="O4205" s="55"/>
      <c r="P4205" s="55"/>
      <c r="Q4205" s="55"/>
      <c r="R4205" s="55"/>
      <c r="S4205" s="55"/>
      <c r="T4205" s="55"/>
      <c r="U4205" s="55"/>
      <c r="V4205" s="55"/>
      <c r="W4205" s="55"/>
      <c r="X4205" s="55"/>
      <c r="Y4205" s="55"/>
      <c r="Z4205" s="55"/>
      <c r="AA4205" s="55"/>
      <c r="AB4205" s="22">
        <f t="shared" si="1371"/>
        <v>0</v>
      </c>
      <c r="AC4205" s="23">
        <v>0</v>
      </c>
      <c r="AD4205" s="56">
        <v>1</v>
      </c>
      <c r="AE4205" s="56"/>
      <c r="AF4205" s="56"/>
      <c r="AG4205" s="56"/>
      <c r="AH4205" s="56">
        <f>14+11</f>
        <v>25</v>
      </c>
      <c r="AI4205" s="56"/>
      <c r="AJ4205" s="56"/>
      <c r="AK4205" s="56"/>
      <c r="AL4205" s="285">
        <f>3+211</f>
        <v>214</v>
      </c>
      <c r="AM4205" s="56"/>
      <c r="AN4205" s="56"/>
      <c r="AO4205" s="56"/>
      <c r="AP4205" s="56">
        <v>193</v>
      </c>
      <c r="AQ4205" s="56"/>
      <c r="AR4205" s="56"/>
      <c r="AS4205" s="56"/>
      <c r="AT4205" s="56"/>
      <c r="AU4205" s="56"/>
      <c r="AV4205" s="56"/>
      <c r="AW4205" s="56"/>
      <c r="AX4205" s="56"/>
      <c r="AY4205" s="56"/>
      <c r="AZ4205" s="56"/>
      <c r="BA4205" s="56"/>
      <c r="BB4205" s="22">
        <f t="shared" si="1372"/>
        <v>433</v>
      </c>
      <c r="BC4205" s="23">
        <v>2372</v>
      </c>
      <c r="BD4205" s="130">
        <f t="shared" si="1373"/>
        <v>433</v>
      </c>
      <c r="BE4205" s="130">
        <f t="shared" si="1374"/>
        <v>2372</v>
      </c>
      <c r="BF4205" s="195">
        <f t="shared" si="1375"/>
        <v>18.254637436762224</v>
      </c>
      <c r="BG4205" s="373">
        <f t="shared" si="1376"/>
        <v>1939</v>
      </c>
    </row>
    <row r="4206" spans="1:61" s="46" customFormat="1" ht="14.25" customHeight="1">
      <c r="A4206" s="453">
        <v>21</v>
      </c>
      <c r="B4206" s="454" t="s">
        <v>1765</v>
      </c>
      <c r="C4206" s="455" t="s">
        <v>1766</v>
      </c>
      <c r="D4206" s="55"/>
      <c r="E4206" s="55"/>
      <c r="F4206" s="55"/>
      <c r="G4206" s="55"/>
      <c r="H4206" s="55"/>
      <c r="I4206" s="55"/>
      <c r="J4206" s="55"/>
      <c r="K4206" s="55"/>
      <c r="L4206" s="55"/>
      <c r="M4206" s="55"/>
      <c r="N4206" s="55"/>
      <c r="O4206" s="55"/>
      <c r="P4206" s="55"/>
      <c r="Q4206" s="55"/>
      <c r="R4206" s="55"/>
      <c r="S4206" s="55"/>
      <c r="T4206" s="55"/>
      <c r="U4206" s="55"/>
      <c r="V4206" s="55"/>
      <c r="W4206" s="55"/>
      <c r="X4206" s="55"/>
      <c r="Y4206" s="55"/>
      <c r="Z4206" s="55"/>
      <c r="AA4206" s="55"/>
      <c r="AB4206" s="22">
        <f t="shared" si="1371"/>
        <v>0</v>
      </c>
      <c r="AC4206" s="23">
        <v>0</v>
      </c>
      <c r="AD4206" s="56"/>
      <c r="AE4206" s="56"/>
      <c r="AF4206" s="56"/>
      <c r="AG4206" s="56"/>
      <c r="AH4206" s="56">
        <v>1</v>
      </c>
      <c r="AI4206" s="56"/>
      <c r="AJ4206" s="56"/>
      <c r="AK4206" s="56"/>
      <c r="AL4206" s="285">
        <v>2</v>
      </c>
      <c r="AM4206" s="56"/>
      <c r="AN4206" s="56"/>
      <c r="AO4206" s="56"/>
      <c r="AP4206" s="56"/>
      <c r="AQ4206" s="56"/>
      <c r="AR4206" s="56"/>
      <c r="AS4206" s="56"/>
      <c r="AT4206" s="56"/>
      <c r="AU4206" s="56"/>
      <c r="AV4206" s="56"/>
      <c r="AW4206" s="56"/>
      <c r="AX4206" s="56"/>
      <c r="AY4206" s="56"/>
      <c r="AZ4206" s="56"/>
      <c r="BA4206" s="56"/>
      <c r="BB4206" s="22">
        <f t="shared" si="1372"/>
        <v>3</v>
      </c>
      <c r="BC4206" s="23">
        <v>1</v>
      </c>
      <c r="BD4206" s="130">
        <f t="shared" si="1373"/>
        <v>3</v>
      </c>
      <c r="BE4206" s="130">
        <f t="shared" si="1374"/>
        <v>1</v>
      </c>
      <c r="BF4206" s="195">
        <f t="shared" si="1375"/>
        <v>300</v>
      </c>
      <c r="BG4206" s="373">
        <f t="shared" si="1376"/>
        <v>-2</v>
      </c>
    </row>
    <row r="4207" spans="1:61" s="46" customFormat="1" ht="14.25" customHeight="1">
      <c r="A4207" s="453">
        <v>22</v>
      </c>
      <c r="B4207" s="456" t="s">
        <v>1118</v>
      </c>
      <c r="C4207" s="457" t="s">
        <v>3107</v>
      </c>
      <c r="D4207" s="55"/>
      <c r="E4207" s="55"/>
      <c r="F4207" s="55"/>
      <c r="G4207" s="55"/>
      <c r="H4207" s="55"/>
      <c r="I4207" s="55"/>
      <c r="J4207" s="55"/>
      <c r="K4207" s="55"/>
      <c r="L4207" s="55"/>
      <c r="M4207" s="55"/>
      <c r="N4207" s="55"/>
      <c r="O4207" s="55"/>
      <c r="P4207" s="55"/>
      <c r="Q4207" s="55"/>
      <c r="R4207" s="55"/>
      <c r="S4207" s="55"/>
      <c r="T4207" s="55"/>
      <c r="U4207" s="55"/>
      <c r="V4207" s="55"/>
      <c r="W4207" s="55"/>
      <c r="X4207" s="55"/>
      <c r="Y4207" s="55"/>
      <c r="Z4207" s="55"/>
      <c r="AA4207" s="55"/>
      <c r="AB4207" s="22">
        <f t="shared" si="1371"/>
        <v>0</v>
      </c>
      <c r="AC4207" s="23">
        <v>0</v>
      </c>
      <c r="AD4207" s="56"/>
      <c r="AE4207" s="56"/>
      <c r="AF4207" s="56"/>
      <c r="AG4207" s="56"/>
      <c r="AH4207" s="56"/>
      <c r="AI4207" s="56"/>
      <c r="AJ4207" s="56"/>
      <c r="AK4207" s="56"/>
      <c r="AL4207" s="285"/>
      <c r="AM4207" s="56"/>
      <c r="AN4207" s="56"/>
      <c r="AO4207" s="56"/>
      <c r="AP4207" s="56"/>
      <c r="AQ4207" s="56"/>
      <c r="AR4207" s="56"/>
      <c r="AS4207" s="56"/>
      <c r="AT4207" s="56"/>
      <c r="AU4207" s="56"/>
      <c r="AV4207" s="56"/>
      <c r="AW4207" s="56"/>
      <c r="AX4207" s="56"/>
      <c r="AY4207" s="56"/>
      <c r="AZ4207" s="56"/>
      <c r="BA4207" s="56"/>
      <c r="BB4207" s="22">
        <f t="shared" si="1372"/>
        <v>0</v>
      </c>
      <c r="BC4207" s="23">
        <v>6</v>
      </c>
      <c r="BD4207" s="130">
        <f t="shared" si="1373"/>
        <v>0</v>
      </c>
      <c r="BE4207" s="130">
        <f t="shared" si="1374"/>
        <v>6</v>
      </c>
      <c r="BF4207" s="195">
        <f t="shared" si="1375"/>
        <v>0</v>
      </c>
      <c r="BG4207" s="373">
        <f t="shared" si="1376"/>
        <v>6</v>
      </c>
    </row>
    <row r="4208" spans="1:61" s="46" customFormat="1" ht="14.25" customHeight="1">
      <c r="A4208" s="181">
        <v>23</v>
      </c>
      <c r="B4208" s="454" t="s">
        <v>1806</v>
      </c>
      <c r="C4208" s="455" t="s">
        <v>1807</v>
      </c>
      <c r="D4208" s="55"/>
      <c r="E4208" s="55"/>
      <c r="F4208" s="55"/>
      <c r="G4208" s="55"/>
      <c r="H4208" s="55"/>
      <c r="I4208" s="55"/>
      <c r="J4208" s="55"/>
      <c r="K4208" s="55"/>
      <c r="L4208" s="55"/>
      <c r="M4208" s="55"/>
      <c r="N4208" s="55"/>
      <c r="O4208" s="55"/>
      <c r="P4208" s="55"/>
      <c r="Q4208" s="55"/>
      <c r="R4208" s="55"/>
      <c r="S4208" s="55"/>
      <c r="T4208" s="55"/>
      <c r="U4208" s="55"/>
      <c r="V4208" s="55"/>
      <c r="W4208" s="55"/>
      <c r="X4208" s="55"/>
      <c r="Y4208" s="55"/>
      <c r="Z4208" s="55"/>
      <c r="AA4208" s="55"/>
      <c r="AB4208" s="22">
        <f t="shared" si="1371"/>
        <v>0</v>
      </c>
      <c r="AC4208" s="23">
        <v>0</v>
      </c>
      <c r="AD4208" s="56"/>
      <c r="AE4208" s="56"/>
      <c r="AF4208" s="56"/>
      <c r="AG4208" s="56"/>
      <c r="AH4208" s="56"/>
      <c r="AI4208" s="56"/>
      <c r="AJ4208" s="56"/>
      <c r="AK4208" s="56"/>
      <c r="AL4208" s="285"/>
      <c r="AM4208" s="56"/>
      <c r="AN4208" s="56"/>
      <c r="AO4208" s="56"/>
      <c r="AP4208" s="56"/>
      <c r="AQ4208" s="56"/>
      <c r="AR4208" s="56"/>
      <c r="AS4208" s="56"/>
      <c r="AT4208" s="56"/>
      <c r="AU4208" s="56"/>
      <c r="AV4208" s="56"/>
      <c r="AW4208" s="56"/>
      <c r="AX4208" s="56"/>
      <c r="AY4208" s="56"/>
      <c r="AZ4208" s="56"/>
      <c r="BA4208" s="56"/>
      <c r="BB4208" s="22">
        <f t="shared" si="1372"/>
        <v>0</v>
      </c>
      <c r="BC4208" s="23">
        <v>1</v>
      </c>
      <c r="BD4208" s="130">
        <f t="shared" si="1373"/>
        <v>0</v>
      </c>
      <c r="BE4208" s="130">
        <f t="shared" si="1374"/>
        <v>1</v>
      </c>
      <c r="BF4208" s="195">
        <f t="shared" si="1375"/>
        <v>0</v>
      </c>
      <c r="BG4208" s="373">
        <f t="shared" si="1376"/>
        <v>1</v>
      </c>
    </row>
    <row r="4209" spans="1:61" s="46" customFormat="1" ht="14.25" customHeight="1">
      <c r="A4209" s="181">
        <v>24</v>
      </c>
      <c r="B4209" s="454" t="s">
        <v>1777</v>
      </c>
      <c r="C4209" s="455" t="s">
        <v>1778</v>
      </c>
      <c r="D4209" s="55"/>
      <c r="E4209" s="55"/>
      <c r="F4209" s="55"/>
      <c r="G4209" s="55"/>
      <c r="H4209" s="55"/>
      <c r="I4209" s="55"/>
      <c r="J4209" s="55"/>
      <c r="K4209" s="55"/>
      <c r="L4209" s="55"/>
      <c r="M4209" s="55"/>
      <c r="N4209" s="55"/>
      <c r="O4209" s="55"/>
      <c r="P4209" s="55"/>
      <c r="Q4209" s="55"/>
      <c r="R4209" s="55"/>
      <c r="S4209" s="55"/>
      <c r="T4209" s="55"/>
      <c r="U4209" s="55"/>
      <c r="V4209" s="55"/>
      <c r="W4209" s="55"/>
      <c r="X4209" s="55"/>
      <c r="Y4209" s="55"/>
      <c r="Z4209" s="55"/>
      <c r="AA4209" s="55"/>
      <c r="AB4209" s="22">
        <f t="shared" si="1371"/>
        <v>0</v>
      </c>
      <c r="AC4209" s="23">
        <v>0</v>
      </c>
      <c r="AD4209" s="56"/>
      <c r="AE4209" s="56"/>
      <c r="AF4209" s="56"/>
      <c r="AG4209" s="56"/>
      <c r="AH4209" s="56"/>
      <c r="AI4209" s="56"/>
      <c r="AJ4209" s="56"/>
      <c r="AK4209" s="56"/>
      <c r="AL4209" s="285">
        <v>1</v>
      </c>
      <c r="AM4209" s="56"/>
      <c r="AN4209" s="56"/>
      <c r="AO4209" s="56"/>
      <c r="AP4209" s="56"/>
      <c r="AQ4209" s="56"/>
      <c r="AR4209" s="56"/>
      <c r="AS4209" s="56"/>
      <c r="AT4209" s="56"/>
      <c r="AU4209" s="56"/>
      <c r="AV4209" s="56"/>
      <c r="AW4209" s="56"/>
      <c r="AX4209" s="56"/>
      <c r="AY4209" s="56"/>
      <c r="AZ4209" s="56"/>
      <c r="BA4209" s="56"/>
      <c r="BB4209" s="22">
        <f t="shared" si="1372"/>
        <v>1</v>
      </c>
      <c r="BC4209" s="23">
        <v>0</v>
      </c>
      <c r="BD4209" s="130">
        <f t="shared" ref="BD4209" si="1380">AB4209+BB4209</f>
        <v>1</v>
      </c>
      <c r="BE4209" s="130">
        <f t="shared" ref="BE4209" si="1381">AC4209+BC4209</f>
        <v>0</v>
      </c>
      <c r="BF4209" s="195" t="e">
        <f t="shared" ref="BF4209" si="1382">BD4209/BE4209*100</f>
        <v>#DIV/0!</v>
      </c>
      <c r="BG4209" s="373"/>
    </row>
    <row r="4210" spans="1:61" s="46" customFormat="1" ht="14.25" customHeight="1">
      <c r="A4210" s="453">
        <v>25</v>
      </c>
      <c r="B4210" s="454" t="s">
        <v>1793</v>
      </c>
      <c r="C4210" s="455" t="s">
        <v>1794</v>
      </c>
      <c r="D4210" s="55"/>
      <c r="E4210" s="55"/>
      <c r="F4210" s="55"/>
      <c r="G4210" s="55"/>
      <c r="H4210" s="55"/>
      <c r="I4210" s="55"/>
      <c r="J4210" s="55"/>
      <c r="K4210" s="55"/>
      <c r="L4210" s="55"/>
      <c r="M4210" s="55"/>
      <c r="N4210" s="55"/>
      <c r="O4210" s="55"/>
      <c r="P4210" s="55"/>
      <c r="Q4210" s="55"/>
      <c r="R4210" s="55"/>
      <c r="S4210" s="55"/>
      <c r="T4210" s="55"/>
      <c r="U4210" s="55"/>
      <c r="V4210" s="55"/>
      <c r="W4210" s="55"/>
      <c r="X4210" s="55"/>
      <c r="Y4210" s="55"/>
      <c r="Z4210" s="55"/>
      <c r="AA4210" s="55"/>
      <c r="AB4210" s="22">
        <f t="shared" si="1371"/>
        <v>0</v>
      </c>
      <c r="AC4210" s="23">
        <v>0</v>
      </c>
      <c r="AD4210" s="56"/>
      <c r="AE4210" s="56"/>
      <c r="AF4210" s="56"/>
      <c r="AG4210" s="56"/>
      <c r="AH4210" s="56"/>
      <c r="AI4210" s="56"/>
      <c r="AJ4210" s="56"/>
      <c r="AK4210" s="56"/>
      <c r="AL4210" s="285"/>
      <c r="AM4210" s="56"/>
      <c r="AN4210" s="56"/>
      <c r="AO4210" s="56"/>
      <c r="AP4210" s="56"/>
      <c r="AQ4210" s="56"/>
      <c r="AR4210" s="56"/>
      <c r="AS4210" s="56"/>
      <c r="AT4210" s="56"/>
      <c r="AU4210" s="56"/>
      <c r="AV4210" s="56"/>
      <c r="AW4210" s="56"/>
      <c r="AX4210" s="56"/>
      <c r="AY4210" s="56"/>
      <c r="AZ4210" s="56"/>
      <c r="BA4210" s="56"/>
      <c r="BB4210" s="22">
        <f t="shared" si="1372"/>
        <v>0</v>
      </c>
      <c r="BC4210" s="23">
        <v>1</v>
      </c>
      <c r="BD4210" s="130">
        <f t="shared" si="1373"/>
        <v>0</v>
      </c>
      <c r="BE4210" s="130">
        <f t="shared" si="1374"/>
        <v>1</v>
      </c>
      <c r="BF4210" s="195">
        <f t="shared" si="1375"/>
        <v>0</v>
      </c>
      <c r="BG4210" s="373">
        <f t="shared" si="1376"/>
        <v>1</v>
      </c>
    </row>
    <row r="4211" spans="1:61" s="46" customFormat="1" ht="14.25" customHeight="1">
      <c r="A4211" s="453">
        <v>26</v>
      </c>
      <c r="B4211" s="461" t="s">
        <v>1665</v>
      </c>
      <c r="C4211" s="462" t="s">
        <v>3110</v>
      </c>
      <c r="D4211" s="55"/>
      <c r="E4211" s="55"/>
      <c r="F4211" s="55"/>
      <c r="G4211" s="55"/>
      <c r="H4211" s="55"/>
      <c r="I4211" s="55"/>
      <c r="J4211" s="55"/>
      <c r="K4211" s="55"/>
      <c r="L4211" s="55"/>
      <c r="M4211" s="55"/>
      <c r="N4211" s="55"/>
      <c r="O4211" s="55"/>
      <c r="P4211" s="55"/>
      <c r="Q4211" s="55"/>
      <c r="R4211" s="55"/>
      <c r="S4211" s="55"/>
      <c r="T4211" s="55"/>
      <c r="U4211" s="55"/>
      <c r="V4211" s="55"/>
      <c r="W4211" s="55"/>
      <c r="X4211" s="55"/>
      <c r="Y4211" s="55"/>
      <c r="Z4211" s="55"/>
      <c r="AA4211" s="55"/>
      <c r="AB4211" s="22">
        <f t="shared" si="1371"/>
        <v>0</v>
      </c>
      <c r="AC4211" s="23">
        <v>0</v>
      </c>
      <c r="AD4211" s="56">
        <v>49</v>
      </c>
      <c r="AE4211" s="56"/>
      <c r="AF4211" s="56"/>
      <c r="AG4211" s="56"/>
      <c r="AH4211" s="56">
        <v>97</v>
      </c>
      <c r="AI4211" s="56"/>
      <c r="AJ4211" s="56"/>
      <c r="AK4211" s="56"/>
      <c r="AL4211" s="285">
        <f>33+218</f>
        <v>251</v>
      </c>
      <c r="AM4211" s="56"/>
      <c r="AN4211" s="56"/>
      <c r="AO4211" s="56"/>
      <c r="AP4211" s="56">
        <f>7+33</f>
        <v>40</v>
      </c>
      <c r="AQ4211" s="56"/>
      <c r="AR4211" s="56"/>
      <c r="AS4211" s="56"/>
      <c r="AT4211" s="56"/>
      <c r="AU4211" s="56"/>
      <c r="AV4211" s="56"/>
      <c r="AW4211" s="56"/>
      <c r="AX4211" s="56"/>
      <c r="AY4211" s="56"/>
      <c r="AZ4211" s="56"/>
      <c r="BA4211" s="56"/>
      <c r="BB4211" s="22">
        <f t="shared" si="1372"/>
        <v>437</v>
      </c>
      <c r="BC4211" s="23">
        <v>61</v>
      </c>
      <c r="BD4211" s="130">
        <f t="shared" si="1373"/>
        <v>437</v>
      </c>
      <c r="BE4211" s="130">
        <f t="shared" si="1374"/>
        <v>61</v>
      </c>
      <c r="BF4211" s="195">
        <f t="shared" si="1375"/>
        <v>716.39344262295083</v>
      </c>
      <c r="BG4211" s="373">
        <f t="shared" si="1376"/>
        <v>-376</v>
      </c>
    </row>
    <row r="4212" spans="1:61" s="46" customFormat="1" ht="14.25" customHeight="1">
      <c r="A4212" s="181">
        <v>27</v>
      </c>
      <c r="B4212" s="454" t="s">
        <v>1665</v>
      </c>
      <c r="C4212" s="455" t="s">
        <v>1666</v>
      </c>
      <c r="D4212" s="55"/>
      <c r="E4212" s="55"/>
      <c r="F4212" s="55"/>
      <c r="G4212" s="55"/>
      <c r="H4212" s="55"/>
      <c r="I4212" s="55"/>
      <c r="J4212" s="55"/>
      <c r="K4212" s="55"/>
      <c r="L4212" s="55"/>
      <c r="M4212" s="55"/>
      <c r="N4212" s="55"/>
      <c r="O4212" s="55"/>
      <c r="P4212" s="55"/>
      <c r="Q4212" s="55"/>
      <c r="R4212" s="55"/>
      <c r="S4212" s="55"/>
      <c r="T4212" s="55"/>
      <c r="U4212" s="55"/>
      <c r="V4212" s="55"/>
      <c r="W4212" s="55"/>
      <c r="X4212" s="55"/>
      <c r="Y4212" s="55"/>
      <c r="Z4212" s="55"/>
      <c r="AA4212" s="55"/>
      <c r="AB4212" s="22">
        <f t="shared" si="1371"/>
        <v>0</v>
      </c>
      <c r="AC4212" s="23">
        <v>0</v>
      </c>
      <c r="AD4212" s="56"/>
      <c r="AE4212" s="56"/>
      <c r="AF4212" s="56"/>
      <c r="AG4212" s="56"/>
      <c r="AH4212" s="56"/>
      <c r="AI4212" s="56"/>
      <c r="AJ4212" s="56"/>
      <c r="AK4212" s="56"/>
      <c r="AL4212" s="285"/>
      <c r="AM4212" s="56"/>
      <c r="AN4212" s="56"/>
      <c r="AO4212" s="56"/>
      <c r="AP4212" s="56"/>
      <c r="AQ4212" s="56"/>
      <c r="AR4212" s="56"/>
      <c r="AS4212" s="56"/>
      <c r="AT4212" s="56"/>
      <c r="AU4212" s="56"/>
      <c r="AV4212" s="56"/>
      <c r="AW4212" s="56"/>
      <c r="AX4212" s="56"/>
      <c r="AY4212" s="56"/>
      <c r="AZ4212" s="56"/>
      <c r="BA4212" s="56"/>
      <c r="BB4212" s="22">
        <f t="shared" si="1372"/>
        <v>0</v>
      </c>
      <c r="BC4212" s="23">
        <v>1632</v>
      </c>
      <c r="BD4212" s="130">
        <f t="shared" si="1373"/>
        <v>0</v>
      </c>
      <c r="BE4212" s="130">
        <f t="shared" si="1374"/>
        <v>1632</v>
      </c>
      <c r="BF4212" s="195">
        <f t="shared" si="1375"/>
        <v>0</v>
      </c>
      <c r="BG4212" s="373">
        <f t="shared" si="1376"/>
        <v>1632</v>
      </c>
    </row>
    <row r="4213" spans="1:61" s="46" customFormat="1" ht="14.25" customHeight="1">
      <c r="A4213" s="453">
        <v>28</v>
      </c>
      <c r="B4213" s="454" t="s">
        <v>1767</v>
      </c>
      <c r="C4213" s="458" t="s">
        <v>1839</v>
      </c>
      <c r="D4213" s="55"/>
      <c r="E4213" s="55"/>
      <c r="F4213" s="55"/>
      <c r="G4213" s="55"/>
      <c r="H4213" s="55"/>
      <c r="I4213" s="55"/>
      <c r="J4213" s="55"/>
      <c r="K4213" s="55"/>
      <c r="L4213" s="55"/>
      <c r="M4213" s="55"/>
      <c r="N4213" s="55"/>
      <c r="O4213" s="55"/>
      <c r="P4213" s="55"/>
      <c r="Q4213" s="55"/>
      <c r="R4213" s="55"/>
      <c r="S4213" s="55"/>
      <c r="T4213" s="55"/>
      <c r="U4213" s="55"/>
      <c r="V4213" s="55"/>
      <c r="W4213" s="55"/>
      <c r="X4213" s="55"/>
      <c r="Y4213" s="55"/>
      <c r="Z4213" s="55"/>
      <c r="AA4213" s="55"/>
      <c r="AB4213" s="22">
        <f t="shared" si="1371"/>
        <v>0</v>
      </c>
      <c r="AC4213" s="23">
        <v>0</v>
      </c>
      <c r="AD4213" s="56">
        <v>116</v>
      </c>
      <c r="AE4213" s="56"/>
      <c r="AF4213" s="56"/>
      <c r="AG4213" s="56"/>
      <c r="AH4213" s="56">
        <f>132+34</f>
        <v>166</v>
      </c>
      <c r="AI4213" s="56"/>
      <c r="AJ4213" s="56"/>
      <c r="AK4213" s="56"/>
      <c r="AL4213" s="285">
        <f>81+533</f>
        <v>614</v>
      </c>
      <c r="AM4213" s="56"/>
      <c r="AN4213" s="56"/>
      <c r="AO4213" s="56"/>
      <c r="AP4213" s="56">
        <f>5+258</f>
        <v>263</v>
      </c>
      <c r="AQ4213" s="56"/>
      <c r="AR4213" s="56"/>
      <c r="AS4213" s="56"/>
      <c r="AT4213" s="56"/>
      <c r="AU4213" s="56"/>
      <c r="AV4213" s="56"/>
      <c r="AW4213" s="56"/>
      <c r="AX4213" s="56"/>
      <c r="AY4213" s="56"/>
      <c r="AZ4213" s="56"/>
      <c r="BA4213" s="56"/>
      <c r="BB4213" s="22">
        <f t="shared" si="1372"/>
        <v>1159</v>
      </c>
      <c r="BC4213" s="23">
        <v>2838</v>
      </c>
      <c r="BD4213" s="130">
        <f t="shared" si="1373"/>
        <v>1159</v>
      </c>
      <c r="BE4213" s="130">
        <f t="shared" si="1374"/>
        <v>2838</v>
      </c>
      <c r="BF4213" s="195">
        <f t="shared" si="1375"/>
        <v>40.83861874559549</v>
      </c>
      <c r="BG4213" s="373">
        <f t="shared" si="1376"/>
        <v>1679</v>
      </c>
    </row>
    <row r="4214" spans="1:61" s="46" customFormat="1" ht="14.25" customHeight="1">
      <c r="A4214" s="453">
        <v>29</v>
      </c>
      <c r="B4214" s="454" t="s">
        <v>1769</v>
      </c>
      <c r="C4214" s="458" t="s">
        <v>2802</v>
      </c>
      <c r="D4214" s="55"/>
      <c r="E4214" s="55"/>
      <c r="F4214" s="55"/>
      <c r="G4214" s="55"/>
      <c r="H4214" s="55"/>
      <c r="I4214" s="55"/>
      <c r="J4214" s="55"/>
      <c r="K4214" s="55"/>
      <c r="L4214" s="55"/>
      <c r="M4214" s="55"/>
      <c r="N4214" s="55"/>
      <c r="O4214" s="55"/>
      <c r="P4214" s="55"/>
      <c r="Q4214" s="55"/>
      <c r="R4214" s="55"/>
      <c r="S4214" s="55"/>
      <c r="T4214" s="55"/>
      <c r="U4214" s="55"/>
      <c r="V4214" s="55"/>
      <c r="W4214" s="55"/>
      <c r="X4214" s="55"/>
      <c r="Y4214" s="55"/>
      <c r="Z4214" s="55"/>
      <c r="AA4214" s="55"/>
      <c r="AB4214" s="22">
        <f t="shared" si="1371"/>
        <v>0</v>
      </c>
      <c r="AC4214" s="23">
        <v>0</v>
      </c>
      <c r="AD4214" s="56"/>
      <c r="AE4214" s="56"/>
      <c r="AF4214" s="56"/>
      <c r="AG4214" s="56"/>
      <c r="AH4214" s="56">
        <v>1</v>
      </c>
      <c r="AI4214" s="56"/>
      <c r="AJ4214" s="56"/>
      <c r="AK4214" s="56"/>
      <c r="AL4214" s="285"/>
      <c r="AM4214" s="56"/>
      <c r="AN4214" s="56"/>
      <c r="AO4214" s="56"/>
      <c r="AP4214" s="56"/>
      <c r="AQ4214" s="56"/>
      <c r="AR4214" s="56"/>
      <c r="AS4214" s="56"/>
      <c r="AT4214" s="56"/>
      <c r="AU4214" s="56"/>
      <c r="AV4214" s="56"/>
      <c r="AW4214" s="56"/>
      <c r="AX4214" s="56"/>
      <c r="AY4214" s="56"/>
      <c r="AZ4214" s="56"/>
      <c r="BA4214" s="56"/>
      <c r="BB4214" s="22">
        <f t="shared" si="1372"/>
        <v>1</v>
      </c>
      <c r="BC4214" s="23">
        <v>25</v>
      </c>
      <c r="BD4214" s="130">
        <f t="shared" si="1373"/>
        <v>1</v>
      </c>
      <c r="BE4214" s="130">
        <f t="shared" si="1374"/>
        <v>25</v>
      </c>
      <c r="BF4214" s="195">
        <f t="shared" si="1375"/>
        <v>4</v>
      </c>
      <c r="BG4214" s="373">
        <f t="shared" si="1376"/>
        <v>24</v>
      </c>
    </row>
    <row r="4215" spans="1:61" s="46" customFormat="1" ht="14.25" customHeight="1">
      <c r="A4215" s="181">
        <v>30</v>
      </c>
      <c r="B4215" s="454" t="s">
        <v>1771</v>
      </c>
      <c r="C4215" s="458" t="s">
        <v>1772</v>
      </c>
      <c r="D4215" s="55"/>
      <c r="E4215" s="55"/>
      <c r="F4215" s="55"/>
      <c r="G4215" s="55"/>
      <c r="H4215" s="55"/>
      <c r="I4215" s="55"/>
      <c r="J4215" s="55"/>
      <c r="K4215" s="55"/>
      <c r="L4215" s="55"/>
      <c r="M4215" s="55"/>
      <c r="N4215" s="55"/>
      <c r="O4215" s="55"/>
      <c r="P4215" s="55"/>
      <c r="Q4215" s="55"/>
      <c r="R4215" s="55"/>
      <c r="S4215" s="55"/>
      <c r="T4215" s="55"/>
      <c r="U4215" s="55"/>
      <c r="V4215" s="55"/>
      <c r="W4215" s="55"/>
      <c r="X4215" s="55"/>
      <c r="Y4215" s="55"/>
      <c r="Z4215" s="55"/>
      <c r="AA4215" s="55"/>
      <c r="AB4215" s="22">
        <f t="shared" si="1371"/>
        <v>0</v>
      </c>
      <c r="AC4215" s="23">
        <v>0</v>
      </c>
      <c r="AD4215" s="56"/>
      <c r="AE4215" s="56"/>
      <c r="AF4215" s="56"/>
      <c r="AG4215" s="56"/>
      <c r="AH4215" s="56"/>
      <c r="AI4215" s="56"/>
      <c r="AJ4215" s="56"/>
      <c r="AK4215" s="56"/>
      <c r="AL4215" s="285"/>
      <c r="AM4215" s="56"/>
      <c r="AN4215" s="56"/>
      <c r="AO4215" s="56"/>
      <c r="AP4215" s="56"/>
      <c r="AQ4215" s="56"/>
      <c r="AR4215" s="56"/>
      <c r="AS4215" s="56"/>
      <c r="AT4215" s="56"/>
      <c r="AU4215" s="56"/>
      <c r="AV4215" s="56"/>
      <c r="AW4215" s="56"/>
      <c r="AX4215" s="56"/>
      <c r="AY4215" s="56"/>
      <c r="AZ4215" s="56"/>
      <c r="BA4215" s="56"/>
      <c r="BB4215" s="22">
        <f t="shared" si="1372"/>
        <v>0</v>
      </c>
      <c r="BC4215" s="23">
        <v>2</v>
      </c>
      <c r="BD4215" s="130">
        <f t="shared" si="1373"/>
        <v>0</v>
      </c>
      <c r="BE4215" s="130">
        <f t="shared" si="1374"/>
        <v>2</v>
      </c>
      <c r="BF4215" s="195">
        <f t="shared" si="1375"/>
        <v>0</v>
      </c>
      <c r="BG4215" s="373">
        <f t="shared" si="1376"/>
        <v>2</v>
      </c>
    </row>
    <row r="4216" spans="1:61" s="46" customFormat="1" ht="14.25" customHeight="1">
      <c r="A4216" s="453">
        <v>31</v>
      </c>
      <c r="B4216" s="456" t="s">
        <v>1795</v>
      </c>
      <c r="C4216" s="529" t="s">
        <v>3109</v>
      </c>
      <c r="D4216" s="55"/>
      <c r="E4216" s="55"/>
      <c r="F4216" s="55"/>
      <c r="G4216" s="55"/>
      <c r="H4216" s="55"/>
      <c r="I4216" s="55"/>
      <c r="J4216" s="55"/>
      <c r="K4216" s="55"/>
      <c r="L4216" s="55"/>
      <c r="M4216" s="55"/>
      <c r="N4216" s="55"/>
      <c r="O4216" s="55"/>
      <c r="P4216" s="55"/>
      <c r="Q4216" s="55"/>
      <c r="R4216" s="55"/>
      <c r="S4216" s="55"/>
      <c r="T4216" s="55"/>
      <c r="U4216" s="55"/>
      <c r="V4216" s="55"/>
      <c r="W4216" s="55"/>
      <c r="X4216" s="55"/>
      <c r="Y4216" s="55"/>
      <c r="Z4216" s="55"/>
      <c r="AA4216" s="55"/>
      <c r="AB4216" s="22">
        <f t="shared" si="1371"/>
        <v>0</v>
      </c>
      <c r="AC4216" s="23">
        <v>0</v>
      </c>
      <c r="AD4216" s="56">
        <v>12</v>
      </c>
      <c r="AE4216" s="56"/>
      <c r="AF4216" s="56"/>
      <c r="AG4216" s="56"/>
      <c r="AH4216" s="56">
        <v>2</v>
      </c>
      <c r="AI4216" s="56"/>
      <c r="AJ4216" s="56"/>
      <c r="AK4216" s="56"/>
      <c r="AL4216" s="56">
        <f>4+1</f>
        <v>5</v>
      </c>
      <c r="AM4216" s="56"/>
      <c r="AN4216" s="56"/>
      <c r="AO4216" s="56"/>
      <c r="AP4216" s="56"/>
      <c r="AQ4216" s="56"/>
      <c r="AR4216" s="56"/>
      <c r="AS4216" s="56"/>
      <c r="AT4216" s="56"/>
      <c r="AU4216" s="56"/>
      <c r="AV4216" s="56"/>
      <c r="AW4216" s="56"/>
      <c r="AX4216" s="56"/>
      <c r="AY4216" s="56"/>
      <c r="AZ4216" s="56"/>
      <c r="BA4216" s="56"/>
      <c r="BB4216" s="22">
        <f t="shared" si="1372"/>
        <v>19</v>
      </c>
      <c r="BC4216" s="23">
        <f>4+49</f>
        <v>53</v>
      </c>
      <c r="BD4216" s="130">
        <f t="shared" si="1373"/>
        <v>19</v>
      </c>
      <c r="BE4216" s="130">
        <f t="shared" si="1374"/>
        <v>53</v>
      </c>
      <c r="BF4216" s="195">
        <f t="shared" si="1375"/>
        <v>35.849056603773583</v>
      </c>
      <c r="BG4216" s="373">
        <f t="shared" si="1376"/>
        <v>34</v>
      </c>
    </row>
    <row r="4217" spans="1:61" s="46" customFormat="1" ht="14.25" customHeight="1">
      <c r="A4217" s="181">
        <v>32</v>
      </c>
      <c r="B4217" s="53" t="s">
        <v>1785</v>
      </c>
      <c r="C4217" s="57" t="s">
        <v>1786</v>
      </c>
      <c r="D4217" s="55"/>
      <c r="E4217" s="55"/>
      <c r="F4217" s="55"/>
      <c r="G4217" s="55"/>
      <c r="H4217" s="55"/>
      <c r="I4217" s="55"/>
      <c r="J4217" s="55"/>
      <c r="K4217" s="55"/>
      <c r="L4217" s="55"/>
      <c r="M4217" s="55"/>
      <c r="N4217" s="55"/>
      <c r="O4217" s="55"/>
      <c r="P4217" s="55"/>
      <c r="Q4217" s="55"/>
      <c r="R4217" s="55"/>
      <c r="S4217" s="55"/>
      <c r="T4217" s="55"/>
      <c r="U4217" s="55"/>
      <c r="V4217" s="55"/>
      <c r="W4217" s="55"/>
      <c r="X4217" s="55"/>
      <c r="Y4217" s="55"/>
      <c r="Z4217" s="55"/>
      <c r="AA4217" s="55"/>
      <c r="AB4217" s="22">
        <f t="shared" si="1371"/>
        <v>0</v>
      </c>
      <c r="AC4217" s="23">
        <v>0</v>
      </c>
      <c r="AD4217" s="56"/>
      <c r="AE4217" s="56"/>
      <c r="AF4217" s="56"/>
      <c r="AG4217" s="56"/>
      <c r="AH4217" s="56"/>
      <c r="AI4217" s="56"/>
      <c r="AJ4217" s="56"/>
      <c r="AK4217" s="56"/>
      <c r="AL4217" s="285"/>
      <c r="AM4217" s="56"/>
      <c r="AN4217" s="56"/>
      <c r="AO4217" s="56"/>
      <c r="AP4217" s="56"/>
      <c r="AQ4217" s="56"/>
      <c r="AR4217" s="56"/>
      <c r="AS4217" s="56"/>
      <c r="AT4217" s="56"/>
      <c r="AU4217" s="56"/>
      <c r="AV4217" s="56"/>
      <c r="AW4217" s="56"/>
      <c r="AX4217" s="56"/>
      <c r="AY4217" s="56"/>
      <c r="AZ4217" s="56"/>
      <c r="BA4217" s="56"/>
      <c r="BB4217" s="22">
        <f t="shared" si="1372"/>
        <v>0</v>
      </c>
      <c r="BC4217" s="23">
        <v>1</v>
      </c>
      <c r="BD4217" s="130">
        <f t="shared" si="1373"/>
        <v>0</v>
      </c>
      <c r="BE4217" s="130">
        <f t="shared" si="1374"/>
        <v>1</v>
      </c>
      <c r="BF4217" s="195">
        <f t="shared" si="1375"/>
        <v>0</v>
      </c>
      <c r="BG4217" s="373">
        <f t="shared" si="1376"/>
        <v>1</v>
      </c>
    </row>
    <row r="4218" spans="1:61" s="46" customFormat="1" ht="14.25" customHeight="1">
      <c r="A4218" s="453">
        <v>33</v>
      </c>
      <c r="B4218" s="53" t="s">
        <v>1773</v>
      </c>
      <c r="C4218" s="54" t="s">
        <v>1797</v>
      </c>
      <c r="D4218" s="55"/>
      <c r="E4218" s="55"/>
      <c r="F4218" s="55"/>
      <c r="G4218" s="55"/>
      <c r="H4218" s="55"/>
      <c r="I4218" s="55"/>
      <c r="J4218" s="55"/>
      <c r="K4218" s="55"/>
      <c r="L4218" s="55"/>
      <c r="M4218" s="55"/>
      <c r="N4218" s="55"/>
      <c r="O4218" s="55"/>
      <c r="P4218" s="55"/>
      <c r="Q4218" s="55"/>
      <c r="R4218" s="55"/>
      <c r="S4218" s="55"/>
      <c r="T4218" s="55"/>
      <c r="U4218" s="55"/>
      <c r="V4218" s="55"/>
      <c r="W4218" s="55"/>
      <c r="X4218" s="55"/>
      <c r="Y4218" s="55"/>
      <c r="Z4218" s="55"/>
      <c r="AA4218" s="55"/>
      <c r="AB4218" s="22">
        <f t="shared" si="1371"/>
        <v>0</v>
      </c>
      <c r="AC4218" s="23">
        <v>0</v>
      </c>
      <c r="AD4218" s="56"/>
      <c r="AE4218" s="56"/>
      <c r="AF4218" s="56"/>
      <c r="AG4218" s="56"/>
      <c r="AH4218" s="56">
        <v>11</v>
      </c>
      <c r="AI4218" s="56"/>
      <c r="AJ4218" s="56"/>
      <c r="AK4218" s="56"/>
      <c r="AL4218" s="285">
        <v>70</v>
      </c>
      <c r="AM4218" s="56"/>
      <c r="AN4218" s="56"/>
      <c r="AO4218" s="56"/>
      <c r="AP4218" s="56">
        <v>12</v>
      </c>
      <c r="AQ4218" s="56"/>
      <c r="AR4218" s="56"/>
      <c r="AS4218" s="56"/>
      <c r="AT4218" s="56"/>
      <c r="AU4218" s="56"/>
      <c r="AV4218" s="56"/>
      <c r="AW4218" s="56"/>
      <c r="AX4218" s="56"/>
      <c r="AY4218" s="56"/>
      <c r="AZ4218" s="56"/>
      <c r="BA4218" s="56"/>
      <c r="BB4218" s="22">
        <f t="shared" si="1372"/>
        <v>93</v>
      </c>
      <c r="BC4218" s="23">
        <v>706</v>
      </c>
      <c r="BD4218" s="130">
        <f t="shared" si="1373"/>
        <v>93</v>
      </c>
      <c r="BE4218" s="130">
        <f t="shared" si="1374"/>
        <v>706</v>
      </c>
      <c r="BF4218" s="195">
        <f t="shared" si="1375"/>
        <v>13.172804532577903</v>
      </c>
      <c r="BG4218" s="373">
        <f t="shared" si="1376"/>
        <v>613</v>
      </c>
    </row>
    <row r="4219" spans="1:61" s="46" customFormat="1" ht="14.25" customHeight="1">
      <c r="A4219" s="453">
        <v>34</v>
      </c>
      <c r="B4219" s="53" t="s">
        <v>3256</v>
      </c>
      <c r="C4219" s="54" t="s">
        <v>3257</v>
      </c>
      <c r="D4219" s="55"/>
      <c r="E4219" s="55"/>
      <c r="F4219" s="55"/>
      <c r="G4219" s="55"/>
      <c r="H4219" s="55"/>
      <c r="I4219" s="55"/>
      <c r="J4219" s="55"/>
      <c r="K4219" s="55"/>
      <c r="L4219" s="55"/>
      <c r="M4219" s="55"/>
      <c r="N4219" s="55"/>
      <c r="O4219" s="55"/>
      <c r="P4219" s="55"/>
      <c r="Q4219" s="55"/>
      <c r="R4219" s="55"/>
      <c r="S4219" s="55"/>
      <c r="T4219" s="55"/>
      <c r="U4219" s="55"/>
      <c r="V4219" s="55"/>
      <c r="W4219" s="55"/>
      <c r="X4219" s="55"/>
      <c r="Y4219" s="55"/>
      <c r="Z4219" s="55"/>
      <c r="AA4219" s="55"/>
      <c r="AB4219" s="22">
        <f t="shared" si="1371"/>
        <v>0</v>
      </c>
      <c r="AC4219" s="23">
        <v>0</v>
      </c>
      <c r="AD4219" s="56"/>
      <c r="AE4219" s="56"/>
      <c r="AF4219" s="56"/>
      <c r="AG4219" s="56"/>
      <c r="AH4219" s="56"/>
      <c r="AI4219" s="56"/>
      <c r="AJ4219" s="56"/>
      <c r="AK4219" s="56"/>
      <c r="AL4219" s="285"/>
      <c r="AM4219" s="56"/>
      <c r="AN4219" s="56"/>
      <c r="AO4219" s="56"/>
      <c r="AP4219" s="56"/>
      <c r="AQ4219" s="56"/>
      <c r="AR4219" s="56"/>
      <c r="AS4219" s="56"/>
      <c r="AT4219" s="56"/>
      <c r="AU4219" s="56"/>
      <c r="AV4219" s="56"/>
      <c r="AW4219" s="56"/>
      <c r="AX4219" s="56"/>
      <c r="AY4219" s="56"/>
      <c r="AZ4219" s="56"/>
      <c r="BA4219" s="56"/>
      <c r="BB4219" s="22">
        <f t="shared" si="1372"/>
        <v>0</v>
      </c>
      <c r="BC4219" s="23">
        <v>2</v>
      </c>
      <c r="BD4219" s="130">
        <f t="shared" si="1373"/>
        <v>0</v>
      </c>
      <c r="BE4219" s="130">
        <f t="shared" si="1374"/>
        <v>2</v>
      </c>
      <c r="BF4219" s="195">
        <f t="shared" si="1375"/>
        <v>0</v>
      </c>
      <c r="BG4219" s="373">
        <f t="shared" si="1376"/>
        <v>2</v>
      </c>
    </row>
    <row r="4220" spans="1:61" s="46" customFormat="1" ht="18" customHeight="1">
      <c r="A4220" s="662" t="s">
        <v>1841</v>
      </c>
      <c r="B4220" s="663"/>
      <c r="C4220" s="663"/>
      <c r="D4220" s="52">
        <f t="shared" ref="D4220:AI4220" si="1383">SUM(D4221:D4249)</f>
        <v>0</v>
      </c>
      <c r="E4220" s="52">
        <f t="shared" si="1383"/>
        <v>0</v>
      </c>
      <c r="F4220" s="52">
        <f t="shared" si="1383"/>
        <v>0</v>
      </c>
      <c r="G4220" s="52">
        <f t="shared" si="1383"/>
        <v>0</v>
      </c>
      <c r="H4220" s="52">
        <f t="shared" si="1383"/>
        <v>354</v>
      </c>
      <c r="I4220" s="52">
        <f t="shared" si="1383"/>
        <v>0</v>
      </c>
      <c r="J4220" s="52">
        <f t="shared" si="1383"/>
        <v>0</v>
      </c>
      <c r="K4220" s="52">
        <f t="shared" si="1383"/>
        <v>0</v>
      </c>
      <c r="L4220" s="52">
        <f t="shared" si="1383"/>
        <v>1689</v>
      </c>
      <c r="M4220" s="52">
        <f t="shared" si="1383"/>
        <v>0</v>
      </c>
      <c r="N4220" s="52">
        <f t="shared" si="1383"/>
        <v>0</v>
      </c>
      <c r="O4220" s="52">
        <f t="shared" si="1383"/>
        <v>0</v>
      </c>
      <c r="P4220" s="52">
        <f t="shared" si="1383"/>
        <v>1796</v>
      </c>
      <c r="Q4220" s="52">
        <f t="shared" si="1383"/>
        <v>0</v>
      </c>
      <c r="R4220" s="52">
        <f t="shared" si="1383"/>
        <v>0</v>
      </c>
      <c r="S4220" s="52">
        <f t="shared" si="1383"/>
        <v>0</v>
      </c>
      <c r="T4220" s="52">
        <f t="shared" si="1383"/>
        <v>0</v>
      </c>
      <c r="U4220" s="52">
        <f t="shared" si="1383"/>
        <v>0</v>
      </c>
      <c r="V4220" s="52">
        <f t="shared" si="1383"/>
        <v>0</v>
      </c>
      <c r="W4220" s="52">
        <f t="shared" si="1383"/>
        <v>0</v>
      </c>
      <c r="X4220" s="52">
        <f t="shared" si="1383"/>
        <v>0</v>
      </c>
      <c r="Y4220" s="52">
        <f t="shared" si="1383"/>
        <v>0</v>
      </c>
      <c r="Z4220" s="52">
        <f t="shared" si="1383"/>
        <v>0</v>
      </c>
      <c r="AA4220" s="52">
        <f t="shared" si="1383"/>
        <v>0</v>
      </c>
      <c r="AB4220" s="52">
        <f t="shared" si="1383"/>
        <v>3839</v>
      </c>
      <c r="AC4220" s="127">
        <f t="shared" si="1383"/>
        <v>12642</v>
      </c>
      <c r="AD4220" s="52">
        <f t="shared" si="1383"/>
        <v>0</v>
      </c>
      <c r="AE4220" s="52">
        <f t="shared" si="1383"/>
        <v>0</v>
      </c>
      <c r="AF4220" s="52">
        <f t="shared" si="1383"/>
        <v>0</v>
      </c>
      <c r="AG4220" s="52">
        <f t="shared" si="1383"/>
        <v>0</v>
      </c>
      <c r="AH4220" s="52">
        <f t="shared" si="1383"/>
        <v>448</v>
      </c>
      <c r="AI4220" s="52">
        <f t="shared" si="1383"/>
        <v>0</v>
      </c>
      <c r="AJ4220" s="52">
        <f t="shared" ref="AJ4220:BC4220" si="1384">SUM(AJ4221:AJ4249)</f>
        <v>0</v>
      </c>
      <c r="AK4220" s="52">
        <f t="shared" si="1384"/>
        <v>0</v>
      </c>
      <c r="AL4220" s="52">
        <f t="shared" si="1384"/>
        <v>1791</v>
      </c>
      <c r="AM4220" s="52">
        <f t="shared" si="1384"/>
        <v>0</v>
      </c>
      <c r="AN4220" s="52">
        <f t="shared" si="1384"/>
        <v>0</v>
      </c>
      <c r="AO4220" s="52">
        <f t="shared" si="1384"/>
        <v>0</v>
      </c>
      <c r="AP4220" s="52">
        <f t="shared" si="1384"/>
        <v>1736</v>
      </c>
      <c r="AQ4220" s="52">
        <f t="shared" si="1384"/>
        <v>0</v>
      </c>
      <c r="AR4220" s="52">
        <f t="shared" si="1384"/>
        <v>0</v>
      </c>
      <c r="AS4220" s="52">
        <f t="shared" si="1384"/>
        <v>0</v>
      </c>
      <c r="AT4220" s="52">
        <f t="shared" si="1384"/>
        <v>0</v>
      </c>
      <c r="AU4220" s="52">
        <f t="shared" si="1384"/>
        <v>0</v>
      </c>
      <c r="AV4220" s="52">
        <f t="shared" si="1384"/>
        <v>0</v>
      </c>
      <c r="AW4220" s="52">
        <f t="shared" si="1384"/>
        <v>0</v>
      </c>
      <c r="AX4220" s="52">
        <f t="shared" si="1384"/>
        <v>0</v>
      </c>
      <c r="AY4220" s="52">
        <f t="shared" si="1384"/>
        <v>0</v>
      </c>
      <c r="AZ4220" s="52">
        <f t="shared" si="1384"/>
        <v>0</v>
      </c>
      <c r="BA4220" s="52">
        <f t="shared" si="1384"/>
        <v>0</v>
      </c>
      <c r="BB4220" s="52">
        <f t="shared" si="1384"/>
        <v>3975</v>
      </c>
      <c r="BC4220" s="127">
        <f t="shared" si="1384"/>
        <v>17916</v>
      </c>
      <c r="BD4220" s="130">
        <f t="shared" ref="BD4220:BD4250" si="1385">AB4220+BB4220</f>
        <v>7814</v>
      </c>
      <c r="BE4220" s="130">
        <f t="shared" ref="BE4220:BE4250" si="1386">AC4220+BC4220</f>
        <v>30558</v>
      </c>
      <c r="BF4220" s="195">
        <f t="shared" ref="BF4220" si="1387">BD4220/BE4220*100</f>
        <v>25.571045225472872</v>
      </c>
      <c r="BG4220" s="375">
        <f t="shared" ref="BG4220" si="1388">BE4220-BD4220</f>
        <v>22744</v>
      </c>
    </row>
    <row r="4221" spans="1:61" s="46" customFormat="1" ht="21" customHeight="1">
      <c r="A4221" s="417">
        <v>1</v>
      </c>
      <c r="B4221" s="418" t="s">
        <v>2275</v>
      </c>
      <c r="C4221" s="419" t="s">
        <v>2276</v>
      </c>
      <c r="D4221" s="55"/>
      <c r="E4221" s="55"/>
      <c r="F4221" s="55"/>
      <c r="G4221" s="55"/>
      <c r="H4221" s="56"/>
      <c r="I4221" s="55"/>
      <c r="J4221" s="55"/>
      <c r="K4221" s="55"/>
      <c r="L4221" s="55"/>
      <c r="M4221" s="55"/>
      <c r="N4221" s="55"/>
      <c r="O4221" s="55"/>
      <c r="P4221" s="55"/>
      <c r="Q4221" s="55"/>
      <c r="R4221" s="55"/>
      <c r="S4221" s="55"/>
      <c r="T4221" s="55"/>
      <c r="U4221" s="55"/>
      <c r="V4221" s="55"/>
      <c r="W4221" s="55"/>
      <c r="X4221" s="55"/>
      <c r="Y4221" s="55"/>
      <c r="Z4221" s="55"/>
      <c r="AA4221" s="55"/>
      <c r="AB4221" s="22">
        <f t="shared" ref="AB4221:AB4236" si="1389">SUM(D4221:AA4221)</f>
        <v>0</v>
      </c>
      <c r="AC4221" s="23">
        <v>187</v>
      </c>
      <c r="AD4221" s="56"/>
      <c r="AE4221" s="56"/>
      <c r="AF4221" s="56"/>
      <c r="AG4221" s="56"/>
      <c r="AH4221" s="56"/>
      <c r="AI4221" s="56"/>
      <c r="AJ4221" s="56"/>
      <c r="AK4221" s="56"/>
      <c r="AL4221" s="56"/>
      <c r="AM4221" s="56"/>
      <c r="AN4221" s="56"/>
      <c r="AO4221" s="56"/>
      <c r="AP4221" s="56"/>
      <c r="AQ4221" s="56"/>
      <c r="AR4221" s="56"/>
      <c r="AS4221" s="56"/>
      <c r="AT4221" s="56"/>
      <c r="AU4221" s="56"/>
      <c r="AV4221" s="56"/>
      <c r="AW4221" s="56"/>
      <c r="AX4221" s="56"/>
      <c r="AY4221" s="56"/>
      <c r="AZ4221" s="56"/>
      <c r="BA4221" s="56"/>
      <c r="BB4221" s="22">
        <f t="shared" ref="BB4221:BB4236" si="1390">SUM(AD4221:BA4221)</f>
        <v>0</v>
      </c>
      <c r="BC4221" s="23">
        <v>0</v>
      </c>
      <c r="BD4221" s="130">
        <f t="shared" ref="BD4221:BD4236" si="1391">AB4221+BB4221</f>
        <v>0</v>
      </c>
      <c r="BE4221" s="130">
        <f t="shared" si="1386"/>
        <v>187</v>
      </c>
      <c r="BF4221" s="195">
        <f t="shared" ref="BF4221:BF4236" si="1392">BD4221/BE4221*100</f>
        <v>0</v>
      </c>
      <c r="BG4221" s="373">
        <f t="shared" ref="BG4221:BG4236" si="1393">BE4221-BD4221</f>
        <v>187</v>
      </c>
      <c r="BH4221" s="426" t="s">
        <v>3675</v>
      </c>
      <c r="BI4221" s="421"/>
    </row>
    <row r="4222" spans="1:61" s="46" customFormat="1" ht="21" customHeight="1">
      <c r="A4222" s="417">
        <v>2</v>
      </c>
      <c r="B4222" s="418" t="s">
        <v>3232</v>
      </c>
      <c r="C4222" s="419" t="s">
        <v>2276</v>
      </c>
      <c r="D4222" s="55"/>
      <c r="E4222" s="55"/>
      <c r="F4222" s="55"/>
      <c r="G4222" s="55"/>
      <c r="H4222" s="56"/>
      <c r="I4222" s="55"/>
      <c r="J4222" s="55"/>
      <c r="K4222" s="55"/>
      <c r="L4222" s="55"/>
      <c r="M4222" s="55"/>
      <c r="N4222" s="55"/>
      <c r="O4222" s="55"/>
      <c r="P4222" s="55"/>
      <c r="Q4222" s="55"/>
      <c r="R4222" s="55"/>
      <c r="S4222" s="55"/>
      <c r="T4222" s="55"/>
      <c r="U4222" s="55"/>
      <c r="V4222" s="55"/>
      <c r="W4222" s="55"/>
      <c r="X4222" s="55"/>
      <c r="Y4222" s="55"/>
      <c r="Z4222" s="55"/>
      <c r="AA4222" s="55"/>
      <c r="AB4222" s="22">
        <f t="shared" si="1389"/>
        <v>0</v>
      </c>
      <c r="AC4222" s="23">
        <v>537</v>
      </c>
      <c r="AD4222" s="56"/>
      <c r="AE4222" s="56"/>
      <c r="AF4222" s="56"/>
      <c r="AG4222" s="56"/>
      <c r="AH4222" s="56"/>
      <c r="AI4222" s="56"/>
      <c r="AJ4222" s="56"/>
      <c r="AK4222" s="56"/>
      <c r="AL4222" s="56"/>
      <c r="AM4222" s="56"/>
      <c r="AN4222" s="56"/>
      <c r="AO4222" s="56"/>
      <c r="AP4222" s="56"/>
      <c r="AQ4222" s="56"/>
      <c r="AR4222" s="56"/>
      <c r="AS4222" s="56"/>
      <c r="AT4222" s="56"/>
      <c r="AU4222" s="56"/>
      <c r="AV4222" s="56"/>
      <c r="AW4222" s="56"/>
      <c r="AX4222" s="56"/>
      <c r="AY4222" s="56"/>
      <c r="AZ4222" s="56"/>
      <c r="BA4222" s="56"/>
      <c r="BB4222" s="22">
        <f t="shared" si="1390"/>
        <v>0</v>
      </c>
      <c r="BC4222" s="23">
        <v>0</v>
      </c>
      <c r="BD4222" s="130">
        <f t="shared" si="1391"/>
        <v>0</v>
      </c>
      <c r="BE4222" s="130">
        <f t="shared" si="1386"/>
        <v>537</v>
      </c>
      <c r="BF4222" s="195">
        <f t="shared" si="1392"/>
        <v>0</v>
      </c>
      <c r="BG4222" s="373">
        <f t="shared" si="1393"/>
        <v>537</v>
      </c>
      <c r="BH4222" s="426" t="s">
        <v>3675</v>
      </c>
      <c r="BI4222" s="421"/>
    </row>
    <row r="4223" spans="1:61" s="46" customFormat="1" ht="21" customHeight="1">
      <c r="A4223" s="417">
        <v>3</v>
      </c>
      <c r="B4223" s="418" t="s">
        <v>1788</v>
      </c>
      <c r="C4223" s="419" t="s">
        <v>1789</v>
      </c>
      <c r="D4223" s="55"/>
      <c r="E4223" s="55"/>
      <c r="F4223" s="55"/>
      <c r="G4223" s="55"/>
      <c r="H4223" s="56"/>
      <c r="I4223" s="55"/>
      <c r="J4223" s="55"/>
      <c r="K4223" s="55"/>
      <c r="L4223" s="55">
        <v>3</v>
      </c>
      <c r="M4223" s="55"/>
      <c r="N4223" s="55"/>
      <c r="O4223" s="55"/>
      <c r="P4223" s="55"/>
      <c r="Q4223" s="55"/>
      <c r="R4223" s="55"/>
      <c r="S4223" s="55"/>
      <c r="T4223" s="55"/>
      <c r="U4223" s="55"/>
      <c r="V4223" s="55"/>
      <c r="W4223" s="55"/>
      <c r="X4223" s="55"/>
      <c r="Y4223" s="55"/>
      <c r="Z4223" s="55"/>
      <c r="AA4223" s="55"/>
      <c r="AB4223" s="22">
        <f t="shared" si="1389"/>
        <v>3</v>
      </c>
      <c r="AC4223" s="23">
        <f>4+48</f>
        <v>52</v>
      </c>
      <c r="AD4223" s="56"/>
      <c r="AE4223" s="56"/>
      <c r="AF4223" s="56"/>
      <c r="AG4223" s="56"/>
      <c r="AH4223" s="56"/>
      <c r="AI4223" s="56"/>
      <c r="AJ4223" s="56"/>
      <c r="AK4223" s="56"/>
      <c r="AL4223" s="56"/>
      <c r="AM4223" s="56"/>
      <c r="AN4223" s="56"/>
      <c r="AO4223" s="56"/>
      <c r="AP4223" s="56"/>
      <c r="AQ4223" s="56"/>
      <c r="AR4223" s="56"/>
      <c r="AS4223" s="56"/>
      <c r="AT4223" s="56"/>
      <c r="AU4223" s="56"/>
      <c r="AV4223" s="56"/>
      <c r="AW4223" s="56"/>
      <c r="AX4223" s="56"/>
      <c r="AY4223" s="56"/>
      <c r="AZ4223" s="56"/>
      <c r="BA4223" s="56"/>
      <c r="BB4223" s="22">
        <f t="shared" si="1390"/>
        <v>0</v>
      </c>
      <c r="BC4223" s="23">
        <v>0</v>
      </c>
      <c r="BD4223" s="130">
        <f t="shared" si="1391"/>
        <v>3</v>
      </c>
      <c r="BE4223" s="130">
        <f t="shared" si="1386"/>
        <v>52</v>
      </c>
      <c r="BF4223" s="195">
        <f t="shared" si="1392"/>
        <v>5.7692307692307692</v>
      </c>
      <c r="BG4223" s="373">
        <f t="shared" si="1393"/>
        <v>49</v>
      </c>
      <c r="BH4223" s="426" t="s">
        <v>3675</v>
      </c>
      <c r="BI4223" s="421"/>
    </row>
    <row r="4224" spans="1:61" s="46" customFormat="1" ht="21" customHeight="1">
      <c r="A4224" s="417">
        <v>4</v>
      </c>
      <c r="B4224" s="418" t="s">
        <v>1743</v>
      </c>
      <c r="C4224" s="419" t="s">
        <v>1744</v>
      </c>
      <c r="D4224" s="55"/>
      <c r="E4224" s="55"/>
      <c r="F4224" s="55"/>
      <c r="G4224" s="55"/>
      <c r="H4224" s="56">
        <v>14</v>
      </c>
      <c r="I4224" s="55"/>
      <c r="J4224" s="55"/>
      <c r="K4224" s="55"/>
      <c r="L4224" s="55">
        <v>343</v>
      </c>
      <c r="M4224" s="55"/>
      <c r="N4224" s="55"/>
      <c r="O4224" s="55"/>
      <c r="P4224" s="55">
        <v>483</v>
      </c>
      <c r="Q4224" s="55"/>
      <c r="R4224" s="55"/>
      <c r="S4224" s="55"/>
      <c r="T4224" s="55"/>
      <c r="U4224" s="55"/>
      <c r="V4224" s="55"/>
      <c r="W4224" s="55"/>
      <c r="X4224" s="55"/>
      <c r="Y4224" s="55"/>
      <c r="Z4224" s="55"/>
      <c r="AA4224" s="55"/>
      <c r="AB4224" s="22">
        <f t="shared" si="1389"/>
        <v>840</v>
      </c>
      <c r="AC4224" s="23">
        <f>324+1955+50</f>
        <v>2329</v>
      </c>
      <c r="AD4224" s="56"/>
      <c r="AE4224" s="56"/>
      <c r="AF4224" s="56"/>
      <c r="AG4224" s="56"/>
      <c r="AH4224" s="56"/>
      <c r="AI4224" s="56"/>
      <c r="AJ4224" s="56"/>
      <c r="AK4224" s="56"/>
      <c r="AL4224" s="56"/>
      <c r="AM4224" s="56"/>
      <c r="AN4224" s="56"/>
      <c r="AO4224" s="56"/>
      <c r="AP4224" s="56"/>
      <c r="AQ4224" s="56"/>
      <c r="AR4224" s="56"/>
      <c r="AS4224" s="56"/>
      <c r="AT4224" s="56"/>
      <c r="AU4224" s="56"/>
      <c r="AV4224" s="56"/>
      <c r="AW4224" s="56"/>
      <c r="AX4224" s="56"/>
      <c r="AY4224" s="56"/>
      <c r="AZ4224" s="56"/>
      <c r="BA4224" s="56"/>
      <c r="BB4224" s="22">
        <f t="shared" si="1390"/>
        <v>0</v>
      </c>
      <c r="BC4224" s="23">
        <v>0</v>
      </c>
      <c r="BD4224" s="130">
        <f t="shared" si="1391"/>
        <v>840</v>
      </c>
      <c r="BE4224" s="130">
        <f t="shared" si="1386"/>
        <v>2329</v>
      </c>
      <c r="BF4224" s="195">
        <f t="shared" si="1392"/>
        <v>36.0669815371404</v>
      </c>
      <c r="BG4224" s="373">
        <f t="shared" si="1393"/>
        <v>1489</v>
      </c>
      <c r="BH4224" s="426" t="s">
        <v>3675</v>
      </c>
      <c r="BI4224" s="420"/>
    </row>
    <row r="4225" spans="1:61" s="46" customFormat="1" ht="21" customHeight="1">
      <c r="A4225" s="417">
        <v>5</v>
      </c>
      <c r="B4225" s="418" t="s">
        <v>1790</v>
      </c>
      <c r="C4225" s="419" t="s">
        <v>1791</v>
      </c>
      <c r="D4225" s="55"/>
      <c r="E4225" s="55"/>
      <c r="F4225" s="55"/>
      <c r="G4225" s="55"/>
      <c r="H4225" s="56"/>
      <c r="I4225" s="55"/>
      <c r="J4225" s="55"/>
      <c r="K4225" s="55"/>
      <c r="L4225" s="55">
        <v>1</v>
      </c>
      <c r="M4225" s="55"/>
      <c r="N4225" s="55"/>
      <c r="O4225" s="55"/>
      <c r="P4225" s="55"/>
      <c r="Q4225" s="55"/>
      <c r="R4225" s="55"/>
      <c r="S4225" s="55"/>
      <c r="T4225" s="55"/>
      <c r="U4225" s="55"/>
      <c r="V4225" s="55"/>
      <c r="W4225" s="55"/>
      <c r="X4225" s="55"/>
      <c r="Y4225" s="55"/>
      <c r="Z4225" s="55"/>
      <c r="AA4225" s="55"/>
      <c r="AB4225" s="22">
        <f t="shared" si="1389"/>
        <v>1</v>
      </c>
      <c r="AC4225" s="23">
        <v>2</v>
      </c>
      <c r="AD4225" s="56"/>
      <c r="AE4225" s="56"/>
      <c r="AF4225" s="56"/>
      <c r="AG4225" s="56"/>
      <c r="AH4225" s="56"/>
      <c r="AI4225" s="56"/>
      <c r="AJ4225" s="56"/>
      <c r="AK4225" s="56"/>
      <c r="AL4225" s="56"/>
      <c r="AM4225" s="56"/>
      <c r="AN4225" s="56"/>
      <c r="AO4225" s="56"/>
      <c r="AP4225" s="56"/>
      <c r="AQ4225" s="56"/>
      <c r="AR4225" s="56"/>
      <c r="AS4225" s="56"/>
      <c r="AT4225" s="56"/>
      <c r="AU4225" s="56"/>
      <c r="AV4225" s="56"/>
      <c r="AW4225" s="56"/>
      <c r="AX4225" s="56"/>
      <c r="AY4225" s="56"/>
      <c r="AZ4225" s="56"/>
      <c r="BA4225" s="56"/>
      <c r="BB4225" s="22">
        <f t="shared" si="1390"/>
        <v>0</v>
      </c>
      <c r="BC4225" s="23">
        <v>0</v>
      </c>
      <c r="BD4225" s="130">
        <f t="shared" si="1391"/>
        <v>1</v>
      </c>
      <c r="BE4225" s="130">
        <f t="shared" si="1386"/>
        <v>2</v>
      </c>
      <c r="BF4225" s="195">
        <f t="shared" si="1392"/>
        <v>50</v>
      </c>
      <c r="BG4225" s="373">
        <f t="shared" si="1393"/>
        <v>1</v>
      </c>
      <c r="BH4225" s="426" t="s">
        <v>3675</v>
      </c>
      <c r="BI4225" s="420"/>
    </row>
    <row r="4226" spans="1:61" s="46" customFormat="1" ht="21" customHeight="1">
      <c r="A4226" s="417">
        <v>6</v>
      </c>
      <c r="B4226" s="418" t="s">
        <v>1813</v>
      </c>
      <c r="C4226" s="419" t="s">
        <v>2292</v>
      </c>
      <c r="D4226" s="55"/>
      <c r="E4226" s="55"/>
      <c r="F4226" s="55"/>
      <c r="G4226" s="55"/>
      <c r="H4226" s="56"/>
      <c r="I4226" s="55"/>
      <c r="J4226" s="55"/>
      <c r="K4226" s="55"/>
      <c r="L4226" s="55"/>
      <c r="M4226" s="55"/>
      <c r="N4226" s="55"/>
      <c r="O4226" s="55"/>
      <c r="P4226" s="55"/>
      <c r="Q4226" s="55"/>
      <c r="R4226" s="55"/>
      <c r="S4226" s="55"/>
      <c r="T4226" s="55"/>
      <c r="U4226" s="55"/>
      <c r="V4226" s="55"/>
      <c r="W4226" s="55"/>
      <c r="X4226" s="55"/>
      <c r="Y4226" s="55"/>
      <c r="Z4226" s="55"/>
      <c r="AA4226" s="55"/>
      <c r="AB4226" s="22">
        <f t="shared" si="1389"/>
        <v>0</v>
      </c>
      <c r="AC4226" s="23">
        <v>1</v>
      </c>
      <c r="AD4226" s="56"/>
      <c r="AE4226" s="56"/>
      <c r="AF4226" s="56"/>
      <c r="AG4226" s="56"/>
      <c r="AH4226" s="56"/>
      <c r="AI4226" s="56"/>
      <c r="AJ4226" s="56"/>
      <c r="AK4226" s="56"/>
      <c r="AL4226" s="56"/>
      <c r="AM4226" s="56"/>
      <c r="AN4226" s="56"/>
      <c r="AO4226" s="56"/>
      <c r="AP4226" s="56"/>
      <c r="AQ4226" s="56"/>
      <c r="AR4226" s="56"/>
      <c r="AS4226" s="56"/>
      <c r="AT4226" s="56"/>
      <c r="AU4226" s="56"/>
      <c r="AV4226" s="56"/>
      <c r="AW4226" s="56"/>
      <c r="AX4226" s="56"/>
      <c r="AY4226" s="56"/>
      <c r="AZ4226" s="56"/>
      <c r="BA4226" s="56"/>
      <c r="BB4226" s="22">
        <f t="shared" si="1390"/>
        <v>0</v>
      </c>
      <c r="BC4226" s="23">
        <v>0</v>
      </c>
      <c r="BD4226" s="130">
        <f t="shared" si="1391"/>
        <v>0</v>
      </c>
      <c r="BE4226" s="130">
        <f t="shared" si="1386"/>
        <v>1</v>
      </c>
      <c r="BF4226" s="195">
        <f t="shared" si="1392"/>
        <v>0</v>
      </c>
      <c r="BG4226" s="373">
        <f t="shared" si="1393"/>
        <v>1</v>
      </c>
      <c r="BH4226" s="426" t="s">
        <v>3675</v>
      </c>
      <c r="BI4226" s="421"/>
    </row>
    <row r="4227" spans="1:61" s="46" customFormat="1" ht="21" customHeight="1">
      <c r="A4227" s="417">
        <v>7</v>
      </c>
      <c r="B4227" s="418" t="s">
        <v>1747</v>
      </c>
      <c r="C4227" s="419" t="s">
        <v>1748</v>
      </c>
      <c r="D4227" s="55"/>
      <c r="E4227" s="55"/>
      <c r="F4227" s="55"/>
      <c r="G4227" s="55"/>
      <c r="H4227" s="56">
        <v>170</v>
      </c>
      <c r="I4227" s="55"/>
      <c r="J4227" s="55"/>
      <c r="K4227" s="55"/>
      <c r="L4227" s="55">
        <v>684</v>
      </c>
      <c r="M4227" s="55"/>
      <c r="N4227" s="55"/>
      <c r="O4227" s="55"/>
      <c r="P4227" s="55">
        <v>714</v>
      </c>
      <c r="Q4227" s="55"/>
      <c r="R4227" s="55"/>
      <c r="S4227" s="55"/>
      <c r="T4227" s="55"/>
      <c r="U4227" s="55"/>
      <c r="V4227" s="55"/>
      <c r="W4227" s="55"/>
      <c r="X4227" s="55"/>
      <c r="Y4227" s="55"/>
      <c r="Z4227" s="55"/>
      <c r="AA4227" s="55"/>
      <c r="AB4227" s="22">
        <f t="shared" si="1389"/>
        <v>1568</v>
      </c>
      <c r="AC4227" s="23">
        <v>5470</v>
      </c>
      <c r="AD4227" s="56"/>
      <c r="AE4227" s="56"/>
      <c r="AF4227" s="56"/>
      <c r="AG4227" s="56"/>
      <c r="AH4227" s="56"/>
      <c r="AI4227" s="56"/>
      <c r="AJ4227" s="56"/>
      <c r="AK4227" s="56"/>
      <c r="AL4227" s="285"/>
      <c r="AM4227" s="56"/>
      <c r="AN4227" s="56"/>
      <c r="AO4227" s="56"/>
      <c r="AP4227" s="56"/>
      <c r="AQ4227" s="56"/>
      <c r="AR4227" s="56"/>
      <c r="AS4227" s="56"/>
      <c r="AT4227" s="56"/>
      <c r="AU4227" s="56"/>
      <c r="AV4227" s="56"/>
      <c r="AW4227" s="56"/>
      <c r="AX4227" s="56"/>
      <c r="AY4227" s="56"/>
      <c r="AZ4227" s="56"/>
      <c r="BA4227" s="56"/>
      <c r="BB4227" s="22">
        <f t="shared" si="1390"/>
        <v>0</v>
      </c>
      <c r="BC4227" s="23">
        <v>0</v>
      </c>
      <c r="BD4227" s="130">
        <f t="shared" si="1391"/>
        <v>1568</v>
      </c>
      <c r="BE4227" s="130">
        <f t="shared" si="1386"/>
        <v>5470</v>
      </c>
      <c r="BF4227" s="195">
        <f t="shared" si="1392"/>
        <v>28.665447897623402</v>
      </c>
      <c r="BG4227" s="373">
        <f t="shared" si="1393"/>
        <v>3902</v>
      </c>
      <c r="BH4227" s="426" t="s">
        <v>3675</v>
      </c>
      <c r="BI4227" s="420"/>
    </row>
    <row r="4228" spans="1:61" s="46" customFormat="1" ht="21" customHeight="1">
      <c r="A4228" s="417">
        <v>8</v>
      </c>
      <c r="B4228" s="418" t="s">
        <v>1749</v>
      </c>
      <c r="C4228" s="419" t="s">
        <v>1750</v>
      </c>
      <c r="D4228" s="55"/>
      <c r="E4228" s="55"/>
      <c r="F4228" s="55"/>
      <c r="G4228" s="55"/>
      <c r="H4228" s="56"/>
      <c r="I4228" s="55"/>
      <c r="J4228" s="55"/>
      <c r="K4228" s="55"/>
      <c r="L4228" s="55">
        <v>28</v>
      </c>
      <c r="M4228" s="55"/>
      <c r="N4228" s="55"/>
      <c r="O4228" s="55"/>
      <c r="P4228" s="55">
        <v>17</v>
      </c>
      <c r="Q4228" s="55"/>
      <c r="R4228" s="55"/>
      <c r="S4228" s="55"/>
      <c r="T4228" s="55"/>
      <c r="U4228" s="55"/>
      <c r="V4228" s="55"/>
      <c r="W4228" s="55"/>
      <c r="X4228" s="55"/>
      <c r="Y4228" s="55"/>
      <c r="Z4228" s="55"/>
      <c r="AA4228" s="55"/>
      <c r="AB4228" s="22">
        <f t="shared" si="1389"/>
        <v>45</v>
      </c>
      <c r="AC4228" s="23">
        <f>5+256</f>
        <v>261</v>
      </c>
      <c r="AD4228" s="56"/>
      <c r="AE4228" s="56"/>
      <c r="AF4228" s="56"/>
      <c r="AG4228" s="56"/>
      <c r="AH4228" s="56"/>
      <c r="AI4228" s="56"/>
      <c r="AJ4228" s="56"/>
      <c r="AK4228" s="56"/>
      <c r="AL4228" s="56"/>
      <c r="AM4228" s="56"/>
      <c r="AN4228" s="56"/>
      <c r="AO4228" s="56"/>
      <c r="AP4228" s="56"/>
      <c r="AQ4228" s="56"/>
      <c r="AR4228" s="56"/>
      <c r="AS4228" s="56"/>
      <c r="AT4228" s="56"/>
      <c r="AU4228" s="56"/>
      <c r="AV4228" s="56"/>
      <c r="AW4228" s="56"/>
      <c r="AX4228" s="56"/>
      <c r="AY4228" s="56"/>
      <c r="AZ4228" s="56"/>
      <c r="BA4228" s="56"/>
      <c r="BB4228" s="22">
        <f t="shared" si="1390"/>
        <v>0</v>
      </c>
      <c r="BC4228" s="23">
        <v>0</v>
      </c>
      <c r="BD4228" s="130">
        <f t="shared" si="1391"/>
        <v>45</v>
      </c>
      <c r="BE4228" s="130">
        <f t="shared" si="1386"/>
        <v>261</v>
      </c>
      <c r="BF4228" s="195">
        <f t="shared" si="1392"/>
        <v>17.241379310344829</v>
      </c>
      <c r="BG4228" s="373">
        <f t="shared" si="1393"/>
        <v>216</v>
      </c>
      <c r="BH4228" s="426" t="s">
        <v>3675</v>
      </c>
      <c r="BI4228" s="421"/>
    </row>
    <row r="4229" spans="1:61" s="46" customFormat="1" ht="21" customHeight="1">
      <c r="A4229" s="417">
        <v>9</v>
      </c>
      <c r="B4229" s="418" t="s">
        <v>2597</v>
      </c>
      <c r="C4229" s="419" t="s">
        <v>2598</v>
      </c>
      <c r="D4229" s="55"/>
      <c r="E4229" s="55"/>
      <c r="F4229" s="55"/>
      <c r="G4229" s="55"/>
      <c r="H4229" s="56"/>
      <c r="I4229" s="55"/>
      <c r="J4229" s="55"/>
      <c r="K4229" s="55"/>
      <c r="L4229" s="55"/>
      <c r="M4229" s="55"/>
      <c r="N4229" s="55"/>
      <c r="O4229" s="55"/>
      <c r="P4229" s="55"/>
      <c r="Q4229" s="55"/>
      <c r="R4229" s="55"/>
      <c r="S4229" s="55"/>
      <c r="T4229" s="55"/>
      <c r="U4229" s="55"/>
      <c r="V4229" s="55"/>
      <c r="W4229" s="55"/>
      <c r="X4229" s="55"/>
      <c r="Y4229" s="55"/>
      <c r="Z4229" s="55"/>
      <c r="AA4229" s="55"/>
      <c r="AB4229" s="22">
        <f t="shared" si="1389"/>
        <v>0</v>
      </c>
      <c r="AC4229" s="23">
        <v>1</v>
      </c>
      <c r="AD4229" s="56"/>
      <c r="AE4229" s="56"/>
      <c r="AF4229" s="56"/>
      <c r="AG4229" s="56"/>
      <c r="AH4229" s="56"/>
      <c r="AI4229" s="56"/>
      <c r="AJ4229" s="56"/>
      <c r="AK4229" s="56"/>
      <c r="AL4229" s="56"/>
      <c r="AM4229" s="56"/>
      <c r="AN4229" s="56"/>
      <c r="AO4229" s="56"/>
      <c r="AP4229" s="56"/>
      <c r="AQ4229" s="56"/>
      <c r="AR4229" s="56"/>
      <c r="AS4229" s="56"/>
      <c r="AT4229" s="56"/>
      <c r="AU4229" s="56"/>
      <c r="AV4229" s="56"/>
      <c r="AW4229" s="56"/>
      <c r="AX4229" s="56"/>
      <c r="AY4229" s="56"/>
      <c r="AZ4229" s="56"/>
      <c r="BA4229" s="56"/>
      <c r="BB4229" s="22">
        <f t="shared" si="1390"/>
        <v>0</v>
      </c>
      <c r="BC4229" s="23">
        <v>0</v>
      </c>
      <c r="BD4229" s="130">
        <f t="shared" si="1391"/>
        <v>0</v>
      </c>
      <c r="BE4229" s="130">
        <f t="shared" si="1386"/>
        <v>1</v>
      </c>
      <c r="BF4229" s="195">
        <f t="shared" si="1392"/>
        <v>0</v>
      </c>
      <c r="BG4229" s="373">
        <f t="shared" si="1393"/>
        <v>1</v>
      </c>
      <c r="BH4229" s="426" t="s">
        <v>3675</v>
      </c>
      <c r="BI4229" s="421"/>
    </row>
    <row r="4230" spans="1:61" s="46" customFormat="1" ht="21" customHeight="1">
      <c r="A4230" s="417">
        <v>10</v>
      </c>
      <c r="B4230" s="418" t="s">
        <v>2890</v>
      </c>
      <c r="C4230" s="419" t="s">
        <v>2891</v>
      </c>
      <c r="D4230" s="55"/>
      <c r="E4230" s="55"/>
      <c r="F4230" s="55"/>
      <c r="G4230" s="55"/>
      <c r="H4230" s="56"/>
      <c r="I4230" s="55"/>
      <c r="J4230" s="55"/>
      <c r="K4230" s="55"/>
      <c r="L4230" s="55"/>
      <c r="M4230" s="55"/>
      <c r="N4230" s="55"/>
      <c r="O4230" s="55"/>
      <c r="P4230" s="55"/>
      <c r="Q4230" s="55"/>
      <c r="R4230" s="55"/>
      <c r="S4230" s="55"/>
      <c r="T4230" s="55"/>
      <c r="U4230" s="55"/>
      <c r="V4230" s="55"/>
      <c r="W4230" s="55"/>
      <c r="X4230" s="55"/>
      <c r="Y4230" s="55"/>
      <c r="Z4230" s="55"/>
      <c r="AA4230" s="55"/>
      <c r="AB4230" s="22">
        <f t="shared" si="1389"/>
        <v>0</v>
      </c>
      <c r="AC4230" s="23">
        <v>1</v>
      </c>
      <c r="AD4230" s="56"/>
      <c r="AE4230" s="56"/>
      <c r="AF4230" s="56"/>
      <c r="AG4230" s="56"/>
      <c r="AH4230" s="56"/>
      <c r="AI4230" s="56"/>
      <c r="AJ4230" s="56"/>
      <c r="AK4230" s="56"/>
      <c r="AL4230" s="56"/>
      <c r="AM4230" s="56"/>
      <c r="AN4230" s="56"/>
      <c r="AO4230" s="56"/>
      <c r="AP4230" s="56"/>
      <c r="AQ4230" s="56"/>
      <c r="AR4230" s="56"/>
      <c r="AS4230" s="56"/>
      <c r="AT4230" s="56"/>
      <c r="AU4230" s="56"/>
      <c r="AV4230" s="56"/>
      <c r="AW4230" s="56"/>
      <c r="AX4230" s="56"/>
      <c r="AY4230" s="56"/>
      <c r="AZ4230" s="56"/>
      <c r="BA4230" s="56"/>
      <c r="BB4230" s="22">
        <f t="shared" si="1390"/>
        <v>0</v>
      </c>
      <c r="BC4230" s="23">
        <v>0</v>
      </c>
      <c r="BD4230" s="130">
        <f t="shared" si="1391"/>
        <v>0</v>
      </c>
      <c r="BE4230" s="130">
        <f t="shared" si="1386"/>
        <v>1</v>
      </c>
      <c r="BF4230" s="195">
        <f t="shared" si="1392"/>
        <v>0</v>
      </c>
      <c r="BG4230" s="373">
        <f t="shared" si="1393"/>
        <v>1</v>
      </c>
    </row>
    <row r="4231" spans="1:61" s="46" customFormat="1" ht="21" customHeight="1">
      <c r="A4231" s="417">
        <v>11</v>
      </c>
      <c r="B4231" s="418" t="s">
        <v>1801</v>
      </c>
      <c r="C4231" s="419" t="s">
        <v>2206</v>
      </c>
      <c r="D4231" s="55"/>
      <c r="E4231" s="55"/>
      <c r="F4231" s="55"/>
      <c r="G4231" s="55"/>
      <c r="H4231" s="56"/>
      <c r="I4231" s="55"/>
      <c r="J4231" s="55"/>
      <c r="K4231" s="55"/>
      <c r="L4231" s="55">
        <v>1</v>
      </c>
      <c r="M4231" s="55"/>
      <c r="N4231" s="55"/>
      <c r="O4231" s="55"/>
      <c r="P4231" s="55"/>
      <c r="Q4231" s="55"/>
      <c r="R4231" s="55"/>
      <c r="S4231" s="55"/>
      <c r="T4231" s="55"/>
      <c r="U4231" s="55"/>
      <c r="V4231" s="55"/>
      <c r="W4231" s="55"/>
      <c r="X4231" s="55"/>
      <c r="Y4231" s="55"/>
      <c r="Z4231" s="55"/>
      <c r="AA4231" s="55"/>
      <c r="AB4231" s="22">
        <f t="shared" si="1389"/>
        <v>1</v>
      </c>
      <c r="AC4231" s="23">
        <f>4+152</f>
        <v>156</v>
      </c>
      <c r="AD4231" s="56"/>
      <c r="AE4231" s="56"/>
      <c r="AF4231" s="56"/>
      <c r="AG4231" s="56"/>
      <c r="AH4231" s="56"/>
      <c r="AI4231" s="56"/>
      <c r="AJ4231" s="56"/>
      <c r="AK4231" s="56"/>
      <c r="AL4231" s="56"/>
      <c r="AM4231" s="56"/>
      <c r="AN4231" s="56"/>
      <c r="AO4231" s="56"/>
      <c r="AP4231" s="56"/>
      <c r="AQ4231" s="56"/>
      <c r="AR4231" s="56"/>
      <c r="AS4231" s="56"/>
      <c r="AT4231" s="56"/>
      <c r="AU4231" s="56"/>
      <c r="AV4231" s="56"/>
      <c r="AW4231" s="56"/>
      <c r="AX4231" s="56"/>
      <c r="AY4231" s="56"/>
      <c r="AZ4231" s="56"/>
      <c r="BA4231" s="56"/>
      <c r="BB4231" s="22">
        <f t="shared" si="1390"/>
        <v>0</v>
      </c>
      <c r="BC4231" s="23">
        <v>0</v>
      </c>
      <c r="BD4231" s="130">
        <f t="shared" si="1391"/>
        <v>1</v>
      </c>
      <c r="BE4231" s="130">
        <f t="shared" si="1386"/>
        <v>156</v>
      </c>
      <c r="BF4231" s="195">
        <f t="shared" si="1392"/>
        <v>0.64102564102564097</v>
      </c>
      <c r="BG4231" s="373">
        <f t="shared" si="1393"/>
        <v>155</v>
      </c>
      <c r="BH4231" s="426" t="s">
        <v>3675</v>
      </c>
      <c r="BI4231" s="421"/>
    </row>
    <row r="4232" spans="1:61" s="46" customFormat="1" ht="21" customHeight="1">
      <c r="A4232" s="417">
        <v>12</v>
      </c>
      <c r="B4232" s="418" t="s">
        <v>1751</v>
      </c>
      <c r="C4232" s="419" t="s">
        <v>1752</v>
      </c>
      <c r="D4232" s="55"/>
      <c r="E4232" s="55"/>
      <c r="F4232" s="55"/>
      <c r="G4232" s="55"/>
      <c r="H4232" s="56"/>
      <c r="I4232" s="55"/>
      <c r="J4232" s="55"/>
      <c r="K4232" s="55"/>
      <c r="L4232" s="55"/>
      <c r="M4232" s="55"/>
      <c r="N4232" s="55"/>
      <c r="O4232" s="55"/>
      <c r="P4232" s="55">
        <v>8</v>
      </c>
      <c r="Q4232" s="55"/>
      <c r="R4232" s="55"/>
      <c r="S4232" s="55"/>
      <c r="T4232" s="55"/>
      <c r="U4232" s="55"/>
      <c r="V4232" s="55"/>
      <c r="W4232" s="55"/>
      <c r="X4232" s="55"/>
      <c r="Y4232" s="55"/>
      <c r="Z4232" s="55"/>
      <c r="AA4232" s="55"/>
      <c r="AB4232" s="22">
        <f t="shared" si="1389"/>
        <v>8</v>
      </c>
      <c r="AC4232" s="23">
        <f>33+45+45</f>
        <v>123</v>
      </c>
      <c r="AD4232" s="56"/>
      <c r="AE4232" s="56"/>
      <c r="AF4232" s="56"/>
      <c r="AG4232" s="56"/>
      <c r="AH4232" s="56"/>
      <c r="AI4232" s="56"/>
      <c r="AJ4232" s="56"/>
      <c r="AK4232" s="56"/>
      <c r="AL4232" s="56"/>
      <c r="AM4232" s="56"/>
      <c r="AN4232" s="56"/>
      <c r="AO4232" s="56"/>
      <c r="AP4232" s="56"/>
      <c r="AQ4232" s="56"/>
      <c r="AR4232" s="56"/>
      <c r="AS4232" s="56"/>
      <c r="AT4232" s="56"/>
      <c r="AU4232" s="56"/>
      <c r="AV4232" s="56"/>
      <c r="AW4232" s="56"/>
      <c r="AX4232" s="56"/>
      <c r="AY4232" s="56"/>
      <c r="AZ4232" s="56"/>
      <c r="BA4232" s="56"/>
      <c r="BB4232" s="22">
        <f t="shared" si="1390"/>
        <v>0</v>
      </c>
      <c r="BC4232" s="23">
        <v>0</v>
      </c>
      <c r="BD4232" s="130">
        <f t="shared" si="1391"/>
        <v>8</v>
      </c>
      <c r="BE4232" s="130">
        <f t="shared" si="1386"/>
        <v>123</v>
      </c>
      <c r="BF4232" s="195">
        <f t="shared" si="1392"/>
        <v>6.5040650406504072</v>
      </c>
      <c r="BG4232" s="373">
        <f t="shared" si="1393"/>
        <v>115</v>
      </c>
      <c r="BH4232" s="426" t="s">
        <v>3675</v>
      </c>
      <c r="BI4232" s="420"/>
    </row>
    <row r="4233" spans="1:61" s="46" customFormat="1" ht="21" customHeight="1">
      <c r="A4233" s="417">
        <v>14</v>
      </c>
      <c r="B4233" s="418" t="s">
        <v>1753</v>
      </c>
      <c r="C4233" s="419" t="s">
        <v>1754</v>
      </c>
      <c r="D4233" s="55"/>
      <c r="E4233" s="55"/>
      <c r="F4233" s="55"/>
      <c r="G4233" s="55"/>
      <c r="H4233" s="56">
        <v>162</v>
      </c>
      <c r="I4233" s="55"/>
      <c r="J4233" s="55"/>
      <c r="K4233" s="55"/>
      <c r="L4233" s="55">
        <v>488</v>
      </c>
      <c r="M4233" s="55"/>
      <c r="N4233" s="55"/>
      <c r="O4233" s="55"/>
      <c r="P4233" s="55">
        <v>472</v>
      </c>
      <c r="Q4233" s="55"/>
      <c r="R4233" s="55"/>
      <c r="S4233" s="55"/>
      <c r="T4233" s="55"/>
      <c r="U4233" s="55"/>
      <c r="V4233" s="55"/>
      <c r="W4233" s="55"/>
      <c r="X4233" s="55"/>
      <c r="Y4233" s="55"/>
      <c r="Z4233" s="55"/>
      <c r="AA4233" s="55"/>
      <c r="AB4233" s="22">
        <f t="shared" si="1389"/>
        <v>1122</v>
      </c>
      <c r="AC4233" s="23">
        <v>2475</v>
      </c>
      <c r="AD4233" s="56"/>
      <c r="AE4233" s="56"/>
      <c r="AF4233" s="56"/>
      <c r="AG4233" s="56"/>
      <c r="AH4233" s="56"/>
      <c r="AI4233" s="56"/>
      <c r="AJ4233" s="56"/>
      <c r="AK4233" s="56"/>
      <c r="AL4233" s="56"/>
      <c r="AM4233" s="56"/>
      <c r="AN4233" s="56"/>
      <c r="AO4233" s="56"/>
      <c r="AP4233" s="56"/>
      <c r="AQ4233" s="56"/>
      <c r="AR4233" s="56"/>
      <c r="AS4233" s="56"/>
      <c r="AT4233" s="56"/>
      <c r="AU4233" s="56"/>
      <c r="AV4233" s="56"/>
      <c r="AW4233" s="56"/>
      <c r="AX4233" s="56"/>
      <c r="AY4233" s="56"/>
      <c r="AZ4233" s="56"/>
      <c r="BA4233" s="56"/>
      <c r="BB4233" s="22">
        <f t="shared" si="1390"/>
        <v>0</v>
      </c>
      <c r="BC4233" s="23">
        <v>0</v>
      </c>
      <c r="BD4233" s="130">
        <f t="shared" si="1391"/>
        <v>1122</v>
      </c>
      <c r="BE4233" s="130">
        <f t="shared" si="1386"/>
        <v>2475</v>
      </c>
      <c r="BF4233" s="195">
        <f t="shared" si="1392"/>
        <v>45.333333333333329</v>
      </c>
      <c r="BG4233" s="373">
        <f t="shared" si="1393"/>
        <v>1353</v>
      </c>
      <c r="BH4233" s="426" t="s">
        <v>3675</v>
      </c>
      <c r="BI4233" s="420"/>
    </row>
    <row r="4234" spans="1:61" s="46" customFormat="1" ht="21" customHeight="1">
      <c r="A4234" s="417">
        <v>15</v>
      </c>
      <c r="B4234" s="418" t="s">
        <v>1775</v>
      </c>
      <c r="C4234" s="419" t="s">
        <v>1856</v>
      </c>
      <c r="D4234" s="55"/>
      <c r="E4234" s="55"/>
      <c r="F4234" s="55"/>
      <c r="G4234" s="55"/>
      <c r="H4234" s="56"/>
      <c r="I4234" s="55"/>
      <c r="J4234" s="55"/>
      <c r="K4234" s="55"/>
      <c r="L4234" s="55"/>
      <c r="M4234" s="55"/>
      <c r="N4234" s="55"/>
      <c r="O4234" s="55"/>
      <c r="P4234" s="55"/>
      <c r="Q4234" s="55"/>
      <c r="R4234" s="55"/>
      <c r="S4234" s="55"/>
      <c r="T4234" s="55"/>
      <c r="U4234" s="55"/>
      <c r="V4234" s="55"/>
      <c r="W4234" s="55"/>
      <c r="X4234" s="55"/>
      <c r="Y4234" s="55"/>
      <c r="Z4234" s="55"/>
      <c r="AA4234" s="55"/>
      <c r="AB4234" s="22">
        <f t="shared" si="1389"/>
        <v>0</v>
      </c>
      <c r="AC4234" s="23">
        <v>6</v>
      </c>
      <c r="AD4234" s="56"/>
      <c r="AE4234" s="56"/>
      <c r="AF4234" s="56"/>
      <c r="AG4234" s="56"/>
      <c r="AH4234" s="56"/>
      <c r="AI4234" s="56"/>
      <c r="AJ4234" s="56"/>
      <c r="AK4234" s="56"/>
      <c r="AL4234" s="56"/>
      <c r="AM4234" s="56"/>
      <c r="AN4234" s="56"/>
      <c r="AO4234" s="56"/>
      <c r="AP4234" s="56"/>
      <c r="AQ4234" s="56"/>
      <c r="AR4234" s="56"/>
      <c r="AS4234" s="56"/>
      <c r="AT4234" s="56"/>
      <c r="AU4234" s="56"/>
      <c r="AV4234" s="56"/>
      <c r="AW4234" s="56"/>
      <c r="AX4234" s="56"/>
      <c r="AY4234" s="56"/>
      <c r="AZ4234" s="56"/>
      <c r="BA4234" s="56"/>
      <c r="BB4234" s="22">
        <f t="shared" si="1390"/>
        <v>0</v>
      </c>
      <c r="BC4234" s="23">
        <v>0</v>
      </c>
      <c r="BD4234" s="130">
        <f t="shared" si="1391"/>
        <v>0</v>
      </c>
      <c r="BE4234" s="130">
        <f t="shared" si="1386"/>
        <v>6</v>
      </c>
      <c r="BF4234" s="195">
        <f t="shared" si="1392"/>
        <v>0</v>
      </c>
      <c r="BG4234" s="373">
        <f t="shared" si="1393"/>
        <v>6</v>
      </c>
      <c r="BH4234" s="426" t="s">
        <v>3675</v>
      </c>
      <c r="BI4234" s="421"/>
    </row>
    <row r="4235" spans="1:61" s="46" customFormat="1" ht="21" customHeight="1">
      <c r="A4235" s="417">
        <v>16</v>
      </c>
      <c r="B4235" s="418" t="s">
        <v>1756</v>
      </c>
      <c r="C4235" s="419" t="s">
        <v>1757</v>
      </c>
      <c r="D4235" s="55"/>
      <c r="E4235" s="55"/>
      <c r="F4235" s="55"/>
      <c r="G4235" s="55"/>
      <c r="H4235" s="56">
        <v>8</v>
      </c>
      <c r="I4235" s="55"/>
      <c r="J4235" s="55"/>
      <c r="K4235" s="55"/>
      <c r="L4235" s="55">
        <v>141</v>
      </c>
      <c r="M4235" s="55"/>
      <c r="N4235" s="55"/>
      <c r="O4235" s="55"/>
      <c r="P4235" s="55">
        <v>102</v>
      </c>
      <c r="Q4235" s="55"/>
      <c r="R4235" s="55"/>
      <c r="S4235" s="55"/>
      <c r="T4235" s="55"/>
      <c r="U4235" s="55"/>
      <c r="V4235" s="55"/>
      <c r="W4235" s="55"/>
      <c r="X4235" s="55"/>
      <c r="Y4235" s="55"/>
      <c r="Z4235" s="55"/>
      <c r="AA4235" s="55"/>
      <c r="AB4235" s="22">
        <f t="shared" si="1389"/>
        <v>251</v>
      </c>
      <c r="AC4235" s="23">
        <v>1040</v>
      </c>
      <c r="AD4235" s="56"/>
      <c r="AE4235" s="56"/>
      <c r="AF4235" s="56"/>
      <c r="AG4235" s="56"/>
      <c r="AH4235" s="56"/>
      <c r="AI4235" s="56"/>
      <c r="AJ4235" s="56"/>
      <c r="AK4235" s="56"/>
      <c r="AL4235" s="285"/>
      <c r="AM4235" s="56"/>
      <c r="AN4235" s="56"/>
      <c r="AO4235" s="56"/>
      <c r="AP4235" s="56"/>
      <c r="AQ4235" s="56"/>
      <c r="AR4235" s="56"/>
      <c r="AS4235" s="56"/>
      <c r="AT4235" s="56"/>
      <c r="AU4235" s="56"/>
      <c r="AV4235" s="56"/>
      <c r="AW4235" s="56"/>
      <c r="AX4235" s="56"/>
      <c r="AY4235" s="56"/>
      <c r="AZ4235" s="56"/>
      <c r="BA4235" s="56"/>
      <c r="BB4235" s="22">
        <f t="shared" si="1390"/>
        <v>0</v>
      </c>
      <c r="BC4235" s="23">
        <v>0</v>
      </c>
      <c r="BD4235" s="130">
        <f t="shared" si="1391"/>
        <v>251</v>
      </c>
      <c r="BE4235" s="130">
        <f t="shared" si="1386"/>
        <v>1040</v>
      </c>
      <c r="BF4235" s="195">
        <f t="shared" si="1392"/>
        <v>24.134615384615383</v>
      </c>
      <c r="BG4235" s="373">
        <f t="shared" si="1393"/>
        <v>789</v>
      </c>
      <c r="BH4235" s="426" t="s">
        <v>3675</v>
      </c>
      <c r="BI4235" s="421"/>
    </row>
    <row r="4236" spans="1:61" s="46" customFormat="1" ht="21" customHeight="1">
      <c r="A4236" s="417">
        <v>17</v>
      </c>
      <c r="B4236" s="418" t="s">
        <v>1758</v>
      </c>
      <c r="C4236" s="419" t="s">
        <v>1842</v>
      </c>
      <c r="D4236" s="55"/>
      <c r="E4236" s="55"/>
      <c r="F4236" s="55"/>
      <c r="G4236" s="55"/>
      <c r="H4236" s="56"/>
      <c r="I4236" s="55"/>
      <c r="J4236" s="55"/>
      <c r="K4236" s="55"/>
      <c r="L4236" s="55"/>
      <c r="M4236" s="55"/>
      <c r="N4236" s="55"/>
      <c r="O4236" s="55"/>
      <c r="P4236" s="55"/>
      <c r="Q4236" s="55"/>
      <c r="R4236" s="55"/>
      <c r="S4236" s="55"/>
      <c r="T4236" s="55"/>
      <c r="U4236" s="55"/>
      <c r="V4236" s="55"/>
      <c r="W4236" s="55"/>
      <c r="X4236" s="55"/>
      <c r="Y4236" s="55"/>
      <c r="Z4236" s="55"/>
      <c r="AA4236" s="55"/>
      <c r="AB4236" s="22">
        <f t="shared" si="1389"/>
        <v>0</v>
      </c>
      <c r="AC4236" s="23">
        <v>1</v>
      </c>
      <c r="AD4236" s="56"/>
      <c r="AE4236" s="56"/>
      <c r="AF4236" s="56"/>
      <c r="AG4236" s="56"/>
      <c r="AH4236" s="56"/>
      <c r="AI4236" s="56"/>
      <c r="AJ4236" s="56"/>
      <c r="AK4236" s="56"/>
      <c r="AL4236" s="285"/>
      <c r="AM4236" s="56"/>
      <c r="AN4236" s="56"/>
      <c r="AO4236" s="56"/>
      <c r="AP4236" s="56"/>
      <c r="AQ4236" s="56"/>
      <c r="AR4236" s="56"/>
      <c r="AS4236" s="56"/>
      <c r="AT4236" s="56"/>
      <c r="AU4236" s="56"/>
      <c r="AV4236" s="56"/>
      <c r="AW4236" s="56"/>
      <c r="AX4236" s="56"/>
      <c r="AY4236" s="56"/>
      <c r="AZ4236" s="56"/>
      <c r="BA4236" s="56"/>
      <c r="BB4236" s="22">
        <f t="shared" si="1390"/>
        <v>0</v>
      </c>
      <c r="BC4236" s="23">
        <v>0</v>
      </c>
      <c r="BD4236" s="130">
        <f t="shared" si="1391"/>
        <v>0</v>
      </c>
      <c r="BE4236" s="130">
        <f t="shared" si="1386"/>
        <v>1</v>
      </c>
      <c r="BF4236" s="195">
        <f t="shared" si="1392"/>
        <v>0</v>
      </c>
      <c r="BG4236" s="373">
        <f t="shared" si="1393"/>
        <v>1</v>
      </c>
      <c r="BH4236" s="426" t="s">
        <v>3675</v>
      </c>
      <c r="BI4236" s="421"/>
    </row>
    <row r="4237" spans="1:61" s="46" customFormat="1" ht="14.25" customHeight="1">
      <c r="A4237" s="453">
        <v>18</v>
      </c>
      <c r="B4237" s="461" t="s">
        <v>814</v>
      </c>
      <c r="C4237" s="462" t="s">
        <v>3108</v>
      </c>
      <c r="D4237" s="55"/>
      <c r="E4237" s="55"/>
      <c r="F4237" s="55"/>
      <c r="G4237" s="55"/>
      <c r="H4237" s="55"/>
      <c r="I4237" s="55"/>
      <c r="J4237" s="55"/>
      <c r="K4237" s="55"/>
      <c r="L4237" s="55"/>
      <c r="M4237" s="55"/>
      <c r="N4237" s="55"/>
      <c r="O4237" s="55"/>
      <c r="P4237" s="55"/>
      <c r="Q4237" s="55"/>
      <c r="R4237" s="55"/>
      <c r="S4237" s="55"/>
      <c r="T4237" s="55"/>
      <c r="U4237" s="55"/>
      <c r="V4237" s="55"/>
      <c r="W4237" s="55"/>
      <c r="X4237" s="55"/>
      <c r="Y4237" s="55"/>
      <c r="Z4237" s="55"/>
      <c r="AA4237" s="55"/>
      <c r="AB4237" s="22">
        <f t="shared" ref="AB4237:AB4249" si="1394">SUM(D4237:AA4237)</f>
        <v>0</v>
      </c>
      <c r="AC4237" s="23">
        <v>0</v>
      </c>
      <c r="AD4237" s="56"/>
      <c r="AE4237" s="56"/>
      <c r="AF4237" s="56"/>
      <c r="AG4237" s="56"/>
      <c r="AH4237" s="56"/>
      <c r="AI4237" s="56"/>
      <c r="AJ4237" s="56"/>
      <c r="AK4237" s="56"/>
      <c r="AL4237" s="285"/>
      <c r="AM4237" s="56"/>
      <c r="AN4237" s="56"/>
      <c r="AO4237" s="56"/>
      <c r="AP4237" s="56"/>
      <c r="AQ4237" s="56"/>
      <c r="AR4237" s="56"/>
      <c r="AS4237" s="56"/>
      <c r="AT4237" s="56"/>
      <c r="AU4237" s="56"/>
      <c r="AV4237" s="56"/>
      <c r="AW4237" s="56"/>
      <c r="AX4237" s="56"/>
      <c r="AY4237" s="56"/>
      <c r="AZ4237" s="56"/>
      <c r="BA4237" s="56"/>
      <c r="BB4237" s="22">
        <f t="shared" ref="BB4237:BB4249" si="1395">SUM(AD4237:BA4237)</f>
        <v>0</v>
      </c>
      <c r="BC4237" s="23">
        <v>10</v>
      </c>
      <c r="BD4237" s="130">
        <f t="shared" ref="BD4237:BD4249" si="1396">AB4237+BB4237</f>
        <v>0</v>
      </c>
      <c r="BE4237" s="130">
        <f t="shared" si="1386"/>
        <v>10</v>
      </c>
      <c r="BF4237" s="195">
        <f t="shared" ref="BF4237:BF4249" si="1397">BD4237/BE4237*100</f>
        <v>0</v>
      </c>
      <c r="BG4237" s="373">
        <f>BE4237-BD4237</f>
        <v>10</v>
      </c>
    </row>
    <row r="4238" spans="1:61" s="46" customFormat="1" ht="14.25" customHeight="1">
      <c r="A4238" s="453">
        <v>19</v>
      </c>
      <c r="B4238" s="454" t="s">
        <v>1763</v>
      </c>
      <c r="C4238" s="455" t="s">
        <v>1764</v>
      </c>
      <c r="D4238" s="55"/>
      <c r="E4238" s="55"/>
      <c r="F4238" s="55"/>
      <c r="G4238" s="55"/>
      <c r="H4238" s="55"/>
      <c r="I4238" s="55"/>
      <c r="J4238" s="55"/>
      <c r="K4238" s="55"/>
      <c r="L4238" s="55"/>
      <c r="M4238" s="55"/>
      <c r="N4238" s="55"/>
      <c r="O4238" s="55"/>
      <c r="P4238" s="55"/>
      <c r="Q4238" s="55"/>
      <c r="R4238" s="55"/>
      <c r="S4238" s="55"/>
      <c r="T4238" s="55"/>
      <c r="U4238" s="55"/>
      <c r="V4238" s="55"/>
      <c r="W4238" s="55"/>
      <c r="X4238" s="55"/>
      <c r="Y4238" s="55"/>
      <c r="Z4238" s="55"/>
      <c r="AA4238" s="55"/>
      <c r="AB4238" s="22">
        <f t="shared" si="1394"/>
        <v>0</v>
      </c>
      <c r="AC4238" s="23">
        <v>0</v>
      </c>
      <c r="AD4238" s="56"/>
      <c r="AE4238" s="56"/>
      <c r="AF4238" s="56"/>
      <c r="AG4238" s="56"/>
      <c r="AH4238" s="56">
        <v>101</v>
      </c>
      <c r="AI4238" s="56"/>
      <c r="AJ4238" s="56"/>
      <c r="AK4238" s="56"/>
      <c r="AL4238" s="285">
        <v>460</v>
      </c>
      <c r="AM4238" s="56"/>
      <c r="AN4238" s="56"/>
      <c r="AO4238" s="56"/>
      <c r="AP4238" s="56">
        <v>570</v>
      </c>
      <c r="AQ4238" s="56"/>
      <c r="AR4238" s="56"/>
      <c r="AS4238" s="56"/>
      <c r="AT4238" s="56"/>
      <c r="AU4238" s="56"/>
      <c r="AV4238" s="56"/>
      <c r="AW4238" s="56"/>
      <c r="AX4238" s="56"/>
      <c r="AY4238" s="56"/>
      <c r="AZ4238" s="56"/>
      <c r="BA4238" s="56"/>
      <c r="BB4238" s="22">
        <f t="shared" si="1395"/>
        <v>1131</v>
      </c>
      <c r="BC4238" s="23">
        <v>5135</v>
      </c>
      <c r="BD4238" s="130">
        <f t="shared" si="1396"/>
        <v>1131</v>
      </c>
      <c r="BE4238" s="130">
        <f t="shared" si="1386"/>
        <v>5135</v>
      </c>
      <c r="BF4238" s="195">
        <f t="shared" si="1397"/>
        <v>22.025316455696203</v>
      </c>
      <c r="BG4238" s="373">
        <f>BE4238-BD4238</f>
        <v>4004</v>
      </c>
    </row>
    <row r="4239" spans="1:61" s="46" customFormat="1" ht="14.25" customHeight="1">
      <c r="A4239" s="453">
        <v>20</v>
      </c>
      <c r="B4239" s="454" t="s">
        <v>1765</v>
      </c>
      <c r="C4239" s="455" t="s">
        <v>1766</v>
      </c>
      <c r="D4239" s="55"/>
      <c r="E4239" s="55"/>
      <c r="F4239" s="55"/>
      <c r="G4239" s="55"/>
      <c r="H4239" s="55"/>
      <c r="I4239" s="55"/>
      <c r="J4239" s="55"/>
      <c r="K4239" s="55"/>
      <c r="L4239" s="55"/>
      <c r="M4239" s="55"/>
      <c r="N4239" s="55"/>
      <c r="O4239" s="55"/>
      <c r="P4239" s="55"/>
      <c r="Q4239" s="55"/>
      <c r="R4239" s="55"/>
      <c r="S4239" s="55"/>
      <c r="T4239" s="55"/>
      <c r="U4239" s="55"/>
      <c r="V4239" s="55"/>
      <c r="W4239" s="55"/>
      <c r="X4239" s="55"/>
      <c r="Y4239" s="55"/>
      <c r="Z4239" s="55"/>
      <c r="AA4239" s="55"/>
      <c r="AB4239" s="22">
        <f t="shared" si="1394"/>
        <v>0</v>
      </c>
      <c r="AC4239" s="23">
        <v>0</v>
      </c>
      <c r="AD4239" s="56"/>
      <c r="AE4239" s="56"/>
      <c r="AF4239" s="56"/>
      <c r="AG4239" s="56"/>
      <c r="AH4239" s="56"/>
      <c r="AI4239" s="56"/>
      <c r="AJ4239" s="56"/>
      <c r="AK4239" s="56"/>
      <c r="AL4239" s="285">
        <v>2</v>
      </c>
      <c r="AM4239" s="56"/>
      <c r="AN4239" s="56"/>
      <c r="AO4239" s="56"/>
      <c r="AP4239" s="56"/>
      <c r="AQ4239" s="56"/>
      <c r="AR4239" s="56"/>
      <c r="AS4239" s="56"/>
      <c r="AT4239" s="56"/>
      <c r="AU4239" s="56"/>
      <c r="AV4239" s="56"/>
      <c r="AW4239" s="56"/>
      <c r="AX4239" s="56"/>
      <c r="AY4239" s="56"/>
      <c r="AZ4239" s="56"/>
      <c r="BA4239" s="56"/>
      <c r="BB4239" s="22">
        <f t="shared" si="1395"/>
        <v>2</v>
      </c>
      <c r="BC4239" s="23">
        <v>10</v>
      </c>
      <c r="BD4239" s="130">
        <f t="shared" si="1396"/>
        <v>2</v>
      </c>
      <c r="BE4239" s="130">
        <f t="shared" si="1386"/>
        <v>10</v>
      </c>
      <c r="BF4239" s="195">
        <f t="shared" si="1397"/>
        <v>20</v>
      </c>
      <c r="BG4239" s="373">
        <f>BE4239-BD4239</f>
        <v>8</v>
      </c>
    </row>
    <row r="4240" spans="1:61" s="46" customFormat="1" ht="14.25" customHeight="1">
      <c r="A4240" s="453">
        <v>21</v>
      </c>
      <c r="B4240" s="456" t="s">
        <v>1118</v>
      </c>
      <c r="C4240" s="457" t="s">
        <v>3107</v>
      </c>
      <c r="D4240" s="55"/>
      <c r="E4240" s="55"/>
      <c r="F4240" s="55"/>
      <c r="G4240" s="55"/>
      <c r="H4240" s="55"/>
      <c r="I4240" s="55"/>
      <c r="J4240" s="55"/>
      <c r="K4240" s="55"/>
      <c r="L4240" s="55"/>
      <c r="M4240" s="55"/>
      <c r="N4240" s="55"/>
      <c r="O4240" s="55"/>
      <c r="P4240" s="55"/>
      <c r="Q4240" s="55"/>
      <c r="R4240" s="55"/>
      <c r="S4240" s="55"/>
      <c r="T4240" s="55"/>
      <c r="U4240" s="55"/>
      <c r="V4240" s="55"/>
      <c r="W4240" s="55"/>
      <c r="X4240" s="55"/>
      <c r="Y4240" s="55"/>
      <c r="Z4240" s="55"/>
      <c r="AA4240" s="55"/>
      <c r="AB4240" s="22">
        <f t="shared" si="1394"/>
        <v>0</v>
      </c>
      <c r="AC4240" s="23">
        <v>0</v>
      </c>
      <c r="AD4240" s="56"/>
      <c r="AE4240" s="56"/>
      <c r="AF4240" s="56"/>
      <c r="AG4240" s="56"/>
      <c r="AH4240" s="56"/>
      <c r="AI4240" s="56"/>
      <c r="AJ4240" s="56"/>
      <c r="AK4240" s="56"/>
      <c r="AL4240" s="285"/>
      <c r="AM4240" s="56"/>
      <c r="AN4240" s="56"/>
      <c r="AO4240" s="56"/>
      <c r="AP4240" s="56"/>
      <c r="AQ4240" s="56"/>
      <c r="AR4240" s="56"/>
      <c r="AS4240" s="56"/>
      <c r="AT4240" s="56"/>
      <c r="AU4240" s="56"/>
      <c r="AV4240" s="56"/>
      <c r="AW4240" s="56"/>
      <c r="AX4240" s="56"/>
      <c r="AY4240" s="56"/>
      <c r="AZ4240" s="56"/>
      <c r="BA4240" s="56"/>
      <c r="BB4240" s="22">
        <f t="shared" si="1395"/>
        <v>0</v>
      </c>
      <c r="BC4240" s="23">
        <v>3232</v>
      </c>
      <c r="BD4240" s="130">
        <f t="shared" si="1396"/>
        <v>0</v>
      </c>
      <c r="BE4240" s="130">
        <f t="shared" si="1386"/>
        <v>3232</v>
      </c>
      <c r="BF4240" s="195">
        <f t="shared" si="1397"/>
        <v>0</v>
      </c>
      <c r="BG4240" s="373">
        <f>BE4240-BD4240</f>
        <v>3232</v>
      </c>
    </row>
    <row r="4241" spans="1:61" s="46" customFormat="1" ht="14.25" customHeight="1">
      <c r="A4241" s="453">
        <v>22</v>
      </c>
      <c r="B4241" s="584" t="s">
        <v>1777</v>
      </c>
      <c r="C4241" s="588" t="s">
        <v>1778</v>
      </c>
      <c r="D4241" s="585"/>
      <c r="E4241" s="585"/>
      <c r="F4241" s="585"/>
      <c r="G4241" s="585"/>
      <c r="H4241" s="585"/>
      <c r="I4241" s="585"/>
      <c r="J4241" s="585"/>
      <c r="K4241" s="585"/>
      <c r="L4241" s="585"/>
      <c r="M4241" s="585"/>
      <c r="N4241" s="585"/>
      <c r="O4241" s="585"/>
      <c r="P4241" s="585"/>
      <c r="Q4241" s="585"/>
      <c r="R4241" s="585"/>
      <c r="S4241" s="585"/>
      <c r="T4241" s="585"/>
      <c r="U4241" s="585"/>
      <c r="V4241" s="585"/>
      <c r="W4241" s="585"/>
      <c r="X4241" s="585"/>
      <c r="Y4241" s="585"/>
      <c r="Z4241" s="585"/>
      <c r="AA4241" s="585"/>
      <c r="AB4241" s="22">
        <f t="shared" si="1394"/>
        <v>0</v>
      </c>
      <c r="AC4241" s="23">
        <v>0</v>
      </c>
      <c r="AD4241" s="586"/>
      <c r="AE4241" s="586"/>
      <c r="AF4241" s="586"/>
      <c r="AG4241" s="586"/>
      <c r="AH4241" s="586"/>
      <c r="AI4241" s="586"/>
      <c r="AJ4241" s="586"/>
      <c r="AK4241" s="586"/>
      <c r="AL4241" s="587"/>
      <c r="AM4241" s="586"/>
      <c r="AN4241" s="586"/>
      <c r="AO4241" s="586"/>
      <c r="AP4241" s="586">
        <v>1</v>
      </c>
      <c r="AQ4241" s="586"/>
      <c r="AR4241" s="586"/>
      <c r="AS4241" s="586"/>
      <c r="AT4241" s="586"/>
      <c r="AU4241" s="586"/>
      <c r="AV4241" s="586"/>
      <c r="AW4241" s="586"/>
      <c r="AX4241" s="586"/>
      <c r="AY4241" s="586"/>
      <c r="AZ4241" s="586"/>
      <c r="BA4241" s="586"/>
      <c r="BB4241" s="22">
        <f t="shared" si="1395"/>
        <v>1</v>
      </c>
      <c r="BC4241" s="23">
        <v>0</v>
      </c>
      <c r="BD4241" s="130">
        <f t="shared" si="1396"/>
        <v>1</v>
      </c>
      <c r="BE4241" s="130">
        <f t="shared" si="1386"/>
        <v>0</v>
      </c>
      <c r="BF4241" s="195" t="e">
        <f t="shared" si="1397"/>
        <v>#DIV/0!</v>
      </c>
      <c r="BG4241" s="373"/>
    </row>
    <row r="4242" spans="1:61" s="46" customFormat="1" ht="14.25" customHeight="1">
      <c r="A4242" s="453">
        <v>23</v>
      </c>
      <c r="B4242" s="461" t="s">
        <v>1665</v>
      </c>
      <c r="C4242" s="462" t="s">
        <v>3110</v>
      </c>
      <c r="D4242" s="55"/>
      <c r="E4242" s="55"/>
      <c r="F4242" s="55"/>
      <c r="G4242" s="55"/>
      <c r="H4242" s="55"/>
      <c r="I4242" s="55"/>
      <c r="J4242" s="55"/>
      <c r="K4242" s="55"/>
      <c r="L4242" s="55"/>
      <c r="M4242" s="55"/>
      <c r="N4242" s="55"/>
      <c r="O4242" s="55"/>
      <c r="P4242" s="55"/>
      <c r="Q4242" s="55"/>
      <c r="R4242" s="55"/>
      <c r="S4242" s="55"/>
      <c r="T4242" s="55"/>
      <c r="U4242" s="55"/>
      <c r="V4242" s="55"/>
      <c r="W4242" s="55"/>
      <c r="X4242" s="55"/>
      <c r="Y4242" s="55"/>
      <c r="Z4242" s="55"/>
      <c r="AA4242" s="55"/>
      <c r="AB4242" s="22">
        <f t="shared" si="1394"/>
        <v>0</v>
      </c>
      <c r="AC4242" s="23">
        <v>0</v>
      </c>
      <c r="AD4242" s="56"/>
      <c r="AE4242" s="56"/>
      <c r="AF4242" s="56"/>
      <c r="AG4242" s="56"/>
      <c r="AH4242" s="56">
        <v>52</v>
      </c>
      <c r="AI4242" s="56"/>
      <c r="AJ4242" s="56"/>
      <c r="AK4242" s="56"/>
      <c r="AL4242" s="56">
        <v>194</v>
      </c>
      <c r="AM4242" s="56"/>
      <c r="AN4242" s="56"/>
      <c r="AO4242" s="56"/>
      <c r="AP4242" s="56">
        <v>74</v>
      </c>
      <c r="AQ4242" s="56"/>
      <c r="AR4242" s="56"/>
      <c r="AS4242" s="56"/>
      <c r="AT4242" s="56"/>
      <c r="AU4242" s="56"/>
      <c r="AV4242" s="56"/>
      <c r="AW4242" s="56"/>
      <c r="AX4242" s="56"/>
      <c r="AY4242" s="56"/>
      <c r="AZ4242" s="56"/>
      <c r="BA4242" s="56"/>
      <c r="BB4242" s="22">
        <f t="shared" si="1395"/>
        <v>320</v>
      </c>
      <c r="BC4242" s="23">
        <v>116</v>
      </c>
      <c r="BD4242" s="130">
        <f t="shared" si="1396"/>
        <v>320</v>
      </c>
      <c r="BE4242" s="130">
        <f t="shared" si="1386"/>
        <v>116</v>
      </c>
      <c r="BF4242" s="195">
        <f t="shared" si="1397"/>
        <v>275.86206896551727</v>
      </c>
      <c r="BG4242" s="373">
        <f>BE4242-BD4242</f>
        <v>-204</v>
      </c>
    </row>
    <row r="4243" spans="1:61" s="46" customFormat="1" ht="14.25" customHeight="1">
      <c r="A4243" s="453">
        <v>24</v>
      </c>
      <c r="B4243" s="454" t="s">
        <v>1665</v>
      </c>
      <c r="C4243" s="455" t="s">
        <v>1666</v>
      </c>
      <c r="D4243" s="55"/>
      <c r="E4243" s="55"/>
      <c r="F4243" s="55"/>
      <c r="G4243" s="55"/>
      <c r="H4243" s="55"/>
      <c r="I4243" s="55"/>
      <c r="J4243" s="55"/>
      <c r="K4243" s="55"/>
      <c r="L4243" s="55"/>
      <c r="M4243" s="55"/>
      <c r="N4243" s="55"/>
      <c r="O4243" s="55"/>
      <c r="P4243" s="55"/>
      <c r="Q4243" s="55"/>
      <c r="R4243" s="55"/>
      <c r="S4243" s="55"/>
      <c r="T4243" s="55"/>
      <c r="U4243" s="55"/>
      <c r="V4243" s="55"/>
      <c r="W4243" s="55"/>
      <c r="X4243" s="55"/>
      <c r="Y4243" s="55"/>
      <c r="Z4243" s="55"/>
      <c r="AA4243" s="55"/>
      <c r="AB4243" s="22">
        <f t="shared" si="1394"/>
        <v>0</v>
      </c>
      <c r="AC4243" s="23">
        <v>0</v>
      </c>
      <c r="AD4243" s="56"/>
      <c r="AE4243" s="56"/>
      <c r="AF4243" s="56"/>
      <c r="AG4243" s="56"/>
      <c r="AH4243" s="56"/>
      <c r="AI4243" s="56"/>
      <c r="AJ4243" s="56"/>
      <c r="AK4243" s="56"/>
      <c r="AL4243" s="285"/>
      <c r="AM4243" s="56"/>
      <c r="AN4243" s="56"/>
      <c r="AO4243" s="56"/>
      <c r="AP4243" s="56"/>
      <c r="AQ4243" s="56"/>
      <c r="AR4243" s="56"/>
      <c r="AS4243" s="56"/>
      <c r="AT4243" s="56"/>
      <c r="AU4243" s="56"/>
      <c r="AV4243" s="56"/>
      <c r="AW4243" s="56"/>
      <c r="AX4243" s="56"/>
      <c r="AY4243" s="56"/>
      <c r="AZ4243" s="56"/>
      <c r="BA4243" s="56"/>
      <c r="BB4243" s="22">
        <f t="shared" si="1395"/>
        <v>0</v>
      </c>
      <c r="BC4243" s="23">
        <v>4498</v>
      </c>
      <c r="BD4243" s="130">
        <f t="shared" si="1396"/>
        <v>0</v>
      </c>
      <c r="BE4243" s="130">
        <f t="shared" si="1386"/>
        <v>4498</v>
      </c>
      <c r="BF4243" s="195">
        <f t="shared" si="1397"/>
        <v>0</v>
      </c>
      <c r="BG4243" s="373">
        <f>BE4243-BD4243</f>
        <v>4498</v>
      </c>
    </row>
    <row r="4244" spans="1:61" s="46" customFormat="1" ht="14.25" customHeight="1">
      <c r="A4244" s="453">
        <v>25</v>
      </c>
      <c r="B4244" s="53" t="s">
        <v>1767</v>
      </c>
      <c r="C4244" s="54" t="s">
        <v>1843</v>
      </c>
      <c r="D4244" s="55"/>
      <c r="E4244" s="55"/>
      <c r="F4244" s="55"/>
      <c r="G4244" s="55"/>
      <c r="H4244" s="55"/>
      <c r="I4244" s="55"/>
      <c r="J4244" s="55"/>
      <c r="K4244" s="55"/>
      <c r="L4244" s="55"/>
      <c r="M4244" s="55"/>
      <c r="N4244" s="55"/>
      <c r="O4244" s="55"/>
      <c r="P4244" s="55"/>
      <c r="Q4244" s="55"/>
      <c r="R4244" s="55"/>
      <c r="S4244" s="55"/>
      <c r="T4244" s="55"/>
      <c r="U4244" s="55"/>
      <c r="V4244" s="55"/>
      <c r="W4244" s="55"/>
      <c r="X4244" s="55"/>
      <c r="Y4244" s="55"/>
      <c r="Z4244" s="55"/>
      <c r="AA4244" s="55"/>
      <c r="AB4244" s="22">
        <f t="shared" si="1394"/>
        <v>0</v>
      </c>
      <c r="AC4244" s="23">
        <v>0</v>
      </c>
      <c r="AD4244" s="56"/>
      <c r="AE4244" s="56"/>
      <c r="AF4244" s="56"/>
      <c r="AG4244" s="56"/>
      <c r="AH4244" s="56">
        <v>170</v>
      </c>
      <c r="AI4244" s="56"/>
      <c r="AJ4244" s="56"/>
      <c r="AK4244" s="56"/>
      <c r="AL4244" s="285">
        <v>601</v>
      </c>
      <c r="AM4244" s="56"/>
      <c r="AN4244" s="56"/>
      <c r="AO4244" s="56"/>
      <c r="AP4244" s="56">
        <v>634</v>
      </c>
      <c r="AQ4244" s="56"/>
      <c r="AR4244" s="56"/>
      <c r="AS4244" s="56"/>
      <c r="AT4244" s="56"/>
      <c r="AU4244" s="56"/>
      <c r="AV4244" s="56"/>
      <c r="AW4244" s="56"/>
      <c r="AX4244" s="56"/>
      <c r="AY4244" s="56"/>
      <c r="AZ4244" s="56"/>
      <c r="BA4244" s="56"/>
      <c r="BB4244" s="22">
        <f t="shared" si="1395"/>
        <v>1405</v>
      </c>
      <c r="BC4244" s="23">
        <v>3573</v>
      </c>
      <c r="BD4244" s="130">
        <f t="shared" si="1396"/>
        <v>1405</v>
      </c>
      <c r="BE4244" s="130">
        <f t="shared" si="1386"/>
        <v>3573</v>
      </c>
      <c r="BF4244" s="195">
        <f t="shared" si="1397"/>
        <v>39.322698012874334</v>
      </c>
      <c r="BG4244" s="373">
        <f>BE4244-BD4244</f>
        <v>2168</v>
      </c>
    </row>
    <row r="4245" spans="1:61" s="46" customFormat="1" ht="14.25" customHeight="1">
      <c r="A4245" s="453">
        <v>26</v>
      </c>
      <c r="B4245" s="53" t="s">
        <v>1844</v>
      </c>
      <c r="C4245" s="57" t="s">
        <v>1770</v>
      </c>
      <c r="D4245" s="55"/>
      <c r="E4245" s="55"/>
      <c r="F4245" s="55"/>
      <c r="G4245" s="55"/>
      <c r="H4245" s="55"/>
      <c r="I4245" s="55"/>
      <c r="J4245" s="55"/>
      <c r="K4245" s="55"/>
      <c r="L4245" s="55"/>
      <c r="M4245" s="55"/>
      <c r="N4245" s="55"/>
      <c r="O4245" s="55"/>
      <c r="P4245" s="55"/>
      <c r="Q4245" s="55"/>
      <c r="R4245" s="55"/>
      <c r="S4245" s="55"/>
      <c r="T4245" s="55"/>
      <c r="U4245" s="55"/>
      <c r="V4245" s="55"/>
      <c r="W4245" s="55"/>
      <c r="X4245" s="55"/>
      <c r="Y4245" s="55"/>
      <c r="Z4245" s="55"/>
      <c r="AA4245" s="55"/>
      <c r="AB4245" s="22">
        <f t="shared" si="1394"/>
        <v>0</v>
      </c>
      <c r="AC4245" s="23">
        <v>0</v>
      </c>
      <c r="AD4245" s="56"/>
      <c r="AE4245" s="56"/>
      <c r="AF4245" s="56"/>
      <c r="AG4245" s="56"/>
      <c r="AH4245" s="56"/>
      <c r="AI4245" s="56"/>
      <c r="AJ4245" s="56"/>
      <c r="AK4245" s="56"/>
      <c r="AL4245" s="285">
        <v>1</v>
      </c>
      <c r="AM4245" s="56"/>
      <c r="AN4245" s="56"/>
      <c r="AO4245" s="56"/>
      <c r="AP4245" s="56"/>
      <c r="AQ4245" s="56"/>
      <c r="AR4245" s="56"/>
      <c r="AS4245" s="56"/>
      <c r="AT4245" s="56"/>
      <c r="AU4245" s="56"/>
      <c r="AV4245" s="56"/>
      <c r="AW4245" s="56"/>
      <c r="AX4245" s="56"/>
      <c r="AY4245" s="56"/>
      <c r="AZ4245" s="56"/>
      <c r="BA4245" s="56"/>
      <c r="BB4245" s="22">
        <f t="shared" si="1395"/>
        <v>1</v>
      </c>
      <c r="BC4245" s="23">
        <v>98</v>
      </c>
      <c r="BD4245" s="130">
        <f t="shared" si="1396"/>
        <v>1</v>
      </c>
      <c r="BE4245" s="130">
        <f t="shared" si="1386"/>
        <v>98</v>
      </c>
      <c r="BF4245" s="195">
        <f t="shared" si="1397"/>
        <v>1.0204081632653061</v>
      </c>
      <c r="BG4245" s="373">
        <f>BE4245-BD4245</f>
        <v>97</v>
      </c>
    </row>
    <row r="4246" spans="1:61" s="46" customFormat="1" ht="14.25" customHeight="1">
      <c r="A4246" s="453">
        <v>27</v>
      </c>
      <c r="B4246" s="53" t="s">
        <v>1771</v>
      </c>
      <c r="C4246" s="57" t="s">
        <v>1772</v>
      </c>
      <c r="D4246" s="55"/>
      <c r="E4246" s="55"/>
      <c r="F4246" s="55"/>
      <c r="G4246" s="55"/>
      <c r="H4246" s="55"/>
      <c r="I4246" s="55"/>
      <c r="J4246" s="55"/>
      <c r="K4246" s="55"/>
      <c r="L4246" s="55"/>
      <c r="M4246" s="55"/>
      <c r="N4246" s="55"/>
      <c r="O4246" s="55"/>
      <c r="P4246" s="55"/>
      <c r="Q4246" s="55"/>
      <c r="R4246" s="55"/>
      <c r="S4246" s="55"/>
      <c r="T4246" s="55"/>
      <c r="U4246" s="55"/>
      <c r="V4246" s="55"/>
      <c r="W4246" s="55"/>
      <c r="X4246" s="55"/>
      <c r="Y4246" s="55"/>
      <c r="Z4246" s="55"/>
      <c r="AA4246" s="55"/>
      <c r="AB4246" s="22">
        <f t="shared" si="1394"/>
        <v>0</v>
      </c>
      <c r="AC4246" s="23">
        <v>0</v>
      </c>
      <c r="AD4246" s="56"/>
      <c r="AE4246" s="56"/>
      <c r="AF4246" s="56"/>
      <c r="AG4246" s="56"/>
      <c r="AH4246" s="56"/>
      <c r="AI4246" s="56"/>
      <c r="AJ4246" s="56"/>
      <c r="AK4246" s="56"/>
      <c r="AL4246" s="285"/>
      <c r="AM4246" s="56"/>
      <c r="AN4246" s="56"/>
      <c r="AO4246" s="56"/>
      <c r="AP4246" s="56">
        <v>17</v>
      </c>
      <c r="AQ4246" s="56"/>
      <c r="AR4246" s="56"/>
      <c r="AS4246" s="56"/>
      <c r="AT4246" s="56"/>
      <c r="AU4246" s="56"/>
      <c r="AV4246" s="56"/>
      <c r="AW4246" s="56"/>
      <c r="AX4246" s="56"/>
      <c r="AY4246" s="56"/>
      <c r="AZ4246" s="56"/>
      <c r="BA4246" s="56"/>
      <c r="BB4246" s="22">
        <f t="shared" si="1395"/>
        <v>17</v>
      </c>
      <c r="BC4246" s="23">
        <v>0</v>
      </c>
      <c r="BD4246" s="130">
        <f t="shared" si="1396"/>
        <v>17</v>
      </c>
      <c r="BE4246" s="130">
        <f t="shared" si="1386"/>
        <v>0</v>
      </c>
      <c r="BF4246" s="195" t="e">
        <f t="shared" si="1397"/>
        <v>#DIV/0!</v>
      </c>
      <c r="BG4246" s="373"/>
    </row>
    <row r="4247" spans="1:61" s="46" customFormat="1" ht="14.25" customHeight="1">
      <c r="A4247" s="453">
        <v>28</v>
      </c>
      <c r="B4247" s="456" t="s">
        <v>1795</v>
      </c>
      <c r="C4247" s="457" t="s">
        <v>3109</v>
      </c>
      <c r="D4247" s="55"/>
      <c r="E4247" s="55"/>
      <c r="F4247" s="55"/>
      <c r="G4247" s="55"/>
      <c r="H4247" s="55"/>
      <c r="I4247" s="55"/>
      <c r="J4247" s="55"/>
      <c r="K4247" s="55"/>
      <c r="L4247" s="55"/>
      <c r="M4247" s="55"/>
      <c r="N4247" s="55"/>
      <c r="O4247" s="55"/>
      <c r="P4247" s="55"/>
      <c r="Q4247" s="55"/>
      <c r="R4247" s="55"/>
      <c r="S4247" s="55"/>
      <c r="T4247" s="55"/>
      <c r="U4247" s="55"/>
      <c r="V4247" s="55"/>
      <c r="W4247" s="55"/>
      <c r="X4247" s="55"/>
      <c r="Y4247" s="55"/>
      <c r="Z4247" s="55"/>
      <c r="AA4247" s="55"/>
      <c r="AB4247" s="22">
        <f t="shared" si="1394"/>
        <v>0</v>
      </c>
      <c r="AC4247" s="23">
        <v>0</v>
      </c>
      <c r="AD4247" s="56"/>
      <c r="AE4247" s="56"/>
      <c r="AF4247" s="56"/>
      <c r="AG4247" s="56"/>
      <c r="AH4247" s="56">
        <v>125</v>
      </c>
      <c r="AI4247" s="56"/>
      <c r="AJ4247" s="56"/>
      <c r="AK4247" s="56"/>
      <c r="AL4247" s="56">
        <v>533</v>
      </c>
      <c r="AM4247" s="56"/>
      <c r="AN4247" s="56"/>
      <c r="AO4247" s="56"/>
      <c r="AP4247" s="56"/>
      <c r="AQ4247" s="56"/>
      <c r="AR4247" s="56"/>
      <c r="AS4247" s="56"/>
      <c r="AT4247" s="56"/>
      <c r="AU4247" s="56"/>
      <c r="AV4247" s="56"/>
      <c r="AW4247" s="56"/>
      <c r="AX4247" s="56"/>
      <c r="AY4247" s="56"/>
      <c r="AZ4247" s="56"/>
      <c r="BA4247" s="56"/>
      <c r="BB4247" s="22">
        <f t="shared" si="1395"/>
        <v>658</v>
      </c>
      <c r="BC4247" s="23">
        <v>56</v>
      </c>
      <c r="BD4247" s="130">
        <f t="shared" si="1396"/>
        <v>658</v>
      </c>
      <c r="BE4247" s="130">
        <f t="shared" si="1386"/>
        <v>56</v>
      </c>
      <c r="BF4247" s="195">
        <f t="shared" si="1397"/>
        <v>1175</v>
      </c>
      <c r="BG4247" s="373">
        <f>BE4247-BD4247</f>
        <v>-602</v>
      </c>
    </row>
    <row r="4248" spans="1:61" s="46" customFormat="1" ht="14.25" customHeight="1">
      <c r="A4248" s="453">
        <v>29</v>
      </c>
      <c r="B4248" s="53" t="s">
        <v>1795</v>
      </c>
      <c r="C4248" s="57" t="s">
        <v>1796</v>
      </c>
      <c r="D4248" s="55"/>
      <c r="E4248" s="55"/>
      <c r="F4248" s="55"/>
      <c r="G4248" s="55"/>
      <c r="H4248" s="55"/>
      <c r="I4248" s="55"/>
      <c r="J4248" s="55"/>
      <c r="K4248" s="55"/>
      <c r="L4248" s="55"/>
      <c r="M4248" s="55"/>
      <c r="N4248" s="55"/>
      <c r="O4248" s="55"/>
      <c r="P4248" s="55"/>
      <c r="Q4248" s="55"/>
      <c r="R4248" s="55"/>
      <c r="S4248" s="55"/>
      <c r="T4248" s="55"/>
      <c r="U4248" s="55"/>
      <c r="V4248" s="55"/>
      <c r="W4248" s="55"/>
      <c r="X4248" s="55"/>
      <c r="Y4248" s="55"/>
      <c r="Z4248" s="55"/>
      <c r="AA4248" s="55"/>
      <c r="AB4248" s="22">
        <f t="shared" si="1394"/>
        <v>0</v>
      </c>
      <c r="AC4248" s="23">
        <v>0</v>
      </c>
      <c r="AD4248" s="56"/>
      <c r="AE4248" s="56"/>
      <c r="AF4248" s="56"/>
      <c r="AG4248" s="56"/>
      <c r="AH4248" s="56"/>
      <c r="AI4248" s="56"/>
      <c r="AJ4248" s="56"/>
      <c r="AK4248" s="56"/>
      <c r="AL4248" s="285"/>
      <c r="AM4248" s="56"/>
      <c r="AN4248" s="56"/>
      <c r="AO4248" s="56"/>
      <c r="AP4248" s="56">
        <v>440</v>
      </c>
      <c r="AQ4248" s="56"/>
      <c r="AR4248" s="56"/>
      <c r="AS4248" s="56"/>
      <c r="AT4248" s="56"/>
      <c r="AU4248" s="56"/>
      <c r="AV4248" s="56"/>
      <c r="AW4248" s="56"/>
      <c r="AX4248" s="56"/>
      <c r="AY4248" s="56"/>
      <c r="AZ4248" s="56"/>
      <c r="BA4248" s="56"/>
      <c r="BB4248" s="22">
        <f t="shared" si="1395"/>
        <v>440</v>
      </c>
      <c r="BC4248" s="23">
        <v>1186</v>
      </c>
      <c r="BD4248" s="130">
        <f t="shared" si="1396"/>
        <v>440</v>
      </c>
      <c r="BE4248" s="130">
        <f t="shared" si="1386"/>
        <v>1186</v>
      </c>
      <c r="BF4248" s="195">
        <f t="shared" si="1397"/>
        <v>37.099494097807757</v>
      </c>
      <c r="BG4248" s="373">
        <f>BE4248-BD4248</f>
        <v>746</v>
      </c>
    </row>
    <row r="4249" spans="1:61" s="46" customFormat="1" ht="14.25" customHeight="1">
      <c r="A4249" s="453">
        <v>30</v>
      </c>
      <c r="B4249" s="53" t="s">
        <v>1773</v>
      </c>
      <c r="C4249" s="57" t="s">
        <v>1797</v>
      </c>
      <c r="D4249" s="55"/>
      <c r="E4249" s="55"/>
      <c r="F4249" s="55"/>
      <c r="G4249" s="55"/>
      <c r="H4249" s="55"/>
      <c r="I4249" s="55"/>
      <c r="J4249" s="55"/>
      <c r="K4249" s="55"/>
      <c r="L4249" s="55"/>
      <c r="M4249" s="55"/>
      <c r="N4249" s="55"/>
      <c r="O4249" s="55"/>
      <c r="P4249" s="55"/>
      <c r="Q4249" s="55"/>
      <c r="R4249" s="55"/>
      <c r="S4249" s="55"/>
      <c r="T4249" s="55"/>
      <c r="U4249" s="55"/>
      <c r="V4249" s="55"/>
      <c r="W4249" s="55"/>
      <c r="X4249" s="55"/>
      <c r="Y4249" s="55"/>
      <c r="Z4249" s="55"/>
      <c r="AA4249" s="55"/>
      <c r="AB4249" s="22">
        <f t="shared" si="1394"/>
        <v>0</v>
      </c>
      <c r="AC4249" s="23">
        <v>0</v>
      </c>
      <c r="AD4249" s="56"/>
      <c r="AE4249" s="56"/>
      <c r="AF4249" s="56"/>
      <c r="AG4249" s="56"/>
      <c r="AH4249" s="56"/>
      <c r="AI4249" s="56"/>
      <c r="AJ4249" s="56"/>
      <c r="AK4249" s="56"/>
      <c r="AL4249" s="56"/>
      <c r="AM4249" s="56"/>
      <c r="AN4249" s="56"/>
      <c r="AO4249" s="56"/>
      <c r="AP4249" s="56"/>
      <c r="AQ4249" s="56"/>
      <c r="AR4249" s="56"/>
      <c r="AS4249" s="56"/>
      <c r="AT4249" s="56"/>
      <c r="AU4249" s="56"/>
      <c r="AV4249" s="56"/>
      <c r="AW4249" s="56"/>
      <c r="AX4249" s="56"/>
      <c r="AY4249" s="56"/>
      <c r="AZ4249" s="56"/>
      <c r="BA4249" s="56"/>
      <c r="BB4249" s="22">
        <f t="shared" si="1395"/>
        <v>0</v>
      </c>
      <c r="BC4249" s="23">
        <v>2</v>
      </c>
      <c r="BD4249" s="130">
        <f t="shared" si="1396"/>
        <v>0</v>
      </c>
      <c r="BE4249" s="130">
        <f t="shared" si="1386"/>
        <v>2</v>
      </c>
      <c r="BF4249" s="195">
        <f t="shared" si="1397"/>
        <v>0</v>
      </c>
      <c r="BG4249" s="373">
        <f>BE4249-BD4249</f>
        <v>2</v>
      </c>
    </row>
    <row r="4250" spans="1:61" s="46" customFormat="1" ht="14.25" customHeight="1">
      <c r="A4250" s="648" t="s">
        <v>1845</v>
      </c>
      <c r="B4250" s="649"/>
      <c r="C4250" s="649"/>
      <c r="D4250" s="52">
        <f t="shared" ref="D4250:AI4250" si="1398">SUM(D4251:D4269)</f>
        <v>614</v>
      </c>
      <c r="E4250" s="52">
        <f t="shared" si="1398"/>
        <v>0</v>
      </c>
      <c r="F4250" s="52">
        <f t="shared" si="1398"/>
        <v>0</v>
      </c>
      <c r="G4250" s="52">
        <f t="shared" si="1398"/>
        <v>0</v>
      </c>
      <c r="H4250" s="52">
        <f t="shared" si="1398"/>
        <v>453</v>
      </c>
      <c r="I4250" s="52">
        <f t="shared" si="1398"/>
        <v>0</v>
      </c>
      <c r="J4250" s="52">
        <f t="shared" si="1398"/>
        <v>0</v>
      </c>
      <c r="K4250" s="52">
        <f t="shared" si="1398"/>
        <v>0</v>
      </c>
      <c r="L4250" s="52">
        <f t="shared" si="1398"/>
        <v>792</v>
      </c>
      <c r="M4250" s="52">
        <f t="shared" si="1398"/>
        <v>0</v>
      </c>
      <c r="N4250" s="52">
        <f t="shared" si="1398"/>
        <v>0</v>
      </c>
      <c r="O4250" s="52">
        <f t="shared" si="1398"/>
        <v>0</v>
      </c>
      <c r="P4250" s="52">
        <f t="shared" si="1398"/>
        <v>84</v>
      </c>
      <c r="Q4250" s="52">
        <f t="shared" si="1398"/>
        <v>0</v>
      </c>
      <c r="R4250" s="52">
        <f t="shared" si="1398"/>
        <v>0</v>
      </c>
      <c r="S4250" s="52">
        <f t="shared" si="1398"/>
        <v>0</v>
      </c>
      <c r="T4250" s="52">
        <f t="shared" si="1398"/>
        <v>0</v>
      </c>
      <c r="U4250" s="52">
        <f t="shared" si="1398"/>
        <v>0</v>
      </c>
      <c r="V4250" s="52">
        <f t="shared" si="1398"/>
        <v>0</v>
      </c>
      <c r="W4250" s="52">
        <f t="shared" si="1398"/>
        <v>0</v>
      </c>
      <c r="X4250" s="52">
        <f t="shared" si="1398"/>
        <v>0</v>
      </c>
      <c r="Y4250" s="52">
        <f t="shared" si="1398"/>
        <v>0</v>
      </c>
      <c r="Z4250" s="52">
        <f t="shared" si="1398"/>
        <v>0</v>
      </c>
      <c r="AA4250" s="52">
        <f t="shared" si="1398"/>
        <v>0</v>
      </c>
      <c r="AB4250" s="52">
        <f t="shared" si="1398"/>
        <v>1943</v>
      </c>
      <c r="AC4250" s="127">
        <f t="shared" si="1398"/>
        <v>148</v>
      </c>
      <c r="AD4250" s="52">
        <f t="shared" si="1398"/>
        <v>81</v>
      </c>
      <c r="AE4250" s="52">
        <f t="shared" si="1398"/>
        <v>0</v>
      </c>
      <c r="AF4250" s="52">
        <f t="shared" si="1398"/>
        <v>0</v>
      </c>
      <c r="AG4250" s="52">
        <f t="shared" si="1398"/>
        <v>0</v>
      </c>
      <c r="AH4250" s="52">
        <f t="shared" si="1398"/>
        <v>78</v>
      </c>
      <c r="AI4250" s="52">
        <f t="shared" si="1398"/>
        <v>0</v>
      </c>
      <c r="AJ4250" s="52">
        <f t="shared" ref="AJ4250:BC4250" si="1399">SUM(AJ4251:AJ4269)</f>
        <v>0</v>
      </c>
      <c r="AK4250" s="52">
        <f t="shared" si="1399"/>
        <v>0</v>
      </c>
      <c r="AL4250" s="52">
        <f t="shared" si="1399"/>
        <v>293</v>
      </c>
      <c r="AM4250" s="52">
        <f t="shared" si="1399"/>
        <v>0</v>
      </c>
      <c r="AN4250" s="52">
        <f t="shared" si="1399"/>
        <v>0</v>
      </c>
      <c r="AO4250" s="52">
        <f t="shared" si="1399"/>
        <v>0</v>
      </c>
      <c r="AP4250" s="52">
        <f t="shared" si="1399"/>
        <v>92</v>
      </c>
      <c r="AQ4250" s="52">
        <f t="shared" si="1399"/>
        <v>0</v>
      </c>
      <c r="AR4250" s="52">
        <f t="shared" si="1399"/>
        <v>0</v>
      </c>
      <c r="AS4250" s="52">
        <f t="shared" si="1399"/>
        <v>0</v>
      </c>
      <c r="AT4250" s="52">
        <f t="shared" si="1399"/>
        <v>0</v>
      </c>
      <c r="AU4250" s="52">
        <f t="shared" si="1399"/>
        <v>0</v>
      </c>
      <c r="AV4250" s="52">
        <f t="shared" si="1399"/>
        <v>0</v>
      </c>
      <c r="AW4250" s="52">
        <f t="shared" si="1399"/>
        <v>0</v>
      </c>
      <c r="AX4250" s="52">
        <f t="shared" si="1399"/>
        <v>0</v>
      </c>
      <c r="AY4250" s="52">
        <f t="shared" si="1399"/>
        <v>0</v>
      </c>
      <c r="AZ4250" s="52">
        <f t="shared" si="1399"/>
        <v>0</v>
      </c>
      <c r="BA4250" s="52">
        <f t="shared" si="1399"/>
        <v>0</v>
      </c>
      <c r="BB4250" s="52">
        <f t="shared" si="1399"/>
        <v>544</v>
      </c>
      <c r="BC4250" s="127">
        <f t="shared" si="1399"/>
        <v>267</v>
      </c>
      <c r="BD4250" s="130">
        <f t="shared" si="1385"/>
        <v>2487</v>
      </c>
      <c r="BE4250" s="130">
        <f t="shared" si="1386"/>
        <v>415</v>
      </c>
      <c r="BF4250" s="195">
        <f t="shared" ref="BF4250:BF4303" si="1400">BD4250/BE4250*100</f>
        <v>599.27710843373495</v>
      </c>
      <c r="BG4250" s="375">
        <f t="shared" ref="BG4250:BG4288" si="1401">BE4250-BD4250</f>
        <v>-2072</v>
      </c>
    </row>
    <row r="4251" spans="1:61" s="46" customFormat="1" ht="21" customHeight="1">
      <c r="A4251" s="417">
        <v>1</v>
      </c>
      <c r="B4251" s="418" t="s">
        <v>1743</v>
      </c>
      <c r="C4251" s="419" t="s">
        <v>1744</v>
      </c>
      <c r="D4251" s="55">
        <v>77</v>
      </c>
      <c r="E4251" s="55"/>
      <c r="F4251" s="55"/>
      <c r="G4251" s="55"/>
      <c r="H4251" s="56">
        <f>39+7</f>
        <v>46</v>
      </c>
      <c r="I4251" s="55"/>
      <c r="J4251" s="55"/>
      <c r="K4251" s="55"/>
      <c r="L4251" s="55">
        <f>83+3</f>
        <v>86</v>
      </c>
      <c r="M4251" s="55"/>
      <c r="N4251" s="55"/>
      <c r="O4251" s="55"/>
      <c r="P4251" s="55">
        <v>2</v>
      </c>
      <c r="Q4251" s="55"/>
      <c r="R4251" s="55"/>
      <c r="S4251" s="55"/>
      <c r="T4251" s="55"/>
      <c r="U4251" s="55"/>
      <c r="V4251" s="55"/>
      <c r="W4251" s="55"/>
      <c r="X4251" s="55"/>
      <c r="Y4251" s="55"/>
      <c r="Z4251" s="55"/>
      <c r="AA4251" s="55"/>
      <c r="AB4251" s="22">
        <f t="shared" ref="AB4251:AB4257" si="1402">SUM(D4251:AA4251)</f>
        <v>211</v>
      </c>
      <c r="AC4251" s="23">
        <v>5</v>
      </c>
      <c r="AD4251" s="56"/>
      <c r="AE4251" s="56"/>
      <c r="AF4251" s="56"/>
      <c r="AG4251" s="56"/>
      <c r="AH4251" s="56"/>
      <c r="AI4251" s="56"/>
      <c r="AJ4251" s="56"/>
      <c r="AK4251" s="56"/>
      <c r="AL4251" s="56"/>
      <c r="AM4251" s="56"/>
      <c r="AN4251" s="56"/>
      <c r="AO4251" s="56"/>
      <c r="AP4251" s="56"/>
      <c r="AQ4251" s="56"/>
      <c r="AR4251" s="56"/>
      <c r="AS4251" s="56"/>
      <c r="AT4251" s="56"/>
      <c r="AU4251" s="56"/>
      <c r="AV4251" s="56"/>
      <c r="AW4251" s="56"/>
      <c r="AX4251" s="56"/>
      <c r="AY4251" s="56"/>
      <c r="AZ4251" s="56"/>
      <c r="BA4251" s="56"/>
      <c r="BB4251" s="22">
        <f t="shared" ref="BB4251:BB4257" si="1403">SUM(AD4251:BA4251)</f>
        <v>0</v>
      </c>
      <c r="BC4251" s="23">
        <v>0</v>
      </c>
      <c r="BD4251" s="130">
        <f t="shared" ref="BD4251:BD4257" si="1404">AB4251+BB4251</f>
        <v>211</v>
      </c>
      <c r="BE4251" s="130">
        <f t="shared" ref="BE4251:BE4257" si="1405">AC4251+BC4251</f>
        <v>5</v>
      </c>
      <c r="BF4251" s="195">
        <f t="shared" ref="BF4251:BF4257" si="1406">BD4251/BE4251*100</f>
        <v>4220</v>
      </c>
      <c r="BG4251" s="373">
        <f>BE4251-BD4251</f>
        <v>-206</v>
      </c>
      <c r="BH4251" s="426" t="s">
        <v>3675</v>
      </c>
      <c r="BI4251" s="420"/>
    </row>
    <row r="4252" spans="1:61" s="46" customFormat="1" ht="21" customHeight="1">
      <c r="A4252" s="417">
        <v>2</v>
      </c>
      <c r="B4252" s="418" t="s">
        <v>1790</v>
      </c>
      <c r="C4252" s="419" t="s">
        <v>1791</v>
      </c>
      <c r="D4252" s="55"/>
      <c r="E4252" s="55"/>
      <c r="F4252" s="55"/>
      <c r="G4252" s="55"/>
      <c r="H4252" s="56"/>
      <c r="I4252" s="55"/>
      <c r="J4252" s="55"/>
      <c r="K4252" s="55"/>
      <c r="L4252" s="55"/>
      <c r="M4252" s="55"/>
      <c r="N4252" s="55"/>
      <c r="O4252" s="55"/>
      <c r="P4252" s="55">
        <v>24</v>
      </c>
      <c r="Q4252" s="55"/>
      <c r="R4252" s="55"/>
      <c r="S4252" s="55"/>
      <c r="T4252" s="55"/>
      <c r="U4252" s="55"/>
      <c r="V4252" s="55"/>
      <c r="W4252" s="55"/>
      <c r="X4252" s="55"/>
      <c r="Y4252" s="55"/>
      <c r="Z4252" s="55"/>
      <c r="AA4252" s="55"/>
      <c r="AB4252" s="22">
        <f t="shared" si="1402"/>
        <v>24</v>
      </c>
      <c r="AC4252" s="23">
        <v>8</v>
      </c>
      <c r="AD4252" s="56"/>
      <c r="AE4252" s="56"/>
      <c r="AF4252" s="56"/>
      <c r="AG4252" s="56"/>
      <c r="AH4252" s="56"/>
      <c r="AI4252" s="56"/>
      <c r="AJ4252" s="56"/>
      <c r="AK4252" s="56"/>
      <c r="AL4252" s="56"/>
      <c r="AM4252" s="56"/>
      <c r="AN4252" s="56"/>
      <c r="AO4252" s="56"/>
      <c r="AP4252" s="56"/>
      <c r="AQ4252" s="56"/>
      <c r="AR4252" s="56"/>
      <c r="AS4252" s="56"/>
      <c r="AT4252" s="56"/>
      <c r="AU4252" s="56"/>
      <c r="AV4252" s="56"/>
      <c r="AW4252" s="56"/>
      <c r="AX4252" s="56"/>
      <c r="AY4252" s="56"/>
      <c r="AZ4252" s="56"/>
      <c r="BA4252" s="56"/>
      <c r="BB4252" s="22">
        <f t="shared" si="1403"/>
        <v>0</v>
      </c>
      <c r="BC4252" s="23">
        <v>0</v>
      </c>
      <c r="BD4252" s="130">
        <f t="shared" si="1404"/>
        <v>24</v>
      </c>
      <c r="BE4252" s="130">
        <f t="shared" si="1405"/>
        <v>8</v>
      </c>
      <c r="BF4252" s="195">
        <f t="shared" si="1406"/>
        <v>300</v>
      </c>
      <c r="BG4252" s="373">
        <f>BE4252-BD4252</f>
        <v>-16</v>
      </c>
      <c r="BH4252" s="426" t="s">
        <v>3675</v>
      </c>
      <c r="BI4252" s="420"/>
    </row>
    <row r="4253" spans="1:61" s="46" customFormat="1" ht="21" customHeight="1">
      <c r="A4253" s="417">
        <v>3</v>
      </c>
      <c r="B4253" s="418" t="s">
        <v>1747</v>
      </c>
      <c r="C4253" s="419" t="s">
        <v>1748</v>
      </c>
      <c r="D4253" s="55">
        <v>74</v>
      </c>
      <c r="E4253" s="55"/>
      <c r="F4253" s="55"/>
      <c r="G4253" s="55"/>
      <c r="H4253" s="56">
        <f>59+6</f>
        <v>65</v>
      </c>
      <c r="I4253" s="55"/>
      <c r="J4253" s="55"/>
      <c r="K4253" s="55"/>
      <c r="L4253" s="55">
        <f>78+111</f>
        <v>189</v>
      </c>
      <c r="M4253" s="55"/>
      <c r="N4253" s="55"/>
      <c r="O4253" s="55"/>
      <c r="P4253" s="55">
        <v>13</v>
      </c>
      <c r="Q4253" s="55"/>
      <c r="R4253" s="55"/>
      <c r="S4253" s="55"/>
      <c r="T4253" s="55"/>
      <c r="U4253" s="55"/>
      <c r="V4253" s="55"/>
      <c r="W4253" s="55"/>
      <c r="X4253" s="55"/>
      <c r="Y4253" s="55"/>
      <c r="Z4253" s="55"/>
      <c r="AA4253" s="55"/>
      <c r="AB4253" s="22">
        <f t="shared" si="1402"/>
        <v>341</v>
      </c>
      <c r="AC4253" s="23">
        <v>65</v>
      </c>
      <c r="AD4253" s="56"/>
      <c r="AE4253" s="56"/>
      <c r="AF4253" s="56"/>
      <c r="AG4253" s="56"/>
      <c r="AH4253" s="56"/>
      <c r="AI4253" s="56"/>
      <c r="AJ4253" s="56"/>
      <c r="AK4253" s="56"/>
      <c r="AL4253" s="56"/>
      <c r="AM4253" s="56"/>
      <c r="AN4253" s="56"/>
      <c r="AO4253" s="56"/>
      <c r="AP4253" s="56"/>
      <c r="AQ4253" s="56"/>
      <c r="AR4253" s="56"/>
      <c r="AS4253" s="56"/>
      <c r="AT4253" s="56"/>
      <c r="AU4253" s="56"/>
      <c r="AV4253" s="56"/>
      <c r="AW4253" s="56"/>
      <c r="AX4253" s="56"/>
      <c r="AY4253" s="56"/>
      <c r="AZ4253" s="56"/>
      <c r="BA4253" s="56"/>
      <c r="BB4253" s="22">
        <f t="shared" si="1403"/>
        <v>0</v>
      </c>
      <c r="BC4253" s="23">
        <v>0</v>
      </c>
      <c r="BD4253" s="130">
        <f t="shared" si="1404"/>
        <v>341</v>
      </c>
      <c r="BE4253" s="130">
        <f t="shared" si="1405"/>
        <v>65</v>
      </c>
      <c r="BF4253" s="195">
        <f t="shared" si="1406"/>
        <v>524.61538461538464</v>
      </c>
      <c r="BG4253" s="373">
        <f>BE4253-BD4253</f>
        <v>-276</v>
      </c>
      <c r="BH4253" s="426" t="s">
        <v>3675</v>
      </c>
      <c r="BI4253" s="420"/>
    </row>
    <row r="4254" spans="1:61" s="46" customFormat="1" ht="21" customHeight="1">
      <c r="A4254" s="417">
        <v>4</v>
      </c>
      <c r="B4254" s="418" t="s">
        <v>1749</v>
      </c>
      <c r="C4254" s="419" t="s">
        <v>1750</v>
      </c>
      <c r="D4254" s="55">
        <v>21</v>
      </c>
      <c r="E4254" s="55"/>
      <c r="F4254" s="55"/>
      <c r="G4254" s="55"/>
      <c r="H4254" s="56">
        <v>7</v>
      </c>
      <c r="I4254" s="55"/>
      <c r="J4254" s="55"/>
      <c r="K4254" s="55"/>
      <c r="L4254" s="55">
        <f>15+30</f>
        <v>45</v>
      </c>
      <c r="M4254" s="55"/>
      <c r="N4254" s="55"/>
      <c r="O4254" s="55"/>
      <c r="P4254" s="55"/>
      <c r="Q4254" s="55"/>
      <c r="R4254" s="55"/>
      <c r="S4254" s="55"/>
      <c r="T4254" s="55"/>
      <c r="U4254" s="55"/>
      <c r="V4254" s="55"/>
      <c r="W4254" s="55"/>
      <c r="X4254" s="55"/>
      <c r="Y4254" s="55"/>
      <c r="Z4254" s="55"/>
      <c r="AA4254" s="55"/>
      <c r="AB4254" s="22">
        <f t="shared" si="1402"/>
        <v>73</v>
      </c>
      <c r="AC4254" s="23">
        <v>0</v>
      </c>
      <c r="AD4254" s="56"/>
      <c r="AE4254" s="56"/>
      <c r="AF4254" s="56"/>
      <c r="AG4254" s="56"/>
      <c r="AH4254" s="56"/>
      <c r="AI4254" s="56"/>
      <c r="AJ4254" s="56"/>
      <c r="AK4254" s="56"/>
      <c r="AL4254" s="56"/>
      <c r="AM4254" s="56"/>
      <c r="AN4254" s="56"/>
      <c r="AO4254" s="56"/>
      <c r="AP4254" s="56"/>
      <c r="AQ4254" s="56"/>
      <c r="AR4254" s="56"/>
      <c r="AS4254" s="56"/>
      <c r="AT4254" s="56"/>
      <c r="AU4254" s="56"/>
      <c r="AV4254" s="56"/>
      <c r="AW4254" s="56"/>
      <c r="AX4254" s="56"/>
      <c r="AY4254" s="56"/>
      <c r="AZ4254" s="56"/>
      <c r="BA4254" s="56"/>
      <c r="BB4254" s="22">
        <f t="shared" si="1403"/>
        <v>0</v>
      </c>
      <c r="BC4254" s="23">
        <v>0</v>
      </c>
      <c r="BD4254" s="130">
        <f t="shared" si="1404"/>
        <v>73</v>
      </c>
      <c r="BE4254" s="130">
        <f t="shared" si="1405"/>
        <v>0</v>
      </c>
      <c r="BF4254" s="195" t="e">
        <f t="shared" si="1406"/>
        <v>#DIV/0!</v>
      </c>
      <c r="BG4254" s="373"/>
      <c r="BH4254" s="426" t="s">
        <v>3675</v>
      </c>
      <c r="BI4254" s="421"/>
    </row>
    <row r="4255" spans="1:61" s="46" customFormat="1" ht="21" customHeight="1">
      <c r="A4255" s="417">
        <v>5</v>
      </c>
      <c r="B4255" s="418" t="s">
        <v>1751</v>
      </c>
      <c r="C4255" s="419" t="s">
        <v>1752</v>
      </c>
      <c r="D4255" s="55"/>
      <c r="E4255" s="55"/>
      <c r="F4255" s="55"/>
      <c r="G4255" s="55"/>
      <c r="H4255" s="56">
        <v>2</v>
      </c>
      <c r="I4255" s="55"/>
      <c r="J4255" s="55"/>
      <c r="K4255" s="55"/>
      <c r="L4255" s="55"/>
      <c r="M4255" s="55"/>
      <c r="N4255" s="55"/>
      <c r="O4255" s="55"/>
      <c r="P4255" s="55"/>
      <c r="Q4255" s="55"/>
      <c r="R4255" s="55"/>
      <c r="S4255" s="55"/>
      <c r="T4255" s="55"/>
      <c r="U4255" s="55"/>
      <c r="V4255" s="55"/>
      <c r="W4255" s="55"/>
      <c r="X4255" s="55"/>
      <c r="Y4255" s="55"/>
      <c r="Z4255" s="55"/>
      <c r="AA4255" s="55"/>
      <c r="AB4255" s="22">
        <f t="shared" si="1402"/>
        <v>2</v>
      </c>
      <c r="AC4255" s="23">
        <v>18</v>
      </c>
      <c r="AD4255" s="56"/>
      <c r="AE4255" s="56"/>
      <c r="AF4255" s="56"/>
      <c r="AG4255" s="56"/>
      <c r="AH4255" s="56"/>
      <c r="AI4255" s="56"/>
      <c r="AJ4255" s="56"/>
      <c r="AK4255" s="56"/>
      <c r="AL4255" s="56"/>
      <c r="AM4255" s="56"/>
      <c r="AN4255" s="56"/>
      <c r="AO4255" s="56"/>
      <c r="AP4255" s="56"/>
      <c r="AQ4255" s="56"/>
      <c r="AR4255" s="56"/>
      <c r="AS4255" s="56"/>
      <c r="AT4255" s="56"/>
      <c r="AU4255" s="56"/>
      <c r="AV4255" s="56"/>
      <c r="AW4255" s="56"/>
      <c r="AX4255" s="56"/>
      <c r="AY4255" s="56"/>
      <c r="AZ4255" s="56"/>
      <c r="BA4255" s="56"/>
      <c r="BB4255" s="22">
        <f t="shared" si="1403"/>
        <v>0</v>
      </c>
      <c r="BC4255" s="23">
        <v>0</v>
      </c>
      <c r="BD4255" s="130">
        <f t="shared" si="1404"/>
        <v>2</v>
      </c>
      <c r="BE4255" s="130">
        <f t="shared" si="1405"/>
        <v>18</v>
      </c>
      <c r="BF4255" s="195">
        <f t="shared" si="1406"/>
        <v>11.111111111111111</v>
      </c>
      <c r="BG4255" s="373">
        <f t="shared" ref="BG4255:BG4257" si="1407">BE4255-BD4255</f>
        <v>16</v>
      </c>
      <c r="BH4255" s="426" t="s">
        <v>3675</v>
      </c>
      <c r="BI4255" s="420"/>
    </row>
    <row r="4256" spans="1:61" s="46" customFormat="1" ht="21" customHeight="1">
      <c r="A4256" s="417">
        <v>6</v>
      </c>
      <c r="B4256" s="418" t="s">
        <v>1753</v>
      </c>
      <c r="C4256" s="419" t="s">
        <v>1754</v>
      </c>
      <c r="D4256" s="55">
        <v>13</v>
      </c>
      <c r="E4256" s="55"/>
      <c r="F4256" s="55"/>
      <c r="G4256" s="55"/>
      <c r="H4256" s="56">
        <v>25</v>
      </c>
      <c r="I4256" s="55"/>
      <c r="J4256" s="55"/>
      <c r="K4256" s="55"/>
      <c r="L4256" s="55">
        <f>26+79</f>
        <v>105</v>
      </c>
      <c r="M4256" s="55"/>
      <c r="N4256" s="55"/>
      <c r="O4256" s="55"/>
      <c r="P4256" s="55">
        <v>32</v>
      </c>
      <c r="Q4256" s="55"/>
      <c r="R4256" s="55"/>
      <c r="S4256" s="55"/>
      <c r="T4256" s="55"/>
      <c r="U4256" s="55"/>
      <c r="V4256" s="55"/>
      <c r="W4256" s="55"/>
      <c r="X4256" s="55"/>
      <c r="Y4256" s="55"/>
      <c r="Z4256" s="55"/>
      <c r="AA4256" s="55"/>
      <c r="AB4256" s="22">
        <f t="shared" si="1402"/>
        <v>175</v>
      </c>
      <c r="AC4256" s="23">
        <v>42</v>
      </c>
      <c r="AD4256" s="56"/>
      <c r="AE4256" s="56"/>
      <c r="AF4256" s="56"/>
      <c r="AG4256" s="56"/>
      <c r="AH4256" s="56"/>
      <c r="AI4256" s="56"/>
      <c r="AJ4256" s="56"/>
      <c r="AK4256" s="56"/>
      <c r="AL4256" s="56"/>
      <c r="AM4256" s="56"/>
      <c r="AN4256" s="56"/>
      <c r="AO4256" s="56"/>
      <c r="AP4256" s="56"/>
      <c r="AQ4256" s="56"/>
      <c r="AR4256" s="56"/>
      <c r="AS4256" s="56"/>
      <c r="AT4256" s="56"/>
      <c r="AU4256" s="56"/>
      <c r="AV4256" s="56"/>
      <c r="AW4256" s="56"/>
      <c r="AX4256" s="56"/>
      <c r="AY4256" s="56"/>
      <c r="AZ4256" s="56"/>
      <c r="BA4256" s="56"/>
      <c r="BB4256" s="22">
        <f t="shared" si="1403"/>
        <v>0</v>
      </c>
      <c r="BC4256" s="23">
        <v>0</v>
      </c>
      <c r="BD4256" s="130">
        <f t="shared" si="1404"/>
        <v>175</v>
      </c>
      <c r="BE4256" s="130">
        <f t="shared" si="1405"/>
        <v>42</v>
      </c>
      <c r="BF4256" s="195">
        <f t="shared" si="1406"/>
        <v>416.66666666666669</v>
      </c>
      <c r="BG4256" s="373">
        <f t="shared" si="1407"/>
        <v>-133</v>
      </c>
      <c r="BH4256" s="426" t="s">
        <v>3675</v>
      </c>
      <c r="BI4256" s="420"/>
    </row>
    <row r="4257" spans="1:61" s="46" customFormat="1" ht="21" customHeight="1">
      <c r="A4257" s="417">
        <v>7</v>
      </c>
      <c r="B4257" s="418" t="s">
        <v>1756</v>
      </c>
      <c r="C4257" s="419" t="s">
        <v>1757</v>
      </c>
      <c r="D4257" s="55">
        <v>429</v>
      </c>
      <c r="E4257" s="55"/>
      <c r="F4257" s="55"/>
      <c r="G4257" s="55"/>
      <c r="H4257" s="56">
        <f>301+7</f>
        <v>308</v>
      </c>
      <c r="I4257" s="55"/>
      <c r="J4257" s="55"/>
      <c r="K4257" s="55"/>
      <c r="L4257" s="55">
        <f>363+4</f>
        <v>367</v>
      </c>
      <c r="M4257" s="55"/>
      <c r="N4257" s="55"/>
      <c r="O4257" s="55"/>
      <c r="P4257" s="55">
        <f>12+1</f>
        <v>13</v>
      </c>
      <c r="Q4257" s="55"/>
      <c r="R4257" s="55"/>
      <c r="S4257" s="55"/>
      <c r="T4257" s="55"/>
      <c r="U4257" s="55"/>
      <c r="V4257" s="55"/>
      <c r="W4257" s="55"/>
      <c r="X4257" s="55"/>
      <c r="Y4257" s="55"/>
      <c r="Z4257" s="55"/>
      <c r="AA4257" s="55"/>
      <c r="AB4257" s="22">
        <f t="shared" si="1402"/>
        <v>1117</v>
      </c>
      <c r="AC4257" s="23">
        <v>10</v>
      </c>
      <c r="AD4257" s="56"/>
      <c r="AE4257" s="56"/>
      <c r="AF4257" s="56"/>
      <c r="AG4257" s="56"/>
      <c r="AH4257" s="56"/>
      <c r="AI4257" s="56"/>
      <c r="AJ4257" s="56"/>
      <c r="AK4257" s="56"/>
      <c r="AL4257" s="56"/>
      <c r="AM4257" s="56"/>
      <c r="AN4257" s="56"/>
      <c r="AO4257" s="56"/>
      <c r="AP4257" s="56"/>
      <c r="AQ4257" s="56"/>
      <c r="AR4257" s="56"/>
      <c r="AS4257" s="56"/>
      <c r="AT4257" s="56"/>
      <c r="AU4257" s="56"/>
      <c r="AV4257" s="56"/>
      <c r="AW4257" s="56"/>
      <c r="AX4257" s="56"/>
      <c r="AY4257" s="56"/>
      <c r="AZ4257" s="56"/>
      <c r="BA4257" s="56"/>
      <c r="BB4257" s="22">
        <f t="shared" si="1403"/>
        <v>0</v>
      </c>
      <c r="BC4257" s="23">
        <v>0</v>
      </c>
      <c r="BD4257" s="130">
        <f t="shared" si="1404"/>
        <v>1117</v>
      </c>
      <c r="BE4257" s="130">
        <f t="shared" si="1405"/>
        <v>10</v>
      </c>
      <c r="BF4257" s="195">
        <f t="shared" si="1406"/>
        <v>11170</v>
      </c>
      <c r="BG4257" s="373">
        <f t="shared" si="1407"/>
        <v>-1107</v>
      </c>
      <c r="BH4257" s="426" t="s">
        <v>3675</v>
      </c>
      <c r="BI4257" s="421"/>
    </row>
    <row r="4258" spans="1:61" s="46" customFormat="1" ht="14.25" customHeight="1">
      <c r="A4258" s="181">
        <v>8</v>
      </c>
      <c r="B4258" s="53" t="s">
        <v>1760</v>
      </c>
      <c r="C4258" s="54" t="s">
        <v>2243</v>
      </c>
      <c r="D4258" s="55"/>
      <c r="E4258" s="55"/>
      <c r="F4258" s="55"/>
      <c r="G4258" s="55"/>
      <c r="H4258" s="55"/>
      <c r="I4258" s="55"/>
      <c r="J4258" s="55"/>
      <c r="K4258" s="55"/>
      <c r="L4258" s="55"/>
      <c r="M4258" s="55"/>
      <c r="N4258" s="55"/>
      <c r="O4258" s="55"/>
      <c r="P4258" s="55"/>
      <c r="Q4258" s="55"/>
      <c r="R4258" s="55"/>
      <c r="S4258" s="55"/>
      <c r="T4258" s="55"/>
      <c r="U4258" s="55"/>
      <c r="V4258" s="55"/>
      <c r="W4258" s="55"/>
      <c r="X4258" s="55"/>
      <c r="Y4258" s="55"/>
      <c r="Z4258" s="55"/>
      <c r="AA4258" s="55"/>
      <c r="AB4258" s="22">
        <f t="shared" ref="AB4258:AB4269" si="1408">SUM(D4258:AA4258)</f>
        <v>0</v>
      </c>
      <c r="AC4258" s="23">
        <v>0</v>
      </c>
      <c r="AD4258" s="56"/>
      <c r="AE4258" s="56"/>
      <c r="AF4258" s="56"/>
      <c r="AG4258" s="56"/>
      <c r="AH4258" s="56"/>
      <c r="AI4258" s="56"/>
      <c r="AJ4258" s="56"/>
      <c r="AK4258" s="56"/>
      <c r="AL4258" s="56"/>
      <c r="AM4258" s="56"/>
      <c r="AN4258" s="56"/>
      <c r="AO4258" s="56"/>
      <c r="AP4258" s="56"/>
      <c r="AQ4258" s="56"/>
      <c r="AR4258" s="56"/>
      <c r="AS4258" s="56"/>
      <c r="AT4258" s="56"/>
      <c r="AU4258" s="56"/>
      <c r="AV4258" s="56"/>
      <c r="AW4258" s="56"/>
      <c r="AX4258" s="56"/>
      <c r="AY4258" s="56"/>
      <c r="AZ4258" s="56"/>
      <c r="BA4258" s="56"/>
      <c r="BB4258" s="22">
        <f t="shared" ref="BB4258:BB4269" si="1409">SUM(AD4258:BA4258)</f>
        <v>0</v>
      </c>
      <c r="BC4258" s="23">
        <v>2</v>
      </c>
      <c r="BD4258" s="130">
        <f t="shared" ref="BD4258:BD4269" si="1410">AB4258+BB4258</f>
        <v>0</v>
      </c>
      <c r="BE4258" s="130">
        <f t="shared" ref="BE4258:BE4269" si="1411">AC4258+BC4258</f>
        <v>2</v>
      </c>
      <c r="BF4258" s="195">
        <f t="shared" ref="BF4258:BF4269" si="1412">BD4258/BE4258*100</f>
        <v>0</v>
      </c>
      <c r="BG4258" s="373">
        <f>BE4258-BD4258</f>
        <v>2</v>
      </c>
    </row>
    <row r="4259" spans="1:61" s="46" customFormat="1" ht="14.25" customHeight="1">
      <c r="A4259" s="181">
        <v>9</v>
      </c>
      <c r="B4259" s="53" t="s">
        <v>2522</v>
      </c>
      <c r="C4259" s="54" t="s">
        <v>2583</v>
      </c>
      <c r="D4259" s="55"/>
      <c r="E4259" s="55"/>
      <c r="F4259" s="55"/>
      <c r="G4259" s="55"/>
      <c r="H4259" s="55"/>
      <c r="I4259" s="55"/>
      <c r="J4259" s="55"/>
      <c r="K4259" s="55"/>
      <c r="L4259" s="55"/>
      <c r="M4259" s="55"/>
      <c r="N4259" s="55"/>
      <c r="O4259" s="55"/>
      <c r="P4259" s="55"/>
      <c r="Q4259" s="55"/>
      <c r="R4259" s="55"/>
      <c r="S4259" s="55"/>
      <c r="T4259" s="55"/>
      <c r="U4259" s="55"/>
      <c r="V4259" s="55"/>
      <c r="W4259" s="55"/>
      <c r="X4259" s="55"/>
      <c r="Y4259" s="55"/>
      <c r="Z4259" s="55"/>
      <c r="AA4259" s="55"/>
      <c r="AB4259" s="22">
        <f t="shared" si="1408"/>
        <v>0</v>
      </c>
      <c r="AC4259" s="23">
        <v>0</v>
      </c>
      <c r="AD4259" s="56"/>
      <c r="AE4259" s="56"/>
      <c r="AF4259" s="56"/>
      <c r="AG4259" s="56"/>
      <c r="AH4259" s="56"/>
      <c r="AI4259" s="56"/>
      <c r="AJ4259" s="56"/>
      <c r="AK4259" s="56"/>
      <c r="AL4259" s="56"/>
      <c r="AM4259" s="56"/>
      <c r="AN4259" s="56"/>
      <c r="AO4259" s="56"/>
      <c r="AP4259" s="56"/>
      <c r="AQ4259" s="56"/>
      <c r="AR4259" s="56"/>
      <c r="AS4259" s="56"/>
      <c r="AT4259" s="56"/>
      <c r="AU4259" s="56"/>
      <c r="AV4259" s="56"/>
      <c r="AW4259" s="56"/>
      <c r="AX4259" s="56"/>
      <c r="AY4259" s="56"/>
      <c r="AZ4259" s="56"/>
      <c r="BA4259" s="56"/>
      <c r="BB4259" s="22">
        <f t="shared" si="1409"/>
        <v>0</v>
      </c>
      <c r="BC4259" s="23">
        <v>1</v>
      </c>
      <c r="BD4259" s="130">
        <f t="shared" si="1410"/>
        <v>0</v>
      </c>
      <c r="BE4259" s="130">
        <f t="shared" si="1411"/>
        <v>1</v>
      </c>
      <c r="BF4259" s="195">
        <f t="shared" si="1412"/>
        <v>0</v>
      </c>
      <c r="BG4259" s="373">
        <f>BE4259-BD4259</f>
        <v>1</v>
      </c>
    </row>
    <row r="4260" spans="1:61" s="46" customFormat="1" ht="14.25" customHeight="1">
      <c r="A4260" s="181">
        <v>10</v>
      </c>
      <c r="B4260" s="53" t="s">
        <v>1761</v>
      </c>
      <c r="C4260" s="54" t="s">
        <v>1762</v>
      </c>
      <c r="D4260" s="55"/>
      <c r="E4260" s="55"/>
      <c r="F4260" s="55"/>
      <c r="G4260" s="55"/>
      <c r="H4260" s="55"/>
      <c r="I4260" s="55"/>
      <c r="J4260" s="55"/>
      <c r="K4260" s="55"/>
      <c r="L4260" s="55"/>
      <c r="M4260" s="55"/>
      <c r="N4260" s="55"/>
      <c r="O4260" s="55"/>
      <c r="P4260" s="55"/>
      <c r="Q4260" s="55"/>
      <c r="R4260" s="55"/>
      <c r="S4260" s="55"/>
      <c r="T4260" s="55"/>
      <c r="U4260" s="55"/>
      <c r="V4260" s="55"/>
      <c r="W4260" s="55"/>
      <c r="X4260" s="55"/>
      <c r="Y4260" s="55"/>
      <c r="Z4260" s="55"/>
      <c r="AA4260" s="55"/>
      <c r="AB4260" s="22">
        <f t="shared" si="1408"/>
        <v>0</v>
      </c>
      <c r="AC4260" s="23">
        <v>0</v>
      </c>
      <c r="AD4260" s="56"/>
      <c r="AE4260" s="56"/>
      <c r="AF4260" s="56"/>
      <c r="AG4260" s="56"/>
      <c r="AH4260" s="56"/>
      <c r="AI4260" s="56"/>
      <c r="AJ4260" s="56"/>
      <c r="AK4260" s="56"/>
      <c r="AL4260" s="56"/>
      <c r="AM4260" s="56"/>
      <c r="AN4260" s="56"/>
      <c r="AO4260" s="56"/>
      <c r="AP4260" s="56">
        <v>1</v>
      </c>
      <c r="AQ4260" s="56"/>
      <c r="AR4260" s="56"/>
      <c r="AS4260" s="56"/>
      <c r="AT4260" s="56"/>
      <c r="AU4260" s="56"/>
      <c r="AV4260" s="56"/>
      <c r="AW4260" s="56"/>
      <c r="AX4260" s="56"/>
      <c r="AY4260" s="56"/>
      <c r="AZ4260" s="56"/>
      <c r="BA4260" s="56"/>
      <c r="BB4260" s="22">
        <f t="shared" si="1409"/>
        <v>1</v>
      </c>
      <c r="BC4260" s="23">
        <v>0</v>
      </c>
      <c r="BD4260" s="130">
        <f t="shared" si="1410"/>
        <v>1</v>
      </c>
      <c r="BE4260" s="130">
        <f t="shared" si="1411"/>
        <v>0</v>
      </c>
      <c r="BF4260" s="195" t="e">
        <f t="shared" si="1412"/>
        <v>#DIV/0!</v>
      </c>
      <c r="BG4260" s="373"/>
    </row>
    <row r="4261" spans="1:61" s="46" customFormat="1" ht="14.25" customHeight="1">
      <c r="A4261" s="181">
        <v>11</v>
      </c>
      <c r="B4261" s="53" t="s">
        <v>1763</v>
      </c>
      <c r="C4261" s="54" t="s">
        <v>1764</v>
      </c>
      <c r="D4261" s="55"/>
      <c r="E4261" s="55"/>
      <c r="F4261" s="55"/>
      <c r="G4261" s="55"/>
      <c r="H4261" s="55"/>
      <c r="I4261" s="55"/>
      <c r="J4261" s="55"/>
      <c r="K4261" s="55"/>
      <c r="L4261" s="55"/>
      <c r="M4261" s="55"/>
      <c r="N4261" s="55"/>
      <c r="O4261" s="55"/>
      <c r="P4261" s="55"/>
      <c r="Q4261" s="55"/>
      <c r="R4261" s="55"/>
      <c r="S4261" s="55"/>
      <c r="T4261" s="55"/>
      <c r="U4261" s="55"/>
      <c r="V4261" s="55"/>
      <c r="W4261" s="55"/>
      <c r="X4261" s="55"/>
      <c r="Y4261" s="55"/>
      <c r="Z4261" s="55"/>
      <c r="AA4261" s="55"/>
      <c r="AB4261" s="22">
        <f t="shared" si="1408"/>
        <v>0</v>
      </c>
      <c r="AC4261" s="23">
        <v>0</v>
      </c>
      <c r="AD4261" s="56">
        <v>3</v>
      </c>
      <c r="AE4261" s="56"/>
      <c r="AF4261" s="56"/>
      <c r="AG4261" s="56"/>
      <c r="AH4261" s="56">
        <v>3</v>
      </c>
      <c r="AI4261" s="56"/>
      <c r="AJ4261" s="56"/>
      <c r="AK4261" s="56"/>
      <c r="AL4261" s="56">
        <v>30</v>
      </c>
      <c r="AM4261" s="56"/>
      <c r="AN4261" s="56"/>
      <c r="AO4261" s="56"/>
      <c r="AP4261" s="56">
        <v>11</v>
      </c>
      <c r="AQ4261" s="56"/>
      <c r="AR4261" s="56"/>
      <c r="AS4261" s="56"/>
      <c r="AT4261" s="56"/>
      <c r="AU4261" s="56"/>
      <c r="AV4261" s="56"/>
      <c r="AW4261" s="56"/>
      <c r="AX4261" s="56"/>
      <c r="AY4261" s="56"/>
      <c r="AZ4261" s="56"/>
      <c r="BA4261" s="56"/>
      <c r="BB4261" s="22">
        <f t="shared" si="1409"/>
        <v>47</v>
      </c>
      <c r="BC4261" s="23">
        <v>78</v>
      </c>
      <c r="BD4261" s="130">
        <f t="shared" si="1410"/>
        <v>47</v>
      </c>
      <c r="BE4261" s="130">
        <f t="shared" si="1411"/>
        <v>78</v>
      </c>
      <c r="BF4261" s="195">
        <f t="shared" si="1412"/>
        <v>60.256410256410255</v>
      </c>
      <c r="BG4261" s="373">
        <f>BE4261-BD4261</f>
        <v>31</v>
      </c>
    </row>
    <row r="4262" spans="1:61" s="46" customFormat="1" ht="14.25" customHeight="1">
      <c r="A4262" s="181">
        <v>12</v>
      </c>
      <c r="B4262" s="454" t="s">
        <v>1765</v>
      </c>
      <c r="C4262" s="455" t="s">
        <v>1766</v>
      </c>
      <c r="D4262" s="55"/>
      <c r="E4262" s="55"/>
      <c r="F4262" s="55"/>
      <c r="G4262" s="55"/>
      <c r="H4262" s="55"/>
      <c r="I4262" s="55"/>
      <c r="J4262" s="55"/>
      <c r="K4262" s="55"/>
      <c r="L4262" s="55"/>
      <c r="M4262" s="55"/>
      <c r="N4262" s="55"/>
      <c r="O4262" s="55"/>
      <c r="P4262" s="55"/>
      <c r="Q4262" s="55"/>
      <c r="R4262" s="55"/>
      <c r="S4262" s="55"/>
      <c r="T4262" s="55"/>
      <c r="U4262" s="55"/>
      <c r="V4262" s="55"/>
      <c r="W4262" s="55"/>
      <c r="X4262" s="55"/>
      <c r="Y4262" s="55"/>
      <c r="Z4262" s="55"/>
      <c r="AA4262" s="55"/>
      <c r="AB4262" s="22">
        <f t="shared" si="1408"/>
        <v>0</v>
      </c>
      <c r="AC4262" s="23">
        <v>0</v>
      </c>
      <c r="AD4262" s="56">
        <v>1</v>
      </c>
      <c r="AE4262" s="56"/>
      <c r="AF4262" s="56"/>
      <c r="AG4262" s="56"/>
      <c r="AH4262" s="56">
        <v>2</v>
      </c>
      <c r="AI4262" s="56"/>
      <c r="AJ4262" s="56"/>
      <c r="AK4262" s="56"/>
      <c r="AL4262" s="56">
        <v>1</v>
      </c>
      <c r="AM4262" s="56"/>
      <c r="AN4262" s="56"/>
      <c r="AO4262" s="56"/>
      <c r="AP4262" s="56"/>
      <c r="AQ4262" s="56"/>
      <c r="AR4262" s="56"/>
      <c r="AS4262" s="56"/>
      <c r="AT4262" s="56"/>
      <c r="AU4262" s="56"/>
      <c r="AV4262" s="56"/>
      <c r="AW4262" s="56"/>
      <c r="AX4262" s="56"/>
      <c r="AY4262" s="56"/>
      <c r="AZ4262" s="56"/>
      <c r="BA4262" s="56"/>
      <c r="BB4262" s="22">
        <f t="shared" si="1409"/>
        <v>4</v>
      </c>
      <c r="BC4262" s="23">
        <v>0</v>
      </c>
      <c r="BD4262" s="130">
        <f t="shared" si="1410"/>
        <v>4</v>
      </c>
      <c r="BE4262" s="130">
        <f t="shared" si="1411"/>
        <v>0</v>
      </c>
      <c r="BF4262" s="195" t="e">
        <f t="shared" si="1412"/>
        <v>#DIV/0!</v>
      </c>
      <c r="BG4262" s="373"/>
    </row>
    <row r="4263" spans="1:61" s="46" customFormat="1" ht="14.25" customHeight="1">
      <c r="A4263" s="181">
        <v>13</v>
      </c>
      <c r="B4263" s="456" t="s">
        <v>1118</v>
      </c>
      <c r="C4263" s="457" t="s">
        <v>3107</v>
      </c>
      <c r="D4263" s="55"/>
      <c r="E4263" s="55"/>
      <c r="F4263" s="55"/>
      <c r="G4263" s="55"/>
      <c r="H4263" s="55"/>
      <c r="I4263" s="55"/>
      <c r="J4263" s="55"/>
      <c r="K4263" s="55"/>
      <c r="L4263" s="55"/>
      <c r="M4263" s="55"/>
      <c r="N4263" s="55"/>
      <c r="O4263" s="55"/>
      <c r="P4263" s="55"/>
      <c r="Q4263" s="55"/>
      <c r="R4263" s="55"/>
      <c r="S4263" s="55"/>
      <c r="T4263" s="55"/>
      <c r="U4263" s="55"/>
      <c r="V4263" s="55"/>
      <c r="W4263" s="55"/>
      <c r="X4263" s="55"/>
      <c r="Y4263" s="55"/>
      <c r="Z4263" s="55"/>
      <c r="AA4263" s="55"/>
      <c r="AB4263" s="22">
        <f t="shared" si="1408"/>
        <v>0</v>
      </c>
      <c r="AC4263" s="23">
        <v>0</v>
      </c>
      <c r="AD4263" s="56"/>
      <c r="AE4263" s="56"/>
      <c r="AF4263" s="56"/>
      <c r="AG4263" s="56"/>
      <c r="AH4263" s="56"/>
      <c r="AI4263" s="56"/>
      <c r="AJ4263" s="56"/>
      <c r="AK4263" s="56"/>
      <c r="AL4263" s="56"/>
      <c r="AM4263" s="56"/>
      <c r="AN4263" s="56"/>
      <c r="AO4263" s="56"/>
      <c r="AP4263" s="56"/>
      <c r="AQ4263" s="56"/>
      <c r="AR4263" s="56"/>
      <c r="AS4263" s="56"/>
      <c r="AT4263" s="56"/>
      <c r="AU4263" s="56"/>
      <c r="AV4263" s="56"/>
      <c r="AW4263" s="56"/>
      <c r="AX4263" s="56"/>
      <c r="AY4263" s="56"/>
      <c r="AZ4263" s="56"/>
      <c r="BA4263" s="56"/>
      <c r="BB4263" s="22">
        <f t="shared" si="1409"/>
        <v>0</v>
      </c>
      <c r="BC4263" s="23">
        <v>19</v>
      </c>
      <c r="BD4263" s="130">
        <f t="shared" si="1410"/>
        <v>0</v>
      </c>
      <c r="BE4263" s="130">
        <f t="shared" si="1411"/>
        <v>19</v>
      </c>
      <c r="BF4263" s="195">
        <f t="shared" si="1412"/>
        <v>0</v>
      </c>
      <c r="BG4263" s="373">
        <f>BE4263-BD4263</f>
        <v>19</v>
      </c>
    </row>
    <row r="4264" spans="1:61" s="46" customFormat="1" ht="14.25" customHeight="1">
      <c r="A4264" s="181">
        <v>14</v>
      </c>
      <c r="B4264" s="454" t="s">
        <v>1665</v>
      </c>
      <c r="C4264" s="455" t="s">
        <v>1666</v>
      </c>
      <c r="D4264" s="55"/>
      <c r="E4264" s="55"/>
      <c r="F4264" s="55"/>
      <c r="G4264" s="55"/>
      <c r="H4264" s="55"/>
      <c r="I4264" s="55"/>
      <c r="J4264" s="55"/>
      <c r="K4264" s="55"/>
      <c r="L4264" s="55"/>
      <c r="M4264" s="55"/>
      <c r="N4264" s="55"/>
      <c r="O4264" s="55"/>
      <c r="P4264" s="55"/>
      <c r="Q4264" s="55"/>
      <c r="R4264" s="55"/>
      <c r="S4264" s="55"/>
      <c r="T4264" s="55"/>
      <c r="U4264" s="55"/>
      <c r="V4264" s="55"/>
      <c r="W4264" s="55"/>
      <c r="X4264" s="55"/>
      <c r="Y4264" s="55"/>
      <c r="Z4264" s="55"/>
      <c r="AA4264" s="55"/>
      <c r="AB4264" s="22">
        <f t="shared" si="1408"/>
        <v>0</v>
      </c>
      <c r="AC4264" s="23">
        <v>0</v>
      </c>
      <c r="AD4264" s="56">
        <v>22</v>
      </c>
      <c r="AE4264" s="56"/>
      <c r="AF4264" s="56"/>
      <c r="AG4264" s="56"/>
      <c r="AH4264" s="56">
        <v>12</v>
      </c>
      <c r="AI4264" s="56"/>
      <c r="AJ4264" s="56"/>
      <c r="AK4264" s="56"/>
      <c r="AL4264" s="56">
        <f>13+53</f>
        <v>66</v>
      </c>
      <c r="AM4264" s="56"/>
      <c r="AN4264" s="56"/>
      <c r="AO4264" s="56"/>
      <c r="AP4264" s="56">
        <v>17</v>
      </c>
      <c r="AQ4264" s="56"/>
      <c r="AR4264" s="56"/>
      <c r="AS4264" s="56"/>
      <c r="AT4264" s="56"/>
      <c r="AU4264" s="56"/>
      <c r="AV4264" s="56"/>
      <c r="AW4264" s="56"/>
      <c r="AX4264" s="56"/>
      <c r="AY4264" s="56"/>
      <c r="AZ4264" s="56"/>
      <c r="BA4264" s="56"/>
      <c r="BB4264" s="22">
        <f t="shared" si="1409"/>
        <v>117</v>
      </c>
      <c r="BC4264" s="23">
        <v>59</v>
      </c>
      <c r="BD4264" s="130">
        <f t="shared" si="1410"/>
        <v>117</v>
      </c>
      <c r="BE4264" s="130">
        <f t="shared" si="1411"/>
        <v>59</v>
      </c>
      <c r="BF4264" s="195">
        <f t="shared" si="1412"/>
        <v>198.30508474576271</v>
      </c>
      <c r="BG4264" s="373">
        <f>BE4264-BD4264</f>
        <v>-58</v>
      </c>
    </row>
    <row r="4265" spans="1:61" s="46" customFormat="1" ht="14.25" customHeight="1">
      <c r="A4265" s="181">
        <v>15</v>
      </c>
      <c r="B4265" s="454" t="s">
        <v>1767</v>
      </c>
      <c r="C4265" s="464" t="s">
        <v>1851</v>
      </c>
      <c r="D4265" s="55"/>
      <c r="E4265" s="55"/>
      <c r="F4265" s="55"/>
      <c r="G4265" s="55"/>
      <c r="H4265" s="55"/>
      <c r="I4265" s="55"/>
      <c r="J4265" s="55"/>
      <c r="K4265" s="55"/>
      <c r="L4265" s="55"/>
      <c r="M4265" s="55"/>
      <c r="N4265" s="55"/>
      <c r="O4265" s="55"/>
      <c r="P4265" s="55"/>
      <c r="Q4265" s="55"/>
      <c r="R4265" s="55"/>
      <c r="S4265" s="55"/>
      <c r="T4265" s="55"/>
      <c r="U4265" s="55"/>
      <c r="V4265" s="55"/>
      <c r="W4265" s="55"/>
      <c r="X4265" s="55"/>
      <c r="Y4265" s="55"/>
      <c r="Z4265" s="55"/>
      <c r="AA4265" s="55"/>
      <c r="AB4265" s="22">
        <f t="shared" si="1408"/>
        <v>0</v>
      </c>
      <c r="AC4265" s="23">
        <v>0</v>
      </c>
      <c r="AD4265" s="56">
        <v>54</v>
      </c>
      <c r="AE4265" s="56"/>
      <c r="AF4265" s="56"/>
      <c r="AG4265" s="56"/>
      <c r="AH4265" s="56">
        <v>54</v>
      </c>
      <c r="AI4265" s="56"/>
      <c r="AJ4265" s="56"/>
      <c r="AK4265" s="56"/>
      <c r="AL4265" s="56">
        <f>68+90</f>
        <v>158</v>
      </c>
      <c r="AM4265" s="56"/>
      <c r="AN4265" s="56"/>
      <c r="AO4265" s="56"/>
      <c r="AP4265" s="56">
        <v>32</v>
      </c>
      <c r="AQ4265" s="56"/>
      <c r="AR4265" s="56"/>
      <c r="AS4265" s="56"/>
      <c r="AT4265" s="56"/>
      <c r="AU4265" s="56"/>
      <c r="AV4265" s="56"/>
      <c r="AW4265" s="56"/>
      <c r="AX4265" s="56"/>
      <c r="AY4265" s="56"/>
      <c r="AZ4265" s="56"/>
      <c r="BA4265" s="56"/>
      <c r="BB4265" s="22">
        <f t="shared" si="1409"/>
        <v>298</v>
      </c>
      <c r="BC4265" s="23">
        <v>82</v>
      </c>
      <c r="BD4265" s="130">
        <f t="shared" si="1410"/>
        <v>298</v>
      </c>
      <c r="BE4265" s="130">
        <f t="shared" si="1411"/>
        <v>82</v>
      </c>
      <c r="BF4265" s="195">
        <f t="shared" si="1412"/>
        <v>363.41463414634148</v>
      </c>
      <c r="BG4265" s="373">
        <f>BE4265-BD4265</f>
        <v>-216</v>
      </c>
    </row>
    <row r="4266" spans="1:61" s="46" customFormat="1" ht="14.25" customHeight="1">
      <c r="A4266" s="181">
        <v>16</v>
      </c>
      <c r="B4266" s="454" t="s">
        <v>1769</v>
      </c>
      <c r="C4266" s="464" t="s">
        <v>1770</v>
      </c>
      <c r="D4266" s="55"/>
      <c r="E4266" s="55"/>
      <c r="F4266" s="55"/>
      <c r="G4266" s="55"/>
      <c r="H4266" s="55"/>
      <c r="I4266" s="55"/>
      <c r="J4266" s="55"/>
      <c r="K4266" s="55"/>
      <c r="L4266" s="55"/>
      <c r="M4266" s="55"/>
      <c r="N4266" s="55"/>
      <c r="O4266" s="55"/>
      <c r="P4266" s="55"/>
      <c r="Q4266" s="55"/>
      <c r="R4266" s="55"/>
      <c r="S4266" s="55"/>
      <c r="T4266" s="55"/>
      <c r="U4266" s="55"/>
      <c r="V4266" s="55"/>
      <c r="W4266" s="55"/>
      <c r="X4266" s="55"/>
      <c r="Y4266" s="55"/>
      <c r="Z4266" s="55"/>
      <c r="AA4266" s="55"/>
      <c r="AB4266" s="22">
        <f t="shared" si="1408"/>
        <v>0</v>
      </c>
      <c r="AC4266" s="23">
        <v>0</v>
      </c>
      <c r="AD4266" s="56"/>
      <c r="AE4266" s="56"/>
      <c r="AF4266" s="56"/>
      <c r="AG4266" s="56"/>
      <c r="AH4266" s="56"/>
      <c r="AI4266" s="56"/>
      <c r="AJ4266" s="56"/>
      <c r="AK4266" s="56"/>
      <c r="AL4266" s="56">
        <v>5</v>
      </c>
      <c r="AM4266" s="56"/>
      <c r="AN4266" s="56"/>
      <c r="AO4266" s="56"/>
      <c r="AP4266" s="56"/>
      <c r="AQ4266" s="56"/>
      <c r="AR4266" s="56"/>
      <c r="AS4266" s="56"/>
      <c r="AT4266" s="56"/>
      <c r="AU4266" s="56"/>
      <c r="AV4266" s="56"/>
      <c r="AW4266" s="56"/>
      <c r="AX4266" s="56"/>
      <c r="AY4266" s="56"/>
      <c r="AZ4266" s="56"/>
      <c r="BA4266" s="56"/>
      <c r="BB4266" s="22">
        <f t="shared" si="1409"/>
        <v>5</v>
      </c>
      <c r="BC4266" s="23">
        <v>0</v>
      </c>
      <c r="BD4266" s="130">
        <f t="shared" si="1410"/>
        <v>5</v>
      </c>
      <c r="BE4266" s="130">
        <f t="shared" si="1411"/>
        <v>0</v>
      </c>
      <c r="BF4266" s="195" t="e">
        <f t="shared" si="1412"/>
        <v>#DIV/0!</v>
      </c>
      <c r="BG4266" s="373"/>
    </row>
    <row r="4267" spans="1:61" s="46" customFormat="1" ht="14.25" customHeight="1">
      <c r="A4267" s="181">
        <v>17</v>
      </c>
      <c r="B4267" s="454" t="s">
        <v>1795</v>
      </c>
      <c r="C4267" s="464" t="s">
        <v>1796</v>
      </c>
      <c r="D4267" s="55"/>
      <c r="E4267" s="55"/>
      <c r="F4267" s="55"/>
      <c r="G4267" s="55"/>
      <c r="H4267" s="55"/>
      <c r="I4267" s="55"/>
      <c r="J4267" s="55"/>
      <c r="K4267" s="55"/>
      <c r="L4267" s="55"/>
      <c r="M4267" s="55"/>
      <c r="N4267" s="55"/>
      <c r="O4267" s="55"/>
      <c r="P4267" s="55"/>
      <c r="Q4267" s="55"/>
      <c r="R4267" s="55"/>
      <c r="S4267" s="55"/>
      <c r="T4267" s="55"/>
      <c r="U4267" s="55"/>
      <c r="V4267" s="55"/>
      <c r="W4267" s="55"/>
      <c r="X4267" s="55"/>
      <c r="Y4267" s="55"/>
      <c r="Z4267" s="55"/>
      <c r="AA4267" s="55"/>
      <c r="AB4267" s="22">
        <f t="shared" si="1408"/>
        <v>0</v>
      </c>
      <c r="AC4267" s="23">
        <v>0</v>
      </c>
      <c r="AD4267" s="56">
        <v>1</v>
      </c>
      <c r="AE4267" s="56"/>
      <c r="AF4267" s="56"/>
      <c r="AG4267" s="56"/>
      <c r="AH4267" s="56">
        <v>7</v>
      </c>
      <c r="AI4267" s="56"/>
      <c r="AJ4267" s="56"/>
      <c r="AK4267" s="56"/>
      <c r="AL4267" s="56">
        <f>9+24</f>
        <v>33</v>
      </c>
      <c r="AM4267" s="56"/>
      <c r="AN4267" s="56"/>
      <c r="AO4267" s="56"/>
      <c r="AP4267" s="56">
        <v>31</v>
      </c>
      <c r="AQ4267" s="56"/>
      <c r="AR4267" s="56"/>
      <c r="AS4267" s="56"/>
      <c r="AT4267" s="56"/>
      <c r="AU4267" s="56"/>
      <c r="AV4267" s="56"/>
      <c r="AW4267" s="56"/>
      <c r="AX4267" s="56"/>
      <c r="AY4267" s="56"/>
      <c r="AZ4267" s="56"/>
      <c r="BA4267" s="56"/>
      <c r="BB4267" s="22">
        <f t="shared" si="1409"/>
        <v>72</v>
      </c>
      <c r="BC4267" s="23">
        <v>13</v>
      </c>
      <c r="BD4267" s="130">
        <f t="shared" si="1410"/>
        <v>72</v>
      </c>
      <c r="BE4267" s="130">
        <f t="shared" si="1411"/>
        <v>13</v>
      </c>
      <c r="BF4267" s="195">
        <f t="shared" si="1412"/>
        <v>553.84615384615381</v>
      </c>
      <c r="BG4267" s="373">
        <f>BE4267-BD4267</f>
        <v>-59</v>
      </c>
    </row>
    <row r="4268" spans="1:61" s="46" customFormat="1" ht="14.25" customHeight="1">
      <c r="A4268" s="181">
        <v>18</v>
      </c>
      <c r="B4268" s="454" t="s">
        <v>1773</v>
      </c>
      <c r="C4268" s="455" t="s">
        <v>2475</v>
      </c>
      <c r="D4268" s="55"/>
      <c r="E4268" s="55"/>
      <c r="F4268" s="55"/>
      <c r="G4268" s="55"/>
      <c r="H4268" s="55"/>
      <c r="I4268" s="55"/>
      <c r="J4268" s="55"/>
      <c r="K4268" s="55"/>
      <c r="L4268" s="55"/>
      <c r="M4268" s="55"/>
      <c r="N4268" s="55"/>
      <c r="O4268" s="55"/>
      <c r="P4268" s="55"/>
      <c r="Q4268" s="55"/>
      <c r="R4268" s="55"/>
      <c r="S4268" s="55"/>
      <c r="T4268" s="55"/>
      <c r="U4268" s="55"/>
      <c r="V4268" s="55"/>
      <c r="W4268" s="55"/>
      <c r="X4268" s="55"/>
      <c r="Y4268" s="55"/>
      <c r="Z4268" s="55"/>
      <c r="AA4268" s="55"/>
      <c r="AB4268" s="22">
        <f t="shared" si="1408"/>
        <v>0</v>
      </c>
      <c r="AC4268" s="23">
        <v>0</v>
      </c>
      <c r="AD4268" s="56"/>
      <c r="AE4268" s="56"/>
      <c r="AF4268" s="56"/>
      <c r="AG4268" s="56"/>
      <c r="AH4268" s="56"/>
      <c r="AI4268" s="56"/>
      <c r="AJ4268" s="56"/>
      <c r="AK4268" s="56"/>
      <c r="AL4268" s="56"/>
      <c r="AM4268" s="56"/>
      <c r="AN4268" s="56"/>
      <c r="AO4268" s="56"/>
      <c r="AP4268" s="56"/>
      <c r="AQ4268" s="56"/>
      <c r="AR4268" s="56"/>
      <c r="AS4268" s="56"/>
      <c r="AT4268" s="56"/>
      <c r="AU4268" s="56"/>
      <c r="AV4268" s="56"/>
      <c r="AW4268" s="56"/>
      <c r="AX4268" s="56"/>
      <c r="AY4268" s="56"/>
      <c r="AZ4268" s="56"/>
      <c r="BA4268" s="56"/>
      <c r="BB4268" s="22">
        <f t="shared" si="1409"/>
        <v>0</v>
      </c>
      <c r="BC4268" s="23">
        <v>13</v>
      </c>
      <c r="BD4268" s="130">
        <f t="shared" si="1410"/>
        <v>0</v>
      </c>
      <c r="BE4268" s="130">
        <f t="shared" si="1411"/>
        <v>13</v>
      </c>
      <c r="BF4268" s="195">
        <f t="shared" si="1412"/>
        <v>0</v>
      </c>
      <c r="BG4268" s="373">
        <f>BE4268-BD4268</f>
        <v>13</v>
      </c>
    </row>
    <row r="4269" spans="1:61" s="46" customFormat="1" ht="14.25" customHeight="1">
      <c r="A4269" s="181">
        <v>19</v>
      </c>
      <c r="B4269" s="53"/>
      <c r="C4269" s="61"/>
      <c r="D4269" s="55"/>
      <c r="E4269" s="55"/>
      <c r="F4269" s="55"/>
      <c r="G4269" s="55"/>
      <c r="H4269" s="55"/>
      <c r="I4269" s="55"/>
      <c r="J4269" s="55"/>
      <c r="K4269" s="55"/>
      <c r="L4269" s="55"/>
      <c r="M4269" s="55"/>
      <c r="N4269" s="55"/>
      <c r="O4269" s="55"/>
      <c r="P4269" s="55"/>
      <c r="Q4269" s="55"/>
      <c r="R4269" s="55"/>
      <c r="S4269" s="55"/>
      <c r="T4269" s="55"/>
      <c r="U4269" s="55"/>
      <c r="V4269" s="55"/>
      <c r="W4269" s="55"/>
      <c r="X4269" s="55"/>
      <c r="Y4269" s="55"/>
      <c r="Z4269" s="55"/>
      <c r="AA4269" s="55"/>
      <c r="AB4269" s="22">
        <f t="shared" si="1408"/>
        <v>0</v>
      </c>
      <c r="AC4269" s="23">
        <v>0</v>
      </c>
      <c r="AD4269" s="56"/>
      <c r="AE4269" s="56"/>
      <c r="AF4269" s="56"/>
      <c r="AG4269" s="56"/>
      <c r="AH4269" s="56"/>
      <c r="AI4269" s="56"/>
      <c r="AJ4269" s="56"/>
      <c r="AK4269" s="56"/>
      <c r="AL4269" s="56"/>
      <c r="AM4269" s="56"/>
      <c r="AN4269" s="56"/>
      <c r="AO4269" s="56"/>
      <c r="AP4269" s="56"/>
      <c r="AQ4269" s="56"/>
      <c r="AR4269" s="56"/>
      <c r="AS4269" s="56"/>
      <c r="AT4269" s="56"/>
      <c r="AU4269" s="56"/>
      <c r="AV4269" s="56"/>
      <c r="AW4269" s="56"/>
      <c r="AX4269" s="56"/>
      <c r="AY4269" s="56"/>
      <c r="AZ4269" s="56"/>
      <c r="BA4269" s="56"/>
      <c r="BB4269" s="22">
        <f t="shared" si="1409"/>
        <v>0</v>
      </c>
      <c r="BC4269" s="23">
        <v>0</v>
      </c>
      <c r="BD4269" s="130">
        <f t="shared" si="1410"/>
        <v>0</v>
      </c>
      <c r="BE4269" s="130">
        <f t="shared" si="1411"/>
        <v>0</v>
      </c>
      <c r="BF4269" s="195" t="e">
        <f t="shared" si="1412"/>
        <v>#DIV/0!</v>
      </c>
      <c r="BG4269" s="373">
        <f>BE4269-BD4269</f>
        <v>0</v>
      </c>
    </row>
    <row r="4270" spans="1:61" s="46" customFormat="1" ht="14.25" customHeight="1">
      <c r="A4270" s="662" t="s">
        <v>1852</v>
      </c>
      <c r="B4270" s="663"/>
      <c r="C4270" s="663"/>
      <c r="D4270" s="52">
        <f t="shared" ref="D4270:BC4270" si="1413">D4271</f>
        <v>0</v>
      </c>
      <c r="E4270" s="52">
        <f t="shared" si="1413"/>
        <v>0</v>
      </c>
      <c r="F4270" s="52">
        <f t="shared" si="1413"/>
        <v>0</v>
      </c>
      <c r="G4270" s="52">
        <f t="shared" si="1413"/>
        <v>0</v>
      </c>
      <c r="H4270" s="52">
        <f t="shared" si="1413"/>
        <v>0</v>
      </c>
      <c r="I4270" s="52">
        <f t="shared" si="1413"/>
        <v>0</v>
      </c>
      <c r="J4270" s="52">
        <f t="shared" si="1413"/>
        <v>0</v>
      </c>
      <c r="K4270" s="52">
        <f t="shared" si="1413"/>
        <v>0</v>
      </c>
      <c r="L4270" s="52">
        <f t="shared" si="1413"/>
        <v>0</v>
      </c>
      <c r="M4270" s="52">
        <f t="shared" si="1413"/>
        <v>0</v>
      </c>
      <c r="N4270" s="52">
        <f t="shared" si="1413"/>
        <v>0</v>
      </c>
      <c r="O4270" s="52">
        <f t="shared" si="1413"/>
        <v>0</v>
      </c>
      <c r="P4270" s="52">
        <f t="shared" si="1413"/>
        <v>0</v>
      </c>
      <c r="Q4270" s="52">
        <f t="shared" si="1413"/>
        <v>0</v>
      </c>
      <c r="R4270" s="52">
        <f t="shared" si="1413"/>
        <v>0</v>
      </c>
      <c r="S4270" s="52">
        <f t="shared" si="1413"/>
        <v>0</v>
      </c>
      <c r="T4270" s="52">
        <f t="shared" si="1413"/>
        <v>0</v>
      </c>
      <c r="U4270" s="52">
        <f t="shared" si="1413"/>
        <v>0</v>
      </c>
      <c r="V4270" s="52">
        <f t="shared" si="1413"/>
        <v>0</v>
      </c>
      <c r="W4270" s="52">
        <f t="shared" si="1413"/>
        <v>0</v>
      </c>
      <c r="X4270" s="52">
        <f t="shared" si="1413"/>
        <v>0</v>
      </c>
      <c r="Y4270" s="52">
        <f t="shared" si="1413"/>
        <v>0</v>
      </c>
      <c r="Z4270" s="52">
        <f t="shared" si="1413"/>
        <v>0</v>
      </c>
      <c r="AA4270" s="52">
        <f t="shared" si="1413"/>
        <v>0</v>
      </c>
      <c r="AB4270" s="52">
        <f t="shared" si="1413"/>
        <v>0</v>
      </c>
      <c r="AC4270" s="127">
        <f t="shared" si="1413"/>
        <v>0</v>
      </c>
      <c r="AD4270" s="52">
        <f t="shared" si="1413"/>
        <v>0</v>
      </c>
      <c r="AE4270" s="52">
        <f t="shared" si="1413"/>
        <v>0</v>
      </c>
      <c r="AF4270" s="52">
        <f t="shared" si="1413"/>
        <v>0</v>
      </c>
      <c r="AG4270" s="52">
        <f t="shared" si="1413"/>
        <v>0</v>
      </c>
      <c r="AH4270" s="52">
        <f t="shared" si="1413"/>
        <v>0</v>
      </c>
      <c r="AI4270" s="52">
        <f t="shared" si="1413"/>
        <v>0</v>
      </c>
      <c r="AJ4270" s="52">
        <f t="shared" si="1413"/>
        <v>0</v>
      </c>
      <c r="AK4270" s="52">
        <f t="shared" si="1413"/>
        <v>0</v>
      </c>
      <c r="AL4270" s="52">
        <f t="shared" si="1413"/>
        <v>0</v>
      </c>
      <c r="AM4270" s="52">
        <f t="shared" si="1413"/>
        <v>0</v>
      </c>
      <c r="AN4270" s="52">
        <f t="shared" si="1413"/>
        <v>0</v>
      </c>
      <c r="AO4270" s="52">
        <f t="shared" si="1413"/>
        <v>0</v>
      </c>
      <c r="AP4270" s="52">
        <f t="shared" si="1413"/>
        <v>0</v>
      </c>
      <c r="AQ4270" s="52">
        <f t="shared" si="1413"/>
        <v>0</v>
      </c>
      <c r="AR4270" s="52">
        <f t="shared" si="1413"/>
        <v>0</v>
      </c>
      <c r="AS4270" s="52">
        <f t="shared" si="1413"/>
        <v>0</v>
      </c>
      <c r="AT4270" s="52">
        <f t="shared" si="1413"/>
        <v>0</v>
      </c>
      <c r="AU4270" s="52">
        <f t="shared" si="1413"/>
        <v>0</v>
      </c>
      <c r="AV4270" s="52">
        <f t="shared" si="1413"/>
        <v>0</v>
      </c>
      <c r="AW4270" s="52">
        <f t="shared" si="1413"/>
        <v>0</v>
      </c>
      <c r="AX4270" s="52">
        <f t="shared" si="1413"/>
        <v>0</v>
      </c>
      <c r="AY4270" s="52">
        <f t="shared" si="1413"/>
        <v>0</v>
      </c>
      <c r="AZ4270" s="52">
        <f t="shared" si="1413"/>
        <v>0</v>
      </c>
      <c r="BA4270" s="52">
        <f t="shared" si="1413"/>
        <v>0</v>
      </c>
      <c r="BB4270" s="52">
        <f t="shared" si="1413"/>
        <v>0</v>
      </c>
      <c r="BC4270" s="127">
        <f t="shared" si="1413"/>
        <v>0</v>
      </c>
      <c r="BD4270" s="130">
        <f t="shared" ref="BD4270:BD4303" si="1414">AB4270+BB4270</f>
        <v>0</v>
      </c>
      <c r="BE4270" s="130">
        <f t="shared" ref="BE4270:BE4303" si="1415">AC4270+BC4270</f>
        <v>0</v>
      </c>
      <c r="BF4270" s="195" t="e">
        <f t="shared" si="1400"/>
        <v>#DIV/0!</v>
      </c>
      <c r="BG4270" s="373">
        <f t="shared" si="1401"/>
        <v>0</v>
      </c>
    </row>
    <row r="4271" spans="1:61" s="46" customFormat="1" ht="14.25" customHeight="1">
      <c r="A4271" s="187"/>
      <c r="B4271" s="188"/>
      <c r="C4271" s="188"/>
      <c r="D4271" s="55"/>
      <c r="E4271" s="55"/>
      <c r="F4271" s="55"/>
      <c r="G4271" s="55"/>
      <c r="H4271" s="55"/>
      <c r="I4271" s="55"/>
      <c r="J4271" s="55"/>
      <c r="K4271" s="55"/>
      <c r="L4271" s="55"/>
      <c r="M4271" s="55"/>
      <c r="N4271" s="55"/>
      <c r="O4271" s="55"/>
      <c r="P4271" s="55"/>
      <c r="Q4271" s="55"/>
      <c r="R4271" s="55"/>
      <c r="S4271" s="55"/>
      <c r="T4271" s="55"/>
      <c r="U4271" s="55"/>
      <c r="V4271" s="55"/>
      <c r="W4271" s="55"/>
      <c r="X4271" s="55"/>
      <c r="Y4271" s="55"/>
      <c r="Z4271" s="55"/>
      <c r="AA4271" s="55"/>
      <c r="AB4271" s="22">
        <f>SUM(D4271:AA4271)</f>
        <v>0</v>
      </c>
      <c r="AC4271" s="23">
        <v>0</v>
      </c>
      <c r="AD4271" s="186"/>
      <c r="AE4271" s="186"/>
      <c r="AF4271" s="186"/>
      <c r="AG4271" s="186"/>
      <c r="AH4271" s="186"/>
      <c r="AI4271" s="186"/>
      <c r="AJ4271" s="186"/>
      <c r="AK4271" s="186"/>
      <c r="AL4271" s="186"/>
      <c r="AM4271" s="186"/>
      <c r="AN4271" s="186"/>
      <c r="AO4271" s="186"/>
      <c r="AP4271" s="186"/>
      <c r="AQ4271" s="186"/>
      <c r="AR4271" s="186"/>
      <c r="AS4271" s="186"/>
      <c r="AT4271" s="186"/>
      <c r="AU4271" s="186"/>
      <c r="AV4271" s="186"/>
      <c r="AW4271" s="186"/>
      <c r="AX4271" s="186"/>
      <c r="AY4271" s="186"/>
      <c r="AZ4271" s="186"/>
      <c r="BA4271" s="186"/>
      <c r="BB4271" s="22">
        <f t="shared" ref="BB4271" si="1416">SUM(AD4271:BA4271)</f>
        <v>0</v>
      </c>
      <c r="BC4271" s="23">
        <v>0</v>
      </c>
      <c r="BD4271" s="130">
        <f t="shared" si="1414"/>
        <v>0</v>
      </c>
      <c r="BE4271" s="130">
        <f t="shared" si="1415"/>
        <v>0</v>
      </c>
      <c r="BF4271" s="195" t="e">
        <f t="shared" si="1400"/>
        <v>#DIV/0!</v>
      </c>
      <c r="BG4271" s="373">
        <f t="shared" si="1401"/>
        <v>0</v>
      </c>
    </row>
    <row r="4272" spans="1:61" s="46" customFormat="1" ht="14.25" customHeight="1">
      <c r="A4272" s="662" t="s">
        <v>1853</v>
      </c>
      <c r="B4272" s="663"/>
      <c r="C4272" s="663"/>
      <c r="D4272" s="52">
        <f t="shared" ref="D4272:AI4272" si="1417">SUM(D4273:D4287)</f>
        <v>132</v>
      </c>
      <c r="E4272" s="52">
        <f t="shared" si="1417"/>
        <v>0</v>
      </c>
      <c r="F4272" s="52">
        <f t="shared" si="1417"/>
        <v>0</v>
      </c>
      <c r="G4272" s="52">
        <f t="shared" si="1417"/>
        <v>0</v>
      </c>
      <c r="H4272" s="52">
        <f t="shared" si="1417"/>
        <v>0</v>
      </c>
      <c r="I4272" s="52">
        <f t="shared" si="1417"/>
        <v>0</v>
      </c>
      <c r="J4272" s="52">
        <f t="shared" si="1417"/>
        <v>0</v>
      </c>
      <c r="K4272" s="52">
        <f t="shared" si="1417"/>
        <v>0</v>
      </c>
      <c r="L4272" s="52">
        <f t="shared" si="1417"/>
        <v>179</v>
      </c>
      <c r="M4272" s="52">
        <f t="shared" si="1417"/>
        <v>0</v>
      </c>
      <c r="N4272" s="52">
        <f t="shared" si="1417"/>
        <v>0</v>
      </c>
      <c r="O4272" s="52">
        <f t="shared" si="1417"/>
        <v>0</v>
      </c>
      <c r="P4272" s="52">
        <f t="shared" si="1417"/>
        <v>13</v>
      </c>
      <c r="Q4272" s="52">
        <f t="shared" si="1417"/>
        <v>0</v>
      </c>
      <c r="R4272" s="52">
        <f t="shared" si="1417"/>
        <v>0</v>
      </c>
      <c r="S4272" s="52">
        <f t="shared" si="1417"/>
        <v>0</v>
      </c>
      <c r="T4272" s="52">
        <f t="shared" si="1417"/>
        <v>0</v>
      </c>
      <c r="U4272" s="52">
        <f t="shared" si="1417"/>
        <v>0</v>
      </c>
      <c r="V4272" s="52">
        <f t="shared" si="1417"/>
        <v>0</v>
      </c>
      <c r="W4272" s="52">
        <f t="shared" si="1417"/>
        <v>0</v>
      </c>
      <c r="X4272" s="52">
        <f t="shared" si="1417"/>
        <v>0</v>
      </c>
      <c r="Y4272" s="52">
        <f t="shared" si="1417"/>
        <v>0</v>
      </c>
      <c r="Z4272" s="52">
        <f t="shared" si="1417"/>
        <v>0</v>
      </c>
      <c r="AA4272" s="52">
        <f t="shared" si="1417"/>
        <v>0</v>
      </c>
      <c r="AB4272" s="52">
        <f t="shared" si="1417"/>
        <v>324</v>
      </c>
      <c r="AC4272" s="127">
        <f t="shared" si="1417"/>
        <v>420</v>
      </c>
      <c r="AD4272" s="52">
        <f t="shared" si="1417"/>
        <v>2</v>
      </c>
      <c r="AE4272" s="52">
        <f t="shared" si="1417"/>
        <v>0</v>
      </c>
      <c r="AF4272" s="52">
        <f t="shared" si="1417"/>
        <v>0</v>
      </c>
      <c r="AG4272" s="52">
        <f t="shared" si="1417"/>
        <v>0</v>
      </c>
      <c r="AH4272" s="52">
        <f t="shared" si="1417"/>
        <v>55</v>
      </c>
      <c r="AI4272" s="52">
        <f t="shared" si="1417"/>
        <v>0</v>
      </c>
      <c r="AJ4272" s="52">
        <f t="shared" ref="AJ4272:BC4272" si="1418">SUM(AJ4273:AJ4287)</f>
        <v>0</v>
      </c>
      <c r="AK4272" s="52">
        <f t="shared" si="1418"/>
        <v>0</v>
      </c>
      <c r="AL4272" s="52">
        <f t="shared" si="1418"/>
        <v>50</v>
      </c>
      <c r="AM4272" s="52">
        <f t="shared" si="1418"/>
        <v>0</v>
      </c>
      <c r="AN4272" s="52">
        <f t="shared" si="1418"/>
        <v>0</v>
      </c>
      <c r="AO4272" s="52">
        <f t="shared" si="1418"/>
        <v>0</v>
      </c>
      <c r="AP4272" s="52">
        <f t="shared" si="1418"/>
        <v>0</v>
      </c>
      <c r="AQ4272" s="52">
        <f t="shared" si="1418"/>
        <v>0</v>
      </c>
      <c r="AR4272" s="52">
        <f t="shared" si="1418"/>
        <v>0</v>
      </c>
      <c r="AS4272" s="52">
        <f t="shared" si="1418"/>
        <v>0</v>
      </c>
      <c r="AT4272" s="52">
        <f t="shared" si="1418"/>
        <v>0</v>
      </c>
      <c r="AU4272" s="52">
        <f t="shared" si="1418"/>
        <v>0</v>
      </c>
      <c r="AV4272" s="52">
        <f t="shared" si="1418"/>
        <v>0</v>
      </c>
      <c r="AW4272" s="52">
        <f t="shared" si="1418"/>
        <v>0</v>
      </c>
      <c r="AX4272" s="52">
        <f t="shared" si="1418"/>
        <v>0</v>
      </c>
      <c r="AY4272" s="52">
        <f t="shared" si="1418"/>
        <v>0</v>
      </c>
      <c r="AZ4272" s="52">
        <f t="shared" si="1418"/>
        <v>0</v>
      </c>
      <c r="BA4272" s="52">
        <f t="shared" si="1418"/>
        <v>0</v>
      </c>
      <c r="BB4272" s="52">
        <f t="shared" si="1418"/>
        <v>107</v>
      </c>
      <c r="BC4272" s="127">
        <f t="shared" si="1418"/>
        <v>240</v>
      </c>
      <c r="BD4272" s="130">
        <f t="shared" si="1414"/>
        <v>431</v>
      </c>
      <c r="BE4272" s="130">
        <f t="shared" si="1415"/>
        <v>660</v>
      </c>
      <c r="BF4272" s="195">
        <f t="shared" si="1400"/>
        <v>65.303030303030312</v>
      </c>
      <c r="BG4272" s="373">
        <f t="shared" si="1401"/>
        <v>229</v>
      </c>
    </row>
    <row r="4273" spans="1:61" s="46" customFormat="1" ht="21" customHeight="1">
      <c r="A4273" s="417">
        <v>1</v>
      </c>
      <c r="B4273" s="418" t="s">
        <v>1788</v>
      </c>
      <c r="C4273" s="419" t="s">
        <v>1789</v>
      </c>
      <c r="D4273" s="55"/>
      <c r="E4273" s="55"/>
      <c r="F4273" s="55"/>
      <c r="G4273" s="55"/>
      <c r="H4273" s="55"/>
      <c r="I4273" s="55"/>
      <c r="J4273" s="55"/>
      <c r="K4273" s="55"/>
      <c r="L4273" s="55"/>
      <c r="M4273" s="55"/>
      <c r="N4273" s="55"/>
      <c r="O4273" s="55"/>
      <c r="P4273" s="55"/>
      <c r="Q4273" s="55"/>
      <c r="R4273" s="55"/>
      <c r="S4273" s="55"/>
      <c r="T4273" s="55"/>
      <c r="U4273" s="55"/>
      <c r="V4273" s="55"/>
      <c r="W4273" s="55"/>
      <c r="X4273" s="55"/>
      <c r="Y4273" s="55"/>
      <c r="Z4273" s="55"/>
      <c r="AA4273" s="55"/>
      <c r="AB4273" s="22">
        <f t="shared" ref="AB4273:AB4287" si="1419">SUM(D4273:AA4273)</f>
        <v>0</v>
      </c>
      <c r="AC4273" s="23">
        <v>3</v>
      </c>
      <c r="AD4273" s="56"/>
      <c r="AE4273" s="56"/>
      <c r="AF4273" s="56"/>
      <c r="AG4273" s="56"/>
      <c r="AH4273" s="56"/>
      <c r="AI4273" s="56"/>
      <c r="AJ4273" s="56"/>
      <c r="AK4273" s="56"/>
      <c r="AL4273" s="56"/>
      <c r="AM4273" s="56"/>
      <c r="AN4273" s="56"/>
      <c r="AO4273" s="56"/>
      <c r="AP4273" s="56"/>
      <c r="AQ4273" s="56"/>
      <c r="AR4273" s="56"/>
      <c r="AS4273" s="56"/>
      <c r="AT4273" s="56"/>
      <c r="AU4273" s="56"/>
      <c r="AV4273" s="56"/>
      <c r="AW4273" s="56"/>
      <c r="AX4273" s="56"/>
      <c r="AY4273" s="56"/>
      <c r="AZ4273" s="56"/>
      <c r="BA4273" s="56"/>
      <c r="BB4273" s="22">
        <f t="shared" ref="BB4273:BB4287" si="1420">SUM(AD4273:BA4273)</f>
        <v>0</v>
      </c>
      <c r="BC4273" s="23">
        <v>0</v>
      </c>
      <c r="BD4273" s="130">
        <f t="shared" ref="BD4273:BD4287" si="1421">AB4273+BB4273</f>
        <v>0</v>
      </c>
      <c r="BE4273" s="130">
        <f t="shared" si="1415"/>
        <v>3</v>
      </c>
      <c r="BF4273" s="195">
        <f t="shared" ref="BF4273:BF4287" si="1422">BD4273/BE4273*100</f>
        <v>0</v>
      </c>
      <c r="BG4273" s="373">
        <f t="shared" ref="BG4273:BG4287" si="1423">BE4273-BD4273</f>
        <v>3</v>
      </c>
      <c r="BH4273" s="426" t="s">
        <v>3675</v>
      </c>
      <c r="BI4273" s="421"/>
    </row>
    <row r="4274" spans="1:61" s="46" customFormat="1" ht="21" customHeight="1">
      <c r="A4274" s="417">
        <v>2</v>
      </c>
      <c r="B4274" s="418" t="s">
        <v>1743</v>
      </c>
      <c r="C4274" s="419" t="s">
        <v>1744</v>
      </c>
      <c r="D4274" s="55">
        <v>12</v>
      </c>
      <c r="E4274" s="55"/>
      <c r="F4274" s="55"/>
      <c r="G4274" s="55"/>
      <c r="H4274" s="55"/>
      <c r="I4274" s="55"/>
      <c r="J4274" s="55"/>
      <c r="K4274" s="55"/>
      <c r="L4274" s="55">
        <f>12+2</f>
        <v>14</v>
      </c>
      <c r="M4274" s="55"/>
      <c r="N4274" s="55"/>
      <c r="O4274" s="55"/>
      <c r="P4274" s="55"/>
      <c r="Q4274" s="55"/>
      <c r="R4274" s="55"/>
      <c r="S4274" s="55"/>
      <c r="T4274" s="55"/>
      <c r="U4274" s="55"/>
      <c r="V4274" s="55"/>
      <c r="W4274" s="55"/>
      <c r="X4274" s="55"/>
      <c r="Y4274" s="55"/>
      <c r="Z4274" s="55"/>
      <c r="AA4274" s="55"/>
      <c r="AB4274" s="22">
        <f t="shared" si="1419"/>
        <v>26</v>
      </c>
      <c r="AC4274" s="23">
        <f>7+19</f>
        <v>26</v>
      </c>
      <c r="AD4274" s="56"/>
      <c r="AE4274" s="56"/>
      <c r="AF4274" s="56"/>
      <c r="AG4274" s="56"/>
      <c r="AH4274" s="56"/>
      <c r="AI4274" s="56"/>
      <c r="AJ4274" s="56"/>
      <c r="AK4274" s="56"/>
      <c r="AL4274" s="56"/>
      <c r="AM4274" s="56"/>
      <c r="AN4274" s="56"/>
      <c r="AO4274" s="56"/>
      <c r="AP4274" s="56"/>
      <c r="AQ4274" s="56"/>
      <c r="AR4274" s="56"/>
      <c r="AS4274" s="56"/>
      <c r="AT4274" s="56"/>
      <c r="AU4274" s="56"/>
      <c r="AV4274" s="56"/>
      <c r="AW4274" s="56"/>
      <c r="AX4274" s="56"/>
      <c r="AY4274" s="56"/>
      <c r="AZ4274" s="56"/>
      <c r="BA4274" s="56"/>
      <c r="BB4274" s="22">
        <f t="shared" si="1420"/>
        <v>0</v>
      </c>
      <c r="BC4274" s="23">
        <v>0</v>
      </c>
      <c r="BD4274" s="130">
        <f t="shared" si="1421"/>
        <v>26</v>
      </c>
      <c r="BE4274" s="130">
        <f t="shared" si="1415"/>
        <v>26</v>
      </c>
      <c r="BF4274" s="195">
        <f t="shared" si="1422"/>
        <v>100</v>
      </c>
      <c r="BG4274" s="373">
        <f t="shared" si="1423"/>
        <v>0</v>
      </c>
      <c r="BH4274" s="426" t="s">
        <v>3675</v>
      </c>
      <c r="BI4274" s="420"/>
    </row>
    <row r="4275" spans="1:61" s="46" customFormat="1" ht="21" customHeight="1">
      <c r="A4275" s="417">
        <v>3</v>
      </c>
      <c r="B4275" s="418" t="s">
        <v>1811</v>
      </c>
      <c r="C4275" s="419" t="s">
        <v>2147</v>
      </c>
      <c r="D4275" s="55"/>
      <c r="E4275" s="55"/>
      <c r="F4275" s="55"/>
      <c r="G4275" s="55"/>
      <c r="H4275" s="55"/>
      <c r="I4275" s="55"/>
      <c r="J4275" s="55"/>
      <c r="K4275" s="55"/>
      <c r="L4275" s="55"/>
      <c r="M4275" s="55"/>
      <c r="N4275" s="55"/>
      <c r="O4275" s="55"/>
      <c r="P4275" s="55"/>
      <c r="Q4275" s="55"/>
      <c r="R4275" s="55"/>
      <c r="S4275" s="55"/>
      <c r="T4275" s="55"/>
      <c r="U4275" s="55"/>
      <c r="V4275" s="55"/>
      <c r="W4275" s="55"/>
      <c r="X4275" s="55"/>
      <c r="Y4275" s="55"/>
      <c r="Z4275" s="55"/>
      <c r="AA4275" s="55"/>
      <c r="AB4275" s="22">
        <f t="shared" si="1419"/>
        <v>0</v>
      </c>
      <c r="AC4275" s="23">
        <v>3</v>
      </c>
      <c r="AD4275" s="56"/>
      <c r="AE4275" s="56"/>
      <c r="AF4275" s="56"/>
      <c r="AG4275" s="56"/>
      <c r="AH4275" s="56"/>
      <c r="AI4275" s="56"/>
      <c r="AJ4275" s="56"/>
      <c r="AK4275" s="56"/>
      <c r="AL4275" s="56"/>
      <c r="AM4275" s="56"/>
      <c r="AN4275" s="56"/>
      <c r="AO4275" s="56"/>
      <c r="AP4275" s="56"/>
      <c r="AQ4275" s="56"/>
      <c r="AR4275" s="56"/>
      <c r="AS4275" s="56"/>
      <c r="AT4275" s="56"/>
      <c r="AU4275" s="56"/>
      <c r="AV4275" s="56"/>
      <c r="AW4275" s="56"/>
      <c r="AX4275" s="56"/>
      <c r="AY4275" s="56"/>
      <c r="AZ4275" s="56"/>
      <c r="BA4275" s="56"/>
      <c r="BB4275" s="22">
        <f t="shared" si="1420"/>
        <v>0</v>
      </c>
      <c r="BC4275" s="23">
        <v>3</v>
      </c>
      <c r="BD4275" s="130">
        <f t="shared" si="1421"/>
        <v>0</v>
      </c>
      <c r="BE4275" s="130">
        <f t="shared" si="1415"/>
        <v>6</v>
      </c>
      <c r="BF4275" s="195">
        <f t="shared" si="1422"/>
        <v>0</v>
      </c>
      <c r="BG4275" s="373">
        <f t="shared" si="1423"/>
        <v>6</v>
      </c>
      <c r="BH4275" s="426" t="s">
        <v>3675</v>
      </c>
      <c r="BI4275" s="420"/>
    </row>
    <row r="4276" spans="1:61" s="46" customFormat="1" ht="21" customHeight="1">
      <c r="A4276" s="417">
        <v>4</v>
      </c>
      <c r="B4276" s="418" t="s">
        <v>1747</v>
      </c>
      <c r="C4276" s="419" t="s">
        <v>1748</v>
      </c>
      <c r="D4276" s="55">
        <v>1</v>
      </c>
      <c r="E4276" s="55"/>
      <c r="F4276" s="55"/>
      <c r="G4276" s="55"/>
      <c r="H4276" s="55"/>
      <c r="I4276" s="55"/>
      <c r="J4276" s="55"/>
      <c r="K4276" s="55"/>
      <c r="L4276" s="55">
        <f>1+24</f>
        <v>25</v>
      </c>
      <c r="M4276" s="55"/>
      <c r="N4276" s="55"/>
      <c r="O4276" s="55"/>
      <c r="P4276" s="55"/>
      <c r="Q4276" s="55"/>
      <c r="R4276" s="55"/>
      <c r="S4276" s="55"/>
      <c r="T4276" s="55"/>
      <c r="U4276" s="55"/>
      <c r="V4276" s="55"/>
      <c r="W4276" s="55"/>
      <c r="X4276" s="55"/>
      <c r="Y4276" s="55"/>
      <c r="Z4276" s="55"/>
      <c r="AA4276" s="55"/>
      <c r="AB4276" s="22">
        <f t="shared" si="1419"/>
        <v>26</v>
      </c>
      <c r="AC4276" s="23">
        <f>5+83</f>
        <v>88</v>
      </c>
      <c r="AD4276" s="56"/>
      <c r="AE4276" s="56"/>
      <c r="AF4276" s="56"/>
      <c r="AG4276" s="56"/>
      <c r="AH4276" s="56"/>
      <c r="AI4276" s="56"/>
      <c r="AJ4276" s="56"/>
      <c r="AK4276" s="56"/>
      <c r="AL4276" s="56"/>
      <c r="AM4276" s="56"/>
      <c r="AN4276" s="56"/>
      <c r="AO4276" s="56"/>
      <c r="AP4276" s="56"/>
      <c r="AQ4276" s="56"/>
      <c r="AR4276" s="56"/>
      <c r="AS4276" s="56"/>
      <c r="AT4276" s="56"/>
      <c r="AU4276" s="56"/>
      <c r="AV4276" s="56"/>
      <c r="AW4276" s="56"/>
      <c r="AX4276" s="56"/>
      <c r="AY4276" s="56"/>
      <c r="AZ4276" s="56"/>
      <c r="BA4276" s="56"/>
      <c r="BB4276" s="22">
        <f t="shared" si="1420"/>
        <v>0</v>
      </c>
      <c r="BC4276" s="23">
        <v>0</v>
      </c>
      <c r="BD4276" s="130">
        <f t="shared" si="1421"/>
        <v>26</v>
      </c>
      <c r="BE4276" s="130">
        <f t="shared" si="1415"/>
        <v>88</v>
      </c>
      <c r="BF4276" s="195">
        <f t="shared" si="1422"/>
        <v>29.545454545454547</v>
      </c>
      <c r="BG4276" s="373">
        <f t="shared" si="1423"/>
        <v>62</v>
      </c>
      <c r="BH4276" s="426" t="s">
        <v>3675</v>
      </c>
      <c r="BI4276" s="420"/>
    </row>
    <row r="4277" spans="1:61" s="46" customFormat="1" ht="21" customHeight="1">
      <c r="A4277" s="417">
        <v>5</v>
      </c>
      <c r="B4277" s="418" t="s">
        <v>1749</v>
      </c>
      <c r="C4277" s="419" t="s">
        <v>1750</v>
      </c>
      <c r="D4277" s="55">
        <v>6</v>
      </c>
      <c r="E4277" s="55"/>
      <c r="F4277" s="55"/>
      <c r="G4277" s="55"/>
      <c r="H4277" s="55"/>
      <c r="I4277" s="55"/>
      <c r="J4277" s="55"/>
      <c r="K4277" s="55"/>
      <c r="L4277" s="55">
        <v>6</v>
      </c>
      <c r="M4277" s="55"/>
      <c r="N4277" s="55"/>
      <c r="O4277" s="55"/>
      <c r="P4277" s="55"/>
      <c r="Q4277" s="55"/>
      <c r="R4277" s="55"/>
      <c r="S4277" s="55"/>
      <c r="T4277" s="55"/>
      <c r="U4277" s="55"/>
      <c r="V4277" s="55"/>
      <c r="W4277" s="55"/>
      <c r="X4277" s="55"/>
      <c r="Y4277" s="55"/>
      <c r="Z4277" s="55"/>
      <c r="AA4277" s="55"/>
      <c r="AB4277" s="22">
        <f t="shared" si="1419"/>
        <v>12</v>
      </c>
      <c r="AC4277" s="23">
        <v>16</v>
      </c>
      <c r="AD4277" s="56"/>
      <c r="AE4277" s="56"/>
      <c r="AF4277" s="56"/>
      <c r="AG4277" s="56"/>
      <c r="AH4277" s="56"/>
      <c r="AI4277" s="56"/>
      <c r="AJ4277" s="56"/>
      <c r="AK4277" s="56"/>
      <c r="AL4277" s="56"/>
      <c r="AM4277" s="56"/>
      <c r="AN4277" s="56"/>
      <c r="AO4277" s="56"/>
      <c r="AP4277" s="56"/>
      <c r="AQ4277" s="56"/>
      <c r="AR4277" s="56"/>
      <c r="AS4277" s="56"/>
      <c r="AT4277" s="56"/>
      <c r="AU4277" s="56"/>
      <c r="AV4277" s="56"/>
      <c r="AW4277" s="56"/>
      <c r="AX4277" s="56"/>
      <c r="AY4277" s="56"/>
      <c r="AZ4277" s="56"/>
      <c r="BA4277" s="56"/>
      <c r="BB4277" s="22">
        <f t="shared" si="1420"/>
        <v>0</v>
      </c>
      <c r="BC4277" s="23">
        <v>0</v>
      </c>
      <c r="BD4277" s="130">
        <f t="shared" si="1421"/>
        <v>12</v>
      </c>
      <c r="BE4277" s="130">
        <f t="shared" si="1415"/>
        <v>16</v>
      </c>
      <c r="BF4277" s="195">
        <f t="shared" si="1422"/>
        <v>75</v>
      </c>
      <c r="BG4277" s="373">
        <f t="shared" si="1423"/>
        <v>4</v>
      </c>
      <c r="BH4277" s="426" t="s">
        <v>3675</v>
      </c>
      <c r="BI4277" s="421"/>
    </row>
    <row r="4278" spans="1:61" s="46" customFormat="1" ht="21" customHeight="1">
      <c r="A4278" s="417">
        <v>6</v>
      </c>
      <c r="B4278" s="418" t="s">
        <v>1751</v>
      </c>
      <c r="C4278" s="419" t="s">
        <v>1752</v>
      </c>
      <c r="D4278" s="55"/>
      <c r="E4278" s="55"/>
      <c r="F4278" s="55"/>
      <c r="G4278" s="55"/>
      <c r="H4278" s="55"/>
      <c r="I4278" s="55"/>
      <c r="J4278" s="55"/>
      <c r="K4278" s="55"/>
      <c r="L4278" s="55"/>
      <c r="M4278" s="55"/>
      <c r="N4278" s="55"/>
      <c r="O4278" s="55"/>
      <c r="P4278" s="55"/>
      <c r="Q4278" s="55"/>
      <c r="R4278" s="55"/>
      <c r="S4278" s="55"/>
      <c r="T4278" s="55"/>
      <c r="U4278" s="55"/>
      <c r="V4278" s="55"/>
      <c r="W4278" s="55"/>
      <c r="X4278" s="55"/>
      <c r="Y4278" s="55"/>
      <c r="Z4278" s="55"/>
      <c r="AA4278" s="55"/>
      <c r="AB4278" s="22">
        <f t="shared" si="1419"/>
        <v>0</v>
      </c>
      <c r="AC4278" s="23">
        <v>1</v>
      </c>
      <c r="AD4278" s="56"/>
      <c r="AE4278" s="56"/>
      <c r="AF4278" s="56"/>
      <c r="AG4278" s="56"/>
      <c r="AH4278" s="56"/>
      <c r="AI4278" s="56"/>
      <c r="AJ4278" s="56"/>
      <c r="AK4278" s="56"/>
      <c r="AL4278" s="56"/>
      <c r="AM4278" s="56"/>
      <c r="AN4278" s="56"/>
      <c r="AO4278" s="56"/>
      <c r="AP4278" s="56"/>
      <c r="AQ4278" s="56"/>
      <c r="AR4278" s="56"/>
      <c r="AS4278" s="56"/>
      <c r="AT4278" s="56"/>
      <c r="AU4278" s="56"/>
      <c r="AV4278" s="56"/>
      <c r="AW4278" s="56"/>
      <c r="AX4278" s="56"/>
      <c r="AY4278" s="56"/>
      <c r="AZ4278" s="56"/>
      <c r="BA4278" s="56"/>
      <c r="BB4278" s="22">
        <f t="shared" si="1420"/>
        <v>0</v>
      </c>
      <c r="BC4278" s="23">
        <v>0</v>
      </c>
      <c r="BD4278" s="130">
        <f t="shared" si="1421"/>
        <v>0</v>
      </c>
      <c r="BE4278" s="130">
        <f t="shared" si="1415"/>
        <v>1</v>
      </c>
      <c r="BF4278" s="195">
        <f t="shared" si="1422"/>
        <v>0</v>
      </c>
      <c r="BG4278" s="373">
        <f t="shared" si="1423"/>
        <v>1</v>
      </c>
      <c r="BH4278" s="426" t="s">
        <v>3675</v>
      </c>
      <c r="BI4278" s="420"/>
    </row>
    <row r="4279" spans="1:61" s="46" customFormat="1" ht="21" customHeight="1">
      <c r="A4279" s="417">
        <v>7</v>
      </c>
      <c r="B4279" s="418" t="s">
        <v>1753</v>
      </c>
      <c r="C4279" s="419" t="s">
        <v>1754</v>
      </c>
      <c r="D4279" s="55"/>
      <c r="E4279" s="55"/>
      <c r="F4279" s="55"/>
      <c r="G4279" s="55"/>
      <c r="H4279" s="55"/>
      <c r="I4279" s="55"/>
      <c r="J4279" s="55"/>
      <c r="K4279" s="55"/>
      <c r="L4279" s="55">
        <v>23</v>
      </c>
      <c r="M4279" s="55"/>
      <c r="N4279" s="55"/>
      <c r="O4279" s="55"/>
      <c r="P4279" s="55"/>
      <c r="Q4279" s="55"/>
      <c r="R4279" s="55"/>
      <c r="S4279" s="55"/>
      <c r="T4279" s="55"/>
      <c r="U4279" s="55"/>
      <c r="V4279" s="55"/>
      <c r="W4279" s="55"/>
      <c r="X4279" s="55"/>
      <c r="Y4279" s="55"/>
      <c r="Z4279" s="55"/>
      <c r="AA4279" s="55"/>
      <c r="AB4279" s="22">
        <f t="shared" si="1419"/>
        <v>23</v>
      </c>
      <c r="AC4279" s="23">
        <f>5+73</f>
        <v>78</v>
      </c>
      <c r="AD4279" s="56"/>
      <c r="AE4279" s="56"/>
      <c r="AF4279" s="56"/>
      <c r="AG4279" s="56"/>
      <c r="AH4279" s="56"/>
      <c r="AI4279" s="56"/>
      <c r="AJ4279" s="56"/>
      <c r="AK4279" s="56"/>
      <c r="AL4279" s="56"/>
      <c r="AM4279" s="56"/>
      <c r="AN4279" s="56"/>
      <c r="AO4279" s="56"/>
      <c r="AP4279" s="56"/>
      <c r="AQ4279" s="56"/>
      <c r="AR4279" s="56"/>
      <c r="AS4279" s="56"/>
      <c r="AT4279" s="56"/>
      <c r="AU4279" s="56"/>
      <c r="AV4279" s="56"/>
      <c r="AW4279" s="56"/>
      <c r="AX4279" s="56"/>
      <c r="AY4279" s="56"/>
      <c r="AZ4279" s="56"/>
      <c r="BA4279" s="56"/>
      <c r="BB4279" s="22">
        <f t="shared" si="1420"/>
        <v>0</v>
      </c>
      <c r="BC4279" s="23">
        <v>0</v>
      </c>
      <c r="BD4279" s="130">
        <f t="shared" si="1421"/>
        <v>23</v>
      </c>
      <c r="BE4279" s="130">
        <f t="shared" si="1415"/>
        <v>78</v>
      </c>
      <c r="BF4279" s="195">
        <f t="shared" si="1422"/>
        <v>29.487179487179489</v>
      </c>
      <c r="BG4279" s="373">
        <f t="shared" si="1423"/>
        <v>55</v>
      </c>
      <c r="BH4279" s="426" t="s">
        <v>3675</v>
      </c>
      <c r="BI4279" s="420"/>
    </row>
    <row r="4280" spans="1:61" s="46" customFormat="1" ht="21" customHeight="1">
      <c r="A4280" s="417">
        <v>8</v>
      </c>
      <c r="B4280" s="418" t="s">
        <v>2148</v>
      </c>
      <c r="C4280" s="419" t="s">
        <v>4027</v>
      </c>
      <c r="D4280" s="55"/>
      <c r="E4280" s="55"/>
      <c r="F4280" s="55"/>
      <c r="G4280" s="55"/>
      <c r="H4280" s="55"/>
      <c r="I4280" s="55"/>
      <c r="J4280" s="55"/>
      <c r="K4280" s="55"/>
      <c r="L4280" s="55">
        <v>1</v>
      </c>
      <c r="M4280" s="55"/>
      <c r="N4280" s="55"/>
      <c r="O4280" s="55"/>
      <c r="P4280" s="55"/>
      <c r="Q4280" s="55"/>
      <c r="R4280" s="55"/>
      <c r="S4280" s="55"/>
      <c r="T4280" s="55"/>
      <c r="U4280" s="55"/>
      <c r="V4280" s="55"/>
      <c r="W4280" s="55"/>
      <c r="X4280" s="55"/>
      <c r="Y4280" s="55"/>
      <c r="Z4280" s="55"/>
      <c r="AA4280" s="55"/>
      <c r="AB4280" s="22">
        <f t="shared" si="1419"/>
        <v>1</v>
      </c>
      <c r="AC4280" s="23">
        <v>0</v>
      </c>
      <c r="AD4280" s="56"/>
      <c r="AE4280" s="56"/>
      <c r="AF4280" s="56"/>
      <c r="AG4280" s="56"/>
      <c r="AH4280" s="56"/>
      <c r="AI4280" s="56"/>
      <c r="AJ4280" s="56"/>
      <c r="AK4280" s="56"/>
      <c r="AL4280" s="56"/>
      <c r="AM4280" s="56"/>
      <c r="AN4280" s="56"/>
      <c r="AO4280" s="56"/>
      <c r="AP4280" s="56"/>
      <c r="AQ4280" s="56"/>
      <c r="AR4280" s="56"/>
      <c r="AS4280" s="56"/>
      <c r="AT4280" s="56"/>
      <c r="AU4280" s="56"/>
      <c r="AV4280" s="56"/>
      <c r="AW4280" s="56"/>
      <c r="AX4280" s="56"/>
      <c r="AY4280" s="56"/>
      <c r="AZ4280" s="56"/>
      <c r="BA4280" s="56"/>
      <c r="BB4280" s="22">
        <f t="shared" si="1420"/>
        <v>0</v>
      </c>
      <c r="BC4280" s="23">
        <v>0</v>
      </c>
      <c r="BD4280" s="130">
        <f t="shared" ref="BD4280" si="1424">AB4280+BB4280</f>
        <v>1</v>
      </c>
      <c r="BE4280" s="130">
        <f t="shared" ref="BE4280" si="1425">AC4280+BC4280</f>
        <v>0</v>
      </c>
      <c r="BF4280" s="195" t="e">
        <f t="shared" ref="BF4280" si="1426">BD4280/BE4280*100</f>
        <v>#DIV/0!</v>
      </c>
      <c r="BG4280" s="373"/>
      <c r="BH4280" s="426" t="s">
        <v>3675</v>
      </c>
      <c r="BI4280" s="420"/>
    </row>
    <row r="4281" spans="1:61" s="46" customFormat="1" ht="21" customHeight="1">
      <c r="A4281" s="417">
        <v>9</v>
      </c>
      <c r="B4281" s="418" t="s">
        <v>1756</v>
      </c>
      <c r="C4281" s="419" t="s">
        <v>1757</v>
      </c>
      <c r="D4281" s="55">
        <v>113</v>
      </c>
      <c r="E4281" s="55"/>
      <c r="F4281" s="55"/>
      <c r="G4281" s="55"/>
      <c r="H4281" s="55"/>
      <c r="I4281" s="55"/>
      <c r="J4281" s="55"/>
      <c r="K4281" s="55"/>
      <c r="L4281" s="55">
        <f>69+41</f>
        <v>110</v>
      </c>
      <c r="M4281" s="55"/>
      <c r="N4281" s="55"/>
      <c r="O4281" s="55"/>
      <c r="P4281" s="55">
        <v>13</v>
      </c>
      <c r="Q4281" s="55"/>
      <c r="R4281" s="55"/>
      <c r="S4281" s="55"/>
      <c r="T4281" s="55"/>
      <c r="U4281" s="55"/>
      <c r="V4281" s="55"/>
      <c r="W4281" s="55"/>
      <c r="X4281" s="55"/>
      <c r="Y4281" s="55"/>
      <c r="Z4281" s="55"/>
      <c r="AA4281" s="55"/>
      <c r="AB4281" s="22">
        <f t="shared" si="1419"/>
        <v>236</v>
      </c>
      <c r="AC4281" s="23">
        <v>205</v>
      </c>
      <c r="AD4281" s="56"/>
      <c r="AE4281" s="56"/>
      <c r="AF4281" s="56"/>
      <c r="AG4281" s="56"/>
      <c r="AH4281" s="56">
        <f>53+2</f>
        <v>55</v>
      </c>
      <c r="AI4281" s="56"/>
      <c r="AJ4281" s="56"/>
      <c r="AK4281" s="56"/>
      <c r="AL4281" s="56"/>
      <c r="AM4281" s="56"/>
      <c r="AN4281" s="56"/>
      <c r="AO4281" s="56"/>
      <c r="AP4281" s="56"/>
      <c r="AQ4281" s="56"/>
      <c r="AR4281" s="56"/>
      <c r="AS4281" s="56"/>
      <c r="AT4281" s="56"/>
      <c r="AU4281" s="56"/>
      <c r="AV4281" s="56"/>
      <c r="AW4281" s="56"/>
      <c r="AX4281" s="56"/>
      <c r="AY4281" s="56"/>
      <c r="AZ4281" s="56"/>
      <c r="BA4281" s="56"/>
      <c r="BB4281" s="22">
        <f t="shared" si="1420"/>
        <v>55</v>
      </c>
      <c r="BC4281" s="23">
        <v>0</v>
      </c>
      <c r="BD4281" s="130">
        <f t="shared" si="1421"/>
        <v>291</v>
      </c>
      <c r="BE4281" s="130">
        <f t="shared" si="1415"/>
        <v>205</v>
      </c>
      <c r="BF4281" s="195">
        <f t="shared" si="1422"/>
        <v>141.95121951219511</v>
      </c>
      <c r="BG4281" s="373">
        <f t="shared" si="1423"/>
        <v>-86</v>
      </c>
      <c r="BH4281" s="426" t="s">
        <v>3675</v>
      </c>
      <c r="BI4281" s="421"/>
    </row>
    <row r="4282" spans="1:61" s="46" customFormat="1" ht="14.25" customHeight="1">
      <c r="A4282" s="453">
        <v>10</v>
      </c>
      <c r="B4282" s="454" t="s">
        <v>1763</v>
      </c>
      <c r="C4282" s="455" t="s">
        <v>1764</v>
      </c>
      <c r="D4282" s="55"/>
      <c r="E4282" s="55"/>
      <c r="F4282" s="55"/>
      <c r="G4282" s="55"/>
      <c r="H4282" s="55"/>
      <c r="I4282" s="55"/>
      <c r="J4282" s="55"/>
      <c r="K4282" s="55"/>
      <c r="L4282" s="55"/>
      <c r="M4282" s="55"/>
      <c r="N4282" s="55"/>
      <c r="O4282" s="55"/>
      <c r="P4282" s="55"/>
      <c r="Q4282" s="55"/>
      <c r="R4282" s="55"/>
      <c r="S4282" s="55"/>
      <c r="T4282" s="55"/>
      <c r="U4282" s="55"/>
      <c r="V4282" s="55"/>
      <c r="W4282" s="55"/>
      <c r="X4282" s="55"/>
      <c r="Y4282" s="55"/>
      <c r="Z4282" s="55"/>
      <c r="AA4282" s="55"/>
      <c r="AB4282" s="22">
        <f t="shared" si="1419"/>
        <v>0</v>
      </c>
      <c r="AC4282" s="23">
        <v>0</v>
      </c>
      <c r="AD4282" s="56"/>
      <c r="AE4282" s="56"/>
      <c r="AF4282" s="56"/>
      <c r="AG4282" s="56"/>
      <c r="AH4282" s="56"/>
      <c r="AI4282" s="56"/>
      <c r="AJ4282" s="56"/>
      <c r="AK4282" s="56"/>
      <c r="AL4282" s="56">
        <v>8</v>
      </c>
      <c r="AM4282" s="56"/>
      <c r="AN4282" s="56"/>
      <c r="AO4282" s="56"/>
      <c r="AP4282" s="56"/>
      <c r="AQ4282" s="56"/>
      <c r="AR4282" s="56"/>
      <c r="AS4282" s="56"/>
      <c r="AT4282" s="56"/>
      <c r="AU4282" s="56"/>
      <c r="AV4282" s="56"/>
      <c r="AW4282" s="56"/>
      <c r="AX4282" s="56"/>
      <c r="AY4282" s="56"/>
      <c r="AZ4282" s="56"/>
      <c r="BA4282" s="56"/>
      <c r="BB4282" s="22">
        <f t="shared" si="1420"/>
        <v>8</v>
      </c>
      <c r="BC4282" s="23">
        <v>78</v>
      </c>
      <c r="BD4282" s="130">
        <f t="shared" si="1421"/>
        <v>8</v>
      </c>
      <c r="BE4282" s="130">
        <f t="shared" si="1415"/>
        <v>78</v>
      </c>
      <c r="BF4282" s="195">
        <f t="shared" si="1422"/>
        <v>10.256410256410255</v>
      </c>
      <c r="BG4282" s="373">
        <f t="shared" si="1423"/>
        <v>70</v>
      </c>
    </row>
    <row r="4283" spans="1:61" s="46" customFormat="1" ht="14.25" customHeight="1">
      <c r="A4283" s="453">
        <v>11</v>
      </c>
      <c r="B4283" s="454" t="s">
        <v>1665</v>
      </c>
      <c r="C4283" s="455" t="s">
        <v>1666</v>
      </c>
      <c r="D4283" s="55"/>
      <c r="E4283" s="55"/>
      <c r="F4283" s="55"/>
      <c r="G4283" s="55"/>
      <c r="H4283" s="55"/>
      <c r="I4283" s="55"/>
      <c r="J4283" s="55"/>
      <c r="K4283" s="55"/>
      <c r="L4283" s="55"/>
      <c r="M4283" s="55"/>
      <c r="N4283" s="55"/>
      <c r="O4283" s="55"/>
      <c r="P4283" s="55"/>
      <c r="Q4283" s="55"/>
      <c r="R4283" s="55"/>
      <c r="S4283" s="55"/>
      <c r="T4283" s="55"/>
      <c r="U4283" s="55"/>
      <c r="V4283" s="55"/>
      <c r="W4283" s="55"/>
      <c r="X4283" s="55"/>
      <c r="Y4283" s="55"/>
      <c r="Z4283" s="55"/>
      <c r="AA4283" s="55"/>
      <c r="AB4283" s="22">
        <f t="shared" si="1419"/>
        <v>0</v>
      </c>
      <c r="AC4283" s="23">
        <v>0</v>
      </c>
      <c r="AD4283" s="56">
        <v>1</v>
      </c>
      <c r="AE4283" s="56"/>
      <c r="AF4283" s="56"/>
      <c r="AG4283" s="56"/>
      <c r="AH4283" s="56"/>
      <c r="AI4283" s="56"/>
      <c r="AJ4283" s="56"/>
      <c r="AK4283" s="56"/>
      <c r="AL4283" s="56">
        <f>1+15</f>
        <v>16</v>
      </c>
      <c r="AM4283" s="56"/>
      <c r="AN4283" s="56"/>
      <c r="AO4283" s="56"/>
      <c r="AP4283" s="56"/>
      <c r="AQ4283" s="56"/>
      <c r="AR4283" s="56"/>
      <c r="AS4283" s="56"/>
      <c r="AT4283" s="56"/>
      <c r="AU4283" s="56"/>
      <c r="AV4283" s="56"/>
      <c r="AW4283" s="56"/>
      <c r="AX4283" s="56"/>
      <c r="AY4283" s="56"/>
      <c r="AZ4283" s="56"/>
      <c r="BA4283" s="56"/>
      <c r="BB4283" s="22">
        <f t="shared" si="1420"/>
        <v>17</v>
      </c>
      <c r="BC4283" s="23">
        <v>79</v>
      </c>
      <c r="BD4283" s="130">
        <f t="shared" si="1421"/>
        <v>17</v>
      </c>
      <c r="BE4283" s="130">
        <f t="shared" si="1415"/>
        <v>79</v>
      </c>
      <c r="BF4283" s="195">
        <f t="shared" si="1422"/>
        <v>21.518987341772153</v>
      </c>
      <c r="BG4283" s="373">
        <f t="shared" si="1423"/>
        <v>62</v>
      </c>
    </row>
    <row r="4284" spans="1:61" s="46" customFormat="1" ht="14.25" customHeight="1">
      <c r="A4284" s="453">
        <v>12</v>
      </c>
      <c r="B4284" s="454" t="s">
        <v>1767</v>
      </c>
      <c r="C4284" s="458" t="s">
        <v>1854</v>
      </c>
      <c r="D4284" s="55"/>
      <c r="E4284" s="55"/>
      <c r="F4284" s="55"/>
      <c r="G4284" s="55"/>
      <c r="H4284" s="55"/>
      <c r="I4284" s="55"/>
      <c r="J4284" s="55"/>
      <c r="K4284" s="55"/>
      <c r="L4284" s="55"/>
      <c r="M4284" s="55"/>
      <c r="N4284" s="55"/>
      <c r="O4284" s="55"/>
      <c r="P4284" s="55"/>
      <c r="Q4284" s="55"/>
      <c r="R4284" s="55"/>
      <c r="S4284" s="55"/>
      <c r="T4284" s="55"/>
      <c r="U4284" s="55"/>
      <c r="V4284" s="55"/>
      <c r="W4284" s="55"/>
      <c r="X4284" s="55"/>
      <c r="Y4284" s="55"/>
      <c r="Z4284" s="55"/>
      <c r="AA4284" s="55"/>
      <c r="AB4284" s="22">
        <f t="shared" si="1419"/>
        <v>0</v>
      </c>
      <c r="AC4284" s="23">
        <v>0</v>
      </c>
      <c r="AD4284" s="56">
        <v>1</v>
      </c>
      <c r="AE4284" s="56"/>
      <c r="AF4284" s="56"/>
      <c r="AG4284" s="56"/>
      <c r="AH4284" s="56"/>
      <c r="AI4284" s="56"/>
      <c r="AJ4284" s="56"/>
      <c r="AK4284" s="56"/>
      <c r="AL4284" s="56">
        <f>1+24</f>
        <v>25</v>
      </c>
      <c r="AM4284" s="56"/>
      <c r="AN4284" s="56"/>
      <c r="AO4284" s="56"/>
      <c r="AP4284" s="56"/>
      <c r="AQ4284" s="56"/>
      <c r="AR4284" s="56"/>
      <c r="AS4284" s="56"/>
      <c r="AT4284" s="56"/>
      <c r="AU4284" s="56"/>
      <c r="AV4284" s="56"/>
      <c r="AW4284" s="56"/>
      <c r="AX4284" s="56"/>
      <c r="AY4284" s="56"/>
      <c r="AZ4284" s="56"/>
      <c r="BA4284" s="56"/>
      <c r="BB4284" s="22">
        <f t="shared" si="1420"/>
        <v>26</v>
      </c>
      <c r="BC4284" s="23">
        <v>79</v>
      </c>
      <c r="BD4284" s="130">
        <f t="shared" si="1421"/>
        <v>26</v>
      </c>
      <c r="BE4284" s="130">
        <f t="shared" si="1415"/>
        <v>79</v>
      </c>
      <c r="BF4284" s="195">
        <f t="shared" si="1422"/>
        <v>32.911392405063289</v>
      </c>
      <c r="BG4284" s="373">
        <f t="shared" si="1423"/>
        <v>53</v>
      </c>
    </row>
    <row r="4285" spans="1:61" s="46" customFormat="1" ht="14.25" customHeight="1">
      <c r="A4285" s="453">
        <v>13</v>
      </c>
      <c r="B4285" s="454" t="s">
        <v>1795</v>
      </c>
      <c r="C4285" s="458" t="s">
        <v>4028</v>
      </c>
      <c r="D4285" s="55"/>
      <c r="E4285" s="55"/>
      <c r="F4285" s="55"/>
      <c r="G4285" s="55"/>
      <c r="H4285" s="55"/>
      <c r="I4285" s="55"/>
      <c r="J4285" s="55"/>
      <c r="K4285" s="55"/>
      <c r="L4285" s="55"/>
      <c r="M4285" s="55"/>
      <c r="N4285" s="55"/>
      <c r="O4285" s="55"/>
      <c r="P4285" s="55"/>
      <c r="Q4285" s="55"/>
      <c r="R4285" s="55"/>
      <c r="S4285" s="55"/>
      <c r="T4285" s="55"/>
      <c r="U4285" s="55"/>
      <c r="V4285" s="55"/>
      <c r="W4285" s="55"/>
      <c r="X4285" s="55"/>
      <c r="Y4285" s="55"/>
      <c r="Z4285" s="55"/>
      <c r="AA4285" s="55"/>
      <c r="AB4285" s="22">
        <f t="shared" si="1419"/>
        <v>0</v>
      </c>
      <c r="AC4285" s="23">
        <v>0</v>
      </c>
      <c r="AD4285" s="56"/>
      <c r="AE4285" s="56"/>
      <c r="AF4285" s="56"/>
      <c r="AG4285" s="56"/>
      <c r="AH4285" s="56"/>
      <c r="AI4285" s="56"/>
      <c r="AJ4285" s="56"/>
      <c r="AK4285" s="56"/>
      <c r="AL4285" s="56">
        <v>1</v>
      </c>
      <c r="AM4285" s="56"/>
      <c r="AN4285" s="56"/>
      <c r="AO4285" s="56"/>
      <c r="AP4285" s="56"/>
      <c r="AQ4285" s="56"/>
      <c r="AR4285" s="56"/>
      <c r="AS4285" s="56"/>
      <c r="AT4285" s="56"/>
      <c r="AU4285" s="56"/>
      <c r="AV4285" s="56"/>
      <c r="AW4285" s="56"/>
      <c r="AX4285" s="56"/>
      <c r="AY4285" s="56"/>
      <c r="AZ4285" s="56"/>
      <c r="BA4285" s="56"/>
      <c r="BB4285" s="22">
        <f t="shared" si="1420"/>
        <v>1</v>
      </c>
      <c r="BC4285" s="23">
        <v>0</v>
      </c>
      <c r="BD4285" s="130">
        <f t="shared" ref="BD4285" si="1427">AB4285+BB4285</f>
        <v>1</v>
      </c>
      <c r="BE4285" s="130">
        <f t="shared" ref="BE4285" si="1428">AC4285+BC4285</f>
        <v>0</v>
      </c>
      <c r="BF4285" s="195" t="e">
        <f t="shared" ref="BF4285" si="1429">BD4285/BE4285*100</f>
        <v>#DIV/0!</v>
      </c>
      <c r="BG4285" s="373"/>
    </row>
    <row r="4286" spans="1:61" s="46" customFormat="1" ht="14.25" customHeight="1">
      <c r="A4286" s="453">
        <v>14</v>
      </c>
      <c r="B4286" s="454" t="s">
        <v>1773</v>
      </c>
      <c r="C4286" s="455" t="s">
        <v>3465</v>
      </c>
      <c r="D4286" s="55"/>
      <c r="E4286" s="55"/>
      <c r="F4286" s="55"/>
      <c r="G4286" s="55"/>
      <c r="H4286" s="55"/>
      <c r="I4286" s="55"/>
      <c r="J4286" s="55"/>
      <c r="K4286" s="55"/>
      <c r="L4286" s="55"/>
      <c r="M4286" s="55"/>
      <c r="N4286" s="55"/>
      <c r="O4286" s="55"/>
      <c r="P4286" s="55"/>
      <c r="Q4286" s="55"/>
      <c r="R4286" s="55"/>
      <c r="S4286" s="55"/>
      <c r="T4286" s="55"/>
      <c r="U4286" s="55"/>
      <c r="V4286" s="55"/>
      <c r="W4286" s="55"/>
      <c r="X4286" s="55"/>
      <c r="Y4286" s="55"/>
      <c r="Z4286" s="55"/>
      <c r="AA4286" s="55"/>
      <c r="AB4286" s="22">
        <f t="shared" si="1419"/>
        <v>0</v>
      </c>
      <c r="AC4286" s="23">
        <v>0</v>
      </c>
      <c r="AD4286" s="56"/>
      <c r="AE4286" s="56"/>
      <c r="AF4286" s="56"/>
      <c r="AG4286" s="56"/>
      <c r="AH4286" s="56"/>
      <c r="AI4286" s="56"/>
      <c r="AJ4286" s="56"/>
      <c r="AK4286" s="56"/>
      <c r="AL4286" s="56"/>
      <c r="AM4286" s="56"/>
      <c r="AN4286" s="56"/>
      <c r="AO4286" s="56"/>
      <c r="AP4286" s="56"/>
      <c r="AQ4286" s="56"/>
      <c r="AR4286" s="56"/>
      <c r="AS4286" s="56"/>
      <c r="AT4286" s="56"/>
      <c r="AU4286" s="56"/>
      <c r="AV4286" s="56"/>
      <c r="AW4286" s="56"/>
      <c r="AX4286" s="56"/>
      <c r="AY4286" s="56"/>
      <c r="AZ4286" s="56"/>
      <c r="BA4286" s="56"/>
      <c r="BB4286" s="22">
        <f t="shared" si="1420"/>
        <v>0</v>
      </c>
      <c r="BC4286" s="23">
        <v>1</v>
      </c>
      <c r="BD4286" s="130">
        <f t="shared" si="1421"/>
        <v>0</v>
      </c>
      <c r="BE4286" s="130">
        <f t="shared" si="1415"/>
        <v>1</v>
      </c>
      <c r="BF4286" s="195">
        <f t="shared" si="1422"/>
        <v>0</v>
      </c>
      <c r="BG4286" s="373">
        <f t="shared" si="1423"/>
        <v>1</v>
      </c>
    </row>
    <row r="4287" spans="1:61" s="46" customFormat="1" ht="14.25" customHeight="1">
      <c r="A4287" s="181">
        <v>15</v>
      </c>
      <c r="B4287" s="53"/>
      <c r="C4287" s="57"/>
      <c r="D4287" s="55"/>
      <c r="E4287" s="55"/>
      <c r="F4287" s="55"/>
      <c r="G4287" s="55"/>
      <c r="H4287" s="55"/>
      <c r="I4287" s="55"/>
      <c r="J4287" s="55"/>
      <c r="K4287" s="55"/>
      <c r="L4287" s="55"/>
      <c r="M4287" s="55"/>
      <c r="N4287" s="55"/>
      <c r="O4287" s="55"/>
      <c r="P4287" s="55"/>
      <c r="Q4287" s="55"/>
      <c r="R4287" s="55"/>
      <c r="S4287" s="55"/>
      <c r="T4287" s="55"/>
      <c r="U4287" s="55"/>
      <c r="V4287" s="55"/>
      <c r="W4287" s="55"/>
      <c r="X4287" s="55"/>
      <c r="Y4287" s="55"/>
      <c r="Z4287" s="55"/>
      <c r="AA4287" s="55"/>
      <c r="AB4287" s="22">
        <f t="shared" si="1419"/>
        <v>0</v>
      </c>
      <c r="AC4287" s="23">
        <v>0</v>
      </c>
      <c r="AD4287" s="56"/>
      <c r="AE4287" s="56"/>
      <c r="AF4287" s="56"/>
      <c r="AG4287" s="56"/>
      <c r="AH4287" s="56"/>
      <c r="AI4287" s="56"/>
      <c r="AJ4287" s="56"/>
      <c r="AK4287" s="56"/>
      <c r="AL4287" s="56"/>
      <c r="AM4287" s="56"/>
      <c r="AN4287" s="56"/>
      <c r="AO4287" s="56"/>
      <c r="AP4287" s="56"/>
      <c r="AQ4287" s="56"/>
      <c r="AR4287" s="56"/>
      <c r="AS4287" s="56"/>
      <c r="AT4287" s="56"/>
      <c r="AU4287" s="56"/>
      <c r="AV4287" s="56"/>
      <c r="AW4287" s="56"/>
      <c r="AX4287" s="56"/>
      <c r="AY4287" s="56"/>
      <c r="AZ4287" s="56"/>
      <c r="BA4287" s="56"/>
      <c r="BB4287" s="22">
        <f t="shared" si="1420"/>
        <v>0</v>
      </c>
      <c r="BC4287" s="23">
        <v>0</v>
      </c>
      <c r="BD4287" s="130">
        <f t="shared" si="1421"/>
        <v>0</v>
      </c>
      <c r="BE4287" s="130">
        <f t="shared" si="1415"/>
        <v>0</v>
      </c>
      <c r="BF4287" s="195" t="e">
        <f t="shared" si="1422"/>
        <v>#DIV/0!</v>
      </c>
      <c r="BG4287" s="373">
        <f t="shared" si="1423"/>
        <v>0</v>
      </c>
    </row>
    <row r="4288" spans="1:61" s="46" customFormat="1" ht="14.25" customHeight="1">
      <c r="A4288" s="648" t="s">
        <v>1855</v>
      </c>
      <c r="B4288" s="649"/>
      <c r="C4288" s="649"/>
      <c r="D4288" s="52">
        <f t="shared" ref="D4288:AI4288" si="1430">SUM(D4289:D4302)</f>
        <v>0</v>
      </c>
      <c r="E4288" s="52">
        <f t="shared" si="1430"/>
        <v>0</v>
      </c>
      <c r="F4288" s="52">
        <f t="shared" si="1430"/>
        <v>0</v>
      </c>
      <c r="G4288" s="52">
        <f t="shared" si="1430"/>
        <v>0</v>
      </c>
      <c r="H4288" s="52">
        <f t="shared" si="1430"/>
        <v>0</v>
      </c>
      <c r="I4288" s="52">
        <f t="shared" si="1430"/>
        <v>0</v>
      </c>
      <c r="J4288" s="52">
        <f t="shared" si="1430"/>
        <v>0</v>
      </c>
      <c r="K4288" s="52">
        <f t="shared" si="1430"/>
        <v>0</v>
      </c>
      <c r="L4288" s="52">
        <f t="shared" si="1430"/>
        <v>53</v>
      </c>
      <c r="M4288" s="52">
        <f t="shared" si="1430"/>
        <v>0</v>
      </c>
      <c r="N4288" s="52">
        <f t="shared" si="1430"/>
        <v>0</v>
      </c>
      <c r="O4288" s="52">
        <f t="shared" si="1430"/>
        <v>0</v>
      </c>
      <c r="P4288" s="52">
        <f t="shared" si="1430"/>
        <v>13</v>
      </c>
      <c r="Q4288" s="52">
        <f t="shared" si="1430"/>
        <v>0</v>
      </c>
      <c r="R4288" s="52">
        <f t="shared" si="1430"/>
        <v>0</v>
      </c>
      <c r="S4288" s="52">
        <f t="shared" si="1430"/>
        <v>0</v>
      </c>
      <c r="T4288" s="52">
        <f t="shared" si="1430"/>
        <v>0</v>
      </c>
      <c r="U4288" s="52">
        <f t="shared" si="1430"/>
        <v>0</v>
      </c>
      <c r="V4288" s="52">
        <f t="shared" si="1430"/>
        <v>0</v>
      </c>
      <c r="W4288" s="52">
        <f t="shared" si="1430"/>
        <v>0</v>
      </c>
      <c r="X4288" s="52">
        <f t="shared" si="1430"/>
        <v>0</v>
      </c>
      <c r="Y4288" s="52">
        <f t="shared" si="1430"/>
        <v>0</v>
      </c>
      <c r="Z4288" s="52">
        <f t="shared" si="1430"/>
        <v>0</v>
      </c>
      <c r="AA4288" s="52">
        <f t="shared" si="1430"/>
        <v>0</v>
      </c>
      <c r="AB4288" s="52">
        <f t="shared" si="1430"/>
        <v>66</v>
      </c>
      <c r="AC4288" s="127">
        <f t="shared" si="1430"/>
        <v>369</v>
      </c>
      <c r="AD4288" s="52">
        <f t="shared" si="1430"/>
        <v>0</v>
      </c>
      <c r="AE4288" s="52">
        <f t="shared" si="1430"/>
        <v>0</v>
      </c>
      <c r="AF4288" s="52">
        <f t="shared" si="1430"/>
        <v>0</v>
      </c>
      <c r="AG4288" s="52">
        <f t="shared" si="1430"/>
        <v>0</v>
      </c>
      <c r="AH4288" s="52">
        <f t="shared" si="1430"/>
        <v>0</v>
      </c>
      <c r="AI4288" s="52">
        <f t="shared" si="1430"/>
        <v>0</v>
      </c>
      <c r="AJ4288" s="52">
        <f t="shared" ref="AJ4288:BC4288" si="1431">SUM(AJ4289:AJ4302)</f>
        <v>0</v>
      </c>
      <c r="AK4288" s="52">
        <f t="shared" si="1431"/>
        <v>0</v>
      </c>
      <c r="AL4288" s="52">
        <f t="shared" si="1431"/>
        <v>0</v>
      </c>
      <c r="AM4288" s="52">
        <f t="shared" si="1431"/>
        <v>0</v>
      </c>
      <c r="AN4288" s="52">
        <f t="shared" si="1431"/>
        <v>0</v>
      </c>
      <c r="AO4288" s="52">
        <f t="shared" si="1431"/>
        <v>0</v>
      </c>
      <c r="AP4288" s="52">
        <f t="shared" si="1431"/>
        <v>7</v>
      </c>
      <c r="AQ4288" s="52">
        <f t="shared" si="1431"/>
        <v>0</v>
      </c>
      <c r="AR4288" s="52">
        <f t="shared" si="1431"/>
        <v>0</v>
      </c>
      <c r="AS4288" s="52">
        <f t="shared" si="1431"/>
        <v>0</v>
      </c>
      <c r="AT4288" s="52">
        <f t="shared" si="1431"/>
        <v>0</v>
      </c>
      <c r="AU4288" s="52">
        <f t="shared" si="1431"/>
        <v>0</v>
      </c>
      <c r="AV4288" s="52">
        <f t="shared" si="1431"/>
        <v>0</v>
      </c>
      <c r="AW4288" s="52">
        <f t="shared" si="1431"/>
        <v>0</v>
      </c>
      <c r="AX4288" s="52">
        <f t="shared" si="1431"/>
        <v>0</v>
      </c>
      <c r="AY4288" s="52">
        <f t="shared" si="1431"/>
        <v>0</v>
      </c>
      <c r="AZ4288" s="52">
        <f t="shared" si="1431"/>
        <v>0</v>
      </c>
      <c r="BA4288" s="52">
        <f t="shared" si="1431"/>
        <v>0</v>
      </c>
      <c r="BB4288" s="52">
        <f t="shared" si="1431"/>
        <v>7</v>
      </c>
      <c r="BC4288" s="127">
        <f t="shared" si="1431"/>
        <v>419</v>
      </c>
      <c r="BD4288" s="130">
        <f t="shared" si="1414"/>
        <v>73</v>
      </c>
      <c r="BE4288" s="130">
        <f t="shared" si="1415"/>
        <v>788</v>
      </c>
      <c r="BF4288" s="195">
        <f t="shared" si="1400"/>
        <v>9.2639593908629436</v>
      </c>
      <c r="BG4288" s="375">
        <f t="shared" si="1401"/>
        <v>715</v>
      </c>
    </row>
    <row r="4289" spans="1:61" s="46" customFormat="1" ht="21" customHeight="1">
      <c r="A4289" s="417">
        <v>1</v>
      </c>
      <c r="B4289" s="418" t="s">
        <v>1743</v>
      </c>
      <c r="C4289" s="419" t="s">
        <v>1744</v>
      </c>
      <c r="D4289" s="55"/>
      <c r="E4289" s="55"/>
      <c r="F4289" s="55"/>
      <c r="G4289" s="55"/>
      <c r="H4289" s="55"/>
      <c r="I4289" s="55"/>
      <c r="J4289" s="55"/>
      <c r="K4289" s="55"/>
      <c r="L4289" s="55">
        <v>1</v>
      </c>
      <c r="M4289" s="55"/>
      <c r="N4289" s="55"/>
      <c r="O4289" s="55"/>
      <c r="P4289" s="55">
        <v>3</v>
      </c>
      <c r="Q4289" s="55"/>
      <c r="R4289" s="55"/>
      <c r="S4289" s="55"/>
      <c r="T4289" s="55"/>
      <c r="U4289" s="55"/>
      <c r="V4289" s="55"/>
      <c r="W4289" s="55"/>
      <c r="X4289" s="55"/>
      <c r="Y4289" s="55"/>
      <c r="Z4289" s="55"/>
      <c r="AA4289" s="55"/>
      <c r="AB4289" s="22">
        <f t="shared" ref="AB4289:AB4302" si="1432">SUM(D4289:AA4289)</f>
        <v>4</v>
      </c>
      <c r="AC4289" s="23">
        <v>62</v>
      </c>
      <c r="AD4289" s="56"/>
      <c r="AE4289" s="56"/>
      <c r="AF4289" s="56"/>
      <c r="AG4289" s="56"/>
      <c r="AH4289" s="56"/>
      <c r="AI4289" s="56"/>
      <c r="AJ4289" s="56"/>
      <c r="AK4289" s="56"/>
      <c r="AL4289" s="56"/>
      <c r="AM4289" s="56"/>
      <c r="AN4289" s="56"/>
      <c r="AO4289" s="56"/>
      <c r="AP4289" s="56"/>
      <c r="AQ4289" s="56"/>
      <c r="AR4289" s="56"/>
      <c r="AS4289" s="56"/>
      <c r="AT4289" s="56"/>
      <c r="AU4289" s="56"/>
      <c r="AV4289" s="56"/>
      <c r="AW4289" s="56"/>
      <c r="AX4289" s="56"/>
      <c r="AY4289" s="56"/>
      <c r="AZ4289" s="56"/>
      <c r="BA4289" s="56"/>
      <c r="BB4289" s="22">
        <f t="shared" ref="BB4289:BB4302" si="1433">SUM(AD4289:BA4289)</f>
        <v>0</v>
      </c>
      <c r="BC4289" s="23">
        <v>0</v>
      </c>
      <c r="BD4289" s="130">
        <f t="shared" ref="BD4289:BD4302" si="1434">AB4289+BB4289</f>
        <v>4</v>
      </c>
      <c r="BE4289" s="130">
        <f t="shared" si="1415"/>
        <v>62</v>
      </c>
      <c r="BF4289" s="195">
        <f t="shared" ref="BF4289:BF4302" si="1435">BD4289/BE4289*100</f>
        <v>6.4516129032258061</v>
      </c>
      <c r="BG4289" s="373">
        <f t="shared" ref="BG4289:BG4302" si="1436">BE4289-BD4289</f>
        <v>58</v>
      </c>
      <c r="BH4289" s="426" t="s">
        <v>3675</v>
      </c>
      <c r="BI4289" s="420"/>
    </row>
    <row r="4290" spans="1:61" s="46" customFormat="1" ht="21" customHeight="1">
      <c r="A4290" s="417">
        <v>2</v>
      </c>
      <c r="B4290" s="418" t="s">
        <v>1747</v>
      </c>
      <c r="C4290" s="419" t="s">
        <v>1748</v>
      </c>
      <c r="D4290" s="55"/>
      <c r="E4290" s="55"/>
      <c r="F4290" s="55"/>
      <c r="G4290" s="55"/>
      <c r="H4290" s="55"/>
      <c r="I4290" s="55"/>
      <c r="J4290" s="55"/>
      <c r="K4290" s="55"/>
      <c r="L4290" s="55">
        <v>16</v>
      </c>
      <c r="M4290" s="55"/>
      <c r="N4290" s="55"/>
      <c r="O4290" s="55"/>
      <c r="P4290" s="55">
        <v>8</v>
      </c>
      <c r="Q4290" s="55"/>
      <c r="R4290" s="55"/>
      <c r="S4290" s="55"/>
      <c r="T4290" s="55"/>
      <c r="U4290" s="55"/>
      <c r="V4290" s="55"/>
      <c r="W4290" s="55"/>
      <c r="X4290" s="55"/>
      <c r="Y4290" s="55"/>
      <c r="Z4290" s="55"/>
      <c r="AA4290" s="55"/>
      <c r="AB4290" s="22">
        <f t="shared" si="1432"/>
        <v>24</v>
      </c>
      <c r="AC4290" s="23">
        <v>180</v>
      </c>
      <c r="AD4290" s="56"/>
      <c r="AE4290" s="56"/>
      <c r="AF4290" s="56"/>
      <c r="AG4290" s="56"/>
      <c r="AH4290" s="56"/>
      <c r="AI4290" s="56"/>
      <c r="AJ4290" s="56"/>
      <c r="AK4290" s="56"/>
      <c r="AL4290" s="56"/>
      <c r="AM4290" s="56"/>
      <c r="AN4290" s="56"/>
      <c r="AO4290" s="56"/>
      <c r="AP4290" s="56"/>
      <c r="AQ4290" s="56"/>
      <c r="AR4290" s="56"/>
      <c r="AS4290" s="56"/>
      <c r="AT4290" s="56"/>
      <c r="AU4290" s="56"/>
      <c r="AV4290" s="56"/>
      <c r="AW4290" s="56"/>
      <c r="AX4290" s="56"/>
      <c r="AY4290" s="56"/>
      <c r="AZ4290" s="56"/>
      <c r="BA4290" s="56"/>
      <c r="BB4290" s="22">
        <f t="shared" si="1433"/>
        <v>0</v>
      </c>
      <c r="BC4290" s="23">
        <v>0</v>
      </c>
      <c r="BD4290" s="130">
        <f t="shared" si="1434"/>
        <v>24</v>
      </c>
      <c r="BE4290" s="130">
        <f t="shared" si="1415"/>
        <v>180</v>
      </c>
      <c r="BF4290" s="195">
        <f t="shared" si="1435"/>
        <v>13.333333333333334</v>
      </c>
      <c r="BG4290" s="373">
        <f t="shared" si="1436"/>
        <v>156</v>
      </c>
      <c r="BH4290" s="426" t="s">
        <v>3675</v>
      </c>
      <c r="BI4290" s="420"/>
    </row>
    <row r="4291" spans="1:61" s="46" customFormat="1" ht="21" customHeight="1">
      <c r="A4291" s="424">
        <v>3</v>
      </c>
      <c r="B4291" s="418" t="s">
        <v>1749</v>
      </c>
      <c r="C4291" s="419" t="s">
        <v>1750</v>
      </c>
      <c r="D4291" s="55"/>
      <c r="E4291" s="55"/>
      <c r="F4291" s="55"/>
      <c r="G4291" s="55"/>
      <c r="H4291" s="55"/>
      <c r="I4291" s="55"/>
      <c r="J4291" s="55"/>
      <c r="K4291" s="55"/>
      <c r="L4291" s="55">
        <v>12</v>
      </c>
      <c r="M4291" s="55"/>
      <c r="N4291" s="55"/>
      <c r="O4291" s="55"/>
      <c r="P4291" s="55"/>
      <c r="Q4291" s="55"/>
      <c r="R4291" s="55"/>
      <c r="S4291" s="55"/>
      <c r="T4291" s="55"/>
      <c r="U4291" s="55"/>
      <c r="V4291" s="55"/>
      <c r="W4291" s="55"/>
      <c r="X4291" s="55"/>
      <c r="Y4291" s="55"/>
      <c r="Z4291" s="55"/>
      <c r="AA4291" s="55"/>
      <c r="AB4291" s="22">
        <f t="shared" si="1432"/>
        <v>12</v>
      </c>
      <c r="AC4291" s="23">
        <v>30</v>
      </c>
      <c r="AD4291" s="56"/>
      <c r="AE4291" s="56"/>
      <c r="AF4291" s="56"/>
      <c r="AG4291" s="56"/>
      <c r="AH4291" s="56"/>
      <c r="AI4291" s="56"/>
      <c r="AJ4291" s="56"/>
      <c r="AK4291" s="56"/>
      <c r="AL4291" s="56"/>
      <c r="AM4291" s="56"/>
      <c r="AN4291" s="56"/>
      <c r="AO4291" s="56"/>
      <c r="AP4291" s="56"/>
      <c r="AQ4291" s="56"/>
      <c r="AR4291" s="56"/>
      <c r="AS4291" s="56"/>
      <c r="AT4291" s="56"/>
      <c r="AU4291" s="56"/>
      <c r="AV4291" s="56"/>
      <c r="AW4291" s="56"/>
      <c r="AX4291" s="56"/>
      <c r="AY4291" s="56"/>
      <c r="AZ4291" s="56"/>
      <c r="BA4291" s="56"/>
      <c r="BB4291" s="22">
        <f t="shared" si="1433"/>
        <v>0</v>
      </c>
      <c r="BC4291" s="23">
        <v>0</v>
      </c>
      <c r="BD4291" s="130">
        <f t="shared" si="1434"/>
        <v>12</v>
      </c>
      <c r="BE4291" s="130">
        <f t="shared" si="1415"/>
        <v>30</v>
      </c>
      <c r="BF4291" s="195">
        <f t="shared" si="1435"/>
        <v>40</v>
      </c>
      <c r="BG4291" s="373">
        <f t="shared" si="1436"/>
        <v>18</v>
      </c>
      <c r="BH4291" s="426" t="s">
        <v>3675</v>
      </c>
      <c r="BI4291" s="421"/>
    </row>
    <row r="4292" spans="1:61" s="46" customFormat="1" ht="21" customHeight="1">
      <c r="A4292" s="417">
        <v>4</v>
      </c>
      <c r="B4292" s="418" t="s">
        <v>1801</v>
      </c>
      <c r="C4292" s="419" t="s">
        <v>1802</v>
      </c>
      <c r="D4292" s="55"/>
      <c r="E4292" s="55"/>
      <c r="F4292" s="55"/>
      <c r="G4292" s="55"/>
      <c r="H4292" s="55"/>
      <c r="I4292" s="55"/>
      <c r="J4292" s="55"/>
      <c r="K4292" s="55"/>
      <c r="L4292" s="55"/>
      <c r="M4292" s="55"/>
      <c r="N4292" s="55"/>
      <c r="O4292" s="55"/>
      <c r="P4292" s="55"/>
      <c r="Q4292" s="55"/>
      <c r="R4292" s="55"/>
      <c r="S4292" s="55"/>
      <c r="T4292" s="55"/>
      <c r="U4292" s="55"/>
      <c r="V4292" s="55"/>
      <c r="W4292" s="55"/>
      <c r="X4292" s="55"/>
      <c r="Y4292" s="55"/>
      <c r="Z4292" s="55"/>
      <c r="AA4292" s="55"/>
      <c r="AB4292" s="22">
        <f t="shared" si="1432"/>
        <v>0</v>
      </c>
      <c r="AC4292" s="23">
        <v>2</v>
      </c>
      <c r="AD4292" s="56"/>
      <c r="AE4292" s="56"/>
      <c r="AF4292" s="56"/>
      <c r="AG4292" s="56"/>
      <c r="AH4292" s="56"/>
      <c r="AI4292" s="56"/>
      <c r="AJ4292" s="56"/>
      <c r="AK4292" s="56"/>
      <c r="AL4292" s="56"/>
      <c r="AM4292" s="56"/>
      <c r="AN4292" s="56"/>
      <c r="AO4292" s="56"/>
      <c r="AP4292" s="56"/>
      <c r="AQ4292" s="56"/>
      <c r="AR4292" s="56"/>
      <c r="AS4292" s="56"/>
      <c r="AT4292" s="56"/>
      <c r="AU4292" s="56"/>
      <c r="AV4292" s="56"/>
      <c r="AW4292" s="56"/>
      <c r="AX4292" s="56"/>
      <c r="AY4292" s="56"/>
      <c r="AZ4292" s="56"/>
      <c r="BA4292" s="56"/>
      <c r="BB4292" s="22">
        <f t="shared" si="1433"/>
        <v>0</v>
      </c>
      <c r="BC4292" s="23">
        <v>0</v>
      </c>
      <c r="BD4292" s="130">
        <f t="shared" si="1434"/>
        <v>0</v>
      </c>
      <c r="BE4292" s="130">
        <f t="shared" si="1415"/>
        <v>2</v>
      </c>
      <c r="BF4292" s="195">
        <f t="shared" si="1435"/>
        <v>0</v>
      </c>
      <c r="BG4292" s="373">
        <f t="shared" si="1436"/>
        <v>2</v>
      </c>
      <c r="BH4292" s="426" t="s">
        <v>3675</v>
      </c>
      <c r="BI4292" s="421"/>
    </row>
    <row r="4293" spans="1:61" s="46" customFormat="1" ht="21" customHeight="1">
      <c r="A4293" s="417">
        <v>5</v>
      </c>
      <c r="B4293" s="418" t="s">
        <v>1753</v>
      </c>
      <c r="C4293" s="419" t="s">
        <v>1754</v>
      </c>
      <c r="D4293" s="55"/>
      <c r="E4293" s="55"/>
      <c r="F4293" s="55"/>
      <c r="G4293" s="55"/>
      <c r="H4293" s="55"/>
      <c r="I4293" s="55"/>
      <c r="J4293" s="55"/>
      <c r="K4293" s="55"/>
      <c r="L4293" s="55">
        <v>3</v>
      </c>
      <c r="M4293" s="55"/>
      <c r="N4293" s="55"/>
      <c r="O4293" s="55"/>
      <c r="P4293" s="55"/>
      <c r="Q4293" s="55"/>
      <c r="R4293" s="55"/>
      <c r="S4293" s="55"/>
      <c r="T4293" s="55"/>
      <c r="U4293" s="55"/>
      <c r="V4293" s="55"/>
      <c r="W4293" s="55"/>
      <c r="X4293" s="55"/>
      <c r="Y4293" s="55"/>
      <c r="Z4293" s="55"/>
      <c r="AA4293" s="55"/>
      <c r="AB4293" s="22">
        <f t="shared" si="1432"/>
        <v>3</v>
      </c>
      <c r="AC4293" s="23">
        <f>9+12</f>
        <v>21</v>
      </c>
      <c r="AD4293" s="56"/>
      <c r="AE4293" s="56"/>
      <c r="AF4293" s="56"/>
      <c r="AG4293" s="56"/>
      <c r="AH4293" s="56"/>
      <c r="AI4293" s="56"/>
      <c r="AJ4293" s="56"/>
      <c r="AK4293" s="56"/>
      <c r="AL4293" s="56"/>
      <c r="AM4293" s="56"/>
      <c r="AN4293" s="56"/>
      <c r="AO4293" s="56"/>
      <c r="AP4293" s="56"/>
      <c r="AQ4293" s="56"/>
      <c r="AR4293" s="56"/>
      <c r="AS4293" s="56"/>
      <c r="AT4293" s="56"/>
      <c r="AU4293" s="56"/>
      <c r="AV4293" s="56"/>
      <c r="AW4293" s="56"/>
      <c r="AX4293" s="56"/>
      <c r="AY4293" s="56"/>
      <c r="AZ4293" s="56"/>
      <c r="BA4293" s="56"/>
      <c r="BB4293" s="22">
        <f t="shared" si="1433"/>
        <v>0</v>
      </c>
      <c r="BC4293" s="23">
        <v>0</v>
      </c>
      <c r="BD4293" s="130">
        <f t="shared" si="1434"/>
        <v>3</v>
      </c>
      <c r="BE4293" s="130">
        <f t="shared" si="1415"/>
        <v>21</v>
      </c>
      <c r="BF4293" s="195">
        <f t="shared" si="1435"/>
        <v>14.285714285714285</v>
      </c>
      <c r="BG4293" s="373">
        <f t="shared" si="1436"/>
        <v>18</v>
      </c>
      <c r="BH4293" s="426" t="s">
        <v>3675</v>
      </c>
      <c r="BI4293" s="420"/>
    </row>
    <row r="4294" spans="1:61" s="46" customFormat="1" ht="21" customHeight="1">
      <c r="A4294" s="424">
        <v>6</v>
      </c>
      <c r="B4294" s="418" t="s">
        <v>1775</v>
      </c>
      <c r="C4294" s="423" t="s">
        <v>1856</v>
      </c>
      <c r="D4294" s="55"/>
      <c r="E4294" s="55"/>
      <c r="F4294" s="55"/>
      <c r="G4294" s="55"/>
      <c r="H4294" s="55"/>
      <c r="I4294" s="55"/>
      <c r="J4294" s="55"/>
      <c r="K4294" s="55"/>
      <c r="L4294" s="55"/>
      <c r="M4294" s="55"/>
      <c r="N4294" s="55"/>
      <c r="O4294" s="55"/>
      <c r="P4294" s="55"/>
      <c r="Q4294" s="55"/>
      <c r="R4294" s="55"/>
      <c r="S4294" s="55"/>
      <c r="T4294" s="55"/>
      <c r="U4294" s="55"/>
      <c r="V4294" s="55"/>
      <c r="W4294" s="55"/>
      <c r="X4294" s="55"/>
      <c r="Y4294" s="55"/>
      <c r="Z4294" s="55"/>
      <c r="AA4294" s="55"/>
      <c r="AB4294" s="22">
        <f t="shared" si="1432"/>
        <v>0</v>
      </c>
      <c r="AC4294" s="23">
        <v>16</v>
      </c>
      <c r="AD4294" s="56"/>
      <c r="AE4294" s="56"/>
      <c r="AF4294" s="56"/>
      <c r="AG4294" s="56"/>
      <c r="AH4294" s="56"/>
      <c r="AI4294" s="56"/>
      <c r="AJ4294" s="56"/>
      <c r="AK4294" s="56"/>
      <c r="AL4294" s="56"/>
      <c r="AM4294" s="56"/>
      <c r="AN4294" s="56"/>
      <c r="AO4294" s="56"/>
      <c r="AP4294" s="56"/>
      <c r="AQ4294" s="56"/>
      <c r="AR4294" s="56"/>
      <c r="AS4294" s="56"/>
      <c r="AT4294" s="56"/>
      <c r="AU4294" s="56"/>
      <c r="AV4294" s="56"/>
      <c r="AW4294" s="56"/>
      <c r="AX4294" s="56"/>
      <c r="AY4294" s="56"/>
      <c r="AZ4294" s="56"/>
      <c r="BA4294" s="56"/>
      <c r="BB4294" s="22">
        <f t="shared" si="1433"/>
        <v>0</v>
      </c>
      <c r="BC4294" s="23">
        <v>0</v>
      </c>
      <c r="BD4294" s="130">
        <f t="shared" si="1434"/>
        <v>0</v>
      </c>
      <c r="BE4294" s="130">
        <f t="shared" si="1415"/>
        <v>16</v>
      </c>
      <c r="BF4294" s="195">
        <f t="shared" si="1435"/>
        <v>0</v>
      </c>
      <c r="BG4294" s="373">
        <f t="shared" si="1436"/>
        <v>16</v>
      </c>
      <c r="BH4294" s="426" t="s">
        <v>3675</v>
      </c>
      <c r="BI4294" s="421"/>
    </row>
    <row r="4295" spans="1:61" s="46" customFormat="1" ht="21" customHeight="1">
      <c r="A4295" s="417">
        <v>7</v>
      </c>
      <c r="B4295" s="418" t="s">
        <v>1756</v>
      </c>
      <c r="C4295" s="419" t="s">
        <v>1757</v>
      </c>
      <c r="D4295" s="55"/>
      <c r="E4295" s="55"/>
      <c r="F4295" s="55"/>
      <c r="G4295" s="55"/>
      <c r="H4295" s="55"/>
      <c r="I4295" s="55"/>
      <c r="J4295" s="55"/>
      <c r="K4295" s="55"/>
      <c r="L4295" s="55">
        <v>2</v>
      </c>
      <c r="M4295" s="55"/>
      <c r="N4295" s="55"/>
      <c r="O4295" s="55"/>
      <c r="P4295" s="55">
        <v>2</v>
      </c>
      <c r="Q4295" s="55"/>
      <c r="R4295" s="55"/>
      <c r="S4295" s="55"/>
      <c r="T4295" s="55"/>
      <c r="U4295" s="55"/>
      <c r="V4295" s="55"/>
      <c r="W4295" s="55"/>
      <c r="X4295" s="55"/>
      <c r="Y4295" s="55"/>
      <c r="Z4295" s="55"/>
      <c r="AA4295" s="55"/>
      <c r="AB4295" s="22">
        <f t="shared" si="1432"/>
        <v>4</v>
      </c>
      <c r="AC4295" s="23">
        <v>58</v>
      </c>
      <c r="AD4295" s="56"/>
      <c r="AE4295" s="56"/>
      <c r="AF4295" s="56"/>
      <c r="AG4295" s="56"/>
      <c r="AH4295" s="56"/>
      <c r="AI4295" s="56"/>
      <c r="AJ4295" s="56"/>
      <c r="AK4295" s="56"/>
      <c r="AL4295" s="56"/>
      <c r="AM4295" s="56"/>
      <c r="AN4295" s="56"/>
      <c r="AO4295" s="56"/>
      <c r="AP4295" s="56"/>
      <c r="AQ4295" s="56"/>
      <c r="AR4295" s="56"/>
      <c r="AS4295" s="56"/>
      <c r="AT4295" s="56"/>
      <c r="AU4295" s="56"/>
      <c r="AV4295" s="56"/>
      <c r="AW4295" s="56"/>
      <c r="AX4295" s="56"/>
      <c r="AY4295" s="56"/>
      <c r="AZ4295" s="56"/>
      <c r="BA4295" s="56"/>
      <c r="BB4295" s="22">
        <f t="shared" si="1433"/>
        <v>0</v>
      </c>
      <c r="BC4295" s="23">
        <v>0</v>
      </c>
      <c r="BD4295" s="130">
        <f t="shared" si="1434"/>
        <v>4</v>
      </c>
      <c r="BE4295" s="130">
        <f t="shared" si="1415"/>
        <v>58</v>
      </c>
      <c r="BF4295" s="195">
        <f t="shared" si="1435"/>
        <v>6.8965517241379306</v>
      </c>
      <c r="BG4295" s="373">
        <f t="shared" si="1436"/>
        <v>54</v>
      </c>
      <c r="BH4295" s="426" t="s">
        <v>3675</v>
      </c>
      <c r="BI4295" s="421"/>
    </row>
    <row r="4296" spans="1:61" s="46" customFormat="1" ht="14.25" customHeight="1">
      <c r="A4296" s="181">
        <v>8</v>
      </c>
      <c r="B4296" s="53" t="s">
        <v>1759</v>
      </c>
      <c r="C4296" s="54" t="s">
        <v>3231</v>
      </c>
      <c r="D4296" s="55"/>
      <c r="E4296" s="55"/>
      <c r="F4296" s="55"/>
      <c r="G4296" s="55"/>
      <c r="H4296" s="55"/>
      <c r="I4296" s="55"/>
      <c r="J4296" s="55"/>
      <c r="K4296" s="55"/>
      <c r="L4296" s="55"/>
      <c r="M4296" s="55"/>
      <c r="N4296" s="55"/>
      <c r="O4296" s="55"/>
      <c r="P4296" s="55"/>
      <c r="Q4296" s="55"/>
      <c r="R4296" s="55"/>
      <c r="S4296" s="55"/>
      <c r="T4296" s="55"/>
      <c r="U4296" s="55"/>
      <c r="V4296" s="55"/>
      <c r="W4296" s="55"/>
      <c r="X4296" s="55"/>
      <c r="Y4296" s="55"/>
      <c r="Z4296" s="55"/>
      <c r="AA4296" s="55"/>
      <c r="AB4296" s="22">
        <f t="shared" si="1432"/>
        <v>0</v>
      </c>
      <c r="AC4296" s="23">
        <v>0</v>
      </c>
      <c r="AD4296" s="56"/>
      <c r="AE4296" s="56"/>
      <c r="AF4296" s="56"/>
      <c r="AG4296" s="56"/>
      <c r="AH4296" s="56"/>
      <c r="AI4296" s="56"/>
      <c r="AJ4296" s="56"/>
      <c r="AK4296" s="56"/>
      <c r="AL4296" s="56"/>
      <c r="AM4296" s="56"/>
      <c r="AN4296" s="56"/>
      <c r="AO4296" s="56"/>
      <c r="AP4296" s="56"/>
      <c r="AQ4296" s="56"/>
      <c r="AR4296" s="56"/>
      <c r="AS4296" s="56"/>
      <c r="AT4296" s="56"/>
      <c r="AU4296" s="56"/>
      <c r="AV4296" s="56"/>
      <c r="AW4296" s="56"/>
      <c r="AX4296" s="56"/>
      <c r="AY4296" s="56"/>
      <c r="AZ4296" s="56"/>
      <c r="BA4296" s="56"/>
      <c r="BB4296" s="22">
        <f t="shared" si="1433"/>
        <v>0</v>
      </c>
      <c r="BC4296" s="23">
        <v>22</v>
      </c>
      <c r="BD4296" s="130">
        <f t="shared" si="1434"/>
        <v>0</v>
      </c>
      <c r="BE4296" s="130">
        <f t="shared" si="1415"/>
        <v>22</v>
      </c>
      <c r="BF4296" s="195">
        <f t="shared" si="1435"/>
        <v>0</v>
      </c>
      <c r="BG4296" s="373">
        <f t="shared" si="1436"/>
        <v>22</v>
      </c>
    </row>
    <row r="4297" spans="1:61" s="46" customFormat="1" ht="14.25" customHeight="1">
      <c r="A4297" s="465">
        <v>9</v>
      </c>
      <c r="B4297" s="454" t="s">
        <v>1763</v>
      </c>
      <c r="C4297" s="458" t="s">
        <v>1764</v>
      </c>
      <c r="D4297" s="55"/>
      <c r="E4297" s="55"/>
      <c r="F4297" s="55"/>
      <c r="G4297" s="55"/>
      <c r="H4297" s="55"/>
      <c r="I4297" s="55"/>
      <c r="J4297" s="55"/>
      <c r="K4297" s="55"/>
      <c r="L4297" s="55">
        <v>3</v>
      </c>
      <c r="M4297" s="55"/>
      <c r="N4297" s="55"/>
      <c r="O4297" s="55"/>
      <c r="P4297" s="55"/>
      <c r="Q4297" s="55"/>
      <c r="R4297" s="55"/>
      <c r="S4297" s="55"/>
      <c r="T4297" s="55"/>
      <c r="U4297" s="55"/>
      <c r="V4297" s="55"/>
      <c r="W4297" s="55"/>
      <c r="X4297" s="55"/>
      <c r="Y4297" s="55"/>
      <c r="Z4297" s="55"/>
      <c r="AA4297" s="55"/>
      <c r="AB4297" s="22">
        <f t="shared" si="1432"/>
        <v>3</v>
      </c>
      <c r="AC4297" s="23">
        <v>0</v>
      </c>
      <c r="AD4297" s="56"/>
      <c r="AE4297" s="56"/>
      <c r="AF4297" s="56"/>
      <c r="AG4297" s="56"/>
      <c r="AH4297" s="56"/>
      <c r="AI4297" s="56"/>
      <c r="AJ4297" s="56"/>
      <c r="AK4297" s="56"/>
      <c r="AL4297" s="56"/>
      <c r="AM4297" s="56"/>
      <c r="AN4297" s="56"/>
      <c r="AO4297" s="56"/>
      <c r="AP4297" s="56"/>
      <c r="AQ4297" s="56"/>
      <c r="AR4297" s="56"/>
      <c r="AS4297" s="56"/>
      <c r="AT4297" s="56"/>
      <c r="AU4297" s="56"/>
      <c r="AV4297" s="56"/>
      <c r="AW4297" s="56"/>
      <c r="AX4297" s="56"/>
      <c r="AY4297" s="56"/>
      <c r="AZ4297" s="56"/>
      <c r="BA4297" s="56"/>
      <c r="BB4297" s="22">
        <f t="shared" si="1433"/>
        <v>0</v>
      </c>
      <c r="BC4297" s="23">
        <v>162</v>
      </c>
      <c r="BD4297" s="130">
        <f t="shared" si="1434"/>
        <v>3</v>
      </c>
      <c r="BE4297" s="130">
        <f t="shared" si="1415"/>
        <v>162</v>
      </c>
      <c r="BF4297" s="195">
        <f t="shared" si="1435"/>
        <v>1.8518518518518516</v>
      </c>
      <c r="BG4297" s="373">
        <f t="shared" si="1436"/>
        <v>159</v>
      </c>
    </row>
    <row r="4298" spans="1:61" s="46" customFormat="1" ht="14.25" customHeight="1">
      <c r="A4298" s="453">
        <v>10</v>
      </c>
      <c r="B4298" s="466" t="s">
        <v>1665</v>
      </c>
      <c r="C4298" s="467" t="s">
        <v>3110</v>
      </c>
      <c r="D4298" s="319"/>
      <c r="E4298" s="319"/>
      <c r="F4298" s="319"/>
      <c r="G4298" s="319"/>
      <c r="H4298" s="319"/>
      <c r="I4298" s="319"/>
      <c r="J4298" s="319"/>
      <c r="K4298" s="319"/>
      <c r="L4298" s="319"/>
      <c r="M4298" s="319"/>
      <c r="N4298" s="319"/>
      <c r="O4298" s="319"/>
      <c r="P4298" s="319"/>
      <c r="Q4298" s="319"/>
      <c r="R4298" s="319"/>
      <c r="S4298" s="319"/>
      <c r="T4298" s="319"/>
      <c r="U4298" s="319"/>
      <c r="V4298" s="319"/>
      <c r="W4298" s="319"/>
      <c r="X4298" s="319"/>
      <c r="Y4298" s="319"/>
      <c r="Z4298" s="319"/>
      <c r="AA4298" s="319"/>
      <c r="AB4298" s="306">
        <f t="shared" si="1432"/>
        <v>0</v>
      </c>
      <c r="AC4298" s="309">
        <v>0</v>
      </c>
      <c r="AD4298" s="320"/>
      <c r="AE4298" s="320"/>
      <c r="AF4298" s="320"/>
      <c r="AG4298" s="320"/>
      <c r="AH4298" s="320"/>
      <c r="AI4298" s="320"/>
      <c r="AJ4298" s="320"/>
      <c r="AK4298" s="320"/>
      <c r="AL4298" s="320"/>
      <c r="AM4298" s="320"/>
      <c r="AN4298" s="320"/>
      <c r="AO4298" s="320"/>
      <c r="AP4298" s="320"/>
      <c r="AQ4298" s="320"/>
      <c r="AR4298" s="320"/>
      <c r="AS4298" s="320"/>
      <c r="AT4298" s="320"/>
      <c r="AU4298" s="320"/>
      <c r="AV4298" s="320"/>
      <c r="AW4298" s="320"/>
      <c r="AX4298" s="320"/>
      <c r="AY4298" s="320"/>
      <c r="AZ4298" s="320"/>
      <c r="BA4298" s="320"/>
      <c r="BB4298" s="306">
        <f t="shared" si="1433"/>
        <v>0</v>
      </c>
      <c r="BC4298" s="309">
        <v>1</v>
      </c>
      <c r="BD4298" s="310">
        <f t="shared" si="1434"/>
        <v>0</v>
      </c>
      <c r="BE4298" s="310">
        <f t="shared" si="1415"/>
        <v>1</v>
      </c>
      <c r="BF4298" s="195">
        <f t="shared" si="1435"/>
        <v>0</v>
      </c>
      <c r="BG4298" s="373">
        <f t="shared" si="1436"/>
        <v>1</v>
      </c>
    </row>
    <row r="4299" spans="1:61" s="46" customFormat="1" ht="14.25" customHeight="1">
      <c r="A4299" s="453">
        <v>11</v>
      </c>
      <c r="B4299" s="454" t="s">
        <v>1665</v>
      </c>
      <c r="C4299" s="458" t="s">
        <v>1666</v>
      </c>
      <c r="D4299" s="55"/>
      <c r="E4299" s="55"/>
      <c r="F4299" s="55"/>
      <c r="G4299" s="55"/>
      <c r="H4299" s="55"/>
      <c r="I4299" s="55"/>
      <c r="J4299" s="55"/>
      <c r="K4299" s="55"/>
      <c r="L4299" s="55"/>
      <c r="M4299" s="55"/>
      <c r="N4299" s="55"/>
      <c r="O4299" s="55"/>
      <c r="P4299" s="55"/>
      <c r="Q4299" s="55"/>
      <c r="R4299" s="55"/>
      <c r="S4299" s="55"/>
      <c r="T4299" s="55"/>
      <c r="U4299" s="55"/>
      <c r="V4299" s="55"/>
      <c r="W4299" s="55"/>
      <c r="X4299" s="55"/>
      <c r="Y4299" s="55"/>
      <c r="Z4299" s="55"/>
      <c r="AA4299" s="55"/>
      <c r="AB4299" s="22">
        <f t="shared" si="1432"/>
        <v>0</v>
      </c>
      <c r="AC4299" s="23">
        <v>0</v>
      </c>
      <c r="AD4299" s="56"/>
      <c r="AE4299" s="56"/>
      <c r="AF4299" s="56"/>
      <c r="AG4299" s="56"/>
      <c r="AH4299" s="56"/>
      <c r="AI4299" s="56"/>
      <c r="AJ4299" s="56"/>
      <c r="AK4299" s="56"/>
      <c r="AL4299" s="285"/>
      <c r="AM4299" s="56"/>
      <c r="AN4299" s="56"/>
      <c r="AO4299" s="56"/>
      <c r="AP4299" s="56"/>
      <c r="AQ4299" s="56"/>
      <c r="AR4299" s="56"/>
      <c r="AS4299" s="56"/>
      <c r="AT4299" s="56"/>
      <c r="AU4299" s="56"/>
      <c r="AV4299" s="56"/>
      <c r="AW4299" s="56"/>
      <c r="AX4299" s="56"/>
      <c r="AY4299" s="56"/>
      <c r="AZ4299" s="56"/>
      <c r="BA4299" s="56"/>
      <c r="BB4299" s="22">
        <f t="shared" si="1433"/>
        <v>0</v>
      </c>
      <c r="BC4299" s="23">
        <v>97</v>
      </c>
      <c r="BD4299" s="130">
        <f t="shared" si="1434"/>
        <v>0</v>
      </c>
      <c r="BE4299" s="130">
        <f t="shared" si="1415"/>
        <v>97</v>
      </c>
      <c r="BF4299" s="195">
        <f t="shared" si="1435"/>
        <v>0</v>
      </c>
      <c r="BG4299" s="373">
        <f t="shared" si="1436"/>
        <v>97</v>
      </c>
    </row>
    <row r="4300" spans="1:61" s="46" customFormat="1" ht="14.25" customHeight="1">
      <c r="A4300" s="376">
        <v>12</v>
      </c>
      <c r="B4300" s="53" t="s">
        <v>1767</v>
      </c>
      <c r="C4300" s="57" t="s">
        <v>1779</v>
      </c>
      <c r="D4300" s="55"/>
      <c r="E4300" s="55"/>
      <c r="F4300" s="55"/>
      <c r="G4300" s="55"/>
      <c r="H4300" s="55"/>
      <c r="I4300" s="55"/>
      <c r="J4300" s="55"/>
      <c r="K4300" s="55"/>
      <c r="L4300" s="55">
        <v>16</v>
      </c>
      <c r="M4300" s="55"/>
      <c r="N4300" s="55"/>
      <c r="O4300" s="55"/>
      <c r="P4300" s="55"/>
      <c r="Q4300" s="55"/>
      <c r="R4300" s="55"/>
      <c r="S4300" s="55"/>
      <c r="T4300" s="55"/>
      <c r="U4300" s="55"/>
      <c r="V4300" s="55"/>
      <c r="W4300" s="55"/>
      <c r="X4300" s="55"/>
      <c r="Y4300" s="55"/>
      <c r="Z4300" s="55"/>
      <c r="AA4300" s="55"/>
      <c r="AB4300" s="22">
        <f t="shared" si="1432"/>
        <v>16</v>
      </c>
      <c r="AC4300" s="23">
        <v>0</v>
      </c>
      <c r="AD4300" s="56"/>
      <c r="AE4300" s="56"/>
      <c r="AF4300" s="56"/>
      <c r="AG4300" s="56"/>
      <c r="AH4300" s="56"/>
      <c r="AI4300" s="56"/>
      <c r="AJ4300" s="56"/>
      <c r="AK4300" s="56"/>
      <c r="AL4300" s="56"/>
      <c r="AM4300" s="56"/>
      <c r="AN4300" s="56"/>
      <c r="AO4300" s="56"/>
      <c r="AP4300" s="56">
        <v>7</v>
      </c>
      <c r="AQ4300" s="56"/>
      <c r="AR4300" s="56"/>
      <c r="AS4300" s="56"/>
      <c r="AT4300" s="56"/>
      <c r="AU4300" s="56"/>
      <c r="AV4300" s="56"/>
      <c r="AW4300" s="56"/>
      <c r="AX4300" s="56"/>
      <c r="AY4300" s="56"/>
      <c r="AZ4300" s="56"/>
      <c r="BA4300" s="56"/>
      <c r="BB4300" s="22">
        <f t="shared" si="1433"/>
        <v>7</v>
      </c>
      <c r="BC4300" s="23">
        <v>131</v>
      </c>
      <c r="BD4300" s="130">
        <f t="shared" si="1434"/>
        <v>23</v>
      </c>
      <c r="BE4300" s="130">
        <f t="shared" si="1415"/>
        <v>131</v>
      </c>
      <c r="BF4300" s="195">
        <f t="shared" si="1435"/>
        <v>17.557251908396946</v>
      </c>
      <c r="BG4300" s="373">
        <f t="shared" si="1436"/>
        <v>108</v>
      </c>
    </row>
    <row r="4301" spans="1:61" s="46" customFormat="1" ht="14.25" customHeight="1">
      <c r="A4301" s="181">
        <v>13</v>
      </c>
      <c r="B4301" s="53" t="s">
        <v>1795</v>
      </c>
      <c r="C4301" s="54" t="s">
        <v>1796</v>
      </c>
      <c r="D4301" s="55"/>
      <c r="E4301" s="55"/>
      <c r="F4301" s="55"/>
      <c r="G4301" s="55"/>
      <c r="H4301" s="55"/>
      <c r="I4301" s="55"/>
      <c r="J4301" s="55"/>
      <c r="K4301" s="55"/>
      <c r="L4301" s="55"/>
      <c r="M4301" s="55"/>
      <c r="N4301" s="55"/>
      <c r="O4301" s="55"/>
      <c r="P4301" s="55"/>
      <c r="Q4301" s="55"/>
      <c r="R4301" s="55"/>
      <c r="S4301" s="55"/>
      <c r="T4301" s="55"/>
      <c r="U4301" s="55"/>
      <c r="V4301" s="55"/>
      <c r="W4301" s="55"/>
      <c r="X4301" s="55"/>
      <c r="Y4301" s="55"/>
      <c r="Z4301" s="55"/>
      <c r="AA4301" s="55"/>
      <c r="AB4301" s="22">
        <f t="shared" si="1432"/>
        <v>0</v>
      </c>
      <c r="AC4301" s="23">
        <v>0</v>
      </c>
      <c r="AD4301" s="56"/>
      <c r="AE4301" s="56"/>
      <c r="AF4301" s="56"/>
      <c r="AG4301" s="56"/>
      <c r="AH4301" s="56"/>
      <c r="AI4301" s="56"/>
      <c r="AJ4301" s="56"/>
      <c r="AK4301" s="56"/>
      <c r="AL4301" s="56"/>
      <c r="AM4301" s="56"/>
      <c r="AN4301" s="56"/>
      <c r="AO4301" s="56"/>
      <c r="AP4301" s="56"/>
      <c r="AQ4301" s="56"/>
      <c r="AR4301" s="56"/>
      <c r="AS4301" s="56"/>
      <c r="AT4301" s="56"/>
      <c r="AU4301" s="56"/>
      <c r="AV4301" s="56"/>
      <c r="AW4301" s="56"/>
      <c r="AX4301" s="56"/>
      <c r="AY4301" s="56"/>
      <c r="AZ4301" s="56"/>
      <c r="BA4301" s="56"/>
      <c r="BB4301" s="22">
        <f t="shared" si="1433"/>
        <v>0</v>
      </c>
      <c r="BC4301" s="23">
        <v>6</v>
      </c>
      <c r="BD4301" s="130">
        <f t="shared" si="1434"/>
        <v>0</v>
      </c>
      <c r="BE4301" s="130">
        <f t="shared" si="1415"/>
        <v>6</v>
      </c>
      <c r="BF4301" s="195">
        <f t="shared" si="1435"/>
        <v>0</v>
      </c>
      <c r="BG4301" s="373">
        <f t="shared" si="1436"/>
        <v>6</v>
      </c>
    </row>
    <row r="4302" spans="1:61" s="46" customFormat="1" ht="14.25" customHeight="1">
      <c r="A4302" s="181">
        <v>14</v>
      </c>
      <c r="B4302" s="53"/>
      <c r="C4302" s="54"/>
      <c r="D4302" s="55"/>
      <c r="E4302" s="55"/>
      <c r="F4302" s="55"/>
      <c r="G4302" s="55"/>
      <c r="H4302" s="55"/>
      <c r="I4302" s="55"/>
      <c r="J4302" s="55"/>
      <c r="K4302" s="55"/>
      <c r="L4302" s="55"/>
      <c r="M4302" s="55"/>
      <c r="N4302" s="55"/>
      <c r="O4302" s="55"/>
      <c r="P4302" s="55"/>
      <c r="Q4302" s="55"/>
      <c r="R4302" s="55"/>
      <c r="S4302" s="55"/>
      <c r="T4302" s="55"/>
      <c r="U4302" s="55"/>
      <c r="V4302" s="55"/>
      <c r="W4302" s="55"/>
      <c r="X4302" s="55"/>
      <c r="Y4302" s="55"/>
      <c r="Z4302" s="55"/>
      <c r="AA4302" s="55"/>
      <c r="AB4302" s="22">
        <f t="shared" si="1432"/>
        <v>0</v>
      </c>
      <c r="AC4302" s="23">
        <v>0</v>
      </c>
      <c r="AD4302" s="56"/>
      <c r="AE4302" s="56"/>
      <c r="AF4302" s="56"/>
      <c r="AG4302" s="56"/>
      <c r="AH4302" s="56"/>
      <c r="AI4302" s="56"/>
      <c r="AJ4302" s="56"/>
      <c r="AK4302" s="56"/>
      <c r="AL4302" s="56"/>
      <c r="AM4302" s="56"/>
      <c r="AN4302" s="56"/>
      <c r="AO4302" s="56"/>
      <c r="AP4302" s="56"/>
      <c r="AQ4302" s="56"/>
      <c r="AR4302" s="56"/>
      <c r="AS4302" s="56"/>
      <c r="AT4302" s="56"/>
      <c r="AU4302" s="56"/>
      <c r="AV4302" s="56"/>
      <c r="AW4302" s="56"/>
      <c r="AX4302" s="56"/>
      <c r="AY4302" s="56"/>
      <c r="AZ4302" s="56"/>
      <c r="BA4302" s="56"/>
      <c r="BB4302" s="22">
        <f t="shared" si="1433"/>
        <v>0</v>
      </c>
      <c r="BC4302" s="23">
        <v>0</v>
      </c>
      <c r="BD4302" s="130">
        <f t="shared" si="1434"/>
        <v>0</v>
      </c>
      <c r="BE4302" s="130">
        <f t="shared" si="1415"/>
        <v>0</v>
      </c>
      <c r="BF4302" s="195" t="e">
        <f t="shared" si="1435"/>
        <v>#DIV/0!</v>
      </c>
      <c r="BG4302" s="373">
        <f t="shared" si="1436"/>
        <v>0</v>
      </c>
    </row>
    <row r="4303" spans="1:61" s="46" customFormat="1" ht="14.25" customHeight="1">
      <c r="A4303" s="648" t="s">
        <v>1857</v>
      </c>
      <c r="B4303" s="649"/>
      <c r="C4303" s="649"/>
      <c r="D4303" s="52">
        <f t="shared" ref="D4303:AI4303" si="1437">SUM(D4304:D4347)</f>
        <v>4930</v>
      </c>
      <c r="E4303" s="52">
        <f t="shared" si="1437"/>
        <v>0</v>
      </c>
      <c r="F4303" s="52">
        <f t="shared" si="1437"/>
        <v>0</v>
      </c>
      <c r="G4303" s="52">
        <f t="shared" si="1437"/>
        <v>0</v>
      </c>
      <c r="H4303" s="52">
        <f t="shared" si="1437"/>
        <v>5362</v>
      </c>
      <c r="I4303" s="52">
        <f t="shared" si="1437"/>
        <v>0</v>
      </c>
      <c r="J4303" s="52">
        <f t="shared" si="1437"/>
        <v>0</v>
      </c>
      <c r="K4303" s="52">
        <f t="shared" si="1437"/>
        <v>0</v>
      </c>
      <c r="L4303" s="52">
        <f t="shared" si="1437"/>
        <v>7884</v>
      </c>
      <c r="M4303" s="52">
        <f t="shared" si="1437"/>
        <v>0</v>
      </c>
      <c r="N4303" s="52">
        <f t="shared" si="1437"/>
        <v>0</v>
      </c>
      <c r="O4303" s="52">
        <f t="shared" si="1437"/>
        <v>0</v>
      </c>
      <c r="P4303" s="52">
        <f t="shared" si="1437"/>
        <v>5463</v>
      </c>
      <c r="Q4303" s="52">
        <f t="shared" si="1437"/>
        <v>0</v>
      </c>
      <c r="R4303" s="52">
        <f t="shared" si="1437"/>
        <v>0</v>
      </c>
      <c r="S4303" s="52">
        <f t="shared" si="1437"/>
        <v>0</v>
      </c>
      <c r="T4303" s="52">
        <f t="shared" si="1437"/>
        <v>0</v>
      </c>
      <c r="U4303" s="52">
        <f t="shared" si="1437"/>
        <v>0</v>
      </c>
      <c r="V4303" s="52">
        <f t="shared" si="1437"/>
        <v>0</v>
      </c>
      <c r="W4303" s="52">
        <f t="shared" si="1437"/>
        <v>0</v>
      </c>
      <c r="X4303" s="52">
        <f t="shared" si="1437"/>
        <v>0</v>
      </c>
      <c r="Y4303" s="52">
        <f t="shared" si="1437"/>
        <v>0</v>
      </c>
      <c r="Z4303" s="52">
        <f t="shared" si="1437"/>
        <v>0</v>
      </c>
      <c r="AA4303" s="52">
        <f t="shared" si="1437"/>
        <v>0</v>
      </c>
      <c r="AB4303" s="52">
        <f t="shared" si="1437"/>
        <v>23639</v>
      </c>
      <c r="AC4303" s="127">
        <f t="shared" si="1437"/>
        <v>36033</v>
      </c>
      <c r="AD4303" s="52">
        <f t="shared" si="1437"/>
        <v>0</v>
      </c>
      <c r="AE4303" s="52">
        <f t="shared" si="1437"/>
        <v>0</v>
      </c>
      <c r="AF4303" s="52">
        <f t="shared" si="1437"/>
        <v>0</v>
      </c>
      <c r="AG4303" s="52">
        <f t="shared" si="1437"/>
        <v>0</v>
      </c>
      <c r="AH4303" s="52">
        <f t="shared" si="1437"/>
        <v>0</v>
      </c>
      <c r="AI4303" s="52">
        <f t="shared" si="1437"/>
        <v>0</v>
      </c>
      <c r="AJ4303" s="52">
        <f t="shared" ref="AJ4303:BC4303" si="1438">SUM(AJ4304:AJ4347)</f>
        <v>0</v>
      </c>
      <c r="AK4303" s="52">
        <f t="shared" si="1438"/>
        <v>0</v>
      </c>
      <c r="AL4303" s="52">
        <f t="shared" si="1438"/>
        <v>0</v>
      </c>
      <c r="AM4303" s="52">
        <f t="shared" si="1438"/>
        <v>0</v>
      </c>
      <c r="AN4303" s="52">
        <f t="shared" si="1438"/>
        <v>0</v>
      </c>
      <c r="AO4303" s="52">
        <f t="shared" si="1438"/>
        <v>0</v>
      </c>
      <c r="AP4303" s="52">
        <f t="shared" si="1438"/>
        <v>54</v>
      </c>
      <c r="AQ4303" s="52">
        <f t="shared" si="1438"/>
        <v>0</v>
      </c>
      <c r="AR4303" s="52">
        <f t="shared" si="1438"/>
        <v>0</v>
      </c>
      <c r="AS4303" s="52">
        <f t="shared" si="1438"/>
        <v>0</v>
      </c>
      <c r="AT4303" s="52">
        <f t="shared" si="1438"/>
        <v>0</v>
      </c>
      <c r="AU4303" s="52">
        <f t="shared" si="1438"/>
        <v>0</v>
      </c>
      <c r="AV4303" s="52">
        <f t="shared" si="1438"/>
        <v>0</v>
      </c>
      <c r="AW4303" s="52">
        <f t="shared" si="1438"/>
        <v>0</v>
      </c>
      <c r="AX4303" s="52">
        <f t="shared" si="1438"/>
        <v>0</v>
      </c>
      <c r="AY4303" s="52">
        <f t="shared" si="1438"/>
        <v>0</v>
      </c>
      <c r="AZ4303" s="52">
        <f t="shared" si="1438"/>
        <v>0</v>
      </c>
      <c r="BA4303" s="52">
        <f t="shared" si="1438"/>
        <v>0</v>
      </c>
      <c r="BB4303" s="52">
        <f t="shared" si="1438"/>
        <v>54</v>
      </c>
      <c r="BC4303" s="127">
        <f t="shared" si="1438"/>
        <v>0</v>
      </c>
      <c r="BD4303" s="130">
        <f t="shared" si="1414"/>
        <v>23693</v>
      </c>
      <c r="BE4303" s="130">
        <f t="shared" si="1415"/>
        <v>36033</v>
      </c>
      <c r="BF4303" s="195">
        <f t="shared" si="1400"/>
        <v>65.753614742042018</v>
      </c>
      <c r="BG4303" s="375">
        <f t="shared" ref="BG4303" si="1439">BE4303-BD4303</f>
        <v>12340</v>
      </c>
    </row>
    <row r="4304" spans="1:61" s="46" customFormat="1" ht="21" customHeight="1">
      <c r="A4304" s="417">
        <v>1</v>
      </c>
      <c r="B4304" s="418" t="s">
        <v>2275</v>
      </c>
      <c r="C4304" s="419" t="s">
        <v>2276</v>
      </c>
      <c r="D4304" s="56">
        <f>1+102</f>
        <v>103</v>
      </c>
      <c r="E4304" s="55"/>
      <c r="F4304" s="55"/>
      <c r="G4304" s="55"/>
      <c r="H4304" s="55">
        <f>1+119</f>
        <v>120</v>
      </c>
      <c r="I4304" s="55"/>
      <c r="J4304" s="55"/>
      <c r="K4304" s="55"/>
      <c r="L4304" s="55">
        <f>361+1</f>
        <v>362</v>
      </c>
      <c r="M4304" s="55"/>
      <c r="N4304" s="55"/>
      <c r="O4304" s="55"/>
      <c r="P4304" s="55">
        <f>216+13</f>
        <v>229</v>
      </c>
      <c r="Q4304" s="55"/>
      <c r="R4304" s="55"/>
      <c r="S4304" s="55"/>
      <c r="T4304" s="55"/>
      <c r="U4304" s="55"/>
      <c r="V4304" s="55"/>
      <c r="W4304" s="55"/>
      <c r="X4304" s="55"/>
      <c r="Y4304" s="55"/>
      <c r="Z4304" s="55"/>
      <c r="AA4304" s="55"/>
      <c r="AB4304" s="22">
        <f t="shared" ref="AB4304:AB4347" si="1440">SUM(D4304:AA4304)</f>
        <v>814</v>
      </c>
      <c r="AC4304" s="23">
        <f>278+516</f>
        <v>794</v>
      </c>
      <c r="AD4304" s="56"/>
      <c r="AE4304" s="56"/>
      <c r="AF4304" s="56"/>
      <c r="AG4304" s="56"/>
      <c r="AH4304" s="56"/>
      <c r="AI4304" s="56"/>
      <c r="AJ4304" s="56"/>
      <c r="AK4304" s="56"/>
      <c r="AL4304" s="56"/>
      <c r="AM4304" s="56"/>
      <c r="AN4304" s="56"/>
      <c r="AO4304" s="56"/>
      <c r="AP4304" s="56"/>
      <c r="AQ4304" s="56"/>
      <c r="AR4304" s="56"/>
      <c r="AS4304" s="56"/>
      <c r="AT4304" s="56"/>
      <c r="AU4304" s="56"/>
      <c r="AV4304" s="56"/>
      <c r="AW4304" s="56"/>
      <c r="AX4304" s="56"/>
      <c r="AY4304" s="56"/>
      <c r="AZ4304" s="56"/>
      <c r="BA4304" s="56"/>
      <c r="BB4304" s="22">
        <f t="shared" ref="BB4304:BB4347" si="1441">SUM(AD4304:BA4304)</f>
        <v>0</v>
      </c>
      <c r="BC4304" s="23">
        <v>0</v>
      </c>
      <c r="BD4304" s="130">
        <f t="shared" ref="BD4304:BD4347" si="1442">AB4304+BB4304</f>
        <v>814</v>
      </c>
      <c r="BE4304" s="130">
        <f t="shared" ref="BE4304:BE4347" si="1443">AC4304+BC4304</f>
        <v>794</v>
      </c>
      <c r="BF4304" s="195">
        <f t="shared" ref="BF4304:BF4347" si="1444">BD4304/BE4304*100</f>
        <v>102.51889168765742</v>
      </c>
      <c r="BG4304" s="373">
        <f t="shared" ref="BG4304:BG4347" si="1445">BE4304-BD4304</f>
        <v>-20</v>
      </c>
      <c r="BH4304" s="426" t="s">
        <v>3675</v>
      </c>
      <c r="BI4304" s="421"/>
    </row>
    <row r="4305" spans="1:61" s="46" customFormat="1" ht="21" customHeight="1">
      <c r="A4305" s="417">
        <v>2</v>
      </c>
      <c r="B4305" s="418" t="s">
        <v>3232</v>
      </c>
      <c r="C4305" s="419" t="s">
        <v>3233</v>
      </c>
      <c r="D4305" s="56">
        <v>7</v>
      </c>
      <c r="E4305" s="55"/>
      <c r="F4305" s="55"/>
      <c r="G4305" s="55"/>
      <c r="H4305" s="55">
        <v>32</v>
      </c>
      <c r="I4305" s="55"/>
      <c r="J4305" s="55"/>
      <c r="K4305" s="55"/>
      <c r="L4305" s="55">
        <v>192</v>
      </c>
      <c r="M4305" s="55"/>
      <c r="N4305" s="55"/>
      <c r="O4305" s="55"/>
      <c r="P4305" s="55">
        <v>55</v>
      </c>
      <c r="Q4305" s="55"/>
      <c r="R4305" s="55"/>
      <c r="S4305" s="55"/>
      <c r="T4305" s="55"/>
      <c r="U4305" s="55"/>
      <c r="V4305" s="55"/>
      <c r="W4305" s="55"/>
      <c r="X4305" s="55"/>
      <c r="Y4305" s="55"/>
      <c r="Z4305" s="55"/>
      <c r="AA4305" s="55"/>
      <c r="AB4305" s="22">
        <f t="shared" si="1440"/>
        <v>286</v>
      </c>
      <c r="AC4305" s="23">
        <v>1750</v>
      </c>
      <c r="AD4305" s="56"/>
      <c r="AE4305" s="56"/>
      <c r="AF4305" s="56"/>
      <c r="AG4305" s="56"/>
      <c r="AH4305" s="56"/>
      <c r="AI4305" s="56"/>
      <c r="AJ4305" s="56"/>
      <c r="AK4305" s="56"/>
      <c r="AL4305" s="56"/>
      <c r="AM4305" s="56"/>
      <c r="AN4305" s="56"/>
      <c r="AO4305" s="56"/>
      <c r="AP4305" s="56"/>
      <c r="AQ4305" s="56"/>
      <c r="AR4305" s="56"/>
      <c r="AS4305" s="56"/>
      <c r="AT4305" s="56"/>
      <c r="AU4305" s="56"/>
      <c r="AV4305" s="56"/>
      <c r="AW4305" s="56"/>
      <c r="AX4305" s="56"/>
      <c r="AY4305" s="56"/>
      <c r="AZ4305" s="56"/>
      <c r="BA4305" s="56"/>
      <c r="BB4305" s="22">
        <f t="shared" si="1441"/>
        <v>0</v>
      </c>
      <c r="BC4305" s="23">
        <v>0</v>
      </c>
      <c r="BD4305" s="130">
        <f t="shared" si="1442"/>
        <v>286</v>
      </c>
      <c r="BE4305" s="130">
        <f t="shared" si="1443"/>
        <v>1750</v>
      </c>
      <c r="BF4305" s="195">
        <f t="shared" si="1444"/>
        <v>16.342857142857142</v>
      </c>
      <c r="BG4305" s="373">
        <f t="shared" si="1445"/>
        <v>1464</v>
      </c>
      <c r="BH4305" s="426" t="s">
        <v>3675</v>
      </c>
      <c r="BI4305" s="421"/>
    </row>
    <row r="4306" spans="1:61" s="46" customFormat="1" ht="21" customHeight="1">
      <c r="A4306" s="417">
        <v>3</v>
      </c>
      <c r="B4306" s="418" t="s">
        <v>1788</v>
      </c>
      <c r="C4306" s="419" t="s">
        <v>1789</v>
      </c>
      <c r="D4306" s="56">
        <f>50+1</f>
        <v>51</v>
      </c>
      <c r="E4306" s="55"/>
      <c r="F4306" s="55"/>
      <c r="G4306" s="55"/>
      <c r="H4306" s="55">
        <v>59</v>
      </c>
      <c r="I4306" s="55"/>
      <c r="J4306" s="55"/>
      <c r="K4306" s="55"/>
      <c r="L4306" s="55">
        <f>63+1</f>
        <v>64</v>
      </c>
      <c r="M4306" s="55"/>
      <c r="N4306" s="55"/>
      <c r="O4306" s="55"/>
      <c r="P4306" s="55"/>
      <c r="Q4306" s="55"/>
      <c r="R4306" s="55"/>
      <c r="S4306" s="55"/>
      <c r="T4306" s="55"/>
      <c r="U4306" s="55"/>
      <c r="V4306" s="55"/>
      <c r="W4306" s="55"/>
      <c r="X4306" s="55"/>
      <c r="Y4306" s="55"/>
      <c r="Z4306" s="55"/>
      <c r="AA4306" s="55"/>
      <c r="AB4306" s="22">
        <f t="shared" si="1440"/>
        <v>174</v>
      </c>
      <c r="AC4306" s="23">
        <v>92</v>
      </c>
      <c r="AD4306" s="56"/>
      <c r="AE4306" s="56"/>
      <c r="AF4306" s="56"/>
      <c r="AG4306" s="56"/>
      <c r="AH4306" s="56"/>
      <c r="AI4306" s="56"/>
      <c r="AJ4306" s="56"/>
      <c r="AK4306" s="56"/>
      <c r="AL4306" s="56"/>
      <c r="AM4306" s="56"/>
      <c r="AN4306" s="56"/>
      <c r="AO4306" s="56"/>
      <c r="AP4306" s="56"/>
      <c r="AQ4306" s="56"/>
      <c r="AR4306" s="56"/>
      <c r="AS4306" s="56"/>
      <c r="AT4306" s="56"/>
      <c r="AU4306" s="56"/>
      <c r="AV4306" s="56"/>
      <c r="AW4306" s="56"/>
      <c r="AX4306" s="56"/>
      <c r="AY4306" s="56"/>
      <c r="AZ4306" s="56"/>
      <c r="BA4306" s="56"/>
      <c r="BB4306" s="22">
        <f t="shared" si="1441"/>
        <v>0</v>
      </c>
      <c r="BC4306" s="23">
        <v>0</v>
      </c>
      <c r="BD4306" s="130">
        <f t="shared" si="1442"/>
        <v>174</v>
      </c>
      <c r="BE4306" s="130">
        <f t="shared" si="1443"/>
        <v>92</v>
      </c>
      <c r="BF4306" s="195">
        <f t="shared" si="1444"/>
        <v>189.13043478260869</v>
      </c>
      <c r="BG4306" s="373">
        <f t="shared" si="1445"/>
        <v>-82</v>
      </c>
      <c r="BH4306" s="426" t="s">
        <v>3675</v>
      </c>
      <c r="BI4306" s="421"/>
    </row>
    <row r="4307" spans="1:61" s="46" customFormat="1" ht="21" customHeight="1">
      <c r="A4307" s="417">
        <v>4</v>
      </c>
      <c r="B4307" s="418" t="s">
        <v>1858</v>
      </c>
      <c r="C4307" s="419" t="s">
        <v>1859</v>
      </c>
      <c r="D4307" s="56">
        <f>456+4</f>
        <v>460</v>
      </c>
      <c r="E4307" s="55"/>
      <c r="F4307" s="55"/>
      <c r="G4307" s="55"/>
      <c r="H4307" s="55">
        <v>612</v>
      </c>
      <c r="I4307" s="55"/>
      <c r="J4307" s="55"/>
      <c r="K4307" s="55"/>
      <c r="L4307" s="55">
        <f>790+4</f>
        <v>794</v>
      </c>
      <c r="M4307" s="55"/>
      <c r="N4307" s="55"/>
      <c r="O4307" s="55"/>
      <c r="P4307" s="55">
        <v>544</v>
      </c>
      <c r="Q4307" s="55"/>
      <c r="R4307" s="55"/>
      <c r="S4307" s="55"/>
      <c r="T4307" s="55"/>
      <c r="U4307" s="55"/>
      <c r="V4307" s="55"/>
      <c r="W4307" s="55"/>
      <c r="X4307" s="55"/>
      <c r="Y4307" s="55"/>
      <c r="Z4307" s="55"/>
      <c r="AA4307" s="55"/>
      <c r="AB4307" s="22">
        <f t="shared" si="1440"/>
        <v>2410</v>
      </c>
      <c r="AC4307" s="23">
        <v>3100</v>
      </c>
      <c r="AD4307" s="56"/>
      <c r="AE4307" s="56"/>
      <c r="AF4307" s="56"/>
      <c r="AG4307" s="56"/>
      <c r="AH4307" s="56"/>
      <c r="AI4307" s="56"/>
      <c r="AJ4307" s="56"/>
      <c r="AK4307" s="56"/>
      <c r="AL4307" s="56"/>
      <c r="AM4307" s="56"/>
      <c r="AN4307" s="56"/>
      <c r="AO4307" s="56"/>
      <c r="AP4307" s="56"/>
      <c r="AQ4307" s="56"/>
      <c r="AR4307" s="56"/>
      <c r="AS4307" s="56"/>
      <c r="AT4307" s="56"/>
      <c r="AU4307" s="56"/>
      <c r="AV4307" s="56"/>
      <c r="AW4307" s="56"/>
      <c r="AX4307" s="56"/>
      <c r="AY4307" s="56"/>
      <c r="AZ4307" s="56"/>
      <c r="BA4307" s="56"/>
      <c r="BB4307" s="22">
        <f t="shared" si="1441"/>
        <v>0</v>
      </c>
      <c r="BC4307" s="23">
        <v>0</v>
      </c>
      <c r="BD4307" s="130">
        <f t="shared" si="1442"/>
        <v>2410</v>
      </c>
      <c r="BE4307" s="130">
        <f t="shared" si="1443"/>
        <v>3100</v>
      </c>
      <c r="BF4307" s="195">
        <f t="shared" si="1444"/>
        <v>77.741935483870975</v>
      </c>
      <c r="BG4307" s="373">
        <f t="shared" si="1445"/>
        <v>690</v>
      </c>
      <c r="BH4307" s="426" t="s">
        <v>3675</v>
      </c>
      <c r="BI4307" s="426"/>
    </row>
    <row r="4308" spans="1:61" s="46" customFormat="1" ht="21" customHeight="1">
      <c r="A4308" s="417">
        <v>5</v>
      </c>
      <c r="B4308" s="418" t="s">
        <v>2599</v>
      </c>
      <c r="C4308" s="419" t="s">
        <v>2600</v>
      </c>
      <c r="D4308" s="56"/>
      <c r="E4308" s="55"/>
      <c r="F4308" s="55"/>
      <c r="G4308" s="55"/>
      <c r="H4308" s="55"/>
      <c r="I4308" s="55"/>
      <c r="J4308" s="55"/>
      <c r="K4308" s="55"/>
      <c r="L4308" s="55">
        <v>3</v>
      </c>
      <c r="M4308" s="55"/>
      <c r="N4308" s="55"/>
      <c r="O4308" s="55"/>
      <c r="P4308" s="55">
        <v>1</v>
      </c>
      <c r="Q4308" s="55"/>
      <c r="R4308" s="55"/>
      <c r="S4308" s="55"/>
      <c r="T4308" s="55"/>
      <c r="U4308" s="55"/>
      <c r="V4308" s="55"/>
      <c r="W4308" s="55"/>
      <c r="X4308" s="55"/>
      <c r="Y4308" s="55"/>
      <c r="Z4308" s="55"/>
      <c r="AA4308" s="55"/>
      <c r="AB4308" s="22">
        <f t="shared" si="1440"/>
        <v>4</v>
      </c>
      <c r="AC4308" s="23">
        <v>11</v>
      </c>
      <c r="AD4308" s="56"/>
      <c r="AE4308" s="56"/>
      <c r="AF4308" s="56"/>
      <c r="AG4308" s="56"/>
      <c r="AH4308" s="56"/>
      <c r="AI4308" s="56"/>
      <c r="AJ4308" s="56"/>
      <c r="AK4308" s="56"/>
      <c r="AL4308" s="56"/>
      <c r="AM4308" s="56"/>
      <c r="AN4308" s="56"/>
      <c r="AO4308" s="56"/>
      <c r="AP4308" s="56"/>
      <c r="AQ4308" s="56"/>
      <c r="AR4308" s="56"/>
      <c r="AS4308" s="56"/>
      <c r="AT4308" s="56"/>
      <c r="AU4308" s="56"/>
      <c r="AV4308" s="56"/>
      <c r="AW4308" s="56"/>
      <c r="AX4308" s="56"/>
      <c r="AY4308" s="56"/>
      <c r="AZ4308" s="56"/>
      <c r="BA4308" s="56"/>
      <c r="BB4308" s="22">
        <f t="shared" si="1441"/>
        <v>0</v>
      </c>
      <c r="BC4308" s="23">
        <v>0</v>
      </c>
      <c r="BD4308" s="130">
        <f t="shared" si="1442"/>
        <v>4</v>
      </c>
      <c r="BE4308" s="130">
        <f t="shared" si="1443"/>
        <v>11</v>
      </c>
      <c r="BF4308" s="195">
        <f t="shared" si="1444"/>
        <v>36.363636363636367</v>
      </c>
      <c r="BG4308" s="373">
        <f t="shared" si="1445"/>
        <v>7</v>
      </c>
      <c r="BH4308" s="426" t="s">
        <v>3675</v>
      </c>
      <c r="BI4308" s="420"/>
    </row>
    <row r="4309" spans="1:61" s="46" customFormat="1" ht="21" customHeight="1">
      <c r="A4309" s="417">
        <v>6</v>
      </c>
      <c r="B4309" s="418" t="s">
        <v>1860</v>
      </c>
      <c r="C4309" s="419" t="s">
        <v>1861</v>
      </c>
      <c r="D4309" s="56"/>
      <c r="E4309" s="55"/>
      <c r="F4309" s="55"/>
      <c r="G4309" s="55"/>
      <c r="H4309" s="55">
        <v>11</v>
      </c>
      <c r="I4309" s="55"/>
      <c r="J4309" s="55"/>
      <c r="K4309" s="55"/>
      <c r="L4309" s="55">
        <v>27</v>
      </c>
      <c r="M4309" s="55"/>
      <c r="N4309" s="55"/>
      <c r="O4309" s="55"/>
      <c r="P4309" s="55">
        <v>5</v>
      </c>
      <c r="Q4309" s="55"/>
      <c r="R4309" s="55"/>
      <c r="S4309" s="55"/>
      <c r="T4309" s="55"/>
      <c r="U4309" s="55"/>
      <c r="V4309" s="55"/>
      <c r="W4309" s="55"/>
      <c r="X4309" s="55"/>
      <c r="Y4309" s="55"/>
      <c r="Z4309" s="55"/>
      <c r="AA4309" s="55"/>
      <c r="AB4309" s="22">
        <f t="shared" si="1440"/>
        <v>43</v>
      </c>
      <c r="AC4309" s="23">
        <v>122</v>
      </c>
      <c r="AD4309" s="56"/>
      <c r="AE4309" s="56"/>
      <c r="AF4309" s="56"/>
      <c r="AG4309" s="56"/>
      <c r="AH4309" s="56"/>
      <c r="AI4309" s="56"/>
      <c r="AJ4309" s="56"/>
      <c r="AK4309" s="56"/>
      <c r="AL4309" s="56"/>
      <c r="AM4309" s="56"/>
      <c r="AN4309" s="56"/>
      <c r="AO4309" s="56"/>
      <c r="AP4309" s="56"/>
      <c r="AQ4309" s="56"/>
      <c r="AR4309" s="56"/>
      <c r="AS4309" s="56"/>
      <c r="AT4309" s="56"/>
      <c r="AU4309" s="56"/>
      <c r="AV4309" s="56"/>
      <c r="AW4309" s="56"/>
      <c r="AX4309" s="56"/>
      <c r="AY4309" s="56"/>
      <c r="AZ4309" s="56"/>
      <c r="BA4309" s="56"/>
      <c r="BB4309" s="22">
        <f t="shared" si="1441"/>
        <v>0</v>
      </c>
      <c r="BC4309" s="23">
        <v>0</v>
      </c>
      <c r="BD4309" s="130">
        <f t="shared" si="1442"/>
        <v>43</v>
      </c>
      <c r="BE4309" s="130">
        <f t="shared" si="1443"/>
        <v>122</v>
      </c>
      <c r="BF4309" s="195">
        <f t="shared" si="1444"/>
        <v>35.245901639344261</v>
      </c>
      <c r="BG4309" s="373">
        <f t="shared" si="1445"/>
        <v>79</v>
      </c>
      <c r="BH4309" s="426" t="s">
        <v>3675</v>
      </c>
      <c r="BI4309" s="420"/>
    </row>
    <row r="4310" spans="1:61" s="46" customFormat="1" ht="21" customHeight="1">
      <c r="A4310" s="417">
        <v>7</v>
      </c>
      <c r="B4310" s="418" t="s">
        <v>1846</v>
      </c>
      <c r="C4310" s="419" t="s">
        <v>3716</v>
      </c>
      <c r="D4310" s="56">
        <f>163+4</f>
        <v>167</v>
      </c>
      <c r="E4310" s="55"/>
      <c r="F4310" s="55"/>
      <c r="G4310" s="55"/>
      <c r="H4310" s="55">
        <v>89</v>
      </c>
      <c r="I4310" s="55"/>
      <c r="J4310" s="55"/>
      <c r="K4310" s="55"/>
      <c r="L4310" s="55">
        <f>277+4</f>
        <v>281</v>
      </c>
      <c r="M4310" s="55"/>
      <c r="N4310" s="55"/>
      <c r="O4310" s="55"/>
      <c r="P4310" s="55">
        <v>134</v>
      </c>
      <c r="Q4310" s="55"/>
      <c r="R4310" s="55"/>
      <c r="S4310" s="55"/>
      <c r="T4310" s="55"/>
      <c r="U4310" s="55"/>
      <c r="V4310" s="55"/>
      <c r="W4310" s="55"/>
      <c r="X4310" s="55"/>
      <c r="Y4310" s="55"/>
      <c r="Z4310" s="55"/>
      <c r="AA4310" s="55"/>
      <c r="AB4310" s="22">
        <f t="shared" si="1440"/>
        <v>671</v>
      </c>
      <c r="AC4310" s="23">
        <v>1600</v>
      </c>
      <c r="AD4310" s="56"/>
      <c r="AE4310" s="56"/>
      <c r="AF4310" s="56"/>
      <c r="AG4310" s="56"/>
      <c r="AH4310" s="56"/>
      <c r="AI4310" s="56"/>
      <c r="AJ4310" s="56"/>
      <c r="AK4310" s="56"/>
      <c r="AL4310" s="56"/>
      <c r="AM4310" s="56"/>
      <c r="AN4310" s="56"/>
      <c r="AO4310" s="56"/>
      <c r="AP4310" s="56"/>
      <c r="AQ4310" s="56"/>
      <c r="AR4310" s="56"/>
      <c r="AS4310" s="56"/>
      <c r="AT4310" s="56"/>
      <c r="AU4310" s="56"/>
      <c r="AV4310" s="56"/>
      <c r="AW4310" s="56"/>
      <c r="AX4310" s="56"/>
      <c r="AY4310" s="56"/>
      <c r="AZ4310" s="56"/>
      <c r="BA4310" s="56"/>
      <c r="BB4310" s="22">
        <f t="shared" si="1441"/>
        <v>0</v>
      </c>
      <c r="BC4310" s="23">
        <v>0</v>
      </c>
      <c r="BD4310" s="130">
        <f t="shared" si="1442"/>
        <v>671</v>
      </c>
      <c r="BE4310" s="130">
        <f t="shared" si="1443"/>
        <v>1600</v>
      </c>
      <c r="BF4310" s="195">
        <f t="shared" si="1444"/>
        <v>41.9375</v>
      </c>
      <c r="BG4310" s="373">
        <f t="shared" si="1445"/>
        <v>929</v>
      </c>
      <c r="BH4310" s="426" t="s">
        <v>3675</v>
      </c>
      <c r="BI4310" s="421"/>
    </row>
    <row r="4311" spans="1:61" s="46" customFormat="1" ht="21" customHeight="1">
      <c r="A4311" s="417">
        <v>8</v>
      </c>
      <c r="B4311" s="418" t="s">
        <v>3234</v>
      </c>
      <c r="C4311" s="419" t="s">
        <v>3235</v>
      </c>
      <c r="D4311" s="56"/>
      <c r="E4311" s="55"/>
      <c r="F4311" s="55"/>
      <c r="G4311" s="55"/>
      <c r="H4311" s="55"/>
      <c r="I4311" s="55"/>
      <c r="J4311" s="55"/>
      <c r="K4311" s="55"/>
      <c r="L4311" s="55"/>
      <c r="M4311" s="55"/>
      <c r="N4311" s="55"/>
      <c r="O4311" s="55"/>
      <c r="P4311" s="55"/>
      <c r="Q4311" s="55"/>
      <c r="R4311" s="55"/>
      <c r="S4311" s="55"/>
      <c r="T4311" s="55"/>
      <c r="U4311" s="55"/>
      <c r="V4311" s="55"/>
      <c r="W4311" s="55"/>
      <c r="X4311" s="55"/>
      <c r="Y4311" s="55"/>
      <c r="Z4311" s="55"/>
      <c r="AA4311" s="55"/>
      <c r="AB4311" s="22">
        <f t="shared" si="1440"/>
        <v>0</v>
      </c>
      <c r="AC4311" s="23">
        <v>2</v>
      </c>
      <c r="AD4311" s="56"/>
      <c r="AE4311" s="56"/>
      <c r="AF4311" s="56"/>
      <c r="AG4311" s="56"/>
      <c r="AH4311" s="56"/>
      <c r="AI4311" s="56"/>
      <c r="AJ4311" s="56"/>
      <c r="AK4311" s="56"/>
      <c r="AL4311" s="56"/>
      <c r="AM4311" s="56"/>
      <c r="AN4311" s="56"/>
      <c r="AO4311" s="56"/>
      <c r="AP4311" s="56"/>
      <c r="AQ4311" s="56"/>
      <c r="AR4311" s="56"/>
      <c r="AS4311" s="56"/>
      <c r="AT4311" s="56"/>
      <c r="AU4311" s="56"/>
      <c r="AV4311" s="56"/>
      <c r="AW4311" s="56"/>
      <c r="AX4311" s="56"/>
      <c r="AY4311" s="56"/>
      <c r="AZ4311" s="56"/>
      <c r="BA4311" s="56"/>
      <c r="BB4311" s="22">
        <f t="shared" si="1441"/>
        <v>0</v>
      </c>
      <c r="BC4311" s="23">
        <v>0</v>
      </c>
      <c r="BD4311" s="130">
        <f t="shared" si="1442"/>
        <v>0</v>
      </c>
      <c r="BE4311" s="130">
        <f t="shared" si="1443"/>
        <v>2</v>
      </c>
      <c r="BF4311" s="195">
        <f t="shared" si="1444"/>
        <v>0</v>
      </c>
      <c r="BG4311" s="373">
        <f t="shared" si="1445"/>
        <v>2</v>
      </c>
      <c r="BH4311" s="426" t="s">
        <v>3675</v>
      </c>
      <c r="BI4311" s="421"/>
    </row>
    <row r="4312" spans="1:61" s="46" customFormat="1" ht="21" customHeight="1">
      <c r="A4312" s="417">
        <v>9</v>
      </c>
      <c r="B4312" s="418" t="s">
        <v>1847</v>
      </c>
      <c r="C4312" s="419" t="s">
        <v>1848</v>
      </c>
      <c r="D4312" s="56">
        <f>848+6+1</f>
        <v>855</v>
      </c>
      <c r="E4312" s="55"/>
      <c r="F4312" s="55"/>
      <c r="G4312" s="55"/>
      <c r="H4312" s="55">
        <v>667</v>
      </c>
      <c r="I4312" s="55"/>
      <c r="J4312" s="55"/>
      <c r="K4312" s="55"/>
      <c r="L4312" s="55">
        <f>812+6</f>
        <v>818</v>
      </c>
      <c r="M4312" s="55"/>
      <c r="N4312" s="55"/>
      <c r="O4312" s="55"/>
      <c r="P4312" s="55">
        <v>532</v>
      </c>
      <c r="Q4312" s="55"/>
      <c r="R4312" s="55"/>
      <c r="S4312" s="55"/>
      <c r="T4312" s="55"/>
      <c r="U4312" s="55"/>
      <c r="V4312" s="55"/>
      <c r="W4312" s="55"/>
      <c r="X4312" s="55"/>
      <c r="Y4312" s="55"/>
      <c r="Z4312" s="55"/>
      <c r="AA4312" s="55"/>
      <c r="AB4312" s="22">
        <f t="shared" si="1440"/>
        <v>2872</v>
      </c>
      <c r="AC4312" s="23">
        <v>3374</v>
      </c>
      <c r="AD4312" s="56"/>
      <c r="AE4312" s="56"/>
      <c r="AF4312" s="56"/>
      <c r="AG4312" s="56"/>
      <c r="AH4312" s="56"/>
      <c r="AI4312" s="56"/>
      <c r="AJ4312" s="56"/>
      <c r="AK4312" s="56"/>
      <c r="AL4312" s="56"/>
      <c r="AM4312" s="56"/>
      <c r="AN4312" s="56"/>
      <c r="AO4312" s="56"/>
      <c r="AP4312" s="56"/>
      <c r="AQ4312" s="56"/>
      <c r="AR4312" s="56"/>
      <c r="AS4312" s="56"/>
      <c r="AT4312" s="56"/>
      <c r="AU4312" s="56"/>
      <c r="AV4312" s="56"/>
      <c r="AW4312" s="56"/>
      <c r="AX4312" s="56"/>
      <c r="AY4312" s="56"/>
      <c r="AZ4312" s="56"/>
      <c r="BA4312" s="56"/>
      <c r="BB4312" s="22">
        <f t="shared" si="1441"/>
        <v>0</v>
      </c>
      <c r="BC4312" s="23">
        <v>0</v>
      </c>
      <c r="BD4312" s="130">
        <f t="shared" si="1442"/>
        <v>2872</v>
      </c>
      <c r="BE4312" s="130">
        <f t="shared" si="1443"/>
        <v>3374</v>
      </c>
      <c r="BF4312" s="195">
        <f t="shared" si="1444"/>
        <v>85.121517486662711</v>
      </c>
      <c r="BG4312" s="373">
        <f t="shared" si="1445"/>
        <v>502</v>
      </c>
      <c r="BH4312" s="426" t="s">
        <v>3675</v>
      </c>
      <c r="BI4312" s="421"/>
    </row>
    <row r="4313" spans="1:61" s="46" customFormat="1" ht="21" customHeight="1">
      <c r="A4313" s="417">
        <v>10</v>
      </c>
      <c r="B4313" s="418" t="s">
        <v>3610</v>
      </c>
      <c r="C4313" s="419" t="s">
        <v>3611</v>
      </c>
      <c r="D4313" s="56"/>
      <c r="E4313" s="55"/>
      <c r="F4313" s="55"/>
      <c r="G4313" s="55"/>
      <c r="H4313" s="55"/>
      <c r="I4313" s="55"/>
      <c r="J4313" s="55"/>
      <c r="K4313" s="55"/>
      <c r="L4313" s="55"/>
      <c r="M4313" s="55"/>
      <c r="N4313" s="55"/>
      <c r="O4313" s="55"/>
      <c r="P4313" s="55"/>
      <c r="Q4313" s="55"/>
      <c r="R4313" s="55"/>
      <c r="S4313" s="55"/>
      <c r="T4313" s="55"/>
      <c r="U4313" s="55"/>
      <c r="V4313" s="55"/>
      <c r="W4313" s="55"/>
      <c r="X4313" s="55"/>
      <c r="Y4313" s="55"/>
      <c r="Z4313" s="55"/>
      <c r="AA4313" s="55"/>
      <c r="AB4313" s="22">
        <f t="shared" si="1440"/>
        <v>0</v>
      </c>
      <c r="AC4313" s="23">
        <v>1</v>
      </c>
      <c r="AD4313" s="56"/>
      <c r="AE4313" s="56"/>
      <c r="AF4313" s="56"/>
      <c r="AG4313" s="56"/>
      <c r="AH4313" s="56"/>
      <c r="AI4313" s="56"/>
      <c r="AJ4313" s="56"/>
      <c r="AK4313" s="56"/>
      <c r="AL4313" s="56"/>
      <c r="AM4313" s="56"/>
      <c r="AN4313" s="56"/>
      <c r="AO4313" s="56"/>
      <c r="AP4313" s="56"/>
      <c r="AQ4313" s="56"/>
      <c r="AR4313" s="56"/>
      <c r="AS4313" s="56"/>
      <c r="AT4313" s="56"/>
      <c r="AU4313" s="56"/>
      <c r="AV4313" s="56"/>
      <c r="AW4313" s="56"/>
      <c r="AX4313" s="56"/>
      <c r="AY4313" s="56"/>
      <c r="AZ4313" s="56"/>
      <c r="BA4313" s="56"/>
      <c r="BB4313" s="22">
        <f t="shared" si="1441"/>
        <v>0</v>
      </c>
      <c r="BC4313" s="23">
        <v>0</v>
      </c>
      <c r="BD4313" s="130">
        <f t="shared" si="1442"/>
        <v>0</v>
      </c>
      <c r="BE4313" s="130">
        <f t="shared" si="1443"/>
        <v>1</v>
      </c>
      <c r="BF4313" s="195">
        <f t="shared" si="1444"/>
        <v>0</v>
      </c>
      <c r="BG4313" s="373">
        <f t="shared" si="1445"/>
        <v>1</v>
      </c>
      <c r="BH4313" s="426" t="s">
        <v>3675</v>
      </c>
      <c r="BI4313" s="420"/>
    </row>
    <row r="4314" spans="1:61" s="46" customFormat="1" ht="21" customHeight="1">
      <c r="A4314" s="417">
        <v>11</v>
      </c>
      <c r="B4314" s="418" t="s">
        <v>2691</v>
      </c>
      <c r="C4314" s="419" t="s">
        <v>2692</v>
      </c>
      <c r="D4314" s="56"/>
      <c r="E4314" s="55"/>
      <c r="F4314" s="55"/>
      <c r="G4314" s="55"/>
      <c r="H4314" s="55"/>
      <c r="I4314" s="55"/>
      <c r="J4314" s="55"/>
      <c r="K4314" s="55"/>
      <c r="L4314" s="55"/>
      <c r="M4314" s="55"/>
      <c r="N4314" s="55"/>
      <c r="O4314" s="55"/>
      <c r="P4314" s="55"/>
      <c r="Q4314" s="55"/>
      <c r="R4314" s="55"/>
      <c r="S4314" s="55"/>
      <c r="T4314" s="55"/>
      <c r="U4314" s="55"/>
      <c r="V4314" s="55"/>
      <c r="W4314" s="55"/>
      <c r="X4314" s="55"/>
      <c r="Y4314" s="55"/>
      <c r="Z4314" s="55"/>
      <c r="AA4314" s="55"/>
      <c r="AB4314" s="22">
        <f t="shared" si="1440"/>
        <v>0</v>
      </c>
      <c r="AC4314" s="23">
        <v>2</v>
      </c>
      <c r="AD4314" s="56"/>
      <c r="AE4314" s="56"/>
      <c r="AF4314" s="56"/>
      <c r="AG4314" s="56"/>
      <c r="AH4314" s="56"/>
      <c r="AI4314" s="56"/>
      <c r="AJ4314" s="56"/>
      <c r="AK4314" s="56"/>
      <c r="AL4314" s="56"/>
      <c r="AM4314" s="56"/>
      <c r="AN4314" s="56"/>
      <c r="AO4314" s="56"/>
      <c r="AP4314" s="56"/>
      <c r="AQ4314" s="56"/>
      <c r="AR4314" s="56"/>
      <c r="AS4314" s="56"/>
      <c r="AT4314" s="56"/>
      <c r="AU4314" s="56"/>
      <c r="AV4314" s="56"/>
      <c r="AW4314" s="56"/>
      <c r="AX4314" s="56"/>
      <c r="AY4314" s="56"/>
      <c r="AZ4314" s="56"/>
      <c r="BA4314" s="56"/>
      <c r="BB4314" s="22">
        <f t="shared" si="1441"/>
        <v>0</v>
      </c>
      <c r="BC4314" s="23">
        <v>0</v>
      </c>
      <c r="BD4314" s="130">
        <f t="shared" si="1442"/>
        <v>0</v>
      </c>
      <c r="BE4314" s="130">
        <f t="shared" si="1443"/>
        <v>2</v>
      </c>
      <c r="BF4314" s="195">
        <f t="shared" si="1444"/>
        <v>0</v>
      </c>
      <c r="BG4314" s="373">
        <f t="shared" si="1445"/>
        <v>2</v>
      </c>
      <c r="BH4314" s="426" t="s">
        <v>3675</v>
      </c>
      <c r="BI4314" s="421"/>
    </row>
    <row r="4315" spans="1:61" s="46" customFormat="1" ht="21" customHeight="1">
      <c r="A4315" s="417">
        <v>12</v>
      </c>
      <c r="B4315" s="418" t="s">
        <v>2130</v>
      </c>
      <c r="C4315" s="419" t="s">
        <v>2131</v>
      </c>
      <c r="D4315" s="56"/>
      <c r="E4315" s="55"/>
      <c r="F4315" s="55"/>
      <c r="G4315" s="55"/>
      <c r="H4315" s="55"/>
      <c r="I4315" s="55"/>
      <c r="J4315" s="55"/>
      <c r="K4315" s="55"/>
      <c r="L4315" s="55"/>
      <c r="M4315" s="55"/>
      <c r="N4315" s="55"/>
      <c r="O4315" s="55"/>
      <c r="P4315" s="55"/>
      <c r="Q4315" s="55"/>
      <c r="R4315" s="55"/>
      <c r="S4315" s="55"/>
      <c r="T4315" s="55"/>
      <c r="U4315" s="55"/>
      <c r="V4315" s="55"/>
      <c r="W4315" s="55"/>
      <c r="X4315" s="55"/>
      <c r="Y4315" s="55"/>
      <c r="Z4315" s="55"/>
      <c r="AA4315" s="55"/>
      <c r="AB4315" s="22">
        <f t="shared" si="1440"/>
        <v>0</v>
      </c>
      <c r="AC4315" s="23">
        <v>6</v>
      </c>
      <c r="AD4315" s="56"/>
      <c r="AE4315" s="56"/>
      <c r="AF4315" s="56"/>
      <c r="AG4315" s="56"/>
      <c r="AH4315" s="56"/>
      <c r="AI4315" s="56"/>
      <c r="AJ4315" s="56"/>
      <c r="AK4315" s="56"/>
      <c r="AL4315" s="56"/>
      <c r="AM4315" s="56"/>
      <c r="AN4315" s="56"/>
      <c r="AO4315" s="56"/>
      <c r="AP4315" s="56"/>
      <c r="AQ4315" s="56"/>
      <c r="AR4315" s="56"/>
      <c r="AS4315" s="56"/>
      <c r="AT4315" s="56"/>
      <c r="AU4315" s="56"/>
      <c r="AV4315" s="56"/>
      <c r="AW4315" s="56"/>
      <c r="AX4315" s="56"/>
      <c r="AY4315" s="56"/>
      <c r="AZ4315" s="56"/>
      <c r="BA4315" s="56"/>
      <c r="BB4315" s="22">
        <f t="shared" si="1441"/>
        <v>0</v>
      </c>
      <c r="BC4315" s="23">
        <v>0</v>
      </c>
      <c r="BD4315" s="130">
        <f t="shared" si="1442"/>
        <v>0</v>
      </c>
      <c r="BE4315" s="130">
        <f t="shared" si="1443"/>
        <v>6</v>
      </c>
      <c r="BF4315" s="195">
        <f t="shared" si="1444"/>
        <v>0</v>
      </c>
      <c r="BG4315" s="373">
        <f t="shared" si="1445"/>
        <v>6</v>
      </c>
      <c r="BH4315" s="426" t="s">
        <v>3675</v>
      </c>
      <c r="BI4315" s="421"/>
    </row>
    <row r="4316" spans="1:61" s="46" customFormat="1" ht="21" customHeight="1">
      <c r="A4316" s="417">
        <v>13</v>
      </c>
      <c r="B4316" s="418" t="s">
        <v>1743</v>
      </c>
      <c r="C4316" s="419" t="s">
        <v>1744</v>
      </c>
      <c r="D4316" s="56"/>
      <c r="E4316" s="55"/>
      <c r="F4316" s="55"/>
      <c r="G4316" s="55"/>
      <c r="H4316" s="55"/>
      <c r="I4316" s="55"/>
      <c r="J4316" s="55"/>
      <c r="K4316" s="55"/>
      <c r="L4316" s="55"/>
      <c r="M4316" s="55"/>
      <c r="N4316" s="55"/>
      <c r="O4316" s="55"/>
      <c r="P4316" s="55">
        <f>34+25</f>
        <v>59</v>
      </c>
      <c r="Q4316" s="55"/>
      <c r="R4316" s="55"/>
      <c r="S4316" s="55"/>
      <c r="T4316" s="55"/>
      <c r="U4316" s="55"/>
      <c r="V4316" s="55"/>
      <c r="W4316" s="55"/>
      <c r="X4316" s="55"/>
      <c r="Y4316" s="55"/>
      <c r="Z4316" s="55"/>
      <c r="AA4316" s="55"/>
      <c r="AB4316" s="22">
        <f t="shared" si="1440"/>
        <v>59</v>
      </c>
      <c r="AC4316" s="23">
        <v>1</v>
      </c>
      <c r="AD4316" s="56"/>
      <c r="AE4316" s="56"/>
      <c r="AF4316" s="56"/>
      <c r="AG4316" s="56"/>
      <c r="AH4316" s="56"/>
      <c r="AI4316" s="56"/>
      <c r="AJ4316" s="56"/>
      <c r="AK4316" s="56"/>
      <c r="AL4316" s="56"/>
      <c r="AM4316" s="56"/>
      <c r="AN4316" s="56"/>
      <c r="AO4316" s="56"/>
      <c r="AP4316" s="56"/>
      <c r="AQ4316" s="56"/>
      <c r="AR4316" s="56"/>
      <c r="AS4316" s="56"/>
      <c r="AT4316" s="56"/>
      <c r="AU4316" s="56"/>
      <c r="AV4316" s="56"/>
      <c r="AW4316" s="56"/>
      <c r="AX4316" s="56"/>
      <c r="AY4316" s="56"/>
      <c r="AZ4316" s="56"/>
      <c r="BA4316" s="56"/>
      <c r="BB4316" s="22">
        <f t="shared" si="1441"/>
        <v>0</v>
      </c>
      <c r="BC4316" s="23">
        <v>0</v>
      </c>
      <c r="BD4316" s="130">
        <f t="shared" si="1442"/>
        <v>59</v>
      </c>
      <c r="BE4316" s="130">
        <f t="shared" si="1443"/>
        <v>1</v>
      </c>
      <c r="BF4316" s="195">
        <f t="shared" si="1444"/>
        <v>5900</v>
      </c>
      <c r="BG4316" s="373">
        <f t="shared" si="1445"/>
        <v>-58</v>
      </c>
      <c r="BH4316" s="426" t="s">
        <v>3675</v>
      </c>
      <c r="BI4316" s="420"/>
    </row>
    <row r="4317" spans="1:61" s="46" customFormat="1" ht="21" customHeight="1">
      <c r="A4317" s="417">
        <v>14</v>
      </c>
      <c r="B4317" s="418" t="s">
        <v>1809</v>
      </c>
      <c r="C4317" s="419" t="s">
        <v>1810</v>
      </c>
      <c r="D4317" s="56">
        <v>2</v>
      </c>
      <c r="E4317" s="55"/>
      <c r="F4317" s="55"/>
      <c r="G4317" s="55"/>
      <c r="H4317" s="55">
        <v>1</v>
      </c>
      <c r="I4317" s="55"/>
      <c r="J4317" s="55"/>
      <c r="K4317" s="55"/>
      <c r="L4317" s="55">
        <v>12</v>
      </c>
      <c r="M4317" s="55"/>
      <c r="N4317" s="55"/>
      <c r="O4317" s="55"/>
      <c r="P4317" s="55">
        <v>12</v>
      </c>
      <c r="Q4317" s="55"/>
      <c r="R4317" s="55"/>
      <c r="S4317" s="55"/>
      <c r="T4317" s="55"/>
      <c r="U4317" s="55"/>
      <c r="V4317" s="55"/>
      <c r="W4317" s="55"/>
      <c r="X4317" s="55"/>
      <c r="Y4317" s="55"/>
      <c r="Z4317" s="55"/>
      <c r="AA4317" s="55"/>
      <c r="AB4317" s="22">
        <f t="shared" si="1440"/>
        <v>27</v>
      </c>
      <c r="AC4317" s="23">
        <v>10</v>
      </c>
      <c r="AD4317" s="56"/>
      <c r="AE4317" s="56"/>
      <c r="AF4317" s="56"/>
      <c r="AG4317" s="56"/>
      <c r="AH4317" s="56"/>
      <c r="AI4317" s="56"/>
      <c r="AJ4317" s="56"/>
      <c r="AK4317" s="56"/>
      <c r="AL4317" s="56"/>
      <c r="AM4317" s="56"/>
      <c r="AN4317" s="56"/>
      <c r="AO4317" s="56"/>
      <c r="AP4317" s="56"/>
      <c r="AQ4317" s="56"/>
      <c r="AR4317" s="56"/>
      <c r="AS4317" s="56"/>
      <c r="AT4317" s="56"/>
      <c r="AU4317" s="56"/>
      <c r="AV4317" s="56"/>
      <c r="AW4317" s="56"/>
      <c r="AX4317" s="56"/>
      <c r="AY4317" s="56"/>
      <c r="AZ4317" s="56"/>
      <c r="BA4317" s="56"/>
      <c r="BB4317" s="22">
        <f t="shared" si="1441"/>
        <v>0</v>
      </c>
      <c r="BC4317" s="23">
        <v>0</v>
      </c>
      <c r="BD4317" s="130">
        <f t="shared" si="1442"/>
        <v>27</v>
      </c>
      <c r="BE4317" s="130">
        <f t="shared" si="1443"/>
        <v>10</v>
      </c>
      <c r="BF4317" s="195">
        <f t="shared" si="1444"/>
        <v>270</v>
      </c>
      <c r="BG4317" s="373">
        <f t="shared" si="1445"/>
        <v>-17</v>
      </c>
      <c r="BH4317" s="426" t="s">
        <v>3675</v>
      </c>
      <c r="BI4317" s="421"/>
    </row>
    <row r="4318" spans="1:61" s="46" customFormat="1" ht="21" customHeight="1">
      <c r="A4318" s="417">
        <v>15</v>
      </c>
      <c r="B4318" s="418" t="s">
        <v>1745</v>
      </c>
      <c r="C4318" s="419" t="s">
        <v>1862</v>
      </c>
      <c r="D4318" s="56">
        <f>335+3</f>
        <v>338</v>
      </c>
      <c r="E4318" s="55"/>
      <c r="F4318" s="55"/>
      <c r="G4318" s="55"/>
      <c r="H4318" s="55">
        <v>473</v>
      </c>
      <c r="I4318" s="55"/>
      <c r="J4318" s="55"/>
      <c r="K4318" s="55"/>
      <c r="L4318" s="55">
        <f>511+3</f>
        <v>514</v>
      </c>
      <c r="M4318" s="55"/>
      <c r="N4318" s="55"/>
      <c r="O4318" s="55"/>
      <c r="P4318" s="55">
        <v>323</v>
      </c>
      <c r="Q4318" s="55"/>
      <c r="R4318" s="55"/>
      <c r="S4318" s="55"/>
      <c r="T4318" s="55"/>
      <c r="U4318" s="55"/>
      <c r="V4318" s="55"/>
      <c r="W4318" s="55"/>
      <c r="X4318" s="55"/>
      <c r="Y4318" s="55"/>
      <c r="Z4318" s="55"/>
      <c r="AA4318" s="55"/>
      <c r="AB4318" s="22">
        <f t="shared" si="1440"/>
        <v>1648</v>
      </c>
      <c r="AC4318" s="23">
        <v>2580</v>
      </c>
      <c r="AD4318" s="56"/>
      <c r="AE4318" s="56"/>
      <c r="AF4318" s="56"/>
      <c r="AG4318" s="56"/>
      <c r="AH4318" s="56"/>
      <c r="AI4318" s="56"/>
      <c r="AJ4318" s="56"/>
      <c r="AK4318" s="56"/>
      <c r="AL4318" s="56"/>
      <c r="AM4318" s="56"/>
      <c r="AN4318" s="56"/>
      <c r="AO4318" s="56"/>
      <c r="AP4318" s="56"/>
      <c r="AQ4318" s="56"/>
      <c r="AR4318" s="56"/>
      <c r="AS4318" s="56"/>
      <c r="AT4318" s="56"/>
      <c r="AU4318" s="56"/>
      <c r="AV4318" s="56"/>
      <c r="AW4318" s="56"/>
      <c r="AX4318" s="56"/>
      <c r="AY4318" s="56"/>
      <c r="AZ4318" s="56"/>
      <c r="BA4318" s="56"/>
      <c r="BB4318" s="22">
        <f t="shared" si="1441"/>
        <v>0</v>
      </c>
      <c r="BC4318" s="23">
        <v>0</v>
      </c>
      <c r="BD4318" s="130">
        <f t="shared" si="1442"/>
        <v>1648</v>
      </c>
      <c r="BE4318" s="130">
        <f t="shared" si="1443"/>
        <v>2580</v>
      </c>
      <c r="BF4318" s="195">
        <f t="shared" si="1444"/>
        <v>63.875968992248069</v>
      </c>
      <c r="BG4318" s="373">
        <f t="shared" si="1445"/>
        <v>932</v>
      </c>
      <c r="BH4318" s="426" t="s">
        <v>3675</v>
      </c>
      <c r="BI4318" s="420"/>
    </row>
    <row r="4319" spans="1:61" s="46" customFormat="1" ht="21" customHeight="1">
      <c r="A4319" s="417">
        <v>16</v>
      </c>
      <c r="B4319" s="418" t="s">
        <v>1811</v>
      </c>
      <c r="C4319" s="419" t="s">
        <v>1812</v>
      </c>
      <c r="D4319" s="56">
        <v>1</v>
      </c>
      <c r="E4319" s="55"/>
      <c r="F4319" s="55"/>
      <c r="G4319" s="55"/>
      <c r="H4319" s="55">
        <v>8</v>
      </c>
      <c r="I4319" s="55"/>
      <c r="J4319" s="55"/>
      <c r="K4319" s="55"/>
      <c r="L4319" s="55">
        <v>31</v>
      </c>
      <c r="M4319" s="55"/>
      <c r="N4319" s="55"/>
      <c r="O4319" s="55"/>
      <c r="P4319" s="55">
        <v>7</v>
      </c>
      <c r="Q4319" s="55"/>
      <c r="R4319" s="55"/>
      <c r="S4319" s="55"/>
      <c r="T4319" s="55"/>
      <c r="U4319" s="55"/>
      <c r="V4319" s="55"/>
      <c r="W4319" s="55"/>
      <c r="X4319" s="55"/>
      <c r="Y4319" s="55"/>
      <c r="Z4319" s="55"/>
      <c r="AA4319" s="55"/>
      <c r="AB4319" s="22">
        <f t="shared" si="1440"/>
        <v>47</v>
      </c>
      <c r="AC4319" s="23">
        <v>118</v>
      </c>
      <c r="AD4319" s="56"/>
      <c r="AE4319" s="56"/>
      <c r="AF4319" s="56"/>
      <c r="AG4319" s="56"/>
      <c r="AH4319" s="56"/>
      <c r="AI4319" s="56"/>
      <c r="AJ4319" s="56"/>
      <c r="AK4319" s="56"/>
      <c r="AL4319" s="56"/>
      <c r="AM4319" s="56"/>
      <c r="AN4319" s="56"/>
      <c r="AO4319" s="56"/>
      <c r="AP4319" s="56"/>
      <c r="AQ4319" s="56"/>
      <c r="AR4319" s="56"/>
      <c r="AS4319" s="56"/>
      <c r="AT4319" s="56"/>
      <c r="AU4319" s="56"/>
      <c r="AV4319" s="56"/>
      <c r="AW4319" s="56"/>
      <c r="AX4319" s="56"/>
      <c r="AY4319" s="56"/>
      <c r="AZ4319" s="56"/>
      <c r="BA4319" s="56"/>
      <c r="BB4319" s="22">
        <f t="shared" si="1441"/>
        <v>0</v>
      </c>
      <c r="BC4319" s="23">
        <v>0</v>
      </c>
      <c r="BD4319" s="130">
        <f t="shared" si="1442"/>
        <v>47</v>
      </c>
      <c r="BE4319" s="130">
        <f t="shared" si="1443"/>
        <v>118</v>
      </c>
      <c r="BF4319" s="195">
        <f t="shared" si="1444"/>
        <v>39.83050847457627</v>
      </c>
      <c r="BG4319" s="373">
        <f t="shared" si="1445"/>
        <v>71</v>
      </c>
      <c r="BH4319" s="426" t="s">
        <v>3675</v>
      </c>
      <c r="BI4319" s="420"/>
    </row>
    <row r="4320" spans="1:61" s="46" customFormat="1" ht="21" customHeight="1">
      <c r="A4320" s="417">
        <v>17</v>
      </c>
      <c r="B4320" s="418" t="s">
        <v>1813</v>
      </c>
      <c r="C4320" s="419" t="s">
        <v>2292</v>
      </c>
      <c r="D4320" s="56">
        <f>368+3</f>
        <v>371</v>
      </c>
      <c r="E4320" s="55"/>
      <c r="F4320" s="55"/>
      <c r="G4320" s="55"/>
      <c r="H4320" s="55">
        <v>271</v>
      </c>
      <c r="I4320" s="55"/>
      <c r="J4320" s="55"/>
      <c r="K4320" s="55"/>
      <c r="L4320" s="55">
        <f>557+3</f>
        <v>560</v>
      </c>
      <c r="M4320" s="55"/>
      <c r="N4320" s="55"/>
      <c r="O4320" s="55"/>
      <c r="P4320" s="55">
        <v>346</v>
      </c>
      <c r="Q4320" s="55"/>
      <c r="R4320" s="55"/>
      <c r="S4320" s="55"/>
      <c r="T4320" s="55"/>
      <c r="U4320" s="55"/>
      <c r="V4320" s="55"/>
      <c r="W4320" s="55"/>
      <c r="X4320" s="55"/>
      <c r="Y4320" s="55"/>
      <c r="Z4320" s="55"/>
      <c r="AA4320" s="55"/>
      <c r="AB4320" s="22">
        <f t="shared" si="1440"/>
        <v>1548</v>
      </c>
      <c r="AC4320" s="23">
        <v>2300</v>
      </c>
      <c r="AD4320" s="56"/>
      <c r="AE4320" s="56"/>
      <c r="AF4320" s="56"/>
      <c r="AG4320" s="56"/>
      <c r="AH4320" s="56"/>
      <c r="AI4320" s="56"/>
      <c r="AJ4320" s="56"/>
      <c r="AK4320" s="56"/>
      <c r="AL4320" s="56"/>
      <c r="AM4320" s="56"/>
      <c r="AN4320" s="56"/>
      <c r="AO4320" s="56"/>
      <c r="AP4320" s="56"/>
      <c r="AQ4320" s="56"/>
      <c r="AR4320" s="56"/>
      <c r="AS4320" s="56"/>
      <c r="AT4320" s="56"/>
      <c r="AU4320" s="56"/>
      <c r="AV4320" s="56"/>
      <c r="AW4320" s="56"/>
      <c r="AX4320" s="56"/>
      <c r="AY4320" s="56"/>
      <c r="AZ4320" s="56"/>
      <c r="BA4320" s="56"/>
      <c r="BB4320" s="22">
        <f t="shared" si="1441"/>
        <v>0</v>
      </c>
      <c r="BC4320" s="23">
        <v>0</v>
      </c>
      <c r="BD4320" s="130">
        <f t="shared" si="1442"/>
        <v>1548</v>
      </c>
      <c r="BE4320" s="130">
        <f t="shared" si="1443"/>
        <v>2300</v>
      </c>
      <c r="BF4320" s="195">
        <f t="shared" si="1444"/>
        <v>67.304347826086953</v>
      </c>
      <c r="BG4320" s="373">
        <f t="shared" si="1445"/>
        <v>752</v>
      </c>
      <c r="BH4320" s="426" t="s">
        <v>3675</v>
      </c>
      <c r="BI4320" s="421"/>
    </row>
    <row r="4321" spans="1:61" s="46" customFormat="1" ht="21" customHeight="1">
      <c r="A4321" s="417">
        <v>18</v>
      </c>
      <c r="B4321" s="418" t="s">
        <v>1814</v>
      </c>
      <c r="C4321" s="419" t="s">
        <v>1863</v>
      </c>
      <c r="D4321" s="56"/>
      <c r="E4321" s="55"/>
      <c r="F4321" s="55"/>
      <c r="G4321" s="55"/>
      <c r="H4321" s="55"/>
      <c r="I4321" s="55"/>
      <c r="J4321" s="55"/>
      <c r="K4321" s="55"/>
      <c r="L4321" s="55"/>
      <c r="M4321" s="55"/>
      <c r="N4321" s="55"/>
      <c r="O4321" s="55"/>
      <c r="P4321" s="55">
        <v>7</v>
      </c>
      <c r="Q4321" s="55"/>
      <c r="R4321" s="55"/>
      <c r="S4321" s="55"/>
      <c r="T4321" s="55"/>
      <c r="U4321" s="55"/>
      <c r="V4321" s="55"/>
      <c r="W4321" s="55"/>
      <c r="X4321" s="55"/>
      <c r="Y4321" s="55"/>
      <c r="Z4321" s="55"/>
      <c r="AA4321" s="55"/>
      <c r="AB4321" s="22">
        <f t="shared" si="1440"/>
        <v>7</v>
      </c>
      <c r="AC4321" s="23">
        <v>35</v>
      </c>
      <c r="AD4321" s="56"/>
      <c r="AE4321" s="56"/>
      <c r="AF4321" s="56"/>
      <c r="AG4321" s="56"/>
      <c r="AH4321" s="56"/>
      <c r="AI4321" s="56"/>
      <c r="AJ4321" s="56"/>
      <c r="AK4321" s="56"/>
      <c r="AL4321" s="56"/>
      <c r="AM4321" s="56"/>
      <c r="AN4321" s="56"/>
      <c r="AO4321" s="56"/>
      <c r="AP4321" s="56"/>
      <c r="AQ4321" s="56"/>
      <c r="AR4321" s="56"/>
      <c r="AS4321" s="56"/>
      <c r="AT4321" s="56"/>
      <c r="AU4321" s="56"/>
      <c r="AV4321" s="56"/>
      <c r="AW4321" s="56"/>
      <c r="AX4321" s="56"/>
      <c r="AY4321" s="56"/>
      <c r="AZ4321" s="56"/>
      <c r="BA4321" s="56"/>
      <c r="BB4321" s="22">
        <f t="shared" si="1441"/>
        <v>0</v>
      </c>
      <c r="BC4321" s="23">
        <v>0</v>
      </c>
      <c r="BD4321" s="130">
        <f t="shared" si="1442"/>
        <v>7</v>
      </c>
      <c r="BE4321" s="130">
        <f t="shared" si="1443"/>
        <v>35</v>
      </c>
      <c r="BF4321" s="195">
        <f t="shared" si="1444"/>
        <v>20</v>
      </c>
      <c r="BG4321" s="373">
        <f t="shared" si="1445"/>
        <v>28</v>
      </c>
      <c r="BH4321" s="426" t="s">
        <v>3675</v>
      </c>
      <c r="BI4321" s="421"/>
    </row>
    <row r="4322" spans="1:61" s="46" customFormat="1" ht="21" customHeight="1">
      <c r="A4322" s="417">
        <v>19</v>
      </c>
      <c r="B4322" s="418" t="s">
        <v>1849</v>
      </c>
      <c r="C4322" s="419" t="s">
        <v>1864</v>
      </c>
      <c r="D4322" s="56"/>
      <c r="E4322" s="55"/>
      <c r="F4322" s="55"/>
      <c r="G4322" s="55"/>
      <c r="H4322" s="55"/>
      <c r="I4322" s="55"/>
      <c r="J4322" s="55"/>
      <c r="K4322" s="55"/>
      <c r="L4322" s="55"/>
      <c r="M4322" s="55"/>
      <c r="N4322" s="55"/>
      <c r="O4322" s="55"/>
      <c r="P4322" s="55"/>
      <c r="Q4322" s="55"/>
      <c r="R4322" s="55"/>
      <c r="S4322" s="55"/>
      <c r="T4322" s="55"/>
      <c r="U4322" s="55"/>
      <c r="V4322" s="55"/>
      <c r="W4322" s="55"/>
      <c r="X4322" s="55"/>
      <c r="Y4322" s="55"/>
      <c r="Z4322" s="55"/>
      <c r="AA4322" s="55"/>
      <c r="AB4322" s="22">
        <f t="shared" si="1440"/>
        <v>0</v>
      </c>
      <c r="AC4322" s="23">
        <v>17</v>
      </c>
      <c r="AD4322" s="56"/>
      <c r="AE4322" s="56"/>
      <c r="AF4322" s="56"/>
      <c r="AG4322" s="56"/>
      <c r="AH4322" s="56"/>
      <c r="AI4322" s="56"/>
      <c r="AJ4322" s="56"/>
      <c r="AK4322" s="56"/>
      <c r="AL4322" s="56"/>
      <c r="AM4322" s="56"/>
      <c r="AN4322" s="56"/>
      <c r="AO4322" s="56"/>
      <c r="AP4322" s="56"/>
      <c r="AQ4322" s="56"/>
      <c r="AR4322" s="56"/>
      <c r="AS4322" s="56"/>
      <c r="AT4322" s="56"/>
      <c r="AU4322" s="56"/>
      <c r="AV4322" s="56"/>
      <c r="AW4322" s="56"/>
      <c r="AX4322" s="56"/>
      <c r="AY4322" s="56"/>
      <c r="AZ4322" s="56"/>
      <c r="BA4322" s="56"/>
      <c r="BB4322" s="22">
        <f t="shared" si="1441"/>
        <v>0</v>
      </c>
      <c r="BC4322" s="23">
        <v>0</v>
      </c>
      <c r="BD4322" s="130">
        <f t="shared" si="1442"/>
        <v>0</v>
      </c>
      <c r="BE4322" s="130">
        <f t="shared" si="1443"/>
        <v>17</v>
      </c>
      <c r="BF4322" s="195">
        <f t="shared" si="1444"/>
        <v>0</v>
      </c>
      <c r="BG4322" s="373">
        <f t="shared" si="1445"/>
        <v>17</v>
      </c>
      <c r="BH4322" s="426" t="s">
        <v>3675</v>
      </c>
      <c r="BI4322" s="421"/>
    </row>
    <row r="4323" spans="1:61" s="46" customFormat="1" ht="21" customHeight="1">
      <c r="A4323" s="417">
        <v>20</v>
      </c>
      <c r="B4323" s="418" t="s">
        <v>1747</v>
      </c>
      <c r="C4323" s="419" t="s">
        <v>1748</v>
      </c>
      <c r="D4323" s="56">
        <f>806+8+1</f>
        <v>815</v>
      </c>
      <c r="E4323" s="55"/>
      <c r="F4323" s="55"/>
      <c r="G4323" s="55"/>
      <c r="H4323" s="55">
        <v>863</v>
      </c>
      <c r="I4323" s="55"/>
      <c r="J4323" s="55"/>
      <c r="K4323" s="55"/>
      <c r="L4323" s="55">
        <f>1041+8</f>
        <v>1049</v>
      </c>
      <c r="M4323" s="55"/>
      <c r="N4323" s="55"/>
      <c r="O4323" s="55"/>
      <c r="P4323" s="55">
        <f>40+715</f>
        <v>755</v>
      </c>
      <c r="Q4323" s="55"/>
      <c r="R4323" s="55"/>
      <c r="S4323" s="55"/>
      <c r="T4323" s="55"/>
      <c r="U4323" s="55"/>
      <c r="V4323" s="55"/>
      <c r="W4323" s="55"/>
      <c r="X4323" s="55"/>
      <c r="Y4323" s="55"/>
      <c r="Z4323" s="55"/>
      <c r="AA4323" s="55"/>
      <c r="AB4323" s="22">
        <f t="shared" si="1440"/>
        <v>3482</v>
      </c>
      <c r="AC4323" s="23">
        <v>5600</v>
      </c>
      <c r="AD4323" s="56"/>
      <c r="AE4323" s="56"/>
      <c r="AF4323" s="56"/>
      <c r="AG4323" s="56"/>
      <c r="AH4323" s="56"/>
      <c r="AI4323" s="56"/>
      <c r="AJ4323" s="56"/>
      <c r="AK4323" s="56"/>
      <c r="AL4323" s="56"/>
      <c r="AM4323" s="56"/>
      <c r="AN4323" s="56"/>
      <c r="AO4323" s="56"/>
      <c r="AP4323" s="56"/>
      <c r="AQ4323" s="56"/>
      <c r="AR4323" s="56"/>
      <c r="AS4323" s="56"/>
      <c r="AT4323" s="56"/>
      <c r="AU4323" s="56"/>
      <c r="AV4323" s="56"/>
      <c r="AW4323" s="56"/>
      <c r="AX4323" s="56"/>
      <c r="AY4323" s="56"/>
      <c r="AZ4323" s="56"/>
      <c r="BA4323" s="56"/>
      <c r="BB4323" s="22">
        <f t="shared" si="1441"/>
        <v>0</v>
      </c>
      <c r="BC4323" s="23">
        <v>0</v>
      </c>
      <c r="BD4323" s="130">
        <f t="shared" si="1442"/>
        <v>3482</v>
      </c>
      <c r="BE4323" s="130">
        <f t="shared" si="1443"/>
        <v>5600</v>
      </c>
      <c r="BF4323" s="195">
        <f t="shared" si="1444"/>
        <v>62.178571428571431</v>
      </c>
      <c r="BG4323" s="373">
        <f t="shared" si="1445"/>
        <v>2118</v>
      </c>
      <c r="BH4323" s="426" t="s">
        <v>3675</v>
      </c>
      <c r="BI4323" s="420"/>
    </row>
    <row r="4324" spans="1:61" s="46" customFormat="1" ht="21" customHeight="1">
      <c r="A4324" s="417">
        <v>21</v>
      </c>
      <c r="B4324" s="418" t="s">
        <v>1749</v>
      </c>
      <c r="C4324" s="419" t="s">
        <v>1750</v>
      </c>
      <c r="D4324" s="56">
        <f>18+1</f>
        <v>19</v>
      </c>
      <c r="E4324" s="55"/>
      <c r="F4324" s="55"/>
      <c r="G4324" s="55"/>
      <c r="H4324" s="55">
        <v>11</v>
      </c>
      <c r="I4324" s="55"/>
      <c r="J4324" s="55"/>
      <c r="K4324" s="55"/>
      <c r="L4324" s="55">
        <f>11+1</f>
        <v>12</v>
      </c>
      <c r="M4324" s="55"/>
      <c r="N4324" s="55"/>
      <c r="O4324" s="55"/>
      <c r="P4324" s="55">
        <f>5+4+11</f>
        <v>20</v>
      </c>
      <c r="Q4324" s="55"/>
      <c r="R4324" s="55"/>
      <c r="S4324" s="55"/>
      <c r="T4324" s="55"/>
      <c r="U4324" s="55"/>
      <c r="V4324" s="55"/>
      <c r="W4324" s="55"/>
      <c r="X4324" s="55"/>
      <c r="Y4324" s="55"/>
      <c r="Z4324" s="55"/>
      <c r="AA4324" s="55"/>
      <c r="AB4324" s="22">
        <f t="shared" si="1440"/>
        <v>62</v>
      </c>
      <c r="AC4324" s="23">
        <v>165</v>
      </c>
      <c r="AD4324" s="56"/>
      <c r="AE4324" s="56"/>
      <c r="AF4324" s="56"/>
      <c r="AG4324" s="56"/>
      <c r="AH4324" s="56"/>
      <c r="AI4324" s="56"/>
      <c r="AJ4324" s="56"/>
      <c r="AK4324" s="56"/>
      <c r="AL4324" s="56"/>
      <c r="AM4324" s="56"/>
      <c r="AN4324" s="56"/>
      <c r="AO4324" s="56"/>
      <c r="AP4324" s="56"/>
      <c r="AQ4324" s="56"/>
      <c r="AR4324" s="56"/>
      <c r="AS4324" s="56"/>
      <c r="AT4324" s="56"/>
      <c r="AU4324" s="56"/>
      <c r="AV4324" s="56"/>
      <c r="AW4324" s="56"/>
      <c r="AX4324" s="56"/>
      <c r="AY4324" s="56"/>
      <c r="AZ4324" s="56"/>
      <c r="BA4324" s="56"/>
      <c r="BB4324" s="22">
        <f t="shared" si="1441"/>
        <v>0</v>
      </c>
      <c r="BC4324" s="23">
        <v>0</v>
      </c>
      <c r="BD4324" s="130">
        <f t="shared" si="1442"/>
        <v>62</v>
      </c>
      <c r="BE4324" s="130">
        <f t="shared" si="1443"/>
        <v>165</v>
      </c>
      <c r="BF4324" s="195">
        <f t="shared" si="1444"/>
        <v>37.575757575757571</v>
      </c>
      <c r="BG4324" s="373">
        <f t="shared" si="1445"/>
        <v>103</v>
      </c>
      <c r="BH4324" s="426" t="s">
        <v>3675</v>
      </c>
      <c r="BI4324" s="421"/>
    </row>
    <row r="4325" spans="1:61" s="46" customFormat="1" ht="21" customHeight="1">
      <c r="A4325" s="417">
        <v>22</v>
      </c>
      <c r="B4325" s="418" t="s">
        <v>2892</v>
      </c>
      <c r="C4325" s="419" t="s">
        <v>2893</v>
      </c>
      <c r="D4325" s="56"/>
      <c r="E4325" s="55"/>
      <c r="F4325" s="55"/>
      <c r="G4325" s="55"/>
      <c r="H4325" s="55">
        <v>1</v>
      </c>
      <c r="I4325" s="55"/>
      <c r="J4325" s="55"/>
      <c r="K4325" s="55"/>
      <c r="L4325" s="55"/>
      <c r="M4325" s="55"/>
      <c r="N4325" s="55"/>
      <c r="O4325" s="55"/>
      <c r="P4325" s="55"/>
      <c r="Q4325" s="55"/>
      <c r="R4325" s="55"/>
      <c r="S4325" s="55"/>
      <c r="T4325" s="55"/>
      <c r="U4325" s="55"/>
      <c r="V4325" s="55"/>
      <c r="W4325" s="55"/>
      <c r="X4325" s="55"/>
      <c r="Y4325" s="55"/>
      <c r="Z4325" s="55"/>
      <c r="AA4325" s="55"/>
      <c r="AB4325" s="22">
        <f t="shared" si="1440"/>
        <v>1</v>
      </c>
      <c r="AC4325" s="23">
        <v>16</v>
      </c>
      <c r="AD4325" s="56"/>
      <c r="AE4325" s="56"/>
      <c r="AF4325" s="56"/>
      <c r="AG4325" s="56"/>
      <c r="AH4325" s="56"/>
      <c r="AI4325" s="56"/>
      <c r="AJ4325" s="56"/>
      <c r="AK4325" s="56"/>
      <c r="AL4325" s="56"/>
      <c r="AM4325" s="56"/>
      <c r="AN4325" s="56"/>
      <c r="AO4325" s="56"/>
      <c r="AP4325" s="56"/>
      <c r="AQ4325" s="56"/>
      <c r="AR4325" s="56"/>
      <c r="AS4325" s="56"/>
      <c r="AT4325" s="56"/>
      <c r="AU4325" s="56"/>
      <c r="AV4325" s="56"/>
      <c r="AW4325" s="56"/>
      <c r="AX4325" s="56"/>
      <c r="AY4325" s="56"/>
      <c r="AZ4325" s="56"/>
      <c r="BA4325" s="56"/>
      <c r="BB4325" s="22">
        <f t="shared" si="1441"/>
        <v>0</v>
      </c>
      <c r="BC4325" s="23">
        <v>0</v>
      </c>
      <c r="BD4325" s="130">
        <f t="shared" si="1442"/>
        <v>1</v>
      </c>
      <c r="BE4325" s="130">
        <f t="shared" si="1443"/>
        <v>16</v>
      </c>
      <c r="BF4325" s="195">
        <f t="shared" si="1444"/>
        <v>6.25</v>
      </c>
      <c r="BG4325" s="373">
        <f t="shared" si="1445"/>
        <v>15</v>
      </c>
      <c r="BH4325" s="426" t="s">
        <v>3675</v>
      </c>
      <c r="BI4325" s="421"/>
    </row>
    <row r="4326" spans="1:61" s="46" customFormat="1" ht="21" customHeight="1">
      <c r="A4326" s="417">
        <v>23</v>
      </c>
      <c r="B4326" s="418" t="s">
        <v>1801</v>
      </c>
      <c r="C4326" s="419" t="s">
        <v>1802</v>
      </c>
      <c r="D4326" s="56">
        <v>6</v>
      </c>
      <c r="E4326" s="55"/>
      <c r="F4326" s="55"/>
      <c r="G4326" s="55"/>
      <c r="H4326" s="55"/>
      <c r="I4326" s="55"/>
      <c r="J4326" s="55"/>
      <c r="K4326" s="55"/>
      <c r="L4326" s="55">
        <v>2</v>
      </c>
      <c r="M4326" s="55"/>
      <c r="N4326" s="55"/>
      <c r="O4326" s="55"/>
      <c r="P4326" s="55">
        <v>21</v>
      </c>
      <c r="Q4326" s="55"/>
      <c r="R4326" s="55"/>
      <c r="S4326" s="55"/>
      <c r="T4326" s="55"/>
      <c r="U4326" s="55"/>
      <c r="V4326" s="55"/>
      <c r="W4326" s="55"/>
      <c r="X4326" s="55"/>
      <c r="Y4326" s="55"/>
      <c r="Z4326" s="55"/>
      <c r="AA4326" s="55"/>
      <c r="AB4326" s="22">
        <f t="shared" si="1440"/>
        <v>29</v>
      </c>
      <c r="AC4326" s="23">
        <v>29</v>
      </c>
      <c r="AD4326" s="56"/>
      <c r="AE4326" s="56"/>
      <c r="AF4326" s="56"/>
      <c r="AG4326" s="56"/>
      <c r="AH4326" s="56"/>
      <c r="AI4326" s="56"/>
      <c r="AJ4326" s="56"/>
      <c r="AK4326" s="56"/>
      <c r="AL4326" s="56"/>
      <c r="AM4326" s="56"/>
      <c r="AN4326" s="56"/>
      <c r="AO4326" s="56"/>
      <c r="AP4326" s="56"/>
      <c r="AQ4326" s="56"/>
      <c r="AR4326" s="56"/>
      <c r="AS4326" s="56"/>
      <c r="AT4326" s="56"/>
      <c r="AU4326" s="56"/>
      <c r="AV4326" s="56"/>
      <c r="AW4326" s="56"/>
      <c r="AX4326" s="56"/>
      <c r="AY4326" s="56"/>
      <c r="AZ4326" s="56"/>
      <c r="BA4326" s="56"/>
      <c r="BB4326" s="22">
        <f t="shared" si="1441"/>
        <v>0</v>
      </c>
      <c r="BC4326" s="23">
        <v>0</v>
      </c>
      <c r="BD4326" s="130">
        <f t="shared" si="1442"/>
        <v>29</v>
      </c>
      <c r="BE4326" s="130">
        <f t="shared" si="1443"/>
        <v>29</v>
      </c>
      <c r="BF4326" s="195">
        <f t="shared" si="1444"/>
        <v>100</v>
      </c>
      <c r="BG4326" s="373">
        <f t="shared" si="1445"/>
        <v>0</v>
      </c>
      <c r="BH4326" s="426" t="s">
        <v>3675</v>
      </c>
      <c r="BI4326" s="421"/>
    </row>
    <row r="4327" spans="1:61" s="46" customFormat="1" ht="21" customHeight="1">
      <c r="A4327" s="417">
        <v>24</v>
      </c>
      <c r="B4327" s="418" t="s">
        <v>1751</v>
      </c>
      <c r="C4327" s="419" t="s">
        <v>1865</v>
      </c>
      <c r="D4327" s="56"/>
      <c r="E4327" s="55"/>
      <c r="F4327" s="55"/>
      <c r="G4327" s="55"/>
      <c r="H4327" s="55">
        <v>12</v>
      </c>
      <c r="I4327" s="55"/>
      <c r="J4327" s="55"/>
      <c r="K4327" s="55"/>
      <c r="L4327" s="55">
        <v>58</v>
      </c>
      <c r="M4327" s="55"/>
      <c r="N4327" s="55"/>
      <c r="O4327" s="55"/>
      <c r="P4327" s="55">
        <v>46</v>
      </c>
      <c r="Q4327" s="55"/>
      <c r="R4327" s="55"/>
      <c r="S4327" s="55"/>
      <c r="T4327" s="55"/>
      <c r="U4327" s="55"/>
      <c r="V4327" s="55"/>
      <c r="W4327" s="55"/>
      <c r="X4327" s="55"/>
      <c r="Y4327" s="55"/>
      <c r="Z4327" s="55"/>
      <c r="AA4327" s="55"/>
      <c r="AB4327" s="22">
        <f t="shared" si="1440"/>
        <v>116</v>
      </c>
      <c r="AC4327" s="23">
        <v>71</v>
      </c>
      <c r="AD4327" s="56"/>
      <c r="AE4327" s="56"/>
      <c r="AF4327" s="56"/>
      <c r="AG4327" s="56"/>
      <c r="AH4327" s="56"/>
      <c r="AI4327" s="56"/>
      <c r="AJ4327" s="56"/>
      <c r="AK4327" s="56"/>
      <c r="AL4327" s="56"/>
      <c r="AM4327" s="56"/>
      <c r="AN4327" s="56"/>
      <c r="AO4327" s="56"/>
      <c r="AP4327" s="56"/>
      <c r="AQ4327" s="56"/>
      <c r="AR4327" s="56"/>
      <c r="AS4327" s="56"/>
      <c r="AT4327" s="56"/>
      <c r="AU4327" s="56"/>
      <c r="AV4327" s="56"/>
      <c r="AW4327" s="56"/>
      <c r="AX4327" s="56"/>
      <c r="AY4327" s="56"/>
      <c r="AZ4327" s="56"/>
      <c r="BA4327" s="56"/>
      <c r="BB4327" s="22">
        <f t="shared" si="1441"/>
        <v>0</v>
      </c>
      <c r="BC4327" s="23">
        <v>0</v>
      </c>
      <c r="BD4327" s="130">
        <f t="shared" si="1442"/>
        <v>116</v>
      </c>
      <c r="BE4327" s="130">
        <f t="shared" si="1443"/>
        <v>71</v>
      </c>
      <c r="BF4327" s="195">
        <f t="shared" si="1444"/>
        <v>163.38028169014086</v>
      </c>
      <c r="BG4327" s="373">
        <f t="shared" si="1445"/>
        <v>-45</v>
      </c>
      <c r="BH4327" s="426" t="s">
        <v>3675</v>
      </c>
      <c r="BI4327" s="420"/>
    </row>
    <row r="4328" spans="1:61" s="46" customFormat="1" ht="21" customHeight="1">
      <c r="A4328" s="417"/>
      <c r="B4328" s="418" t="s">
        <v>1753</v>
      </c>
      <c r="C4328" s="419" t="s">
        <v>1754</v>
      </c>
      <c r="D4328" s="56"/>
      <c r="E4328" s="55"/>
      <c r="F4328" s="55"/>
      <c r="G4328" s="55"/>
      <c r="H4328" s="55"/>
      <c r="I4328" s="55"/>
      <c r="J4328" s="55"/>
      <c r="K4328" s="55"/>
      <c r="L4328" s="55"/>
      <c r="M4328" s="55"/>
      <c r="N4328" s="55"/>
      <c r="O4328" s="55"/>
      <c r="P4328" s="55">
        <v>21</v>
      </c>
      <c r="Q4328" s="55"/>
      <c r="R4328" s="55"/>
      <c r="S4328" s="55"/>
      <c r="T4328" s="55"/>
      <c r="U4328" s="55"/>
      <c r="V4328" s="55"/>
      <c r="W4328" s="55"/>
      <c r="X4328" s="55"/>
      <c r="Y4328" s="55"/>
      <c r="Z4328" s="55"/>
      <c r="AA4328" s="55"/>
      <c r="AB4328" s="22">
        <f t="shared" si="1440"/>
        <v>21</v>
      </c>
      <c r="AC4328" s="23">
        <v>0</v>
      </c>
      <c r="AD4328" s="56"/>
      <c r="AE4328" s="56"/>
      <c r="AF4328" s="56"/>
      <c r="AG4328" s="56"/>
      <c r="AH4328" s="56"/>
      <c r="AI4328" s="56"/>
      <c r="AJ4328" s="56"/>
      <c r="AK4328" s="56"/>
      <c r="AL4328" s="56"/>
      <c r="AM4328" s="56"/>
      <c r="AN4328" s="56"/>
      <c r="AO4328" s="56"/>
      <c r="AP4328" s="56"/>
      <c r="AQ4328" s="56"/>
      <c r="AR4328" s="56"/>
      <c r="AS4328" s="56"/>
      <c r="AT4328" s="56"/>
      <c r="AU4328" s="56"/>
      <c r="AV4328" s="56"/>
      <c r="AW4328" s="56"/>
      <c r="AX4328" s="56"/>
      <c r="AY4328" s="56"/>
      <c r="AZ4328" s="56"/>
      <c r="BA4328" s="56"/>
      <c r="BB4328" s="22">
        <f t="shared" si="1441"/>
        <v>0</v>
      </c>
      <c r="BC4328" s="23">
        <v>0</v>
      </c>
      <c r="BD4328" s="130">
        <f t="shared" ref="BD4328" si="1446">AB4328+BB4328</f>
        <v>21</v>
      </c>
      <c r="BE4328" s="130">
        <f t="shared" ref="BE4328" si="1447">AC4328+BC4328</f>
        <v>0</v>
      </c>
      <c r="BF4328" s="195" t="e">
        <f t="shared" ref="BF4328" si="1448">BD4328/BE4328*100</f>
        <v>#DIV/0!</v>
      </c>
      <c r="BG4328" s="373"/>
      <c r="BH4328" s="426"/>
      <c r="BI4328" s="420"/>
    </row>
    <row r="4329" spans="1:61" s="46" customFormat="1" ht="21" customHeight="1">
      <c r="A4329" s="417">
        <v>25</v>
      </c>
      <c r="B4329" s="418" t="s">
        <v>1792</v>
      </c>
      <c r="C4329" s="419" t="s">
        <v>1850</v>
      </c>
      <c r="D4329" s="56">
        <f>374+3+1</f>
        <v>378</v>
      </c>
      <c r="E4329" s="55"/>
      <c r="F4329" s="55"/>
      <c r="G4329" s="55"/>
      <c r="H4329" s="55">
        <v>740</v>
      </c>
      <c r="I4329" s="55"/>
      <c r="J4329" s="55"/>
      <c r="K4329" s="55"/>
      <c r="L4329" s="55">
        <f>891+3</f>
        <v>894</v>
      </c>
      <c r="M4329" s="55"/>
      <c r="N4329" s="55"/>
      <c r="O4329" s="55"/>
      <c r="P4329" s="55">
        <v>819</v>
      </c>
      <c r="Q4329" s="55"/>
      <c r="R4329" s="55"/>
      <c r="S4329" s="55"/>
      <c r="T4329" s="55"/>
      <c r="U4329" s="55"/>
      <c r="V4329" s="55"/>
      <c r="W4329" s="55"/>
      <c r="X4329" s="55"/>
      <c r="Y4329" s="55"/>
      <c r="Z4329" s="55"/>
      <c r="AA4329" s="55"/>
      <c r="AB4329" s="22">
        <f t="shared" si="1440"/>
        <v>2831</v>
      </c>
      <c r="AC4329" s="23">
        <v>5950</v>
      </c>
      <c r="AD4329" s="56"/>
      <c r="AE4329" s="56"/>
      <c r="AF4329" s="56"/>
      <c r="AG4329" s="56"/>
      <c r="AH4329" s="56"/>
      <c r="AI4329" s="56"/>
      <c r="AJ4329" s="56"/>
      <c r="AK4329" s="56"/>
      <c r="AL4329" s="56"/>
      <c r="AM4329" s="56"/>
      <c r="AN4329" s="56"/>
      <c r="AO4329" s="56"/>
      <c r="AP4329" s="56"/>
      <c r="AQ4329" s="56"/>
      <c r="AR4329" s="56"/>
      <c r="AS4329" s="56"/>
      <c r="AT4329" s="56"/>
      <c r="AU4329" s="56"/>
      <c r="AV4329" s="56"/>
      <c r="AW4329" s="56"/>
      <c r="AX4329" s="56"/>
      <c r="AY4329" s="56"/>
      <c r="AZ4329" s="56"/>
      <c r="BA4329" s="56"/>
      <c r="BB4329" s="22">
        <f t="shared" si="1441"/>
        <v>0</v>
      </c>
      <c r="BC4329" s="23">
        <v>0</v>
      </c>
      <c r="BD4329" s="130">
        <f t="shared" si="1442"/>
        <v>2831</v>
      </c>
      <c r="BE4329" s="130">
        <f t="shared" si="1443"/>
        <v>5950</v>
      </c>
      <c r="BF4329" s="195">
        <f t="shared" si="1444"/>
        <v>47.579831932773111</v>
      </c>
      <c r="BG4329" s="373">
        <f t="shared" si="1445"/>
        <v>3119</v>
      </c>
      <c r="BH4329" s="426" t="s">
        <v>3675</v>
      </c>
      <c r="BI4329" s="420"/>
    </row>
    <row r="4330" spans="1:61" s="46" customFormat="1" ht="21" customHeight="1">
      <c r="A4330" s="417">
        <v>26</v>
      </c>
      <c r="B4330" s="418" t="s">
        <v>1756</v>
      </c>
      <c r="C4330" s="419" t="s">
        <v>1757</v>
      </c>
      <c r="D4330" s="56"/>
      <c r="E4330" s="55"/>
      <c r="F4330" s="55"/>
      <c r="G4330" s="55"/>
      <c r="H4330" s="55"/>
      <c r="I4330" s="55"/>
      <c r="J4330" s="55"/>
      <c r="K4330" s="55"/>
      <c r="L4330" s="55"/>
      <c r="M4330" s="55"/>
      <c r="N4330" s="55"/>
      <c r="O4330" s="55"/>
      <c r="P4330" s="55">
        <f>19+170+1</f>
        <v>190</v>
      </c>
      <c r="Q4330" s="55"/>
      <c r="R4330" s="55"/>
      <c r="S4330" s="55"/>
      <c r="T4330" s="55"/>
      <c r="U4330" s="55"/>
      <c r="V4330" s="55"/>
      <c r="W4330" s="55"/>
      <c r="X4330" s="55"/>
      <c r="Y4330" s="55"/>
      <c r="Z4330" s="55"/>
      <c r="AA4330" s="55"/>
      <c r="AB4330" s="22">
        <f t="shared" si="1440"/>
        <v>190</v>
      </c>
      <c r="AC4330" s="23">
        <v>6</v>
      </c>
      <c r="AD4330" s="56"/>
      <c r="AE4330" s="56"/>
      <c r="AF4330" s="56"/>
      <c r="AG4330" s="56"/>
      <c r="AH4330" s="56"/>
      <c r="AI4330" s="56"/>
      <c r="AJ4330" s="56"/>
      <c r="AK4330" s="56"/>
      <c r="AL4330" s="56"/>
      <c r="AM4330" s="56"/>
      <c r="AN4330" s="56"/>
      <c r="AO4330" s="56"/>
      <c r="AP4330" s="56"/>
      <c r="AQ4330" s="56"/>
      <c r="AR4330" s="56"/>
      <c r="AS4330" s="56"/>
      <c r="AT4330" s="56"/>
      <c r="AU4330" s="56"/>
      <c r="AV4330" s="56"/>
      <c r="AW4330" s="56"/>
      <c r="AX4330" s="56"/>
      <c r="AY4330" s="56"/>
      <c r="AZ4330" s="56"/>
      <c r="BA4330" s="56"/>
      <c r="BB4330" s="22">
        <f t="shared" si="1441"/>
        <v>0</v>
      </c>
      <c r="BC4330" s="23">
        <v>0</v>
      </c>
      <c r="BD4330" s="130">
        <f t="shared" si="1442"/>
        <v>190</v>
      </c>
      <c r="BE4330" s="130">
        <f t="shared" si="1443"/>
        <v>6</v>
      </c>
      <c r="BF4330" s="195">
        <f t="shared" si="1444"/>
        <v>3166.666666666667</v>
      </c>
      <c r="BG4330" s="373">
        <f t="shared" si="1445"/>
        <v>-184</v>
      </c>
      <c r="BH4330" s="426" t="s">
        <v>3675</v>
      </c>
      <c r="BI4330" s="421"/>
    </row>
    <row r="4331" spans="1:61" s="46" customFormat="1" ht="14.25" customHeight="1">
      <c r="A4331" s="181">
        <v>27</v>
      </c>
      <c r="B4331" s="53" t="s">
        <v>1759</v>
      </c>
      <c r="C4331" s="57" t="s">
        <v>3111</v>
      </c>
      <c r="D4331" s="56"/>
      <c r="E4331" s="55"/>
      <c r="F4331" s="55"/>
      <c r="G4331" s="55"/>
      <c r="H4331" s="55"/>
      <c r="I4331" s="55"/>
      <c r="J4331" s="55"/>
      <c r="K4331" s="55"/>
      <c r="L4331" s="55"/>
      <c r="M4331" s="55"/>
      <c r="N4331" s="55"/>
      <c r="O4331" s="55"/>
      <c r="P4331" s="55"/>
      <c r="Q4331" s="55"/>
      <c r="R4331" s="55"/>
      <c r="S4331" s="55"/>
      <c r="T4331" s="55"/>
      <c r="U4331" s="55"/>
      <c r="V4331" s="55"/>
      <c r="W4331" s="55"/>
      <c r="X4331" s="55"/>
      <c r="Y4331" s="55"/>
      <c r="Z4331" s="55"/>
      <c r="AA4331" s="55"/>
      <c r="AB4331" s="22">
        <f t="shared" si="1440"/>
        <v>0</v>
      </c>
      <c r="AC4331" s="23">
        <v>16</v>
      </c>
      <c r="AD4331" s="56"/>
      <c r="AE4331" s="56"/>
      <c r="AF4331" s="56"/>
      <c r="AG4331" s="56"/>
      <c r="AH4331" s="56"/>
      <c r="AI4331" s="56"/>
      <c r="AJ4331" s="56"/>
      <c r="AK4331" s="56"/>
      <c r="AL4331" s="56"/>
      <c r="AM4331" s="56"/>
      <c r="AN4331" s="56"/>
      <c r="AO4331" s="56"/>
      <c r="AP4331" s="56"/>
      <c r="AQ4331" s="56"/>
      <c r="AR4331" s="56"/>
      <c r="AS4331" s="56"/>
      <c r="AT4331" s="56"/>
      <c r="AU4331" s="56"/>
      <c r="AV4331" s="56"/>
      <c r="AW4331" s="56"/>
      <c r="AX4331" s="56"/>
      <c r="AY4331" s="56"/>
      <c r="AZ4331" s="56"/>
      <c r="BA4331" s="56"/>
      <c r="BB4331" s="22">
        <f t="shared" si="1441"/>
        <v>0</v>
      </c>
      <c r="BC4331" s="23">
        <v>0</v>
      </c>
      <c r="BD4331" s="130">
        <f t="shared" si="1442"/>
        <v>0</v>
      </c>
      <c r="BE4331" s="130">
        <f t="shared" si="1443"/>
        <v>16</v>
      </c>
      <c r="BF4331" s="195">
        <f t="shared" si="1444"/>
        <v>0</v>
      </c>
      <c r="BG4331" s="373">
        <f t="shared" si="1445"/>
        <v>16</v>
      </c>
    </row>
    <row r="4332" spans="1:61" s="46" customFormat="1" ht="14.25" customHeight="1">
      <c r="A4332" s="181">
        <v>28</v>
      </c>
      <c r="B4332" s="53" t="s">
        <v>1760</v>
      </c>
      <c r="C4332" s="54" t="s">
        <v>1866</v>
      </c>
      <c r="D4332" s="56"/>
      <c r="E4332" s="55"/>
      <c r="F4332" s="55"/>
      <c r="G4332" s="55"/>
      <c r="H4332" s="55"/>
      <c r="I4332" s="55"/>
      <c r="J4332" s="55"/>
      <c r="K4332" s="55"/>
      <c r="L4332" s="55"/>
      <c r="M4332" s="55"/>
      <c r="N4332" s="55"/>
      <c r="O4332" s="55"/>
      <c r="P4332" s="55"/>
      <c r="Q4332" s="55"/>
      <c r="R4332" s="55"/>
      <c r="S4332" s="55"/>
      <c r="T4332" s="55"/>
      <c r="U4332" s="55"/>
      <c r="V4332" s="55"/>
      <c r="W4332" s="55"/>
      <c r="X4332" s="55"/>
      <c r="Y4332" s="55"/>
      <c r="Z4332" s="55"/>
      <c r="AA4332" s="55"/>
      <c r="AB4332" s="22">
        <f t="shared" si="1440"/>
        <v>0</v>
      </c>
      <c r="AC4332" s="23">
        <v>11</v>
      </c>
      <c r="AD4332" s="56"/>
      <c r="AE4332" s="56"/>
      <c r="AF4332" s="56"/>
      <c r="AG4332" s="56"/>
      <c r="AH4332" s="56"/>
      <c r="AI4332" s="56"/>
      <c r="AJ4332" s="56"/>
      <c r="AK4332" s="56"/>
      <c r="AL4332" s="56"/>
      <c r="AM4332" s="56"/>
      <c r="AN4332" s="56"/>
      <c r="AO4332" s="56"/>
      <c r="AP4332" s="56"/>
      <c r="AQ4332" s="56"/>
      <c r="AR4332" s="56"/>
      <c r="AS4332" s="56"/>
      <c r="AT4332" s="56"/>
      <c r="AU4332" s="56"/>
      <c r="AV4332" s="56"/>
      <c r="AW4332" s="56"/>
      <c r="AX4332" s="56"/>
      <c r="AY4332" s="56"/>
      <c r="AZ4332" s="56"/>
      <c r="BA4332" s="56"/>
      <c r="BB4332" s="22">
        <f t="shared" si="1441"/>
        <v>0</v>
      </c>
      <c r="BC4332" s="23">
        <v>0</v>
      </c>
      <c r="BD4332" s="130">
        <f t="shared" si="1442"/>
        <v>0</v>
      </c>
      <c r="BE4332" s="130">
        <f t="shared" si="1443"/>
        <v>11</v>
      </c>
      <c r="BF4332" s="195">
        <f t="shared" si="1444"/>
        <v>0</v>
      </c>
      <c r="BG4332" s="373">
        <f t="shared" si="1445"/>
        <v>11</v>
      </c>
    </row>
    <row r="4333" spans="1:61" s="46" customFormat="1" ht="14.25" customHeight="1">
      <c r="A4333" s="181">
        <v>29</v>
      </c>
      <c r="B4333" s="53" t="s">
        <v>1804</v>
      </c>
      <c r="C4333" s="57" t="s">
        <v>1805</v>
      </c>
      <c r="D4333" s="56">
        <v>7</v>
      </c>
      <c r="E4333" s="55"/>
      <c r="F4333" s="55"/>
      <c r="G4333" s="55"/>
      <c r="H4333" s="55">
        <v>5</v>
      </c>
      <c r="I4333" s="55"/>
      <c r="J4333" s="55"/>
      <c r="K4333" s="55"/>
      <c r="L4333" s="55">
        <v>2</v>
      </c>
      <c r="M4333" s="55"/>
      <c r="N4333" s="55"/>
      <c r="O4333" s="55"/>
      <c r="P4333" s="55">
        <v>1</v>
      </c>
      <c r="Q4333" s="55"/>
      <c r="R4333" s="55"/>
      <c r="S4333" s="55"/>
      <c r="T4333" s="55"/>
      <c r="U4333" s="55"/>
      <c r="V4333" s="55"/>
      <c r="W4333" s="55"/>
      <c r="X4333" s="55"/>
      <c r="Y4333" s="55"/>
      <c r="Z4333" s="55"/>
      <c r="AA4333" s="55"/>
      <c r="AB4333" s="22">
        <f t="shared" si="1440"/>
        <v>15</v>
      </c>
      <c r="AC4333" s="23">
        <v>3</v>
      </c>
      <c r="AD4333" s="56"/>
      <c r="AE4333" s="56"/>
      <c r="AF4333" s="56"/>
      <c r="AG4333" s="56"/>
      <c r="AH4333" s="56"/>
      <c r="AI4333" s="56"/>
      <c r="AJ4333" s="56"/>
      <c r="AK4333" s="56"/>
      <c r="AL4333" s="56"/>
      <c r="AM4333" s="56"/>
      <c r="AN4333" s="56"/>
      <c r="AO4333" s="56"/>
      <c r="AP4333" s="56"/>
      <c r="AQ4333" s="56"/>
      <c r="AR4333" s="56"/>
      <c r="AS4333" s="56"/>
      <c r="AT4333" s="56"/>
      <c r="AU4333" s="56"/>
      <c r="AV4333" s="56"/>
      <c r="AW4333" s="56"/>
      <c r="AX4333" s="56"/>
      <c r="AY4333" s="56"/>
      <c r="AZ4333" s="56"/>
      <c r="BA4333" s="56"/>
      <c r="BB4333" s="22">
        <f t="shared" si="1441"/>
        <v>0</v>
      </c>
      <c r="BC4333" s="23">
        <v>0</v>
      </c>
      <c r="BD4333" s="130">
        <f t="shared" si="1442"/>
        <v>15</v>
      </c>
      <c r="BE4333" s="130">
        <f t="shared" si="1443"/>
        <v>3</v>
      </c>
      <c r="BF4333" s="195">
        <f t="shared" si="1444"/>
        <v>500</v>
      </c>
      <c r="BG4333" s="373">
        <f t="shared" si="1445"/>
        <v>-12</v>
      </c>
    </row>
    <row r="4334" spans="1:61" s="46" customFormat="1" ht="14.25" customHeight="1">
      <c r="A4334" s="181">
        <v>30</v>
      </c>
      <c r="B4334" s="53" t="s">
        <v>1761</v>
      </c>
      <c r="C4334" s="54" t="s">
        <v>1762</v>
      </c>
      <c r="D4334" s="56">
        <f>121+3</f>
        <v>124</v>
      </c>
      <c r="E4334" s="55"/>
      <c r="F4334" s="55"/>
      <c r="G4334" s="55"/>
      <c r="H4334" s="55">
        <v>151</v>
      </c>
      <c r="I4334" s="55"/>
      <c r="J4334" s="55"/>
      <c r="K4334" s="55"/>
      <c r="L4334" s="55">
        <f>238+3</f>
        <v>241</v>
      </c>
      <c r="M4334" s="55"/>
      <c r="N4334" s="55"/>
      <c r="O4334" s="55"/>
      <c r="P4334" s="55">
        <v>171</v>
      </c>
      <c r="Q4334" s="55"/>
      <c r="R4334" s="55"/>
      <c r="S4334" s="55"/>
      <c r="T4334" s="55"/>
      <c r="U4334" s="55"/>
      <c r="V4334" s="55"/>
      <c r="W4334" s="55"/>
      <c r="X4334" s="55"/>
      <c r="Y4334" s="55"/>
      <c r="Z4334" s="55"/>
      <c r="AA4334" s="55"/>
      <c r="AB4334" s="22">
        <f t="shared" si="1440"/>
        <v>687</v>
      </c>
      <c r="AC4334" s="23">
        <v>620</v>
      </c>
      <c r="AD4334" s="56"/>
      <c r="AE4334" s="56"/>
      <c r="AF4334" s="56"/>
      <c r="AG4334" s="56"/>
      <c r="AH4334" s="56"/>
      <c r="AI4334" s="56"/>
      <c r="AJ4334" s="56"/>
      <c r="AK4334" s="56"/>
      <c r="AL4334" s="56"/>
      <c r="AM4334" s="56"/>
      <c r="AN4334" s="56"/>
      <c r="AO4334" s="56"/>
      <c r="AP4334" s="56"/>
      <c r="AQ4334" s="56"/>
      <c r="AR4334" s="56"/>
      <c r="AS4334" s="56"/>
      <c r="AT4334" s="56"/>
      <c r="AU4334" s="56"/>
      <c r="AV4334" s="56"/>
      <c r="AW4334" s="56"/>
      <c r="AX4334" s="56"/>
      <c r="AY4334" s="56"/>
      <c r="AZ4334" s="56"/>
      <c r="BA4334" s="56"/>
      <c r="BB4334" s="22">
        <f t="shared" si="1441"/>
        <v>0</v>
      </c>
      <c r="BC4334" s="23">
        <v>0</v>
      </c>
      <c r="BD4334" s="130">
        <f t="shared" si="1442"/>
        <v>687</v>
      </c>
      <c r="BE4334" s="130">
        <f t="shared" si="1443"/>
        <v>620</v>
      </c>
      <c r="BF4334" s="195">
        <f t="shared" si="1444"/>
        <v>110.80645161290323</v>
      </c>
      <c r="BG4334" s="373">
        <f t="shared" si="1445"/>
        <v>-67</v>
      </c>
    </row>
    <row r="4335" spans="1:61" s="46" customFormat="1" ht="14.25" customHeight="1">
      <c r="A4335" s="181">
        <v>31</v>
      </c>
      <c r="B4335" s="53" t="s">
        <v>1763</v>
      </c>
      <c r="C4335" s="54" t="s">
        <v>1764</v>
      </c>
      <c r="D4335" s="56"/>
      <c r="E4335" s="55"/>
      <c r="F4335" s="55"/>
      <c r="G4335" s="55"/>
      <c r="H4335" s="55"/>
      <c r="I4335" s="55"/>
      <c r="J4335" s="55"/>
      <c r="K4335" s="55"/>
      <c r="L4335" s="55"/>
      <c r="M4335" s="55"/>
      <c r="N4335" s="55"/>
      <c r="O4335" s="55"/>
      <c r="P4335" s="55"/>
      <c r="Q4335" s="55"/>
      <c r="R4335" s="55"/>
      <c r="S4335" s="55"/>
      <c r="T4335" s="55"/>
      <c r="U4335" s="55"/>
      <c r="V4335" s="55"/>
      <c r="W4335" s="55"/>
      <c r="X4335" s="55"/>
      <c r="Y4335" s="55"/>
      <c r="Z4335" s="55"/>
      <c r="AA4335" s="55"/>
      <c r="AB4335" s="22">
        <f t="shared" si="1440"/>
        <v>0</v>
      </c>
      <c r="AC4335" s="23">
        <v>50</v>
      </c>
      <c r="AD4335" s="56"/>
      <c r="AE4335" s="56"/>
      <c r="AF4335" s="56"/>
      <c r="AG4335" s="56"/>
      <c r="AH4335" s="56"/>
      <c r="AI4335" s="56"/>
      <c r="AJ4335" s="56"/>
      <c r="AK4335" s="56"/>
      <c r="AL4335" s="56"/>
      <c r="AM4335" s="56"/>
      <c r="AN4335" s="56"/>
      <c r="AO4335" s="56"/>
      <c r="AP4335" s="56">
        <v>5</v>
      </c>
      <c r="AQ4335" s="56"/>
      <c r="AR4335" s="56"/>
      <c r="AS4335" s="56"/>
      <c r="AT4335" s="56"/>
      <c r="AU4335" s="56"/>
      <c r="AV4335" s="56"/>
      <c r="AW4335" s="56"/>
      <c r="AX4335" s="56"/>
      <c r="AY4335" s="56"/>
      <c r="AZ4335" s="56"/>
      <c r="BA4335" s="56"/>
      <c r="BB4335" s="22">
        <f t="shared" si="1441"/>
        <v>5</v>
      </c>
      <c r="BC4335" s="23">
        <v>0</v>
      </c>
      <c r="BD4335" s="130">
        <f t="shared" si="1442"/>
        <v>5</v>
      </c>
      <c r="BE4335" s="130">
        <f t="shared" si="1443"/>
        <v>50</v>
      </c>
      <c r="BF4335" s="195">
        <f t="shared" si="1444"/>
        <v>10</v>
      </c>
      <c r="BG4335" s="373">
        <f t="shared" si="1445"/>
        <v>45</v>
      </c>
    </row>
    <row r="4336" spans="1:61" s="46" customFormat="1" ht="14.25" customHeight="1">
      <c r="A4336" s="181">
        <v>32</v>
      </c>
      <c r="B4336" s="53" t="s">
        <v>1765</v>
      </c>
      <c r="C4336" s="54" t="s">
        <v>1766</v>
      </c>
      <c r="D4336" s="56">
        <f>417+5</f>
        <v>422</v>
      </c>
      <c r="E4336" s="55"/>
      <c r="F4336" s="55"/>
      <c r="G4336" s="55"/>
      <c r="H4336" s="55">
        <v>473</v>
      </c>
      <c r="I4336" s="55"/>
      <c r="J4336" s="55"/>
      <c r="K4336" s="55"/>
      <c r="L4336" s="55">
        <f>815+5</f>
        <v>820</v>
      </c>
      <c r="M4336" s="55"/>
      <c r="N4336" s="55"/>
      <c r="O4336" s="55"/>
      <c r="P4336" s="55">
        <v>459</v>
      </c>
      <c r="Q4336" s="55"/>
      <c r="R4336" s="55"/>
      <c r="S4336" s="55"/>
      <c r="T4336" s="55"/>
      <c r="U4336" s="55"/>
      <c r="V4336" s="55"/>
      <c r="W4336" s="55"/>
      <c r="X4336" s="55"/>
      <c r="Y4336" s="55"/>
      <c r="Z4336" s="55"/>
      <c r="AA4336" s="55"/>
      <c r="AB4336" s="22">
        <f t="shared" si="1440"/>
        <v>2174</v>
      </c>
      <c r="AC4336" s="23">
        <v>3155</v>
      </c>
      <c r="AD4336" s="56"/>
      <c r="AE4336" s="56"/>
      <c r="AF4336" s="56"/>
      <c r="AG4336" s="56"/>
      <c r="AH4336" s="56"/>
      <c r="AI4336" s="56"/>
      <c r="AJ4336" s="56"/>
      <c r="AK4336" s="56"/>
      <c r="AL4336" s="56"/>
      <c r="AM4336" s="56"/>
      <c r="AN4336" s="56"/>
      <c r="AO4336" s="56"/>
      <c r="AP4336" s="56">
        <v>2</v>
      </c>
      <c r="AQ4336" s="56"/>
      <c r="AR4336" s="56"/>
      <c r="AS4336" s="56"/>
      <c r="AT4336" s="56"/>
      <c r="AU4336" s="56"/>
      <c r="AV4336" s="56"/>
      <c r="AW4336" s="56"/>
      <c r="AX4336" s="56"/>
      <c r="AY4336" s="56"/>
      <c r="AZ4336" s="56"/>
      <c r="BA4336" s="56"/>
      <c r="BB4336" s="22">
        <f t="shared" si="1441"/>
        <v>2</v>
      </c>
      <c r="BC4336" s="23">
        <v>0</v>
      </c>
      <c r="BD4336" s="130">
        <f t="shared" si="1442"/>
        <v>2176</v>
      </c>
      <c r="BE4336" s="130">
        <f t="shared" si="1443"/>
        <v>3155</v>
      </c>
      <c r="BF4336" s="195">
        <f t="shared" si="1444"/>
        <v>68.969889064976229</v>
      </c>
      <c r="BG4336" s="373">
        <f t="shared" si="1445"/>
        <v>979</v>
      </c>
    </row>
    <row r="4337" spans="1:61" s="46" customFormat="1" ht="14.25" customHeight="1">
      <c r="A4337" s="181">
        <v>33</v>
      </c>
      <c r="B4337" s="53" t="s">
        <v>1818</v>
      </c>
      <c r="C4337" s="54" t="s">
        <v>1819</v>
      </c>
      <c r="D4337" s="56">
        <v>15</v>
      </c>
      <c r="E4337" s="55"/>
      <c r="F4337" s="55"/>
      <c r="G4337" s="55"/>
      <c r="H4337" s="55">
        <v>1</v>
      </c>
      <c r="I4337" s="55"/>
      <c r="J4337" s="55"/>
      <c r="K4337" s="55"/>
      <c r="L4337" s="55">
        <v>4</v>
      </c>
      <c r="M4337" s="55"/>
      <c r="N4337" s="55"/>
      <c r="O4337" s="55"/>
      <c r="P4337" s="55">
        <v>26</v>
      </c>
      <c r="Q4337" s="55"/>
      <c r="R4337" s="55"/>
      <c r="S4337" s="55"/>
      <c r="T4337" s="55"/>
      <c r="U4337" s="55"/>
      <c r="V4337" s="55"/>
      <c r="W4337" s="55"/>
      <c r="X4337" s="55"/>
      <c r="Y4337" s="55"/>
      <c r="Z4337" s="55"/>
      <c r="AA4337" s="55"/>
      <c r="AB4337" s="22">
        <f t="shared" si="1440"/>
        <v>46</v>
      </c>
      <c r="AC4337" s="23">
        <v>109</v>
      </c>
      <c r="AD4337" s="56"/>
      <c r="AE4337" s="56"/>
      <c r="AF4337" s="56"/>
      <c r="AG4337" s="56"/>
      <c r="AH4337" s="56"/>
      <c r="AI4337" s="56"/>
      <c r="AJ4337" s="56"/>
      <c r="AK4337" s="56"/>
      <c r="AL4337" s="56"/>
      <c r="AM4337" s="56"/>
      <c r="AN4337" s="56"/>
      <c r="AO4337" s="56"/>
      <c r="AP4337" s="56"/>
      <c r="AQ4337" s="56"/>
      <c r="AR4337" s="56"/>
      <c r="AS4337" s="56"/>
      <c r="AT4337" s="56"/>
      <c r="AU4337" s="56"/>
      <c r="AV4337" s="56"/>
      <c r="AW4337" s="56"/>
      <c r="AX4337" s="56"/>
      <c r="AY4337" s="56"/>
      <c r="AZ4337" s="56"/>
      <c r="BA4337" s="56"/>
      <c r="BB4337" s="22">
        <f t="shared" si="1441"/>
        <v>0</v>
      </c>
      <c r="BC4337" s="23">
        <v>0</v>
      </c>
      <c r="BD4337" s="130">
        <f t="shared" si="1442"/>
        <v>46</v>
      </c>
      <c r="BE4337" s="130">
        <f t="shared" si="1443"/>
        <v>109</v>
      </c>
      <c r="BF4337" s="195">
        <f t="shared" si="1444"/>
        <v>42.201834862385326</v>
      </c>
      <c r="BG4337" s="373">
        <f t="shared" si="1445"/>
        <v>63</v>
      </c>
    </row>
    <row r="4338" spans="1:61" s="46" customFormat="1" ht="14.25" customHeight="1">
      <c r="A4338" s="181">
        <v>34</v>
      </c>
      <c r="B4338" s="53" t="s">
        <v>1820</v>
      </c>
      <c r="C4338" s="54" t="s">
        <v>1838</v>
      </c>
      <c r="D4338" s="55">
        <f>42+1</f>
        <v>43</v>
      </c>
      <c r="E4338" s="55"/>
      <c r="F4338" s="55"/>
      <c r="G4338" s="55"/>
      <c r="H4338" s="55">
        <v>18</v>
      </c>
      <c r="I4338" s="55"/>
      <c r="J4338" s="55"/>
      <c r="K4338" s="55"/>
      <c r="L4338" s="55">
        <f>72+1</f>
        <v>73</v>
      </c>
      <c r="M4338" s="55"/>
      <c r="N4338" s="55"/>
      <c r="O4338" s="55"/>
      <c r="P4338" s="55">
        <v>1</v>
      </c>
      <c r="Q4338" s="55"/>
      <c r="R4338" s="55"/>
      <c r="S4338" s="55"/>
      <c r="T4338" s="55"/>
      <c r="U4338" s="55"/>
      <c r="V4338" s="55"/>
      <c r="W4338" s="55"/>
      <c r="X4338" s="55"/>
      <c r="Y4338" s="55"/>
      <c r="Z4338" s="55"/>
      <c r="AA4338" s="55"/>
      <c r="AB4338" s="22">
        <f t="shared" si="1440"/>
        <v>135</v>
      </c>
      <c r="AC4338" s="23">
        <v>82</v>
      </c>
      <c r="AD4338" s="56"/>
      <c r="AE4338" s="56"/>
      <c r="AF4338" s="56"/>
      <c r="AG4338" s="56"/>
      <c r="AH4338" s="56"/>
      <c r="AI4338" s="56"/>
      <c r="AJ4338" s="56"/>
      <c r="AK4338" s="56"/>
      <c r="AL4338" s="56"/>
      <c r="AM4338" s="56"/>
      <c r="AN4338" s="56"/>
      <c r="AO4338" s="56"/>
      <c r="AP4338" s="56"/>
      <c r="AQ4338" s="56"/>
      <c r="AR4338" s="56"/>
      <c r="AS4338" s="56"/>
      <c r="AT4338" s="56"/>
      <c r="AU4338" s="56"/>
      <c r="AV4338" s="56"/>
      <c r="AW4338" s="56"/>
      <c r="AX4338" s="56"/>
      <c r="AY4338" s="56"/>
      <c r="AZ4338" s="56"/>
      <c r="BA4338" s="56"/>
      <c r="BB4338" s="22">
        <f t="shared" si="1441"/>
        <v>0</v>
      </c>
      <c r="BC4338" s="23">
        <v>0</v>
      </c>
      <c r="BD4338" s="130">
        <f t="shared" si="1442"/>
        <v>135</v>
      </c>
      <c r="BE4338" s="130">
        <f t="shared" si="1443"/>
        <v>82</v>
      </c>
      <c r="BF4338" s="195">
        <f t="shared" si="1444"/>
        <v>164.63414634146341</v>
      </c>
      <c r="BG4338" s="373">
        <f t="shared" si="1445"/>
        <v>-53</v>
      </c>
    </row>
    <row r="4339" spans="1:61" s="46" customFormat="1" ht="14.25" customHeight="1">
      <c r="A4339" s="181">
        <v>35</v>
      </c>
      <c r="B4339" s="53" t="s">
        <v>1777</v>
      </c>
      <c r="C4339" s="54" t="s">
        <v>1778</v>
      </c>
      <c r="D4339" s="55">
        <v>10</v>
      </c>
      <c r="E4339" s="55"/>
      <c r="F4339" s="55"/>
      <c r="G4339" s="55"/>
      <c r="H4339" s="55">
        <v>2</v>
      </c>
      <c r="I4339" s="55"/>
      <c r="J4339" s="55"/>
      <c r="K4339" s="55"/>
      <c r="L4339" s="55">
        <v>35</v>
      </c>
      <c r="M4339" s="55"/>
      <c r="N4339" s="55"/>
      <c r="O4339" s="55"/>
      <c r="P4339" s="55">
        <v>17</v>
      </c>
      <c r="Q4339" s="55"/>
      <c r="R4339" s="55"/>
      <c r="S4339" s="55"/>
      <c r="T4339" s="55"/>
      <c r="U4339" s="55"/>
      <c r="V4339" s="55"/>
      <c r="W4339" s="55"/>
      <c r="X4339" s="55"/>
      <c r="Y4339" s="55"/>
      <c r="Z4339" s="55"/>
      <c r="AA4339" s="55"/>
      <c r="AB4339" s="22">
        <f t="shared" si="1440"/>
        <v>64</v>
      </c>
      <c r="AC4339" s="23">
        <v>51</v>
      </c>
      <c r="AD4339" s="56"/>
      <c r="AE4339" s="56"/>
      <c r="AF4339" s="56"/>
      <c r="AG4339" s="56"/>
      <c r="AH4339" s="56"/>
      <c r="AI4339" s="56"/>
      <c r="AJ4339" s="56"/>
      <c r="AK4339" s="56"/>
      <c r="AL4339" s="56"/>
      <c r="AM4339" s="56"/>
      <c r="AN4339" s="56"/>
      <c r="AO4339" s="56"/>
      <c r="AP4339" s="56"/>
      <c r="AQ4339" s="56"/>
      <c r="AR4339" s="56"/>
      <c r="AS4339" s="56"/>
      <c r="AT4339" s="56"/>
      <c r="AU4339" s="56"/>
      <c r="AV4339" s="56"/>
      <c r="AW4339" s="56"/>
      <c r="AX4339" s="56"/>
      <c r="AY4339" s="56"/>
      <c r="AZ4339" s="56"/>
      <c r="BA4339" s="56"/>
      <c r="BB4339" s="22">
        <f t="shared" si="1441"/>
        <v>0</v>
      </c>
      <c r="BC4339" s="23">
        <v>0</v>
      </c>
      <c r="BD4339" s="130">
        <f t="shared" si="1442"/>
        <v>64</v>
      </c>
      <c r="BE4339" s="130">
        <f t="shared" si="1443"/>
        <v>51</v>
      </c>
      <c r="BF4339" s="195">
        <f t="shared" si="1444"/>
        <v>125.49019607843137</v>
      </c>
      <c r="BG4339" s="373">
        <f t="shared" si="1445"/>
        <v>-13</v>
      </c>
    </row>
    <row r="4340" spans="1:61" s="46" customFormat="1" ht="14.25" customHeight="1">
      <c r="A4340" s="181">
        <v>36</v>
      </c>
      <c r="B4340" s="53" t="s">
        <v>1793</v>
      </c>
      <c r="C4340" s="57" t="s">
        <v>1794</v>
      </c>
      <c r="D4340" s="55">
        <f>93+1</f>
        <v>94</v>
      </c>
      <c r="E4340" s="55"/>
      <c r="F4340" s="55"/>
      <c r="G4340" s="55"/>
      <c r="H4340" s="55">
        <v>43</v>
      </c>
      <c r="I4340" s="55"/>
      <c r="J4340" s="55"/>
      <c r="K4340" s="55"/>
      <c r="L4340" s="55">
        <f>50+1</f>
        <v>51</v>
      </c>
      <c r="M4340" s="55"/>
      <c r="N4340" s="55"/>
      <c r="O4340" s="55"/>
      <c r="P4340" s="55">
        <v>58</v>
      </c>
      <c r="Q4340" s="55"/>
      <c r="R4340" s="55"/>
      <c r="S4340" s="55"/>
      <c r="T4340" s="55"/>
      <c r="U4340" s="55"/>
      <c r="V4340" s="55"/>
      <c r="W4340" s="55"/>
      <c r="X4340" s="55"/>
      <c r="Y4340" s="55"/>
      <c r="Z4340" s="55"/>
      <c r="AA4340" s="55"/>
      <c r="AB4340" s="22">
        <f t="shared" si="1440"/>
        <v>246</v>
      </c>
      <c r="AC4340" s="23">
        <v>93</v>
      </c>
      <c r="AD4340" s="56"/>
      <c r="AE4340" s="56"/>
      <c r="AF4340" s="56"/>
      <c r="AG4340" s="56"/>
      <c r="AH4340" s="56"/>
      <c r="AI4340" s="56"/>
      <c r="AJ4340" s="56"/>
      <c r="AK4340" s="56"/>
      <c r="AL4340" s="56"/>
      <c r="AM4340" s="56"/>
      <c r="AN4340" s="56"/>
      <c r="AO4340" s="56"/>
      <c r="AP4340" s="56"/>
      <c r="AQ4340" s="56"/>
      <c r="AR4340" s="56"/>
      <c r="AS4340" s="56"/>
      <c r="AT4340" s="56"/>
      <c r="AU4340" s="56"/>
      <c r="AV4340" s="56"/>
      <c r="AW4340" s="56"/>
      <c r="AX4340" s="56"/>
      <c r="AY4340" s="56"/>
      <c r="AZ4340" s="56"/>
      <c r="BA4340" s="56"/>
      <c r="BB4340" s="22">
        <f t="shared" si="1441"/>
        <v>0</v>
      </c>
      <c r="BC4340" s="23">
        <v>0</v>
      </c>
      <c r="BD4340" s="130">
        <f t="shared" si="1442"/>
        <v>246</v>
      </c>
      <c r="BE4340" s="130">
        <f t="shared" si="1443"/>
        <v>93</v>
      </c>
      <c r="BF4340" s="195">
        <f t="shared" si="1444"/>
        <v>264.51612903225805</v>
      </c>
      <c r="BG4340" s="373">
        <f t="shared" si="1445"/>
        <v>-153</v>
      </c>
    </row>
    <row r="4341" spans="1:61" s="46" customFormat="1" ht="14.25" customHeight="1">
      <c r="A4341" s="181">
        <v>37</v>
      </c>
      <c r="B4341" s="454" t="s">
        <v>1665</v>
      </c>
      <c r="C4341" s="455" t="s">
        <v>1666</v>
      </c>
      <c r="D4341" s="55"/>
      <c r="E4341" s="55"/>
      <c r="F4341" s="55"/>
      <c r="G4341" s="55"/>
      <c r="H4341" s="55">
        <v>10</v>
      </c>
      <c r="I4341" s="55"/>
      <c r="J4341" s="55"/>
      <c r="K4341" s="55"/>
      <c r="L4341" s="55">
        <v>28</v>
      </c>
      <c r="M4341" s="55"/>
      <c r="N4341" s="55"/>
      <c r="O4341" s="55"/>
      <c r="P4341" s="55">
        <v>40</v>
      </c>
      <c r="Q4341" s="55"/>
      <c r="R4341" s="55"/>
      <c r="S4341" s="55"/>
      <c r="T4341" s="55"/>
      <c r="U4341" s="55"/>
      <c r="V4341" s="55"/>
      <c r="W4341" s="55"/>
      <c r="X4341" s="55"/>
      <c r="Y4341" s="55"/>
      <c r="Z4341" s="55"/>
      <c r="AA4341" s="55"/>
      <c r="AB4341" s="22">
        <f t="shared" si="1440"/>
        <v>78</v>
      </c>
      <c r="AC4341" s="23">
        <v>133</v>
      </c>
      <c r="AD4341" s="56"/>
      <c r="AE4341" s="56"/>
      <c r="AF4341" s="56"/>
      <c r="AG4341" s="56"/>
      <c r="AH4341" s="56"/>
      <c r="AI4341" s="56"/>
      <c r="AJ4341" s="56"/>
      <c r="AK4341" s="56"/>
      <c r="AL4341" s="56"/>
      <c r="AM4341" s="56"/>
      <c r="AN4341" s="56"/>
      <c r="AO4341" s="56"/>
      <c r="AP4341" s="56">
        <v>14</v>
      </c>
      <c r="AQ4341" s="56"/>
      <c r="AR4341" s="56"/>
      <c r="AS4341" s="56"/>
      <c r="AT4341" s="56"/>
      <c r="AU4341" s="56"/>
      <c r="AV4341" s="56"/>
      <c r="AW4341" s="56"/>
      <c r="AX4341" s="56"/>
      <c r="AY4341" s="56"/>
      <c r="AZ4341" s="56"/>
      <c r="BA4341" s="56"/>
      <c r="BB4341" s="22">
        <f t="shared" si="1441"/>
        <v>14</v>
      </c>
      <c r="BC4341" s="23">
        <v>0</v>
      </c>
      <c r="BD4341" s="130">
        <f t="shared" si="1442"/>
        <v>92</v>
      </c>
      <c r="BE4341" s="130">
        <f t="shared" si="1443"/>
        <v>133</v>
      </c>
      <c r="BF4341" s="195">
        <f t="shared" si="1444"/>
        <v>69.172932330827066</v>
      </c>
      <c r="BG4341" s="373">
        <f t="shared" si="1445"/>
        <v>41</v>
      </c>
    </row>
    <row r="4342" spans="1:61" s="46" customFormat="1" ht="14.25" customHeight="1">
      <c r="A4342" s="181">
        <v>38</v>
      </c>
      <c r="B4342" s="454" t="s">
        <v>1767</v>
      </c>
      <c r="C4342" s="455" t="s">
        <v>3612</v>
      </c>
      <c r="D4342" s="55"/>
      <c r="E4342" s="55"/>
      <c r="F4342" s="55"/>
      <c r="G4342" s="55"/>
      <c r="H4342" s="55"/>
      <c r="I4342" s="55"/>
      <c r="J4342" s="55"/>
      <c r="K4342" s="55"/>
      <c r="L4342" s="55"/>
      <c r="M4342" s="55"/>
      <c r="N4342" s="55"/>
      <c r="O4342" s="55"/>
      <c r="P4342" s="55"/>
      <c r="Q4342" s="55"/>
      <c r="R4342" s="55"/>
      <c r="S4342" s="55"/>
      <c r="T4342" s="55"/>
      <c r="U4342" s="55"/>
      <c r="V4342" s="55"/>
      <c r="W4342" s="55"/>
      <c r="X4342" s="55"/>
      <c r="Y4342" s="55"/>
      <c r="Z4342" s="55"/>
      <c r="AA4342" s="55"/>
      <c r="AB4342" s="22">
        <f t="shared" si="1440"/>
        <v>0</v>
      </c>
      <c r="AC4342" s="23">
        <v>1</v>
      </c>
      <c r="AD4342" s="56"/>
      <c r="AE4342" s="56"/>
      <c r="AF4342" s="56"/>
      <c r="AG4342" s="56"/>
      <c r="AH4342" s="56"/>
      <c r="AI4342" s="56"/>
      <c r="AJ4342" s="56"/>
      <c r="AK4342" s="56"/>
      <c r="AL4342" s="56"/>
      <c r="AM4342" s="56"/>
      <c r="AN4342" s="56"/>
      <c r="AO4342" s="56"/>
      <c r="AP4342" s="56">
        <v>33</v>
      </c>
      <c r="AQ4342" s="56"/>
      <c r="AR4342" s="56"/>
      <c r="AS4342" s="56"/>
      <c r="AT4342" s="56"/>
      <c r="AU4342" s="56"/>
      <c r="AV4342" s="56"/>
      <c r="AW4342" s="56"/>
      <c r="AX4342" s="56"/>
      <c r="AY4342" s="56"/>
      <c r="AZ4342" s="56"/>
      <c r="BA4342" s="56"/>
      <c r="BB4342" s="22">
        <f t="shared" si="1441"/>
        <v>33</v>
      </c>
      <c r="BC4342" s="23">
        <v>0</v>
      </c>
      <c r="BD4342" s="130">
        <f t="shared" si="1442"/>
        <v>33</v>
      </c>
      <c r="BE4342" s="130">
        <f t="shared" si="1443"/>
        <v>1</v>
      </c>
      <c r="BF4342" s="195">
        <f t="shared" si="1444"/>
        <v>3300</v>
      </c>
      <c r="BG4342" s="373">
        <f t="shared" si="1445"/>
        <v>-32</v>
      </c>
    </row>
    <row r="4343" spans="1:61" s="46" customFormat="1" ht="14.25" customHeight="1">
      <c r="A4343" s="181">
        <v>39</v>
      </c>
      <c r="B4343" s="454" t="s">
        <v>1769</v>
      </c>
      <c r="C4343" s="458" t="s">
        <v>1869</v>
      </c>
      <c r="D4343" s="55"/>
      <c r="E4343" s="55"/>
      <c r="F4343" s="55"/>
      <c r="G4343" s="55"/>
      <c r="H4343" s="55">
        <v>7</v>
      </c>
      <c r="I4343" s="55"/>
      <c r="J4343" s="55"/>
      <c r="K4343" s="55"/>
      <c r="L4343" s="55">
        <v>1</v>
      </c>
      <c r="M4343" s="55"/>
      <c r="N4343" s="55"/>
      <c r="O4343" s="55"/>
      <c r="P4343" s="55">
        <v>1</v>
      </c>
      <c r="Q4343" s="55"/>
      <c r="R4343" s="55"/>
      <c r="S4343" s="55"/>
      <c r="T4343" s="55"/>
      <c r="U4343" s="55"/>
      <c r="V4343" s="55"/>
      <c r="W4343" s="55"/>
      <c r="X4343" s="55"/>
      <c r="Y4343" s="55"/>
      <c r="Z4343" s="55"/>
      <c r="AA4343" s="55"/>
      <c r="AB4343" s="22">
        <f t="shared" si="1440"/>
        <v>9</v>
      </c>
      <c r="AC4343" s="23">
        <v>4</v>
      </c>
      <c r="AD4343" s="56"/>
      <c r="AE4343" s="56"/>
      <c r="AF4343" s="56"/>
      <c r="AG4343" s="56"/>
      <c r="AH4343" s="56"/>
      <c r="AI4343" s="56"/>
      <c r="AJ4343" s="56"/>
      <c r="AK4343" s="56"/>
      <c r="AL4343" s="56"/>
      <c r="AM4343" s="56"/>
      <c r="AN4343" s="56"/>
      <c r="AO4343" s="56"/>
      <c r="AP4343" s="56"/>
      <c r="AQ4343" s="56"/>
      <c r="AR4343" s="56"/>
      <c r="AS4343" s="56"/>
      <c r="AT4343" s="56"/>
      <c r="AU4343" s="56"/>
      <c r="AV4343" s="56"/>
      <c r="AW4343" s="56"/>
      <c r="AX4343" s="56"/>
      <c r="AY4343" s="56"/>
      <c r="AZ4343" s="56"/>
      <c r="BA4343" s="56"/>
      <c r="BB4343" s="22">
        <f t="shared" si="1441"/>
        <v>0</v>
      </c>
      <c r="BC4343" s="23">
        <v>0</v>
      </c>
      <c r="BD4343" s="130">
        <f t="shared" si="1442"/>
        <v>9</v>
      </c>
      <c r="BE4343" s="130">
        <f t="shared" si="1443"/>
        <v>4</v>
      </c>
      <c r="BF4343" s="195">
        <f t="shared" si="1444"/>
        <v>225</v>
      </c>
      <c r="BG4343" s="373">
        <f t="shared" si="1445"/>
        <v>-5</v>
      </c>
    </row>
    <row r="4344" spans="1:61" s="46" customFormat="1" ht="14.25" customHeight="1">
      <c r="A4344" s="181">
        <v>40</v>
      </c>
      <c r="B4344" s="53" t="s">
        <v>1795</v>
      </c>
      <c r="C4344" s="57" t="s">
        <v>1796</v>
      </c>
      <c r="D4344" s="55">
        <v>1</v>
      </c>
      <c r="E4344" s="55"/>
      <c r="F4344" s="55"/>
      <c r="G4344" s="55"/>
      <c r="H4344" s="55"/>
      <c r="I4344" s="55"/>
      <c r="J4344" s="55"/>
      <c r="K4344" s="55"/>
      <c r="L4344" s="55"/>
      <c r="M4344" s="55"/>
      <c r="N4344" s="55"/>
      <c r="O4344" s="55"/>
      <c r="P4344" s="55"/>
      <c r="Q4344" s="55"/>
      <c r="R4344" s="55"/>
      <c r="S4344" s="55"/>
      <c r="T4344" s="55"/>
      <c r="U4344" s="55"/>
      <c r="V4344" s="55"/>
      <c r="W4344" s="55"/>
      <c r="X4344" s="55"/>
      <c r="Y4344" s="55"/>
      <c r="Z4344" s="55"/>
      <c r="AA4344" s="55"/>
      <c r="AB4344" s="22">
        <f t="shared" si="1440"/>
        <v>1</v>
      </c>
      <c r="AC4344" s="23">
        <v>10</v>
      </c>
      <c r="AD4344" s="56"/>
      <c r="AE4344" s="56"/>
      <c r="AF4344" s="56"/>
      <c r="AG4344" s="56"/>
      <c r="AH4344" s="56"/>
      <c r="AI4344" s="56"/>
      <c r="AJ4344" s="56"/>
      <c r="AK4344" s="56"/>
      <c r="AL4344" s="56"/>
      <c r="AM4344" s="56"/>
      <c r="AN4344" s="56"/>
      <c r="AO4344" s="56"/>
      <c r="AP4344" s="56"/>
      <c r="AQ4344" s="56"/>
      <c r="AR4344" s="56"/>
      <c r="AS4344" s="56"/>
      <c r="AT4344" s="56"/>
      <c r="AU4344" s="56"/>
      <c r="AV4344" s="56"/>
      <c r="AW4344" s="56"/>
      <c r="AX4344" s="56"/>
      <c r="AY4344" s="56"/>
      <c r="AZ4344" s="56"/>
      <c r="BA4344" s="56"/>
      <c r="BB4344" s="22">
        <f t="shared" si="1441"/>
        <v>0</v>
      </c>
      <c r="BC4344" s="23">
        <v>0</v>
      </c>
      <c r="BD4344" s="130">
        <f t="shared" si="1442"/>
        <v>1</v>
      </c>
      <c r="BE4344" s="130">
        <f t="shared" si="1443"/>
        <v>10</v>
      </c>
      <c r="BF4344" s="195">
        <f t="shared" si="1444"/>
        <v>10</v>
      </c>
      <c r="BG4344" s="373">
        <f t="shared" si="1445"/>
        <v>9</v>
      </c>
    </row>
    <row r="4345" spans="1:61" s="46" customFormat="1" ht="14.25" customHeight="1">
      <c r="A4345" s="181">
        <v>41</v>
      </c>
      <c r="B4345" s="53" t="s">
        <v>1785</v>
      </c>
      <c r="C4345" s="57" t="s">
        <v>1870</v>
      </c>
      <c r="D4345" s="55">
        <f>637+3</f>
        <v>640</v>
      </c>
      <c r="E4345" s="55"/>
      <c r="F4345" s="55"/>
      <c r="G4345" s="55"/>
      <c r="H4345" s="55">
        <v>678</v>
      </c>
      <c r="I4345" s="55"/>
      <c r="J4345" s="55"/>
      <c r="K4345" s="55"/>
      <c r="L4345" s="55">
        <f>936+3</f>
        <v>939</v>
      </c>
      <c r="M4345" s="55"/>
      <c r="N4345" s="55"/>
      <c r="O4345" s="55"/>
      <c r="P4345" s="55">
        <v>561</v>
      </c>
      <c r="Q4345" s="55"/>
      <c r="R4345" s="55"/>
      <c r="S4345" s="55"/>
      <c r="T4345" s="55"/>
      <c r="U4345" s="55"/>
      <c r="V4345" s="55"/>
      <c r="W4345" s="55"/>
      <c r="X4345" s="55"/>
      <c r="Y4345" s="55"/>
      <c r="Z4345" s="55"/>
      <c r="AA4345" s="55"/>
      <c r="AB4345" s="22">
        <f t="shared" si="1440"/>
        <v>2818</v>
      </c>
      <c r="AC4345" s="23">
        <v>3270</v>
      </c>
      <c r="AD4345" s="56"/>
      <c r="AE4345" s="56"/>
      <c r="AF4345" s="56"/>
      <c r="AG4345" s="56"/>
      <c r="AH4345" s="56"/>
      <c r="AI4345" s="56"/>
      <c r="AJ4345" s="56"/>
      <c r="AK4345" s="56"/>
      <c r="AL4345" s="56"/>
      <c r="AM4345" s="56"/>
      <c r="AN4345" s="56"/>
      <c r="AO4345" s="56"/>
      <c r="AP4345" s="56"/>
      <c r="AQ4345" s="56"/>
      <c r="AR4345" s="56"/>
      <c r="AS4345" s="56"/>
      <c r="AT4345" s="56"/>
      <c r="AU4345" s="56"/>
      <c r="AV4345" s="56"/>
      <c r="AW4345" s="56"/>
      <c r="AX4345" s="56"/>
      <c r="AY4345" s="56"/>
      <c r="AZ4345" s="56"/>
      <c r="BA4345" s="56"/>
      <c r="BB4345" s="22">
        <f t="shared" si="1441"/>
        <v>0</v>
      </c>
      <c r="BC4345" s="23">
        <v>0</v>
      </c>
      <c r="BD4345" s="130">
        <f t="shared" si="1442"/>
        <v>2818</v>
      </c>
      <c r="BE4345" s="130">
        <f t="shared" si="1443"/>
        <v>3270</v>
      </c>
      <c r="BF4345" s="195">
        <f t="shared" si="1444"/>
        <v>86.177370030581031</v>
      </c>
      <c r="BG4345" s="373">
        <f t="shared" si="1445"/>
        <v>452</v>
      </c>
    </row>
    <row r="4346" spans="1:61" s="46" customFormat="1" ht="14.25" customHeight="1">
      <c r="A4346" s="181">
        <v>42</v>
      </c>
      <c r="B4346" s="53" t="s">
        <v>1773</v>
      </c>
      <c r="C4346" s="57" t="s">
        <v>1797</v>
      </c>
      <c r="D4346" s="55"/>
      <c r="E4346" s="55"/>
      <c r="F4346" s="55"/>
      <c r="G4346" s="55"/>
      <c r="H4346" s="55"/>
      <c r="I4346" s="55"/>
      <c r="J4346" s="55"/>
      <c r="K4346" s="55"/>
      <c r="L4346" s="55">
        <v>16</v>
      </c>
      <c r="M4346" s="55"/>
      <c r="N4346" s="55"/>
      <c r="O4346" s="55"/>
      <c r="P4346" s="55">
        <v>1</v>
      </c>
      <c r="Q4346" s="55"/>
      <c r="R4346" s="55"/>
      <c r="S4346" s="55"/>
      <c r="T4346" s="55"/>
      <c r="U4346" s="55"/>
      <c r="V4346" s="55"/>
      <c r="W4346" s="55"/>
      <c r="X4346" s="55"/>
      <c r="Y4346" s="55"/>
      <c r="Z4346" s="55"/>
      <c r="AA4346" s="55"/>
      <c r="AB4346" s="22">
        <f t="shared" si="1440"/>
        <v>17</v>
      </c>
      <c r="AC4346" s="23">
        <v>9</v>
      </c>
      <c r="AD4346" s="56"/>
      <c r="AE4346" s="56"/>
      <c r="AF4346" s="56"/>
      <c r="AG4346" s="56"/>
      <c r="AH4346" s="56"/>
      <c r="AI4346" s="56"/>
      <c r="AJ4346" s="56"/>
      <c r="AK4346" s="56"/>
      <c r="AL4346" s="56"/>
      <c r="AM4346" s="56"/>
      <c r="AN4346" s="56"/>
      <c r="AO4346" s="56"/>
      <c r="AP4346" s="56"/>
      <c r="AQ4346" s="56"/>
      <c r="AR4346" s="56"/>
      <c r="AS4346" s="56"/>
      <c r="AT4346" s="56"/>
      <c r="AU4346" s="56"/>
      <c r="AV4346" s="56"/>
      <c r="AW4346" s="56"/>
      <c r="AX4346" s="56"/>
      <c r="AY4346" s="56"/>
      <c r="AZ4346" s="56"/>
      <c r="BA4346" s="56"/>
      <c r="BB4346" s="22">
        <f t="shared" si="1441"/>
        <v>0</v>
      </c>
      <c r="BC4346" s="23">
        <v>0</v>
      </c>
      <c r="BD4346" s="130">
        <f t="shared" si="1442"/>
        <v>17</v>
      </c>
      <c r="BE4346" s="130">
        <f t="shared" si="1443"/>
        <v>9</v>
      </c>
      <c r="BF4346" s="195">
        <f t="shared" si="1444"/>
        <v>188.88888888888889</v>
      </c>
      <c r="BG4346" s="373">
        <f t="shared" si="1445"/>
        <v>-8</v>
      </c>
    </row>
    <row r="4347" spans="1:61" s="46" customFormat="1" ht="14.25" customHeight="1">
      <c r="A4347" s="181">
        <v>43</v>
      </c>
      <c r="B4347" s="53" t="s">
        <v>1821</v>
      </c>
      <c r="C4347" s="57" t="s">
        <v>1871</v>
      </c>
      <c r="D4347" s="55">
        <v>1</v>
      </c>
      <c r="E4347" s="55"/>
      <c r="F4347" s="55"/>
      <c r="G4347" s="55"/>
      <c r="H4347" s="55">
        <v>4</v>
      </c>
      <c r="I4347" s="55"/>
      <c r="J4347" s="55"/>
      <c r="K4347" s="55"/>
      <c r="L4347" s="55">
        <v>1</v>
      </c>
      <c r="M4347" s="55"/>
      <c r="N4347" s="55"/>
      <c r="O4347" s="55"/>
      <c r="P4347" s="55">
        <v>1</v>
      </c>
      <c r="Q4347" s="55"/>
      <c r="R4347" s="55"/>
      <c r="S4347" s="55"/>
      <c r="T4347" s="55"/>
      <c r="U4347" s="55"/>
      <c r="V4347" s="55"/>
      <c r="W4347" s="55"/>
      <c r="X4347" s="55"/>
      <c r="Y4347" s="55"/>
      <c r="Z4347" s="55"/>
      <c r="AA4347" s="55"/>
      <c r="AB4347" s="22">
        <f t="shared" si="1440"/>
        <v>7</v>
      </c>
      <c r="AC4347" s="23">
        <v>664</v>
      </c>
      <c r="AD4347" s="56"/>
      <c r="AE4347" s="56"/>
      <c r="AF4347" s="56"/>
      <c r="AG4347" s="56"/>
      <c r="AH4347" s="56"/>
      <c r="AI4347" s="56"/>
      <c r="AJ4347" s="56"/>
      <c r="AK4347" s="56"/>
      <c r="AL4347" s="56"/>
      <c r="AM4347" s="56"/>
      <c r="AN4347" s="56"/>
      <c r="AO4347" s="56"/>
      <c r="AP4347" s="56"/>
      <c r="AQ4347" s="56"/>
      <c r="AR4347" s="56"/>
      <c r="AS4347" s="56"/>
      <c r="AT4347" s="56"/>
      <c r="AU4347" s="56"/>
      <c r="AV4347" s="56"/>
      <c r="AW4347" s="56"/>
      <c r="AX4347" s="56"/>
      <c r="AY4347" s="56"/>
      <c r="AZ4347" s="56"/>
      <c r="BA4347" s="56"/>
      <c r="BB4347" s="22">
        <f t="shared" si="1441"/>
        <v>0</v>
      </c>
      <c r="BC4347" s="23">
        <v>0</v>
      </c>
      <c r="BD4347" s="130">
        <f t="shared" si="1442"/>
        <v>7</v>
      </c>
      <c r="BE4347" s="130">
        <f t="shared" si="1443"/>
        <v>664</v>
      </c>
      <c r="BF4347" s="195">
        <f t="shared" si="1444"/>
        <v>1.0542168674698795</v>
      </c>
      <c r="BG4347" s="373">
        <f t="shared" si="1445"/>
        <v>657</v>
      </c>
    </row>
    <row r="4348" spans="1:61" s="46" customFormat="1" ht="14.25" customHeight="1">
      <c r="A4348" s="652" t="s">
        <v>1872</v>
      </c>
      <c r="B4348" s="653"/>
      <c r="C4348" s="653"/>
      <c r="D4348" s="52">
        <f t="shared" ref="D4348:BC4348" si="1449">SUM(D4349:D4351)</f>
        <v>0</v>
      </c>
      <c r="E4348" s="52">
        <f t="shared" si="1449"/>
        <v>0</v>
      </c>
      <c r="F4348" s="52">
        <f t="shared" si="1449"/>
        <v>0</v>
      </c>
      <c r="G4348" s="52">
        <f t="shared" si="1449"/>
        <v>0</v>
      </c>
      <c r="H4348" s="52">
        <f t="shared" si="1449"/>
        <v>0</v>
      </c>
      <c r="I4348" s="52">
        <f t="shared" si="1449"/>
        <v>0</v>
      </c>
      <c r="J4348" s="52">
        <f t="shared" si="1449"/>
        <v>0</v>
      </c>
      <c r="K4348" s="52">
        <f t="shared" si="1449"/>
        <v>0</v>
      </c>
      <c r="L4348" s="52">
        <f t="shared" si="1449"/>
        <v>0</v>
      </c>
      <c r="M4348" s="52">
        <f t="shared" si="1449"/>
        <v>0</v>
      </c>
      <c r="N4348" s="52">
        <f t="shared" si="1449"/>
        <v>0</v>
      </c>
      <c r="O4348" s="52">
        <f t="shared" si="1449"/>
        <v>0</v>
      </c>
      <c r="P4348" s="52">
        <f t="shared" si="1449"/>
        <v>0</v>
      </c>
      <c r="Q4348" s="52">
        <f t="shared" si="1449"/>
        <v>0</v>
      </c>
      <c r="R4348" s="52">
        <f t="shared" si="1449"/>
        <v>0</v>
      </c>
      <c r="S4348" s="52">
        <f t="shared" si="1449"/>
        <v>0</v>
      </c>
      <c r="T4348" s="52">
        <f t="shared" si="1449"/>
        <v>0</v>
      </c>
      <c r="U4348" s="52">
        <f t="shared" si="1449"/>
        <v>0</v>
      </c>
      <c r="V4348" s="52">
        <f t="shared" si="1449"/>
        <v>0</v>
      </c>
      <c r="W4348" s="52">
        <f t="shared" si="1449"/>
        <v>0</v>
      </c>
      <c r="X4348" s="52">
        <f t="shared" si="1449"/>
        <v>0</v>
      </c>
      <c r="Y4348" s="52">
        <f t="shared" ref="Y4348:Z4348" si="1450">SUM(Y4349:Y4351)</f>
        <v>0</v>
      </c>
      <c r="Z4348" s="52">
        <f t="shared" si="1450"/>
        <v>0</v>
      </c>
      <c r="AA4348" s="52">
        <f t="shared" si="1449"/>
        <v>0</v>
      </c>
      <c r="AB4348" s="52">
        <f t="shared" si="1449"/>
        <v>0</v>
      </c>
      <c r="AC4348" s="127">
        <f t="shared" si="1449"/>
        <v>0</v>
      </c>
      <c r="AD4348" s="52">
        <f t="shared" si="1449"/>
        <v>0</v>
      </c>
      <c r="AE4348" s="52">
        <f t="shared" si="1449"/>
        <v>0</v>
      </c>
      <c r="AF4348" s="52">
        <f t="shared" si="1449"/>
        <v>0</v>
      </c>
      <c r="AG4348" s="52">
        <f t="shared" si="1449"/>
        <v>0</v>
      </c>
      <c r="AH4348" s="52">
        <f t="shared" si="1449"/>
        <v>0</v>
      </c>
      <c r="AI4348" s="52">
        <f t="shared" si="1449"/>
        <v>0</v>
      </c>
      <c r="AJ4348" s="52">
        <f t="shared" si="1449"/>
        <v>0</v>
      </c>
      <c r="AK4348" s="52">
        <f t="shared" si="1449"/>
        <v>0</v>
      </c>
      <c r="AL4348" s="52">
        <f t="shared" si="1449"/>
        <v>0</v>
      </c>
      <c r="AM4348" s="52">
        <f t="shared" si="1449"/>
        <v>0</v>
      </c>
      <c r="AN4348" s="52">
        <f t="shared" si="1449"/>
        <v>0</v>
      </c>
      <c r="AO4348" s="52">
        <f t="shared" si="1449"/>
        <v>0</v>
      </c>
      <c r="AP4348" s="52">
        <f t="shared" si="1449"/>
        <v>0</v>
      </c>
      <c r="AQ4348" s="52">
        <f t="shared" si="1449"/>
        <v>0</v>
      </c>
      <c r="AR4348" s="52">
        <f t="shared" si="1449"/>
        <v>0</v>
      </c>
      <c r="AS4348" s="52">
        <f t="shared" si="1449"/>
        <v>0</v>
      </c>
      <c r="AT4348" s="52">
        <f t="shared" si="1449"/>
        <v>0</v>
      </c>
      <c r="AU4348" s="52">
        <f t="shared" si="1449"/>
        <v>0</v>
      </c>
      <c r="AV4348" s="52">
        <f t="shared" si="1449"/>
        <v>0</v>
      </c>
      <c r="AW4348" s="52">
        <f t="shared" si="1449"/>
        <v>0</v>
      </c>
      <c r="AX4348" s="52">
        <f t="shared" si="1449"/>
        <v>0</v>
      </c>
      <c r="AY4348" s="52">
        <f t="shared" ref="AY4348:AZ4348" si="1451">SUM(AY4349:AY4351)</f>
        <v>0</v>
      </c>
      <c r="AZ4348" s="52">
        <f t="shared" si="1451"/>
        <v>0</v>
      </c>
      <c r="BA4348" s="52">
        <f t="shared" si="1449"/>
        <v>0</v>
      </c>
      <c r="BB4348" s="52">
        <f t="shared" si="1449"/>
        <v>0</v>
      </c>
      <c r="BC4348" s="127">
        <f t="shared" si="1449"/>
        <v>0</v>
      </c>
      <c r="BD4348" s="130">
        <f t="shared" ref="BD4348:BD4355" si="1452">AB4348+BB4348</f>
        <v>0</v>
      </c>
      <c r="BE4348" s="130">
        <f t="shared" ref="BE4348:BE4355" si="1453">AC4348+BC4348</f>
        <v>0</v>
      </c>
      <c r="BF4348" s="195" t="e">
        <f t="shared" ref="BF4348:BF4379" si="1454">BD4348/BE4348*100</f>
        <v>#DIV/0!</v>
      </c>
      <c r="BG4348" s="373">
        <f t="shared" ref="BG4348:BG4379" si="1455">BE4348-BD4348</f>
        <v>0</v>
      </c>
    </row>
    <row r="4349" spans="1:61" s="46" customFormat="1" ht="21" customHeight="1">
      <c r="A4349" s="417">
        <v>1</v>
      </c>
      <c r="B4349" s="418" t="s">
        <v>1747</v>
      </c>
      <c r="C4349" s="419" t="s">
        <v>1748</v>
      </c>
      <c r="D4349" s="55"/>
      <c r="E4349" s="55"/>
      <c r="F4349" s="55"/>
      <c r="G4349" s="55"/>
      <c r="H4349" s="55"/>
      <c r="I4349" s="55"/>
      <c r="J4349" s="55"/>
      <c r="K4349" s="55"/>
      <c r="L4349" s="55"/>
      <c r="M4349" s="55"/>
      <c r="N4349" s="55"/>
      <c r="O4349" s="55"/>
      <c r="P4349" s="55"/>
      <c r="Q4349" s="55"/>
      <c r="R4349" s="55"/>
      <c r="S4349" s="55"/>
      <c r="T4349" s="55"/>
      <c r="U4349" s="55"/>
      <c r="V4349" s="55"/>
      <c r="W4349" s="55"/>
      <c r="X4349" s="55"/>
      <c r="Y4349" s="55"/>
      <c r="Z4349" s="55"/>
      <c r="AA4349" s="55"/>
      <c r="AB4349" s="22">
        <f>SUM(D4349:AA4349)</f>
        <v>0</v>
      </c>
      <c r="AC4349" s="23">
        <v>0</v>
      </c>
      <c r="AD4349" s="56"/>
      <c r="AE4349" s="56"/>
      <c r="AF4349" s="56"/>
      <c r="AG4349" s="56"/>
      <c r="AH4349" s="56"/>
      <c r="AI4349" s="56"/>
      <c r="AJ4349" s="56"/>
      <c r="AK4349" s="56"/>
      <c r="AL4349" s="56"/>
      <c r="AM4349" s="56"/>
      <c r="AN4349" s="56"/>
      <c r="AO4349" s="56"/>
      <c r="AP4349" s="56"/>
      <c r="AQ4349" s="56"/>
      <c r="AR4349" s="56"/>
      <c r="AS4349" s="56"/>
      <c r="AT4349" s="56"/>
      <c r="AU4349" s="56"/>
      <c r="AV4349" s="56"/>
      <c r="AW4349" s="56"/>
      <c r="AX4349" s="56"/>
      <c r="AY4349" s="56"/>
      <c r="AZ4349" s="56"/>
      <c r="BA4349" s="56"/>
      <c r="BB4349" s="22">
        <f t="shared" ref="BB4349:BB4355" si="1456">SUM(AD4349:BA4349)</f>
        <v>0</v>
      </c>
      <c r="BC4349" s="23">
        <v>0</v>
      </c>
      <c r="BD4349" s="130">
        <f t="shared" si="1452"/>
        <v>0</v>
      </c>
      <c r="BE4349" s="130">
        <f t="shared" si="1453"/>
        <v>0</v>
      </c>
      <c r="BF4349" s="195" t="e">
        <f t="shared" si="1454"/>
        <v>#DIV/0!</v>
      </c>
      <c r="BG4349" s="373">
        <f t="shared" si="1455"/>
        <v>0</v>
      </c>
      <c r="BH4349" s="426" t="s">
        <v>3675</v>
      </c>
      <c r="BI4349" s="420"/>
    </row>
    <row r="4350" spans="1:61" s="46" customFormat="1" ht="14.25" customHeight="1">
      <c r="A4350" s="181">
        <v>2</v>
      </c>
      <c r="B4350" s="53" t="s">
        <v>1760</v>
      </c>
      <c r="C4350" s="57" t="s">
        <v>1816</v>
      </c>
      <c r="D4350" s="55"/>
      <c r="E4350" s="55"/>
      <c r="F4350" s="55"/>
      <c r="G4350" s="55"/>
      <c r="H4350" s="55"/>
      <c r="I4350" s="55"/>
      <c r="J4350" s="55"/>
      <c r="K4350" s="55"/>
      <c r="L4350" s="55"/>
      <c r="M4350" s="55"/>
      <c r="N4350" s="55"/>
      <c r="O4350" s="55"/>
      <c r="P4350" s="55"/>
      <c r="Q4350" s="55"/>
      <c r="R4350" s="55"/>
      <c r="S4350" s="55"/>
      <c r="T4350" s="55"/>
      <c r="U4350" s="55"/>
      <c r="V4350" s="55"/>
      <c r="W4350" s="55"/>
      <c r="X4350" s="55"/>
      <c r="Y4350" s="55"/>
      <c r="Z4350" s="55"/>
      <c r="AA4350" s="55"/>
      <c r="AB4350" s="22">
        <f>SUM(D4350:AA4350)</f>
        <v>0</v>
      </c>
      <c r="AC4350" s="23">
        <v>0</v>
      </c>
      <c r="AD4350" s="56"/>
      <c r="AE4350" s="56"/>
      <c r="AF4350" s="56"/>
      <c r="AG4350" s="56"/>
      <c r="AH4350" s="56"/>
      <c r="AI4350" s="56"/>
      <c r="AJ4350" s="56"/>
      <c r="AK4350" s="56"/>
      <c r="AL4350" s="56"/>
      <c r="AM4350" s="56"/>
      <c r="AN4350" s="56"/>
      <c r="AO4350" s="56"/>
      <c r="AP4350" s="56"/>
      <c r="AQ4350" s="56"/>
      <c r="AR4350" s="56"/>
      <c r="AS4350" s="56"/>
      <c r="AT4350" s="56"/>
      <c r="AU4350" s="56"/>
      <c r="AV4350" s="56"/>
      <c r="AW4350" s="56"/>
      <c r="AX4350" s="56"/>
      <c r="AY4350" s="56"/>
      <c r="AZ4350" s="56"/>
      <c r="BA4350" s="56"/>
      <c r="BB4350" s="22">
        <f t="shared" si="1456"/>
        <v>0</v>
      </c>
      <c r="BC4350" s="23">
        <v>0</v>
      </c>
      <c r="BD4350" s="130">
        <f t="shared" si="1452"/>
        <v>0</v>
      </c>
      <c r="BE4350" s="130">
        <f t="shared" si="1453"/>
        <v>0</v>
      </c>
      <c r="BF4350" s="195" t="e">
        <f t="shared" si="1454"/>
        <v>#DIV/0!</v>
      </c>
      <c r="BG4350" s="373">
        <f t="shared" si="1455"/>
        <v>0</v>
      </c>
    </row>
    <row r="4351" spans="1:61" s="46" customFormat="1" ht="14.25" customHeight="1">
      <c r="A4351" s="181">
        <v>3</v>
      </c>
      <c r="B4351" s="53" t="s">
        <v>1767</v>
      </c>
      <c r="C4351" s="57" t="s">
        <v>1840</v>
      </c>
      <c r="D4351" s="55"/>
      <c r="E4351" s="55"/>
      <c r="F4351" s="55"/>
      <c r="G4351" s="55"/>
      <c r="H4351" s="55"/>
      <c r="I4351" s="55"/>
      <c r="J4351" s="55"/>
      <c r="K4351" s="55"/>
      <c r="L4351" s="55"/>
      <c r="M4351" s="55"/>
      <c r="N4351" s="55"/>
      <c r="O4351" s="55"/>
      <c r="P4351" s="55"/>
      <c r="Q4351" s="55"/>
      <c r="R4351" s="55"/>
      <c r="S4351" s="55"/>
      <c r="T4351" s="55"/>
      <c r="U4351" s="55"/>
      <c r="V4351" s="55"/>
      <c r="W4351" s="55"/>
      <c r="X4351" s="55"/>
      <c r="Y4351" s="55"/>
      <c r="Z4351" s="55"/>
      <c r="AA4351" s="55"/>
      <c r="AB4351" s="22">
        <f>SUM(D4351:AA4351)</f>
        <v>0</v>
      </c>
      <c r="AC4351" s="23">
        <v>0</v>
      </c>
      <c r="AD4351" s="56"/>
      <c r="AE4351" s="56"/>
      <c r="AF4351" s="56"/>
      <c r="AG4351" s="56"/>
      <c r="AH4351" s="56"/>
      <c r="AI4351" s="56"/>
      <c r="AJ4351" s="56"/>
      <c r="AK4351" s="56"/>
      <c r="AL4351" s="56"/>
      <c r="AM4351" s="56"/>
      <c r="AN4351" s="56"/>
      <c r="AO4351" s="56"/>
      <c r="AP4351" s="56"/>
      <c r="AQ4351" s="56"/>
      <c r="AR4351" s="56"/>
      <c r="AS4351" s="56"/>
      <c r="AT4351" s="56"/>
      <c r="AU4351" s="56"/>
      <c r="AV4351" s="56"/>
      <c r="AW4351" s="56"/>
      <c r="AX4351" s="56"/>
      <c r="AY4351" s="56"/>
      <c r="AZ4351" s="56"/>
      <c r="BA4351" s="56"/>
      <c r="BB4351" s="22">
        <f t="shared" si="1456"/>
        <v>0</v>
      </c>
      <c r="BC4351" s="23">
        <v>0</v>
      </c>
      <c r="BD4351" s="130">
        <f t="shared" si="1452"/>
        <v>0</v>
      </c>
      <c r="BE4351" s="130">
        <f t="shared" si="1453"/>
        <v>0</v>
      </c>
      <c r="BF4351" s="195" t="e">
        <f t="shared" si="1454"/>
        <v>#DIV/0!</v>
      </c>
      <c r="BG4351" s="373">
        <f t="shared" si="1455"/>
        <v>0</v>
      </c>
    </row>
    <row r="4352" spans="1:61" s="46" customFormat="1" ht="14.25" customHeight="1">
      <c r="A4352" s="652" t="s">
        <v>1700</v>
      </c>
      <c r="B4352" s="653"/>
      <c r="C4352" s="653"/>
      <c r="D4352" s="52">
        <f>D4353</f>
        <v>0</v>
      </c>
      <c r="E4352" s="52">
        <f t="shared" ref="E4352:BC4352" si="1457">E4353</f>
        <v>0</v>
      </c>
      <c r="F4352" s="52">
        <f t="shared" si="1457"/>
        <v>0</v>
      </c>
      <c r="G4352" s="52">
        <f t="shared" si="1457"/>
        <v>0</v>
      </c>
      <c r="H4352" s="52">
        <f t="shared" si="1457"/>
        <v>0</v>
      </c>
      <c r="I4352" s="52">
        <f t="shared" si="1457"/>
        <v>0</v>
      </c>
      <c r="J4352" s="52">
        <f t="shared" si="1457"/>
        <v>0</v>
      </c>
      <c r="K4352" s="52">
        <f t="shared" si="1457"/>
        <v>0</v>
      </c>
      <c r="L4352" s="52">
        <f t="shared" si="1457"/>
        <v>0</v>
      </c>
      <c r="M4352" s="52">
        <f t="shared" si="1457"/>
        <v>0</v>
      </c>
      <c r="N4352" s="52">
        <f t="shared" si="1457"/>
        <v>0</v>
      </c>
      <c r="O4352" s="52">
        <f t="shared" si="1457"/>
        <v>0</v>
      </c>
      <c r="P4352" s="52">
        <f t="shared" si="1457"/>
        <v>0</v>
      </c>
      <c r="Q4352" s="52">
        <f t="shared" si="1457"/>
        <v>0</v>
      </c>
      <c r="R4352" s="52">
        <f t="shared" si="1457"/>
        <v>0</v>
      </c>
      <c r="S4352" s="52">
        <f t="shared" si="1457"/>
        <v>0</v>
      </c>
      <c r="T4352" s="52">
        <f t="shared" si="1457"/>
        <v>0</v>
      </c>
      <c r="U4352" s="52">
        <f t="shared" si="1457"/>
        <v>0</v>
      </c>
      <c r="V4352" s="52">
        <f t="shared" si="1457"/>
        <v>0</v>
      </c>
      <c r="W4352" s="52">
        <f t="shared" si="1457"/>
        <v>0</v>
      </c>
      <c r="X4352" s="52">
        <f t="shared" si="1457"/>
        <v>0</v>
      </c>
      <c r="Y4352" s="52">
        <f t="shared" si="1457"/>
        <v>0</v>
      </c>
      <c r="Z4352" s="52">
        <f t="shared" si="1457"/>
        <v>0</v>
      </c>
      <c r="AA4352" s="52">
        <f t="shared" si="1457"/>
        <v>0</v>
      </c>
      <c r="AB4352" s="52">
        <f t="shared" si="1457"/>
        <v>0</v>
      </c>
      <c r="AC4352" s="127">
        <f t="shared" si="1457"/>
        <v>0</v>
      </c>
      <c r="AD4352" s="52">
        <f t="shared" si="1457"/>
        <v>0</v>
      </c>
      <c r="AE4352" s="52">
        <f t="shared" si="1457"/>
        <v>0</v>
      </c>
      <c r="AF4352" s="52">
        <f t="shared" si="1457"/>
        <v>0</v>
      </c>
      <c r="AG4352" s="52">
        <f t="shared" si="1457"/>
        <v>0</v>
      </c>
      <c r="AH4352" s="52">
        <f t="shared" si="1457"/>
        <v>0</v>
      </c>
      <c r="AI4352" s="52">
        <f t="shared" si="1457"/>
        <v>0</v>
      </c>
      <c r="AJ4352" s="52">
        <f t="shared" si="1457"/>
        <v>0</v>
      </c>
      <c r="AK4352" s="52">
        <f t="shared" si="1457"/>
        <v>0</v>
      </c>
      <c r="AL4352" s="52">
        <f t="shared" si="1457"/>
        <v>0</v>
      </c>
      <c r="AM4352" s="52">
        <f t="shared" si="1457"/>
        <v>0</v>
      </c>
      <c r="AN4352" s="52">
        <f t="shared" si="1457"/>
        <v>0</v>
      </c>
      <c r="AO4352" s="52">
        <f t="shared" si="1457"/>
        <v>0</v>
      </c>
      <c r="AP4352" s="52">
        <f t="shared" si="1457"/>
        <v>0</v>
      </c>
      <c r="AQ4352" s="52">
        <f t="shared" si="1457"/>
        <v>0</v>
      </c>
      <c r="AR4352" s="52">
        <f t="shared" si="1457"/>
        <v>0</v>
      </c>
      <c r="AS4352" s="52">
        <f t="shared" si="1457"/>
        <v>0</v>
      </c>
      <c r="AT4352" s="52">
        <f t="shared" si="1457"/>
        <v>0</v>
      </c>
      <c r="AU4352" s="52">
        <f t="shared" si="1457"/>
        <v>0</v>
      </c>
      <c r="AV4352" s="52">
        <f t="shared" si="1457"/>
        <v>0</v>
      </c>
      <c r="AW4352" s="52">
        <f t="shared" si="1457"/>
        <v>0</v>
      </c>
      <c r="AX4352" s="52">
        <f t="shared" si="1457"/>
        <v>0</v>
      </c>
      <c r="AY4352" s="52">
        <f t="shared" si="1457"/>
        <v>0</v>
      </c>
      <c r="AZ4352" s="52">
        <f t="shared" si="1457"/>
        <v>0</v>
      </c>
      <c r="BA4352" s="52">
        <f t="shared" si="1457"/>
        <v>0</v>
      </c>
      <c r="BB4352" s="52">
        <f t="shared" si="1457"/>
        <v>0</v>
      </c>
      <c r="BC4352" s="127">
        <f t="shared" si="1457"/>
        <v>0</v>
      </c>
      <c r="BD4352" s="130">
        <f t="shared" si="1452"/>
        <v>0</v>
      </c>
      <c r="BE4352" s="130">
        <f t="shared" si="1453"/>
        <v>0</v>
      </c>
      <c r="BF4352" s="195" t="e">
        <f t="shared" si="1454"/>
        <v>#DIV/0!</v>
      </c>
      <c r="BG4352" s="373">
        <f t="shared" si="1455"/>
        <v>0</v>
      </c>
    </row>
    <row r="4353" spans="1:62" s="46" customFormat="1" ht="14.25" customHeight="1">
      <c r="A4353" s="189"/>
      <c r="B4353" s="190"/>
      <c r="C4353" s="190"/>
      <c r="D4353" s="55"/>
      <c r="E4353" s="55"/>
      <c r="F4353" s="55"/>
      <c r="G4353" s="55"/>
      <c r="H4353" s="55"/>
      <c r="I4353" s="55"/>
      <c r="J4353" s="55"/>
      <c r="K4353" s="55"/>
      <c r="L4353" s="55"/>
      <c r="M4353" s="55"/>
      <c r="N4353" s="55"/>
      <c r="O4353" s="55"/>
      <c r="P4353" s="55"/>
      <c r="Q4353" s="55"/>
      <c r="R4353" s="55"/>
      <c r="S4353" s="55"/>
      <c r="T4353" s="55"/>
      <c r="U4353" s="55"/>
      <c r="V4353" s="55"/>
      <c r="W4353" s="55"/>
      <c r="X4353" s="55"/>
      <c r="Y4353" s="55"/>
      <c r="Z4353" s="55"/>
      <c r="AA4353" s="55"/>
      <c r="AB4353" s="22">
        <f>SUM(D4353:AA4353)</f>
        <v>0</v>
      </c>
      <c r="AC4353" s="161">
        <v>0</v>
      </c>
      <c r="AD4353" s="186"/>
      <c r="AE4353" s="186"/>
      <c r="AF4353" s="186"/>
      <c r="AG4353" s="186"/>
      <c r="AH4353" s="186"/>
      <c r="AI4353" s="186"/>
      <c r="AJ4353" s="186"/>
      <c r="AK4353" s="186"/>
      <c r="AL4353" s="186"/>
      <c r="AM4353" s="186"/>
      <c r="AN4353" s="186"/>
      <c r="AO4353" s="186"/>
      <c r="AP4353" s="186"/>
      <c r="AQ4353" s="186"/>
      <c r="AR4353" s="186"/>
      <c r="AS4353" s="186"/>
      <c r="AT4353" s="186"/>
      <c r="AU4353" s="186"/>
      <c r="AV4353" s="186"/>
      <c r="AW4353" s="186"/>
      <c r="AX4353" s="186"/>
      <c r="AY4353" s="186"/>
      <c r="AZ4353" s="186"/>
      <c r="BA4353" s="186"/>
      <c r="BB4353" s="22">
        <f t="shared" si="1456"/>
        <v>0</v>
      </c>
      <c r="BC4353" s="103">
        <v>0</v>
      </c>
      <c r="BD4353" s="130">
        <f t="shared" si="1452"/>
        <v>0</v>
      </c>
      <c r="BE4353" s="130">
        <f t="shared" si="1453"/>
        <v>0</v>
      </c>
      <c r="BF4353" s="195" t="e">
        <f t="shared" si="1454"/>
        <v>#DIV/0!</v>
      </c>
      <c r="BG4353" s="373">
        <f t="shared" si="1455"/>
        <v>0</v>
      </c>
    </row>
    <row r="4354" spans="1:62" s="46" customFormat="1" ht="14.25" customHeight="1">
      <c r="A4354" s="652" t="s">
        <v>1730</v>
      </c>
      <c r="B4354" s="653"/>
      <c r="C4354" s="653"/>
      <c r="D4354" s="52">
        <f>D4355</f>
        <v>0</v>
      </c>
      <c r="E4354" s="52">
        <f t="shared" ref="E4354:BC4354" si="1458">E4355</f>
        <v>0</v>
      </c>
      <c r="F4354" s="52">
        <f t="shared" si="1458"/>
        <v>0</v>
      </c>
      <c r="G4354" s="52">
        <f t="shared" si="1458"/>
        <v>0</v>
      </c>
      <c r="H4354" s="52">
        <f t="shared" si="1458"/>
        <v>0</v>
      </c>
      <c r="I4354" s="52">
        <f t="shared" si="1458"/>
        <v>0</v>
      </c>
      <c r="J4354" s="52">
        <f t="shared" si="1458"/>
        <v>0</v>
      </c>
      <c r="K4354" s="52">
        <f t="shared" si="1458"/>
        <v>0</v>
      </c>
      <c r="L4354" s="52">
        <f t="shared" si="1458"/>
        <v>0</v>
      </c>
      <c r="M4354" s="52">
        <f t="shared" si="1458"/>
        <v>0</v>
      </c>
      <c r="N4354" s="52">
        <f t="shared" si="1458"/>
        <v>0</v>
      </c>
      <c r="O4354" s="52">
        <f t="shared" si="1458"/>
        <v>0</v>
      </c>
      <c r="P4354" s="52">
        <f t="shared" si="1458"/>
        <v>0</v>
      </c>
      <c r="Q4354" s="52">
        <f t="shared" si="1458"/>
        <v>0</v>
      </c>
      <c r="R4354" s="52">
        <f t="shared" si="1458"/>
        <v>0</v>
      </c>
      <c r="S4354" s="52">
        <f t="shared" si="1458"/>
        <v>0</v>
      </c>
      <c r="T4354" s="52">
        <f t="shared" si="1458"/>
        <v>0</v>
      </c>
      <c r="U4354" s="52">
        <f t="shared" si="1458"/>
        <v>0</v>
      </c>
      <c r="V4354" s="52">
        <f t="shared" si="1458"/>
        <v>0</v>
      </c>
      <c r="W4354" s="52">
        <f t="shared" si="1458"/>
        <v>0</v>
      </c>
      <c r="X4354" s="52">
        <f t="shared" si="1458"/>
        <v>0</v>
      </c>
      <c r="Y4354" s="52">
        <f t="shared" si="1458"/>
        <v>0</v>
      </c>
      <c r="Z4354" s="52">
        <f t="shared" si="1458"/>
        <v>0</v>
      </c>
      <c r="AA4354" s="52">
        <f t="shared" si="1458"/>
        <v>0</v>
      </c>
      <c r="AB4354" s="52">
        <f t="shared" si="1458"/>
        <v>0</v>
      </c>
      <c r="AC4354" s="127">
        <f t="shared" si="1458"/>
        <v>0</v>
      </c>
      <c r="AD4354" s="52">
        <f t="shared" si="1458"/>
        <v>0</v>
      </c>
      <c r="AE4354" s="52">
        <f t="shared" si="1458"/>
        <v>0</v>
      </c>
      <c r="AF4354" s="52">
        <f t="shared" si="1458"/>
        <v>0</v>
      </c>
      <c r="AG4354" s="52">
        <f t="shared" si="1458"/>
        <v>0</v>
      </c>
      <c r="AH4354" s="52">
        <f t="shared" si="1458"/>
        <v>0</v>
      </c>
      <c r="AI4354" s="52">
        <f t="shared" si="1458"/>
        <v>0</v>
      </c>
      <c r="AJ4354" s="52">
        <f t="shared" si="1458"/>
        <v>0</v>
      </c>
      <c r="AK4354" s="52">
        <f t="shared" si="1458"/>
        <v>0</v>
      </c>
      <c r="AL4354" s="52">
        <f t="shared" si="1458"/>
        <v>0</v>
      </c>
      <c r="AM4354" s="52">
        <f t="shared" si="1458"/>
        <v>0</v>
      </c>
      <c r="AN4354" s="52">
        <f t="shared" si="1458"/>
        <v>0</v>
      </c>
      <c r="AO4354" s="52">
        <f t="shared" si="1458"/>
        <v>0</v>
      </c>
      <c r="AP4354" s="52">
        <f t="shared" si="1458"/>
        <v>0</v>
      </c>
      <c r="AQ4354" s="52">
        <f t="shared" si="1458"/>
        <v>0</v>
      </c>
      <c r="AR4354" s="52">
        <f t="shared" si="1458"/>
        <v>0</v>
      </c>
      <c r="AS4354" s="52">
        <f t="shared" si="1458"/>
        <v>0</v>
      </c>
      <c r="AT4354" s="52">
        <f t="shared" si="1458"/>
        <v>0</v>
      </c>
      <c r="AU4354" s="52">
        <f t="shared" si="1458"/>
        <v>0</v>
      </c>
      <c r="AV4354" s="52">
        <f t="shared" si="1458"/>
        <v>0</v>
      </c>
      <c r="AW4354" s="52">
        <f t="shared" si="1458"/>
        <v>0</v>
      </c>
      <c r="AX4354" s="52">
        <f t="shared" si="1458"/>
        <v>0</v>
      </c>
      <c r="AY4354" s="52">
        <f t="shared" si="1458"/>
        <v>0</v>
      </c>
      <c r="AZ4354" s="52">
        <f t="shared" si="1458"/>
        <v>0</v>
      </c>
      <c r="BA4354" s="52">
        <f t="shared" si="1458"/>
        <v>0</v>
      </c>
      <c r="BB4354" s="52">
        <f t="shared" si="1458"/>
        <v>0</v>
      </c>
      <c r="BC4354" s="127">
        <f t="shared" si="1458"/>
        <v>0</v>
      </c>
      <c r="BD4354" s="130">
        <f t="shared" si="1452"/>
        <v>0</v>
      </c>
      <c r="BE4354" s="130">
        <f t="shared" si="1453"/>
        <v>0</v>
      </c>
      <c r="BF4354" s="195" t="e">
        <f t="shared" si="1454"/>
        <v>#DIV/0!</v>
      </c>
      <c r="BG4354" s="373">
        <f t="shared" si="1455"/>
        <v>0</v>
      </c>
    </row>
    <row r="4355" spans="1:62" s="46" customFormat="1" ht="23.25" customHeight="1">
      <c r="A4355" s="189"/>
      <c r="B4355" s="190"/>
      <c r="C4355" s="190"/>
      <c r="D4355" s="55"/>
      <c r="E4355" s="55"/>
      <c r="F4355" s="55"/>
      <c r="G4355" s="55"/>
      <c r="H4355" s="55"/>
      <c r="I4355" s="55"/>
      <c r="J4355" s="55"/>
      <c r="K4355" s="55"/>
      <c r="L4355" s="55"/>
      <c r="M4355" s="55"/>
      <c r="N4355" s="55"/>
      <c r="O4355" s="55"/>
      <c r="P4355" s="55"/>
      <c r="Q4355" s="55"/>
      <c r="R4355" s="55"/>
      <c r="S4355" s="55"/>
      <c r="T4355" s="55"/>
      <c r="U4355" s="55"/>
      <c r="V4355" s="55"/>
      <c r="W4355" s="55"/>
      <c r="X4355" s="55"/>
      <c r="Y4355" s="55"/>
      <c r="Z4355" s="55"/>
      <c r="AA4355" s="55"/>
      <c r="AB4355" s="22">
        <f>SUM(D4355:AA4355)</f>
        <v>0</v>
      </c>
      <c r="AC4355" s="161">
        <v>0</v>
      </c>
      <c r="AD4355" s="186"/>
      <c r="AE4355" s="186"/>
      <c r="AF4355" s="186"/>
      <c r="AG4355" s="186"/>
      <c r="AH4355" s="186"/>
      <c r="AI4355" s="186"/>
      <c r="AJ4355" s="186"/>
      <c r="AK4355" s="186"/>
      <c r="AL4355" s="186"/>
      <c r="AM4355" s="186"/>
      <c r="AN4355" s="186"/>
      <c r="AO4355" s="186"/>
      <c r="AP4355" s="186"/>
      <c r="AQ4355" s="186"/>
      <c r="AR4355" s="186"/>
      <c r="AS4355" s="186"/>
      <c r="AT4355" s="186"/>
      <c r="AU4355" s="186"/>
      <c r="AV4355" s="186"/>
      <c r="AW4355" s="186"/>
      <c r="AX4355" s="186"/>
      <c r="AY4355" s="186"/>
      <c r="AZ4355" s="186"/>
      <c r="BA4355" s="186"/>
      <c r="BB4355" s="22">
        <f t="shared" si="1456"/>
        <v>0</v>
      </c>
      <c r="BC4355" s="103">
        <v>0</v>
      </c>
      <c r="BD4355" s="130">
        <f t="shared" si="1452"/>
        <v>0</v>
      </c>
      <c r="BE4355" s="130">
        <f t="shared" si="1453"/>
        <v>0</v>
      </c>
      <c r="BF4355" s="195" t="e">
        <f t="shared" si="1454"/>
        <v>#DIV/0!</v>
      </c>
      <c r="BG4355" s="373">
        <f t="shared" si="1455"/>
        <v>0</v>
      </c>
      <c r="BH4355" s="515" t="s">
        <v>3371</v>
      </c>
      <c r="BI4355" s="591" t="s">
        <v>4221</v>
      </c>
      <c r="BJ4355" s="591" t="s">
        <v>4222</v>
      </c>
    </row>
    <row r="4356" spans="1:62" s="46" customFormat="1" ht="20.100000000000001" customHeight="1">
      <c r="A4356" s="664" t="s">
        <v>1873</v>
      </c>
      <c r="B4356" s="665"/>
      <c r="C4356" s="665"/>
      <c r="D4356" s="160">
        <f>D10+D22+D33+D47+D52+D55+D75+D78+D80+D82+D198+D253+D255+D257+D567+D569+D672++D741++D846+D853+D855+D989+D999+D1002+D1005+D1081+D1083+D1086+D1088</f>
        <v>20</v>
      </c>
      <c r="E4356" s="160">
        <f t="shared" ref="E4356:AJ4356" si="1459">E10+E22+E33+E47+E52+E55+E75+E78+E80+E82+E198+E253+E255+E257+E567+E569+E672+E741+E846+E853+E855+E989+E999+E1002+E1005+E1081+E1083+E1086+E1088</f>
        <v>0</v>
      </c>
      <c r="F4356" s="160">
        <f t="shared" si="1459"/>
        <v>0</v>
      </c>
      <c r="G4356" s="160">
        <f t="shared" si="1459"/>
        <v>0</v>
      </c>
      <c r="H4356" s="160">
        <f t="shared" si="1459"/>
        <v>165</v>
      </c>
      <c r="I4356" s="160">
        <f t="shared" si="1459"/>
        <v>0</v>
      </c>
      <c r="J4356" s="160">
        <f t="shared" si="1459"/>
        <v>0</v>
      </c>
      <c r="K4356" s="160">
        <f t="shared" si="1459"/>
        <v>0</v>
      </c>
      <c r="L4356" s="160">
        <f t="shared" si="1459"/>
        <v>543</v>
      </c>
      <c r="M4356" s="160">
        <f t="shared" si="1459"/>
        <v>0</v>
      </c>
      <c r="N4356" s="160">
        <f t="shared" si="1459"/>
        <v>0</v>
      </c>
      <c r="O4356" s="160">
        <f t="shared" si="1459"/>
        <v>0</v>
      </c>
      <c r="P4356" s="160">
        <f t="shared" si="1459"/>
        <v>467</v>
      </c>
      <c r="Q4356" s="160">
        <f t="shared" si="1459"/>
        <v>0</v>
      </c>
      <c r="R4356" s="160">
        <f t="shared" si="1459"/>
        <v>0</v>
      </c>
      <c r="S4356" s="160">
        <f t="shared" si="1459"/>
        <v>0</v>
      </c>
      <c r="T4356" s="160">
        <f t="shared" si="1459"/>
        <v>0</v>
      </c>
      <c r="U4356" s="160">
        <f t="shared" si="1459"/>
        <v>0</v>
      </c>
      <c r="V4356" s="160">
        <f t="shared" si="1459"/>
        <v>0</v>
      </c>
      <c r="W4356" s="160">
        <f t="shared" si="1459"/>
        <v>0</v>
      </c>
      <c r="X4356" s="160">
        <f t="shared" si="1459"/>
        <v>0</v>
      </c>
      <c r="Y4356" s="160">
        <f t="shared" si="1459"/>
        <v>0</v>
      </c>
      <c r="Z4356" s="160">
        <f t="shared" si="1459"/>
        <v>0</v>
      </c>
      <c r="AA4356" s="160">
        <f t="shared" si="1459"/>
        <v>0</v>
      </c>
      <c r="AB4356" s="160">
        <f t="shared" si="1459"/>
        <v>1194</v>
      </c>
      <c r="AC4356" s="160">
        <f t="shared" si="1459"/>
        <v>2209</v>
      </c>
      <c r="AD4356" s="160">
        <f t="shared" si="1459"/>
        <v>77</v>
      </c>
      <c r="AE4356" s="160">
        <f t="shared" si="1459"/>
        <v>0</v>
      </c>
      <c r="AF4356" s="160">
        <f t="shared" si="1459"/>
        <v>0</v>
      </c>
      <c r="AG4356" s="160">
        <f t="shared" si="1459"/>
        <v>0</v>
      </c>
      <c r="AH4356" s="160">
        <f t="shared" si="1459"/>
        <v>517</v>
      </c>
      <c r="AI4356" s="160">
        <f t="shared" si="1459"/>
        <v>0</v>
      </c>
      <c r="AJ4356" s="160">
        <f t="shared" si="1459"/>
        <v>0</v>
      </c>
      <c r="AK4356" s="160">
        <f t="shared" ref="AK4356:BE4356" si="1460">AK10+AK22+AK33+AK47+AK52+AK55+AK75+AK78+AK80+AK82+AK198+AK253+AK255+AK257+AK567+AK569+AK672+AK741+AK846+AK853+AK855+AK989+AK999+AK1002+AK1005+AK1081+AK1083+AK1086+AK1088</f>
        <v>0</v>
      </c>
      <c r="AL4356" s="160">
        <f t="shared" si="1460"/>
        <v>2479</v>
      </c>
      <c r="AM4356" s="160">
        <f t="shared" si="1460"/>
        <v>0</v>
      </c>
      <c r="AN4356" s="160">
        <f t="shared" si="1460"/>
        <v>0</v>
      </c>
      <c r="AO4356" s="160">
        <f t="shared" si="1460"/>
        <v>0</v>
      </c>
      <c r="AP4356" s="160">
        <f t="shared" si="1460"/>
        <v>2481</v>
      </c>
      <c r="AQ4356" s="160">
        <f t="shared" si="1460"/>
        <v>0</v>
      </c>
      <c r="AR4356" s="160">
        <f t="shared" si="1460"/>
        <v>0</v>
      </c>
      <c r="AS4356" s="160">
        <f t="shared" si="1460"/>
        <v>0</v>
      </c>
      <c r="AT4356" s="160">
        <f t="shared" si="1460"/>
        <v>0</v>
      </c>
      <c r="AU4356" s="160">
        <f t="shared" si="1460"/>
        <v>0</v>
      </c>
      <c r="AV4356" s="160">
        <f t="shared" si="1460"/>
        <v>0</v>
      </c>
      <c r="AW4356" s="160">
        <f t="shared" si="1460"/>
        <v>0</v>
      </c>
      <c r="AX4356" s="160">
        <f t="shared" si="1460"/>
        <v>0</v>
      </c>
      <c r="AY4356" s="160">
        <f t="shared" si="1460"/>
        <v>0</v>
      </c>
      <c r="AZ4356" s="160">
        <f t="shared" si="1460"/>
        <v>0</v>
      </c>
      <c r="BA4356" s="160">
        <f t="shared" si="1460"/>
        <v>0</v>
      </c>
      <c r="BB4356" s="160">
        <f t="shared" si="1460"/>
        <v>5552</v>
      </c>
      <c r="BC4356" s="160">
        <f t="shared" si="1460"/>
        <v>11572</v>
      </c>
      <c r="BD4356" s="160">
        <f t="shared" si="1460"/>
        <v>6746</v>
      </c>
      <c r="BE4356" s="160">
        <f t="shared" si="1460"/>
        <v>13781</v>
      </c>
      <c r="BF4356" s="195">
        <f t="shared" si="1454"/>
        <v>48.951454901676222</v>
      </c>
      <c r="BG4356" s="379">
        <f t="shared" si="1455"/>
        <v>7035</v>
      </c>
      <c r="BH4356" s="3">
        <v>12481</v>
      </c>
      <c r="BI4356" s="131">
        <v>6746</v>
      </c>
      <c r="BJ4356" s="3">
        <f>BI4356-BD4356</f>
        <v>0</v>
      </c>
    </row>
    <row r="4357" spans="1:62" ht="20.100000000000001" customHeight="1">
      <c r="A4357" s="666" t="s">
        <v>1874</v>
      </c>
      <c r="B4357" s="667"/>
      <c r="C4357" s="667"/>
      <c r="D4357" s="191">
        <f t="shared" ref="D4357:AI4357" si="1461">D1091+D1258+D1409+D1512+D1620+D1698+D1808+D1910+D2006+D2009+D2153+D2293+D2338+D2381+D2614+D2627+D2779+D2921+D3109+D3159+D3178+D3391+D3488+D3507+D3574+D3852+D3872+D3904+D3908+D3914</f>
        <v>64930</v>
      </c>
      <c r="E4357" s="191">
        <f t="shared" si="1461"/>
        <v>0</v>
      </c>
      <c r="F4357" s="191">
        <f t="shared" si="1461"/>
        <v>0</v>
      </c>
      <c r="G4357" s="191">
        <f t="shared" si="1461"/>
        <v>37519</v>
      </c>
      <c r="H4357" s="191">
        <f t="shared" si="1461"/>
        <v>42250</v>
      </c>
      <c r="I4357" s="191">
        <f t="shared" si="1461"/>
        <v>0</v>
      </c>
      <c r="J4357" s="191">
        <f t="shared" si="1461"/>
        <v>0</v>
      </c>
      <c r="K4357" s="191">
        <f t="shared" si="1461"/>
        <v>36281</v>
      </c>
      <c r="L4357" s="191">
        <f t="shared" si="1461"/>
        <v>91828</v>
      </c>
      <c r="M4357" s="191">
        <f t="shared" si="1461"/>
        <v>0</v>
      </c>
      <c r="N4357" s="191">
        <f t="shared" si="1461"/>
        <v>0</v>
      </c>
      <c r="O4357" s="191">
        <f t="shared" si="1461"/>
        <v>72763</v>
      </c>
      <c r="P4357" s="191">
        <f t="shared" si="1461"/>
        <v>101043</v>
      </c>
      <c r="Q4357" s="191">
        <f t="shared" si="1461"/>
        <v>0</v>
      </c>
      <c r="R4357" s="191">
        <f t="shared" si="1461"/>
        <v>0</v>
      </c>
      <c r="S4357" s="191">
        <f t="shared" si="1461"/>
        <v>54409</v>
      </c>
      <c r="T4357" s="191">
        <f t="shared" si="1461"/>
        <v>0</v>
      </c>
      <c r="U4357" s="191">
        <f t="shared" si="1461"/>
        <v>0</v>
      </c>
      <c r="V4357" s="191">
        <f t="shared" si="1461"/>
        <v>0</v>
      </c>
      <c r="W4357" s="191">
        <f t="shared" si="1461"/>
        <v>0</v>
      </c>
      <c r="X4357" s="191">
        <f t="shared" si="1461"/>
        <v>0</v>
      </c>
      <c r="Y4357" s="191">
        <f t="shared" si="1461"/>
        <v>0</v>
      </c>
      <c r="Z4357" s="191">
        <f t="shared" si="1461"/>
        <v>0</v>
      </c>
      <c r="AA4357" s="191">
        <f t="shared" si="1461"/>
        <v>0</v>
      </c>
      <c r="AB4357" s="191">
        <f t="shared" si="1461"/>
        <v>501023</v>
      </c>
      <c r="AC4357" s="191">
        <f t="shared" si="1461"/>
        <v>449400</v>
      </c>
      <c r="AD4357" s="191">
        <f t="shared" si="1461"/>
        <v>288799</v>
      </c>
      <c r="AE4357" s="191">
        <f t="shared" si="1461"/>
        <v>0</v>
      </c>
      <c r="AF4357" s="191">
        <f t="shared" si="1461"/>
        <v>0</v>
      </c>
      <c r="AG4357" s="191">
        <f t="shared" si="1461"/>
        <v>0</v>
      </c>
      <c r="AH4357" s="191">
        <f t="shared" si="1461"/>
        <v>238077</v>
      </c>
      <c r="AI4357" s="191">
        <f t="shared" si="1461"/>
        <v>0</v>
      </c>
      <c r="AJ4357" s="191">
        <f t="shared" ref="AJ4357:BE4357" si="1462">AJ1091+AJ1258+AJ1409+AJ1512+AJ1620+AJ1698+AJ1808+AJ1910+AJ2006+AJ2009+AJ2153+AJ2293+AJ2338+AJ2381+AJ2614+AJ2627+AJ2779+AJ2921+AJ3109+AJ3159+AJ3178+AJ3391+AJ3488+AJ3507+AJ3574+AJ3852+AJ3872+AJ3904+AJ3908+AJ3914</f>
        <v>0</v>
      </c>
      <c r="AK4357" s="191">
        <f t="shared" si="1462"/>
        <v>127</v>
      </c>
      <c r="AL4357" s="191">
        <f t="shared" si="1462"/>
        <v>414822</v>
      </c>
      <c r="AM4357" s="191">
        <f t="shared" si="1462"/>
        <v>0</v>
      </c>
      <c r="AN4357" s="191">
        <f t="shared" si="1462"/>
        <v>0</v>
      </c>
      <c r="AO4357" s="191">
        <f t="shared" si="1462"/>
        <v>0</v>
      </c>
      <c r="AP4357" s="191">
        <f t="shared" si="1462"/>
        <v>275365</v>
      </c>
      <c r="AQ4357" s="191">
        <f t="shared" si="1462"/>
        <v>0</v>
      </c>
      <c r="AR4357" s="191">
        <f t="shared" si="1462"/>
        <v>0</v>
      </c>
      <c r="AS4357" s="191">
        <f t="shared" si="1462"/>
        <v>0</v>
      </c>
      <c r="AT4357" s="191">
        <f t="shared" si="1462"/>
        <v>0</v>
      </c>
      <c r="AU4357" s="191">
        <f t="shared" si="1462"/>
        <v>0</v>
      </c>
      <c r="AV4357" s="191">
        <f t="shared" si="1462"/>
        <v>0</v>
      </c>
      <c r="AW4357" s="191">
        <f t="shared" si="1462"/>
        <v>0</v>
      </c>
      <c r="AX4357" s="191">
        <f t="shared" si="1462"/>
        <v>0</v>
      </c>
      <c r="AY4357" s="191">
        <f t="shared" si="1462"/>
        <v>0</v>
      </c>
      <c r="AZ4357" s="191">
        <f t="shared" si="1462"/>
        <v>0</v>
      </c>
      <c r="BA4357" s="191">
        <f t="shared" si="1462"/>
        <v>0</v>
      </c>
      <c r="BB4357" s="191">
        <f t="shared" si="1462"/>
        <v>1217190</v>
      </c>
      <c r="BC4357" s="191">
        <f t="shared" si="1462"/>
        <v>1255133</v>
      </c>
      <c r="BD4357" s="191">
        <f t="shared" si="1462"/>
        <v>1718213</v>
      </c>
      <c r="BE4357" s="191">
        <f t="shared" si="1462"/>
        <v>1704533</v>
      </c>
      <c r="BF4357" s="195">
        <f t="shared" si="1454"/>
        <v>100.80256586408125</v>
      </c>
      <c r="BG4357" s="379">
        <f t="shared" si="1455"/>
        <v>-13680</v>
      </c>
      <c r="BH4357" s="3">
        <v>1677291</v>
      </c>
    </row>
    <row r="4358" spans="1:62" ht="20.100000000000001" customHeight="1">
      <c r="A4358" s="648" t="s">
        <v>1875</v>
      </c>
      <c r="B4358" s="649"/>
      <c r="C4358" s="649"/>
      <c r="D4358" s="192">
        <f t="shared" ref="D4358:AI4358" si="1463">D3918+D3943+D3969+D3987+D4004+D4024+D4044+D4066+D4095+D4098+D4114+D4123+D4125+D4132+D4159+D4161+D4186+D4220+D4250+D4270+D4272+D4288+D4303+D4348+D4352+D4354</f>
        <v>11025</v>
      </c>
      <c r="E4358" s="192">
        <f t="shared" si="1463"/>
        <v>0</v>
      </c>
      <c r="F4358" s="192">
        <f t="shared" si="1463"/>
        <v>0</v>
      </c>
      <c r="G4358" s="192">
        <f t="shared" si="1463"/>
        <v>2486</v>
      </c>
      <c r="H4358" s="192">
        <f t="shared" si="1463"/>
        <v>14434</v>
      </c>
      <c r="I4358" s="192">
        <f t="shared" si="1463"/>
        <v>0</v>
      </c>
      <c r="J4358" s="192">
        <f t="shared" si="1463"/>
        <v>0</v>
      </c>
      <c r="K4358" s="192">
        <f t="shared" si="1463"/>
        <v>0</v>
      </c>
      <c r="L4358" s="192">
        <f t="shared" si="1463"/>
        <v>30038</v>
      </c>
      <c r="M4358" s="192">
        <f t="shared" si="1463"/>
        <v>0</v>
      </c>
      <c r="N4358" s="192">
        <f t="shared" si="1463"/>
        <v>0</v>
      </c>
      <c r="O4358" s="192">
        <f t="shared" si="1463"/>
        <v>0</v>
      </c>
      <c r="P4358" s="192">
        <f t="shared" si="1463"/>
        <v>20395</v>
      </c>
      <c r="Q4358" s="192">
        <f t="shared" si="1463"/>
        <v>0</v>
      </c>
      <c r="R4358" s="192">
        <f t="shared" si="1463"/>
        <v>0</v>
      </c>
      <c r="S4358" s="192">
        <f t="shared" si="1463"/>
        <v>0</v>
      </c>
      <c r="T4358" s="192">
        <f t="shared" si="1463"/>
        <v>0</v>
      </c>
      <c r="U4358" s="192">
        <f t="shared" si="1463"/>
        <v>0</v>
      </c>
      <c r="V4358" s="192">
        <f t="shared" si="1463"/>
        <v>0</v>
      </c>
      <c r="W4358" s="192">
        <f t="shared" si="1463"/>
        <v>0</v>
      </c>
      <c r="X4358" s="192">
        <f t="shared" si="1463"/>
        <v>0</v>
      </c>
      <c r="Y4358" s="192">
        <f t="shared" si="1463"/>
        <v>0</v>
      </c>
      <c r="Z4358" s="192">
        <f t="shared" si="1463"/>
        <v>0</v>
      </c>
      <c r="AA4358" s="192">
        <f t="shared" si="1463"/>
        <v>0</v>
      </c>
      <c r="AB4358" s="192">
        <f t="shared" si="1463"/>
        <v>78378</v>
      </c>
      <c r="AC4358" s="192">
        <f t="shared" si="1463"/>
        <v>134317</v>
      </c>
      <c r="AD4358" s="192">
        <f t="shared" si="1463"/>
        <v>1419</v>
      </c>
      <c r="AE4358" s="192">
        <f t="shared" si="1463"/>
        <v>0</v>
      </c>
      <c r="AF4358" s="192">
        <f t="shared" si="1463"/>
        <v>0</v>
      </c>
      <c r="AG4358" s="192">
        <f t="shared" si="1463"/>
        <v>0</v>
      </c>
      <c r="AH4358" s="192">
        <f t="shared" si="1463"/>
        <v>3140</v>
      </c>
      <c r="AI4358" s="192">
        <f t="shared" si="1463"/>
        <v>0</v>
      </c>
      <c r="AJ4358" s="192">
        <f t="shared" ref="AJ4358:BE4358" si="1464">AJ3918+AJ3943+AJ3969+AJ3987+AJ4004+AJ4024+AJ4044+AJ4066+AJ4095+AJ4098+AJ4114+AJ4123+AJ4125+AJ4132+AJ4159+AJ4161+AJ4186+AJ4220+AJ4250+AJ4270+AJ4272+AJ4288+AJ4303+AJ4348+AJ4352+AJ4354</f>
        <v>0</v>
      </c>
      <c r="AK4358" s="192">
        <f t="shared" si="1464"/>
        <v>0</v>
      </c>
      <c r="AL4358" s="192">
        <f t="shared" si="1464"/>
        <v>12257</v>
      </c>
      <c r="AM4358" s="192">
        <f t="shared" si="1464"/>
        <v>0</v>
      </c>
      <c r="AN4358" s="192">
        <f t="shared" si="1464"/>
        <v>0</v>
      </c>
      <c r="AO4358" s="192">
        <f t="shared" si="1464"/>
        <v>0</v>
      </c>
      <c r="AP4358" s="192">
        <f t="shared" si="1464"/>
        <v>8877</v>
      </c>
      <c r="AQ4358" s="192">
        <f t="shared" si="1464"/>
        <v>0</v>
      </c>
      <c r="AR4358" s="192">
        <f t="shared" si="1464"/>
        <v>0</v>
      </c>
      <c r="AS4358" s="192">
        <f t="shared" si="1464"/>
        <v>0</v>
      </c>
      <c r="AT4358" s="192">
        <f t="shared" si="1464"/>
        <v>0</v>
      </c>
      <c r="AU4358" s="192">
        <f t="shared" si="1464"/>
        <v>0</v>
      </c>
      <c r="AV4358" s="192">
        <f t="shared" si="1464"/>
        <v>0</v>
      </c>
      <c r="AW4358" s="192">
        <f t="shared" si="1464"/>
        <v>0</v>
      </c>
      <c r="AX4358" s="192">
        <f t="shared" si="1464"/>
        <v>0</v>
      </c>
      <c r="AY4358" s="192">
        <f t="shared" si="1464"/>
        <v>0</v>
      </c>
      <c r="AZ4358" s="192">
        <f t="shared" si="1464"/>
        <v>0</v>
      </c>
      <c r="BA4358" s="192">
        <f t="shared" si="1464"/>
        <v>0</v>
      </c>
      <c r="BB4358" s="192">
        <f t="shared" si="1464"/>
        <v>25693</v>
      </c>
      <c r="BC4358" s="192">
        <f t="shared" si="1464"/>
        <v>79079</v>
      </c>
      <c r="BD4358" s="192">
        <f t="shared" si="1464"/>
        <v>104071</v>
      </c>
      <c r="BE4358" s="192">
        <f t="shared" si="1464"/>
        <v>213396</v>
      </c>
      <c r="BF4358" s="195">
        <f t="shared" si="1454"/>
        <v>48.768955369360249</v>
      </c>
      <c r="BG4358" s="379">
        <f t="shared" si="1455"/>
        <v>109325</v>
      </c>
      <c r="BH4358" s="3">
        <v>193721</v>
      </c>
    </row>
    <row r="4359" spans="1:62" ht="20.100000000000001" customHeight="1">
      <c r="A4359" s="668" t="s">
        <v>1876</v>
      </c>
      <c r="B4359" s="669"/>
      <c r="C4359" s="669"/>
      <c r="D4359" s="193">
        <f t="shared" ref="D4359" si="1465">SUM(D4357:D4358)</f>
        <v>75955</v>
      </c>
      <c r="E4359" s="193">
        <f t="shared" ref="E4359:BE4359" si="1466">SUM(E4357:E4358)</f>
        <v>0</v>
      </c>
      <c r="F4359" s="193">
        <f t="shared" si="1466"/>
        <v>0</v>
      </c>
      <c r="G4359" s="193">
        <f t="shared" si="1466"/>
        <v>40005</v>
      </c>
      <c r="H4359" s="193">
        <f t="shared" si="1466"/>
        <v>56684</v>
      </c>
      <c r="I4359" s="193">
        <f t="shared" si="1466"/>
        <v>0</v>
      </c>
      <c r="J4359" s="193">
        <f t="shared" si="1466"/>
        <v>0</v>
      </c>
      <c r="K4359" s="193">
        <f t="shared" si="1466"/>
        <v>36281</v>
      </c>
      <c r="L4359" s="193">
        <f t="shared" si="1466"/>
        <v>121866</v>
      </c>
      <c r="M4359" s="193">
        <f t="shared" si="1466"/>
        <v>0</v>
      </c>
      <c r="N4359" s="193">
        <f t="shared" si="1466"/>
        <v>0</v>
      </c>
      <c r="O4359" s="193">
        <f t="shared" si="1466"/>
        <v>72763</v>
      </c>
      <c r="P4359" s="193">
        <f t="shared" si="1466"/>
        <v>121438</v>
      </c>
      <c r="Q4359" s="193">
        <f t="shared" si="1466"/>
        <v>0</v>
      </c>
      <c r="R4359" s="193">
        <f t="shared" si="1466"/>
        <v>0</v>
      </c>
      <c r="S4359" s="193">
        <f t="shared" si="1466"/>
        <v>54409</v>
      </c>
      <c r="T4359" s="193">
        <f t="shared" si="1466"/>
        <v>0</v>
      </c>
      <c r="U4359" s="193">
        <f t="shared" si="1466"/>
        <v>0</v>
      </c>
      <c r="V4359" s="193">
        <f t="shared" si="1466"/>
        <v>0</v>
      </c>
      <c r="W4359" s="193">
        <f t="shared" si="1466"/>
        <v>0</v>
      </c>
      <c r="X4359" s="193">
        <f t="shared" si="1466"/>
        <v>0</v>
      </c>
      <c r="Y4359" s="193">
        <f t="shared" si="1466"/>
        <v>0</v>
      </c>
      <c r="Z4359" s="193">
        <f t="shared" si="1466"/>
        <v>0</v>
      </c>
      <c r="AA4359" s="193">
        <f t="shared" si="1466"/>
        <v>0</v>
      </c>
      <c r="AB4359" s="193">
        <f t="shared" si="1466"/>
        <v>579401</v>
      </c>
      <c r="AC4359" s="193">
        <f t="shared" si="1466"/>
        <v>583717</v>
      </c>
      <c r="AD4359" s="193">
        <f t="shared" si="1466"/>
        <v>290218</v>
      </c>
      <c r="AE4359" s="193">
        <f t="shared" si="1466"/>
        <v>0</v>
      </c>
      <c r="AF4359" s="193">
        <f t="shared" si="1466"/>
        <v>0</v>
      </c>
      <c r="AG4359" s="193">
        <f t="shared" si="1466"/>
        <v>0</v>
      </c>
      <c r="AH4359" s="193">
        <f t="shared" si="1466"/>
        <v>241217</v>
      </c>
      <c r="AI4359" s="193">
        <f t="shared" si="1466"/>
        <v>0</v>
      </c>
      <c r="AJ4359" s="193">
        <f t="shared" si="1466"/>
        <v>0</v>
      </c>
      <c r="AK4359" s="193">
        <f t="shared" si="1466"/>
        <v>127</v>
      </c>
      <c r="AL4359" s="193">
        <f t="shared" si="1466"/>
        <v>427079</v>
      </c>
      <c r="AM4359" s="193">
        <f t="shared" si="1466"/>
        <v>0</v>
      </c>
      <c r="AN4359" s="193">
        <f t="shared" si="1466"/>
        <v>0</v>
      </c>
      <c r="AO4359" s="193">
        <f t="shared" si="1466"/>
        <v>0</v>
      </c>
      <c r="AP4359" s="193">
        <f t="shared" si="1466"/>
        <v>284242</v>
      </c>
      <c r="AQ4359" s="193">
        <f t="shared" si="1466"/>
        <v>0</v>
      </c>
      <c r="AR4359" s="193">
        <f t="shared" si="1466"/>
        <v>0</v>
      </c>
      <c r="AS4359" s="193">
        <f t="shared" si="1466"/>
        <v>0</v>
      </c>
      <c r="AT4359" s="193">
        <f t="shared" si="1466"/>
        <v>0</v>
      </c>
      <c r="AU4359" s="193">
        <f t="shared" si="1466"/>
        <v>0</v>
      </c>
      <c r="AV4359" s="193">
        <f t="shared" si="1466"/>
        <v>0</v>
      </c>
      <c r="AW4359" s="193">
        <f t="shared" si="1466"/>
        <v>0</v>
      </c>
      <c r="AX4359" s="193">
        <f t="shared" si="1466"/>
        <v>0</v>
      </c>
      <c r="AY4359" s="193">
        <f t="shared" si="1466"/>
        <v>0</v>
      </c>
      <c r="AZ4359" s="193">
        <f t="shared" si="1466"/>
        <v>0</v>
      </c>
      <c r="BA4359" s="193">
        <f t="shared" si="1466"/>
        <v>0</v>
      </c>
      <c r="BB4359" s="193">
        <f t="shared" si="1466"/>
        <v>1242883</v>
      </c>
      <c r="BC4359" s="193">
        <f t="shared" si="1466"/>
        <v>1334212</v>
      </c>
      <c r="BD4359" s="193">
        <f t="shared" si="1466"/>
        <v>1822284</v>
      </c>
      <c r="BE4359" s="193">
        <f t="shared" si="1466"/>
        <v>1917929</v>
      </c>
      <c r="BF4359" s="195">
        <f t="shared" si="1454"/>
        <v>95.013110495748279</v>
      </c>
      <c r="BG4359" s="379">
        <f t="shared" si="1455"/>
        <v>95645</v>
      </c>
      <c r="BH4359" s="3">
        <v>1871012</v>
      </c>
    </row>
    <row r="4360" spans="1:62" ht="20.100000000000001" customHeight="1">
      <c r="A4360" s="668" t="s">
        <v>1877</v>
      </c>
      <c r="B4360" s="669"/>
      <c r="C4360" s="669"/>
      <c r="D4360" s="193">
        <f t="shared" ref="D4360:BE4360" si="1467">D4356+D4357+D4358</f>
        <v>75975</v>
      </c>
      <c r="E4360" s="193">
        <f t="shared" si="1467"/>
        <v>0</v>
      </c>
      <c r="F4360" s="193">
        <f t="shared" si="1467"/>
        <v>0</v>
      </c>
      <c r="G4360" s="193">
        <f t="shared" si="1467"/>
        <v>40005</v>
      </c>
      <c r="H4360" s="193">
        <f t="shared" si="1467"/>
        <v>56849</v>
      </c>
      <c r="I4360" s="193">
        <f t="shared" si="1467"/>
        <v>0</v>
      </c>
      <c r="J4360" s="193">
        <f t="shared" si="1467"/>
        <v>0</v>
      </c>
      <c r="K4360" s="193">
        <f t="shared" si="1467"/>
        <v>36281</v>
      </c>
      <c r="L4360" s="193">
        <f t="shared" si="1467"/>
        <v>122409</v>
      </c>
      <c r="M4360" s="193">
        <f t="shared" si="1467"/>
        <v>0</v>
      </c>
      <c r="N4360" s="193">
        <f t="shared" si="1467"/>
        <v>0</v>
      </c>
      <c r="O4360" s="193">
        <f t="shared" si="1467"/>
        <v>72763</v>
      </c>
      <c r="P4360" s="193">
        <f t="shared" si="1467"/>
        <v>121905</v>
      </c>
      <c r="Q4360" s="193">
        <f t="shared" si="1467"/>
        <v>0</v>
      </c>
      <c r="R4360" s="193">
        <f t="shared" si="1467"/>
        <v>0</v>
      </c>
      <c r="S4360" s="193">
        <f t="shared" si="1467"/>
        <v>54409</v>
      </c>
      <c r="T4360" s="193">
        <f t="shared" si="1467"/>
        <v>0</v>
      </c>
      <c r="U4360" s="193">
        <f t="shared" si="1467"/>
        <v>0</v>
      </c>
      <c r="V4360" s="193">
        <f t="shared" si="1467"/>
        <v>0</v>
      </c>
      <c r="W4360" s="193">
        <f t="shared" si="1467"/>
        <v>0</v>
      </c>
      <c r="X4360" s="193">
        <f t="shared" si="1467"/>
        <v>0</v>
      </c>
      <c r="Y4360" s="193">
        <f t="shared" si="1467"/>
        <v>0</v>
      </c>
      <c r="Z4360" s="193">
        <f t="shared" si="1467"/>
        <v>0</v>
      </c>
      <c r="AA4360" s="193">
        <f t="shared" si="1467"/>
        <v>0</v>
      </c>
      <c r="AB4360" s="193">
        <f t="shared" si="1467"/>
        <v>580595</v>
      </c>
      <c r="AC4360" s="193">
        <f t="shared" si="1467"/>
        <v>585926</v>
      </c>
      <c r="AD4360" s="193">
        <f t="shared" si="1467"/>
        <v>290295</v>
      </c>
      <c r="AE4360" s="193">
        <f t="shared" si="1467"/>
        <v>0</v>
      </c>
      <c r="AF4360" s="193">
        <f t="shared" si="1467"/>
        <v>0</v>
      </c>
      <c r="AG4360" s="193">
        <f t="shared" si="1467"/>
        <v>0</v>
      </c>
      <c r="AH4360" s="193">
        <f t="shared" si="1467"/>
        <v>241734</v>
      </c>
      <c r="AI4360" s="193">
        <f t="shared" si="1467"/>
        <v>0</v>
      </c>
      <c r="AJ4360" s="193">
        <f t="shared" si="1467"/>
        <v>0</v>
      </c>
      <c r="AK4360" s="193">
        <f t="shared" si="1467"/>
        <v>127</v>
      </c>
      <c r="AL4360" s="193">
        <f t="shared" si="1467"/>
        <v>429558</v>
      </c>
      <c r="AM4360" s="193">
        <f t="shared" si="1467"/>
        <v>0</v>
      </c>
      <c r="AN4360" s="193">
        <f t="shared" si="1467"/>
        <v>0</v>
      </c>
      <c r="AO4360" s="193">
        <f t="shared" si="1467"/>
        <v>0</v>
      </c>
      <c r="AP4360" s="193">
        <f t="shared" si="1467"/>
        <v>286723</v>
      </c>
      <c r="AQ4360" s="193">
        <f t="shared" si="1467"/>
        <v>0</v>
      </c>
      <c r="AR4360" s="193">
        <f t="shared" si="1467"/>
        <v>0</v>
      </c>
      <c r="AS4360" s="193">
        <f t="shared" si="1467"/>
        <v>0</v>
      </c>
      <c r="AT4360" s="193">
        <f t="shared" si="1467"/>
        <v>0</v>
      </c>
      <c r="AU4360" s="193">
        <f t="shared" si="1467"/>
        <v>0</v>
      </c>
      <c r="AV4360" s="193">
        <f t="shared" si="1467"/>
        <v>0</v>
      </c>
      <c r="AW4360" s="193">
        <f t="shared" si="1467"/>
        <v>0</v>
      </c>
      <c r="AX4360" s="193">
        <f t="shared" si="1467"/>
        <v>0</v>
      </c>
      <c r="AY4360" s="193">
        <f t="shared" si="1467"/>
        <v>0</v>
      </c>
      <c r="AZ4360" s="193">
        <f t="shared" si="1467"/>
        <v>0</v>
      </c>
      <c r="BA4360" s="193">
        <f t="shared" si="1467"/>
        <v>0</v>
      </c>
      <c r="BB4360" s="193">
        <f t="shared" si="1467"/>
        <v>1248435</v>
      </c>
      <c r="BC4360" s="193">
        <f t="shared" si="1467"/>
        <v>1345784</v>
      </c>
      <c r="BD4360" s="193">
        <f t="shared" si="1467"/>
        <v>1829030</v>
      </c>
      <c r="BE4360" s="193">
        <f t="shared" si="1467"/>
        <v>1931710</v>
      </c>
      <c r="BF4360" s="195">
        <f t="shared" si="1454"/>
        <v>94.684502332130606</v>
      </c>
      <c r="BG4360" s="379">
        <f t="shared" si="1455"/>
        <v>102680</v>
      </c>
      <c r="BH4360" s="3">
        <v>1883493</v>
      </c>
    </row>
    <row r="4361" spans="1:62" s="21" customFormat="1" ht="15" customHeight="1">
      <c r="A4361" s="670" t="s">
        <v>1878</v>
      </c>
      <c r="B4361" s="671"/>
      <c r="C4361" s="671"/>
      <c r="D4361" s="671"/>
      <c r="E4361" s="671"/>
      <c r="F4361" s="671"/>
      <c r="G4361" s="671"/>
      <c r="H4361" s="671"/>
      <c r="I4361" s="671"/>
      <c r="J4361" s="671"/>
      <c r="K4361" s="671"/>
      <c r="L4361" s="671"/>
      <c r="M4361" s="671"/>
      <c r="N4361" s="671"/>
      <c r="O4361" s="671"/>
      <c r="P4361" s="671"/>
      <c r="Q4361" s="671"/>
      <c r="R4361" s="671"/>
      <c r="S4361" s="671"/>
      <c r="T4361" s="671"/>
      <c r="U4361" s="671"/>
      <c r="V4361" s="671"/>
      <c r="W4361" s="671"/>
      <c r="X4361" s="671"/>
      <c r="Y4361" s="671"/>
      <c r="Z4361" s="671"/>
      <c r="AA4361" s="671"/>
      <c r="AB4361" s="671"/>
      <c r="AC4361" s="671"/>
      <c r="AD4361" s="671"/>
      <c r="AE4361" s="671"/>
      <c r="AF4361" s="671"/>
      <c r="AG4361" s="671"/>
      <c r="AH4361" s="671"/>
      <c r="AI4361" s="671"/>
      <c r="AJ4361" s="671"/>
      <c r="AK4361" s="671"/>
      <c r="AL4361" s="671"/>
      <c r="AM4361" s="671"/>
      <c r="AN4361" s="671"/>
      <c r="AO4361" s="671"/>
      <c r="AP4361" s="671"/>
      <c r="AQ4361" s="671"/>
      <c r="AR4361" s="671"/>
      <c r="AS4361" s="671"/>
      <c r="AT4361" s="671"/>
      <c r="AU4361" s="671"/>
      <c r="AV4361" s="671"/>
      <c r="AW4361" s="671"/>
      <c r="AX4361" s="671"/>
      <c r="AY4361" s="671"/>
      <c r="AZ4361" s="671"/>
      <c r="BA4361" s="671"/>
      <c r="BB4361" s="671"/>
      <c r="BC4361" s="671"/>
      <c r="BD4361" s="671"/>
      <c r="BE4361" s="671"/>
      <c r="BF4361" s="195" t="e">
        <f t="shared" si="1454"/>
        <v>#DIV/0!</v>
      </c>
      <c r="BG4361" s="373">
        <f t="shared" si="1455"/>
        <v>0</v>
      </c>
      <c r="BH4361" s="341"/>
    </row>
    <row r="4362" spans="1:62" s="21" customFormat="1" ht="15" customHeight="1">
      <c r="A4362" s="194">
        <v>1</v>
      </c>
      <c r="B4362" s="104" t="s">
        <v>1296</v>
      </c>
      <c r="C4362" s="105" t="s">
        <v>1879</v>
      </c>
      <c r="D4362" s="15"/>
      <c r="E4362" s="15"/>
      <c r="F4362" s="15"/>
      <c r="G4362" s="15"/>
      <c r="H4362" s="15"/>
      <c r="I4362" s="15"/>
      <c r="J4362" s="15"/>
      <c r="K4362" s="15"/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>
        <f t="shared" ref="AB4362:AB4373" si="1468">SUM(D4362:Z4362)</f>
        <v>0</v>
      </c>
      <c r="AC4362" s="103">
        <v>10</v>
      </c>
      <c r="AD4362" s="22"/>
      <c r="AE4362" s="22"/>
      <c r="AF4362" s="22"/>
      <c r="AG4362" s="22"/>
      <c r="AH4362" s="22"/>
      <c r="AI4362" s="22"/>
      <c r="AJ4362" s="22"/>
      <c r="AK4362" s="22"/>
      <c r="AL4362" s="22"/>
      <c r="AM4362" s="22"/>
      <c r="AN4362" s="22"/>
      <c r="AO4362" s="22"/>
      <c r="AP4362" s="22"/>
      <c r="AQ4362" s="22"/>
      <c r="AR4362" s="22"/>
      <c r="AS4362" s="22"/>
      <c r="AT4362" s="22"/>
      <c r="AU4362" s="22"/>
      <c r="AV4362" s="22"/>
      <c r="AW4362" s="22"/>
      <c r="AX4362" s="22"/>
      <c r="AY4362" s="22"/>
      <c r="AZ4362" s="22"/>
      <c r="BA4362" s="22"/>
      <c r="BB4362" s="22">
        <f>SUM(AD4362:AZ4362)</f>
        <v>0</v>
      </c>
      <c r="BC4362" s="23">
        <v>0</v>
      </c>
      <c r="BD4362" s="193">
        <f>AB4362+BB4362</f>
        <v>0</v>
      </c>
      <c r="BE4362" s="193">
        <f>AC4362+BC4362</f>
        <v>10</v>
      </c>
      <c r="BF4362" s="195">
        <f t="shared" si="1454"/>
        <v>0</v>
      </c>
      <c r="BG4362" s="373">
        <f t="shared" si="1455"/>
        <v>10</v>
      </c>
      <c r="BH4362" s="341"/>
    </row>
    <row r="4363" spans="1:62" s="21" customFormat="1" ht="15" customHeight="1">
      <c r="A4363" s="194">
        <v>2</v>
      </c>
      <c r="B4363" s="65" t="s">
        <v>1880</v>
      </c>
      <c r="C4363" s="66" t="s">
        <v>1881</v>
      </c>
      <c r="D4363" s="67"/>
      <c r="E4363" s="67"/>
      <c r="F4363" s="67"/>
      <c r="G4363" s="67"/>
      <c r="H4363" s="67"/>
      <c r="I4363" s="67"/>
      <c r="J4363" s="67"/>
      <c r="K4363" s="67"/>
      <c r="L4363" s="67"/>
      <c r="M4363" s="67"/>
      <c r="N4363" s="67"/>
      <c r="O4363" s="67"/>
      <c r="P4363" s="67"/>
      <c r="Q4363" s="67"/>
      <c r="R4363" s="67"/>
      <c r="S4363" s="67"/>
      <c r="T4363" s="67"/>
      <c r="U4363" s="67"/>
      <c r="V4363" s="67"/>
      <c r="W4363" s="67"/>
      <c r="X4363" s="67"/>
      <c r="Y4363" s="67"/>
      <c r="Z4363" s="67"/>
      <c r="AA4363" s="67"/>
      <c r="AB4363" s="67">
        <f t="shared" si="1468"/>
        <v>0</v>
      </c>
      <c r="AC4363" s="103"/>
      <c r="AD4363" s="22"/>
      <c r="AE4363" s="22"/>
      <c r="AF4363" s="22"/>
      <c r="AG4363" s="22"/>
      <c r="AH4363" s="22"/>
      <c r="AI4363" s="22"/>
      <c r="AJ4363" s="22"/>
      <c r="AK4363" s="22"/>
      <c r="AL4363" s="22"/>
      <c r="AM4363" s="22"/>
      <c r="AN4363" s="22"/>
      <c r="AO4363" s="22"/>
      <c r="AP4363" s="22"/>
      <c r="AQ4363" s="22"/>
      <c r="AR4363" s="22"/>
      <c r="AS4363" s="22"/>
      <c r="AT4363" s="22"/>
      <c r="AU4363" s="22"/>
      <c r="AV4363" s="22"/>
      <c r="AW4363" s="22"/>
      <c r="AX4363" s="22"/>
      <c r="AY4363" s="22"/>
      <c r="AZ4363" s="22"/>
      <c r="BA4363" s="22"/>
      <c r="BB4363" s="22">
        <f t="shared" ref="BB4363:BB4373" si="1469">SUM(AD4363:AZ4363)</f>
        <v>0</v>
      </c>
      <c r="BC4363" s="23">
        <v>0</v>
      </c>
      <c r="BD4363" s="193">
        <f t="shared" ref="BD4363:BE4373" si="1470">AB4363+BB4363</f>
        <v>0</v>
      </c>
      <c r="BE4363" s="193">
        <f t="shared" si="1470"/>
        <v>0</v>
      </c>
      <c r="BF4363" s="195" t="e">
        <f t="shared" si="1454"/>
        <v>#DIV/0!</v>
      </c>
      <c r="BG4363" s="378">
        <f t="shared" si="1455"/>
        <v>0</v>
      </c>
      <c r="BH4363" s="343">
        <f>'[1]11  OПЕРАЦИЈЕ РФЗО'!$R$19</f>
        <v>13781</v>
      </c>
    </row>
    <row r="4364" spans="1:62" s="21" customFormat="1" ht="15" customHeight="1">
      <c r="A4364" s="194">
        <v>3</v>
      </c>
      <c r="B4364" s="65" t="s">
        <v>1882</v>
      </c>
      <c r="C4364" s="66" t="s">
        <v>1883</v>
      </c>
      <c r="D4364" s="67"/>
      <c r="E4364" s="67"/>
      <c r="F4364" s="67"/>
      <c r="G4364" s="67"/>
      <c r="H4364" s="67"/>
      <c r="I4364" s="67"/>
      <c r="J4364" s="67"/>
      <c r="K4364" s="67"/>
      <c r="L4364" s="67"/>
      <c r="M4364" s="67"/>
      <c r="N4364" s="67"/>
      <c r="O4364" s="67"/>
      <c r="P4364" s="67"/>
      <c r="Q4364" s="67"/>
      <c r="R4364" s="67"/>
      <c r="S4364" s="67"/>
      <c r="T4364" s="67"/>
      <c r="U4364" s="67"/>
      <c r="V4364" s="67"/>
      <c r="W4364" s="67"/>
      <c r="X4364" s="67"/>
      <c r="Y4364" s="67"/>
      <c r="Z4364" s="67"/>
      <c r="AA4364" s="67"/>
      <c r="AB4364" s="67">
        <f t="shared" si="1468"/>
        <v>0</v>
      </c>
      <c r="AC4364" s="103"/>
      <c r="AD4364" s="22"/>
      <c r="AE4364" s="22"/>
      <c r="AF4364" s="22"/>
      <c r="AG4364" s="22"/>
      <c r="AH4364" s="22"/>
      <c r="AI4364" s="22"/>
      <c r="AJ4364" s="22"/>
      <c r="AK4364" s="22"/>
      <c r="AL4364" s="22"/>
      <c r="AM4364" s="22"/>
      <c r="AN4364" s="22"/>
      <c r="AO4364" s="22"/>
      <c r="AP4364" s="22"/>
      <c r="AQ4364" s="22"/>
      <c r="AR4364" s="22"/>
      <c r="AS4364" s="22"/>
      <c r="AT4364" s="22"/>
      <c r="AU4364" s="22"/>
      <c r="AV4364" s="22"/>
      <c r="AW4364" s="22"/>
      <c r="AX4364" s="22"/>
      <c r="AY4364" s="22"/>
      <c r="AZ4364" s="22"/>
      <c r="BA4364" s="22"/>
      <c r="BB4364" s="22">
        <f t="shared" si="1469"/>
        <v>0</v>
      </c>
      <c r="BC4364" s="23">
        <v>0</v>
      </c>
      <c r="BD4364" s="193">
        <f t="shared" si="1470"/>
        <v>0</v>
      </c>
      <c r="BE4364" s="193">
        <f t="shared" si="1470"/>
        <v>0</v>
      </c>
      <c r="BF4364" s="195" t="e">
        <f t="shared" si="1454"/>
        <v>#DIV/0!</v>
      </c>
      <c r="BG4364" s="378">
        <f t="shared" si="1455"/>
        <v>0</v>
      </c>
      <c r="BH4364" s="343">
        <f>BE4356-BH4363</f>
        <v>0</v>
      </c>
    </row>
    <row r="4365" spans="1:62" s="21" customFormat="1" ht="12.75" customHeight="1">
      <c r="A4365" s="194">
        <v>4</v>
      </c>
      <c r="B4365" s="65" t="s">
        <v>66</v>
      </c>
      <c r="C4365" s="66" t="s">
        <v>1884</v>
      </c>
      <c r="D4365" s="67"/>
      <c r="E4365" s="67"/>
      <c r="F4365" s="67"/>
      <c r="G4365" s="67"/>
      <c r="H4365" s="67"/>
      <c r="I4365" s="67"/>
      <c r="J4365" s="67"/>
      <c r="K4365" s="67"/>
      <c r="L4365" s="67"/>
      <c r="M4365" s="67"/>
      <c r="N4365" s="67"/>
      <c r="O4365" s="67"/>
      <c r="P4365" s="67"/>
      <c r="Q4365" s="67"/>
      <c r="R4365" s="67"/>
      <c r="S4365" s="67"/>
      <c r="T4365" s="67"/>
      <c r="U4365" s="67"/>
      <c r="V4365" s="67"/>
      <c r="W4365" s="67"/>
      <c r="X4365" s="67"/>
      <c r="Y4365" s="67"/>
      <c r="Z4365" s="67"/>
      <c r="AA4365" s="67"/>
      <c r="AB4365" s="67">
        <f t="shared" si="1468"/>
        <v>0</v>
      </c>
      <c r="AC4365" s="103"/>
      <c r="AD4365" s="22"/>
      <c r="AE4365" s="22"/>
      <c r="AF4365" s="22"/>
      <c r="AG4365" s="22"/>
      <c r="AH4365" s="22"/>
      <c r="AI4365" s="22"/>
      <c r="AJ4365" s="22"/>
      <c r="AK4365" s="22"/>
      <c r="AL4365" s="22"/>
      <c r="AM4365" s="22"/>
      <c r="AN4365" s="22"/>
      <c r="AO4365" s="22"/>
      <c r="AP4365" s="22"/>
      <c r="AQ4365" s="22"/>
      <c r="AR4365" s="22"/>
      <c r="AS4365" s="22"/>
      <c r="AT4365" s="22"/>
      <c r="AU4365" s="22"/>
      <c r="AV4365" s="22"/>
      <c r="AW4365" s="22"/>
      <c r="AX4365" s="22"/>
      <c r="AY4365" s="22"/>
      <c r="AZ4365" s="22"/>
      <c r="BA4365" s="22"/>
      <c r="BB4365" s="22">
        <f t="shared" si="1469"/>
        <v>0</v>
      </c>
      <c r="BC4365" s="23">
        <v>0</v>
      </c>
      <c r="BD4365" s="193">
        <f t="shared" si="1470"/>
        <v>0</v>
      </c>
      <c r="BE4365" s="193">
        <f t="shared" si="1470"/>
        <v>0</v>
      </c>
      <c r="BF4365" s="195" t="e">
        <f t="shared" si="1454"/>
        <v>#DIV/0!</v>
      </c>
      <c r="BG4365" s="378">
        <f t="shared" si="1455"/>
        <v>0</v>
      </c>
    </row>
    <row r="4366" spans="1:62" s="21" customFormat="1" ht="11.1" customHeight="1">
      <c r="A4366" s="194">
        <v>5</v>
      </c>
      <c r="B4366" s="65" t="s">
        <v>1885</v>
      </c>
      <c r="C4366" s="66" t="s">
        <v>1886</v>
      </c>
      <c r="D4366" s="67"/>
      <c r="E4366" s="67"/>
      <c r="F4366" s="67"/>
      <c r="G4366" s="67"/>
      <c r="H4366" s="67"/>
      <c r="I4366" s="67"/>
      <c r="J4366" s="67"/>
      <c r="K4366" s="67"/>
      <c r="L4366" s="67"/>
      <c r="M4366" s="67"/>
      <c r="N4366" s="67"/>
      <c r="O4366" s="67"/>
      <c r="P4366" s="67"/>
      <c r="Q4366" s="67"/>
      <c r="R4366" s="67"/>
      <c r="S4366" s="67"/>
      <c r="T4366" s="67"/>
      <c r="U4366" s="67"/>
      <c r="V4366" s="67"/>
      <c r="W4366" s="67"/>
      <c r="X4366" s="67"/>
      <c r="Y4366" s="67"/>
      <c r="Z4366" s="67"/>
      <c r="AA4366" s="67"/>
      <c r="AB4366" s="67">
        <f t="shared" si="1468"/>
        <v>0</v>
      </c>
      <c r="AC4366" s="103"/>
      <c r="AD4366" s="22"/>
      <c r="AE4366" s="22"/>
      <c r="AF4366" s="22"/>
      <c r="AG4366" s="22"/>
      <c r="AH4366" s="22"/>
      <c r="AI4366" s="22"/>
      <c r="AJ4366" s="22"/>
      <c r="AK4366" s="22"/>
      <c r="AL4366" s="22"/>
      <c r="AM4366" s="22"/>
      <c r="AN4366" s="22"/>
      <c r="AO4366" s="22"/>
      <c r="AP4366" s="22"/>
      <c r="AQ4366" s="22"/>
      <c r="AR4366" s="22"/>
      <c r="AS4366" s="22"/>
      <c r="AT4366" s="22"/>
      <c r="AU4366" s="22"/>
      <c r="AV4366" s="22"/>
      <c r="AW4366" s="22"/>
      <c r="AX4366" s="22"/>
      <c r="AY4366" s="22"/>
      <c r="AZ4366" s="22"/>
      <c r="BA4366" s="22"/>
      <c r="BB4366" s="22">
        <f t="shared" si="1469"/>
        <v>0</v>
      </c>
      <c r="BC4366" s="23">
        <v>0</v>
      </c>
      <c r="BD4366" s="193">
        <f t="shared" si="1470"/>
        <v>0</v>
      </c>
      <c r="BE4366" s="193">
        <f t="shared" si="1470"/>
        <v>0</v>
      </c>
      <c r="BF4366" s="195" t="e">
        <f t="shared" si="1454"/>
        <v>#DIV/0!</v>
      </c>
      <c r="BG4366" s="378">
        <f t="shared" si="1455"/>
        <v>0</v>
      </c>
    </row>
    <row r="4367" spans="1:62" s="21" customFormat="1" ht="20.25" customHeight="1">
      <c r="A4367" s="194">
        <v>6</v>
      </c>
      <c r="B4367" s="65" t="s">
        <v>777</v>
      </c>
      <c r="C4367" s="66" t="s">
        <v>1887</v>
      </c>
      <c r="D4367" s="67"/>
      <c r="E4367" s="67"/>
      <c r="F4367" s="67"/>
      <c r="G4367" s="67"/>
      <c r="H4367" s="67"/>
      <c r="I4367" s="67"/>
      <c r="J4367" s="67"/>
      <c r="K4367" s="67"/>
      <c r="L4367" s="67"/>
      <c r="M4367" s="67"/>
      <c r="N4367" s="67"/>
      <c r="O4367" s="67"/>
      <c r="P4367" s="67"/>
      <c r="Q4367" s="67"/>
      <c r="R4367" s="67"/>
      <c r="S4367" s="67"/>
      <c r="T4367" s="67"/>
      <c r="U4367" s="67"/>
      <c r="V4367" s="67"/>
      <c r="W4367" s="67"/>
      <c r="X4367" s="67"/>
      <c r="Y4367" s="67"/>
      <c r="Z4367" s="67"/>
      <c r="AA4367" s="67"/>
      <c r="AB4367" s="67">
        <f t="shared" si="1468"/>
        <v>0</v>
      </c>
      <c r="AC4367" s="103"/>
      <c r="AD4367" s="22"/>
      <c r="AE4367" s="22"/>
      <c r="AF4367" s="22"/>
      <c r="AG4367" s="22"/>
      <c r="AH4367" s="22"/>
      <c r="AI4367" s="22"/>
      <c r="AJ4367" s="22"/>
      <c r="AK4367" s="22"/>
      <c r="AL4367" s="22"/>
      <c r="AM4367" s="22"/>
      <c r="AN4367" s="22"/>
      <c r="AO4367" s="22"/>
      <c r="AP4367" s="22"/>
      <c r="AQ4367" s="22"/>
      <c r="AR4367" s="22"/>
      <c r="AS4367" s="22"/>
      <c r="AT4367" s="22"/>
      <c r="AU4367" s="22"/>
      <c r="AV4367" s="22"/>
      <c r="AW4367" s="22"/>
      <c r="AX4367" s="22"/>
      <c r="AY4367" s="22"/>
      <c r="AZ4367" s="22"/>
      <c r="BA4367" s="22"/>
      <c r="BB4367" s="22">
        <f t="shared" si="1469"/>
        <v>0</v>
      </c>
      <c r="BC4367" s="23">
        <v>0</v>
      </c>
      <c r="BD4367" s="193">
        <f t="shared" si="1470"/>
        <v>0</v>
      </c>
      <c r="BE4367" s="193">
        <f t="shared" si="1470"/>
        <v>0</v>
      </c>
      <c r="BF4367" s="195" t="e">
        <f t="shared" si="1454"/>
        <v>#DIV/0!</v>
      </c>
      <c r="BG4367" s="378">
        <f t="shared" si="1455"/>
        <v>0</v>
      </c>
    </row>
    <row r="4368" spans="1:62" s="21" customFormat="1" ht="39.75" customHeight="1">
      <c r="A4368" s="194">
        <v>7</v>
      </c>
      <c r="B4368" s="104" t="s">
        <v>778</v>
      </c>
      <c r="C4368" s="105" t="s">
        <v>1888</v>
      </c>
      <c r="D4368" s="15"/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>
        <f t="shared" si="1468"/>
        <v>0</v>
      </c>
      <c r="AC4368" s="103">
        <v>0</v>
      </c>
      <c r="AD4368" s="22"/>
      <c r="AE4368" s="22"/>
      <c r="AF4368" s="22"/>
      <c r="AG4368" s="22"/>
      <c r="AH4368" s="22"/>
      <c r="AI4368" s="22"/>
      <c r="AJ4368" s="22"/>
      <c r="AK4368" s="22"/>
      <c r="AL4368" s="22"/>
      <c r="AM4368" s="22"/>
      <c r="AN4368" s="22"/>
      <c r="AO4368" s="22"/>
      <c r="AP4368" s="22"/>
      <c r="AQ4368" s="22"/>
      <c r="AR4368" s="22"/>
      <c r="AS4368" s="22"/>
      <c r="AT4368" s="22"/>
      <c r="AU4368" s="22"/>
      <c r="AV4368" s="22"/>
      <c r="AW4368" s="22"/>
      <c r="AX4368" s="22"/>
      <c r="AY4368" s="22"/>
      <c r="AZ4368" s="22"/>
      <c r="BA4368" s="22"/>
      <c r="BB4368" s="22">
        <f t="shared" si="1469"/>
        <v>0</v>
      </c>
      <c r="BC4368" s="23">
        <v>0</v>
      </c>
      <c r="BD4368" s="193">
        <f t="shared" si="1470"/>
        <v>0</v>
      </c>
      <c r="BE4368" s="193">
        <f t="shared" si="1470"/>
        <v>0</v>
      </c>
      <c r="BF4368" s="195" t="e">
        <f t="shared" si="1454"/>
        <v>#DIV/0!</v>
      </c>
      <c r="BG4368" s="373">
        <f t="shared" si="1455"/>
        <v>0</v>
      </c>
    </row>
    <row r="4369" spans="1:60" s="21" customFormat="1" ht="26.25" customHeight="1">
      <c r="A4369" s="194">
        <v>8</v>
      </c>
      <c r="B4369" s="65" t="s">
        <v>942</v>
      </c>
      <c r="C4369" s="66" t="s">
        <v>1889</v>
      </c>
      <c r="D4369" s="67"/>
      <c r="E4369" s="67"/>
      <c r="F4369" s="67"/>
      <c r="G4369" s="67"/>
      <c r="H4369" s="67"/>
      <c r="I4369" s="67"/>
      <c r="J4369" s="67"/>
      <c r="K4369" s="67"/>
      <c r="L4369" s="67"/>
      <c r="M4369" s="67"/>
      <c r="N4369" s="67"/>
      <c r="O4369" s="67"/>
      <c r="P4369" s="67"/>
      <c r="Q4369" s="67"/>
      <c r="R4369" s="67"/>
      <c r="S4369" s="67"/>
      <c r="T4369" s="67"/>
      <c r="U4369" s="67"/>
      <c r="V4369" s="67"/>
      <c r="W4369" s="67"/>
      <c r="X4369" s="67"/>
      <c r="Y4369" s="67"/>
      <c r="Z4369" s="67"/>
      <c r="AA4369" s="67"/>
      <c r="AB4369" s="67">
        <f t="shared" si="1468"/>
        <v>0</v>
      </c>
      <c r="AC4369" s="103">
        <v>0</v>
      </c>
      <c r="AD4369" s="22"/>
      <c r="AE4369" s="22"/>
      <c r="AF4369" s="22"/>
      <c r="AG4369" s="22"/>
      <c r="AH4369" s="22"/>
      <c r="AI4369" s="22"/>
      <c r="AJ4369" s="22"/>
      <c r="AK4369" s="22"/>
      <c r="AL4369" s="22"/>
      <c r="AM4369" s="22"/>
      <c r="AN4369" s="22"/>
      <c r="AO4369" s="22"/>
      <c r="AP4369" s="22"/>
      <c r="AQ4369" s="22"/>
      <c r="AR4369" s="22"/>
      <c r="AS4369" s="22"/>
      <c r="AT4369" s="22"/>
      <c r="AU4369" s="22"/>
      <c r="AV4369" s="22"/>
      <c r="AW4369" s="22"/>
      <c r="AX4369" s="22"/>
      <c r="AY4369" s="22"/>
      <c r="AZ4369" s="22"/>
      <c r="BA4369" s="22"/>
      <c r="BB4369" s="22">
        <f t="shared" si="1469"/>
        <v>0</v>
      </c>
      <c r="BC4369" s="23">
        <v>0</v>
      </c>
      <c r="BD4369" s="193">
        <f t="shared" si="1470"/>
        <v>0</v>
      </c>
      <c r="BE4369" s="193">
        <f t="shared" si="1470"/>
        <v>0</v>
      </c>
      <c r="BF4369" s="195" t="e">
        <f t="shared" si="1454"/>
        <v>#DIV/0!</v>
      </c>
      <c r="BG4369" s="373">
        <f t="shared" si="1455"/>
        <v>0</v>
      </c>
    </row>
    <row r="4370" spans="1:60" s="21" customFormat="1" ht="15" customHeight="1">
      <c r="A4370" s="194">
        <v>9</v>
      </c>
      <c r="B4370" s="65" t="s">
        <v>944</v>
      </c>
      <c r="C4370" s="66" t="s">
        <v>1890</v>
      </c>
      <c r="D4370" s="67"/>
      <c r="E4370" s="67"/>
      <c r="F4370" s="67"/>
      <c r="G4370" s="67"/>
      <c r="H4370" s="67"/>
      <c r="I4370" s="67"/>
      <c r="J4370" s="67"/>
      <c r="K4370" s="67"/>
      <c r="L4370" s="67"/>
      <c r="M4370" s="67"/>
      <c r="N4370" s="67"/>
      <c r="O4370" s="67"/>
      <c r="P4370" s="67"/>
      <c r="Q4370" s="67"/>
      <c r="R4370" s="67"/>
      <c r="S4370" s="67"/>
      <c r="T4370" s="67"/>
      <c r="U4370" s="67"/>
      <c r="V4370" s="67"/>
      <c r="W4370" s="67"/>
      <c r="X4370" s="67"/>
      <c r="Y4370" s="67"/>
      <c r="Z4370" s="67"/>
      <c r="AA4370" s="67"/>
      <c r="AB4370" s="67">
        <f t="shared" si="1468"/>
        <v>0</v>
      </c>
      <c r="AC4370" s="103">
        <v>0</v>
      </c>
      <c r="AD4370" s="22"/>
      <c r="AE4370" s="22"/>
      <c r="AF4370" s="22"/>
      <c r="AG4370" s="22"/>
      <c r="AH4370" s="22"/>
      <c r="AI4370" s="22"/>
      <c r="AJ4370" s="22"/>
      <c r="AK4370" s="22"/>
      <c r="AL4370" s="22"/>
      <c r="AM4370" s="22"/>
      <c r="AN4370" s="22"/>
      <c r="AO4370" s="22"/>
      <c r="AP4370" s="22"/>
      <c r="AQ4370" s="22"/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2">
        <f t="shared" si="1469"/>
        <v>0</v>
      </c>
      <c r="BC4370" s="23">
        <v>0</v>
      </c>
      <c r="BD4370" s="193">
        <f t="shared" si="1470"/>
        <v>0</v>
      </c>
      <c r="BE4370" s="193">
        <f t="shared" si="1470"/>
        <v>0</v>
      </c>
      <c r="BF4370" s="195" t="e">
        <f t="shared" si="1454"/>
        <v>#DIV/0!</v>
      </c>
      <c r="BG4370" s="373">
        <f t="shared" si="1455"/>
        <v>0</v>
      </c>
    </row>
    <row r="4371" spans="1:60" s="21" customFormat="1" ht="27.75" customHeight="1">
      <c r="A4371" s="194">
        <v>10</v>
      </c>
      <c r="B4371" s="65" t="s">
        <v>941</v>
      </c>
      <c r="C4371" s="66" t="s">
        <v>1891</v>
      </c>
      <c r="D4371" s="67"/>
      <c r="E4371" s="67"/>
      <c r="F4371" s="67"/>
      <c r="G4371" s="67"/>
      <c r="H4371" s="67"/>
      <c r="I4371" s="67"/>
      <c r="J4371" s="67"/>
      <c r="K4371" s="67"/>
      <c r="L4371" s="67"/>
      <c r="M4371" s="67"/>
      <c r="N4371" s="67"/>
      <c r="O4371" s="67"/>
      <c r="P4371" s="67"/>
      <c r="Q4371" s="67"/>
      <c r="R4371" s="67"/>
      <c r="S4371" s="67"/>
      <c r="T4371" s="67"/>
      <c r="U4371" s="67"/>
      <c r="V4371" s="67"/>
      <c r="W4371" s="67"/>
      <c r="X4371" s="67"/>
      <c r="Y4371" s="67"/>
      <c r="Z4371" s="67"/>
      <c r="AA4371" s="67"/>
      <c r="AB4371" s="67">
        <f t="shared" si="1468"/>
        <v>0</v>
      </c>
      <c r="AC4371" s="103">
        <v>0</v>
      </c>
      <c r="AD4371" s="22"/>
      <c r="AE4371" s="22"/>
      <c r="AF4371" s="22"/>
      <c r="AG4371" s="22"/>
      <c r="AH4371" s="22"/>
      <c r="AI4371" s="22"/>
      <c r="AJ4371" s="22"/>
      <c r="AK4371" s="22"/>
      <c r="AL4371" s="22"/>
      <c r="AM4371" s="22"/>
      <c r="AN4371" s="22"/>
      <c r="AO4371" s="22"/>
      <c r="AP4371" s="22"/>
      <c r="AQ4371" s="22"/>
      <c r="AR4371" s="22"/>
      <c r="AS4371" s="22"/>
      <c r="AT4371" s="22"/>
      <c r="AU4371" s="22"/>
      <c r="AV4371" s="22"/>
      <c r="AW4371" s="22"/>
      <c r="AX4371" s="22"/>
      <c r="AY4371" s="22"/>
      <c r="AZ4371" s="22"/>
      <c r="BA4371" s="22"/>
      <c r="BB4371" s="22">
        <f t="shared" si="1469"/>
        <v>0</v>
      </c>
      <c r="BC4371" s="23">
        <v>0</v>
      </c>
      <c r="BD4371" s="193">
        <f t="shared" si="1470"/>
        <v>0</v>
      </c>
      <c r="BE4371" s="193">
        <f t="shared" si="1470"/>
        <v>0</v>
      </c>
      <c r="BF4371" s="195" t="e">
        <f t="shared" si="1454"/>
        <v>#DIV/0!</v>
      </c>
      <c r="BG4371" s="373">
        <f t="shared" si="1455"/>
        <v>0</v>
      </c>
    </row>
    <row r="4372" spans="1:60" s="21" customFormat="1" ht="33" customHeight="1">
      <c r="A4372" s="194">
        <v>11</v>
      </c>
      <c r="B4372" s="65" t="s">
        <v>1892</v>
      </c>
      <c r="C4372" s="133" t="s">
        <v>1893</v>
      </c>
      <c r="D4372" s="67"/>
      <c r="E4372" s="67"/>
      <c r="F4372" s="67"/>
      <c r="G4372" s="67"/>
      <c r="H4372" s="67"/>
      <c r="I4372" s="67"/>
      <c r="J4372" s="67"/>
      <c r="K4372" s="67"/>
      <c r="L4372" s="67"/>
      <c r="M4372" s="67"/>
      <c r="N4372" s="67"/>
      <c r="O4372" s="67"/>
      <c r="P4372" s="67"/>
      <c r="Q4372" s="67"/>
      <c r="R4372" s="67"/>
      <c r="S4372" s="67"/>
      <c r="T4372" s="67"/>
      <c r="U4372" s="67"/>
      <c r="V4372" s="67"/>
      <c r="W4372" s="67"/>
      <c r="X4372" s="67"/>
      <c r="Y4372" s="67"/>
      <c r="Z4372" s="67"/>
      <c r="AA4372" s="67"/>
      <c r="AB4372" s="67">
        <f t="shared" si="1468"/>
        <v>0</v>
      </c>
      <c r="AC4372" s="103">
        <v>0</v>
      </c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2"/>
      <c r="AS4372" s="22"/>
      <c r="AT4372" s="22"/>
      <c r="AU4372" s="22"/>
      <c r="AV4372" s="22"/>
      <c r="AW4372" s="22"/>
      <c r="AX4372" s="22"/>
      <c r="AY4372" s="22"/>
      <c r="AZ4372" s="22"/>
      <c r="BA4372" s="22"/>
      <c r="BB4372" s="22">
        <f t="shared" si="1469"/>
        <v>0</v>
      </c>
      <c r="BC4372" s="23">
        <v>0</v>
      </c>
      <c r="BD4372" s="193">
        <f t="shared" si="1470"/>
        <v>0</v>
      </c>
      <c r="BE4372" s="193">
        <f t="shared" si="1470"/>
        <v>0</v>
      </c>
      <c r="BF4372" s="195" t="e">
        <f t="shared" si="1454"/>
        <v>#DIV/0!</v>
      </c>
      <c r="BG4372" s="373">
        <f t="shared" si="1455"/>
        <v>0</v>
      </c>
    </row>
    <row r="4373" spans="1:60" s="21" customFormat="1" ht="31.5" customHeight="1" thickBot="1">
      <c r="A4373" s="397">
        <v>12</v>
      </c>
      <c r="B4373" s="398" t="s">
        <v>1894</v>
      </c>
      <c r="C4373" s="399" t="s">
        <v>1895</v>
      </c>
      <c r="D4373" s="400"/>
      <c r="E4373" s="400"/>
      <c r="F4373" s="400"/>
      <c r="G4373" s="400"/>
      <c r="H4373" s="400"/>
      <c r="I4373" s="400"/>
      <c r="J4373" s="400"/>
      <c r="K4373" s="400"/>
      <c r="L4373" s="400"/>
      <c r="M4373" s="400"/>
      <c r="N4373" s="400"/>
      <c r="O4373" s="400"/>
      <c r="P4373" s="400"/>
      <c r="Q4373" s="400"/>
      <c r="R4373" s="400"/>
      <c r="S4373" s="400"/>
      <c r="T4373" s="400"/>
      <c r="U4373" s="400"/>
      <c r="V4373" s="400"/>
      <c r="W4373" s="400"/>
      <c r="X4373" s="400"/>
      <c r="Y4373" s="400"/>
      <c r="Z4373" s="400"/>
      <c r="AA4373" s="400"/>
      <c r="AB4373" s="400">
        <f t="shared" si="1468"/>
        <v>0</v>
      </c>
      <c r="AC4373" s="401">
        <v>0</v>
      </c>
      <c r="AD4373" s="300"/>
      <c r="AE4373" s="300"/>
      <c r="AF4373" s="300"/>
      <c r="AG4373" s="300"/>
      <c r="AH4373" s="300"/>
      <c r="AI4373" s="300"/>
      <c r="AJ4373" s="300"/>
      <c r="AK4373" s="300"/>
      <c r="AL4373" s="300"/>
      <c r="AM4373" s="300"/>
      <c r="AN4373" s="300"/>
      <c r="AO4373" s="300"/>
      <c r="AP4373" s="300"/>
      <c r="AQ4373" s="300"/>
      <c r="AR4373" s="300"/>
      <c r="AS4373" s="300"/>
      <c r="AT4373" s="300"/>
      <c r="AU4373" s="300"/>
      <c r="AV4373" s="300"/>
      <c r="AW4373" s="300"/>
      <c r="AX4373" s="300"/>
      <c r="AY4373" s="300"/>
      <c r="AZ4373" s="300"/>
      <c r="BA4373" s="300"/>
      <c r="BB4373" s="300">
        <f t="shared" si="1469"/>
        <v>0</v>
      </c>
      <c r="BC4373" s="303">
        <v>0</v>
      </c>
      <c r="BD4373" s="402">
        <f t="shared" si="1470"/>
        <v>0</v>
      </c>
      <c r="BE4373" s="402">
        <f t="shared" si="1470"/>
        <v>0</v>
      </c>
      <c r="BF4373" s="403" t="e">
        <f t="shared" si="1454"/>
        <v>#DIV/0!</v>
      </c>
      <c r="BG4373" s="373">
        <f t="shared" si="1455"/>
        <v>0</v>
      </c>
      <c r="BH4373" s="343">
        <f>BH4375-BH4374</f>
        <v>-1854770</v>
      </c>
    </row>
    <row r="4374" spans="1:60" ht="22.5" customHeight="1" thickTop="1" thickBot="1">
      <c r="A4374" s="658" t="s">
        <v>1896</v>
      </c>
      <c r="B4374" s="658"/>
      <c r="C4374" s="658"/>
      <c r="D4374" s="81">
        <f>SUM(D4362:D4373)</f>
        <v>0</v>
      </c>
      <c r="E4374" s="81">
        <f t="shared" ref="E4374:F4374" si="1471">SUM(E4362:E4373)</f>
        <v>0</v>
      </c>
      <c r="F4374" s="81">
        <f t="shared" si="1471"/>
        <v>0</v>
      </c>
      <c r="G4374" s="81">
        <f>SUM(G4362:G4373)</f>
        <v>0</v>
      </c>
      <c r="H4374" s="81">
        <f t="shared" ref="H4374:AF4374" si="1472">SUM(H4362:H4373)</f>
        <v>0</v>
      </c>
      <c r="I4374" s="81">
        <f t="shared" si="1472"/>
        <v>0</v>
      </c>
      <c r="J4374" s="81">
        <f t="shared" si="1472"/>
        <v>0</v>
      </c>
      <c r="K4374" s="81">
        <f t="shared" si="1472"/>
        <v>0</v>
      </c>
      <c r="L4374" s="81">
        <f t="shared" si="1472"/>
        <v>0</v>
      </c>
      <c r="M4374" s="81">
        <f t="shared" si="1472"/>
        <v>0</v>
      </c>
      <c r="N4374" s="81">
        <f t="shared" si="1472"/>
        <v>0</v>
      </c>
      <c r="O4374" s="81">
        <f t="shared" si="1472"/>
        <v>0</v>
      </c>
      <c r="P4374" s="81">
        <f t="shared" si="1472"/>
        <v>0</v>
      </c>
      <c r="Q4374" s="81">
        <f t="shared" si="1472"/>
        <v>0</v>
      </c>
      <c r="R4374" s="81">
        <f t="shared" si="1472"/>
        <v>0</v>
      </c>
      <c r="S4374" s="81">
        <f t="shared" si="1472"/>
        <v>0</v>
      </c>
      <c r="T4374" s="81">
        <f t="shared" si="1472"/>
        <v>0</v>
      </c>
      <c r="U4374" s="81">
        <f t="shared" si="1472"/>
        <v>0</v>
      </c>
      <c r="V4374" s="81">
        <f t="shared" si="1472"/>
        <v>0</v>
      </c>
      <c r="W4374" s="81">
        <f t="shared" si="1472"/>
        <v>0</v>
      </c>
      <c r="X4374" s="81">
        <f t="shared" si="1472"/>
        <v>0</v>
      </c>
      <c r="Y4374" s="81">
        <f t="shared" si="1472"/>
        <v>0</v>
      </c>
      <c r="Z4374" s="81">
        <f t="shared" si="1472"/>
        <v>0</v>
      </c>
      <c r="AA4374" s="81">
        <f t="shared" si="1472"/>
        <v>0</v>
      </c>
      <c r="AB4374" s="81">
        <f t="shared" si="1472"/>
        <v>0</v>
      </c>
      <c r="AC4374" s="81">
        <f t="shared" si="1472"/>
        <v>10</v>
      </c>
      <c r="AD4374" s="81">
        <f t="shared" si="1472"/>
        <v>0</v>
      </c>
      <c r="AE4374" s="81">
        <f t="shared" si="1472"/>
        <v>0</v>
      </c>
      <c r="AF4374" s="81">
        <f t="shared" si="1472"/>
        <v>0</v>
      </c>
      <c r="AG4374" s="81">
        <f>SUM(AG4362:AG4373)</f>
        <v>0</v>
      </c>
      <c r="AH4374" s="81">
        <f t="shared" ref="AH4374:AI4374" si="1473">SUM(AH4362:AH4373)</f>
        <v>0</v>
      </c>
      <c r="AI4374" s="81">
        <f t="shared" si="1473"/>
        <v>0</v>
      </c>
      <c r="AJ4374" s="81">
        <f>SUM(AJ4362:AJ4373)</f>
        <v>0</v>
      </c>
      <c r="AK4374" s="81">
        <f t="shared" ref="AK4374:BE4374" si="1474">SUM(AK4362:AK4373)</f>
        <v>0</v>
      </c>
      <c r="AL4374" s="81">
        <f t="shared" si="1474"/>
        <v>0</v>
      </c>
      <c r="AM4374" s="81">
        <f t="shared" si="1474"/>
        <v>0</v>
      </c>
      <c r="AN4374" s="81">
        <f t="shared" si="1474"/>
        <v>0</v>
      </c>
      <c r="AO4374" s="81">
        <f t="shared" si="1474"/>
        <v>0</v>
      </c>
      <c r="AP4374" s="81">
        <f t="shared" si="1474"/>
        <v>0</v>
      </c>
      <c r="AQ4374" s="81">
        <f t="shared" si="1474"/>
        <v>0</v>
      </c>
      <c r="AR4374" s="81">
        <f t="shared" si="1474"/>
        <v>0</v>
      </c>
      <c r="AS4374" s="81">
        <f t="shared" si="1474"/>
        <v>0</v>
      </c>
      <c r="AT4374" s="81">
        <f t="shared" si="1474"/>
        <v>0</v>
      </c>
      <c r="AU4374" s="81">
        <f t="shared" si="1474"/>
        <v>0</v>
      </c>
      <c r="AV4374" s="81">
        <f t="shared" si="1474"/>
        <v>0</v>
      </c>
      <c r="AW4374" s="81">
        <f t="shared" si="1474"/>
        <v>0</v>
      </c>
      <c r="AX4374" s="81">
        <f t="shared" si="1474"/>
        <v>0</v>
      </c>
      <c r="AY4374" s="81">
        <f t="shared" si="1474"/>
        <v>0</v>
      </c>
      <c r="AZ4374" s="81">
        <f t="shared" si="1474"/>
        <v>0</v>
      </c>
      <c r="BA4374" s="81">
        <f t="shared" si="1474"/>
        <v>0</v>
      </c>
      <c r="BB4374" s="81">
        <f t="shared" si="1474"/>
        <v>0</v>
      </c>
      <c r="BC4374" s="81">
        <f t="shared" si="1474"/>
        <v>0</v>
      </c>
      <c r="BD4374" s="81">
        <f t="shared" si="1474"/>
        <v>0</v>
      </c>
      <c r="BE4374" s="81">
        <f t="shared" si="1474"/>
        <v>10</v>
      </c>
      <c r="BF4374" s="404">
        <f t="shared" si="1454"/>
        <v>0</v>
      </c>
      <c r="BG4374" s="373">
        <f t="shared" si="1455"/>
        <v>10</v>
      </c>
      <c r="BH4374" s="344">
        <v>25740</v>
      </c>
    </row>
    <row r="4375" spans="1:60" ht="22.5" customHeight="1" thickTop="1" thickBot="1">
      <c r="A4375" s="658" t="s">
        <v>1897</v>
      </c>
      <c r="B4375" s="658"/>
      <c r="C4375" s="658"/>
      <c r="D4375" s="81">
        <f t="shared" ref="D4375:BE4375" si="1475">D4360+D4374</f>
        <v>75975</v>
      </c>
      <c r="E4375" s="81">
        <f t="shared" si="1475"/>
        <v>0</v>
      </c>
      <c r="F4375" s="81">
        <f t="shared" si="1475"/>
        <v>0</v>
      </c>
      <c r="G4375" s="81">
        <f t="shared" si="1475"/>
        <v>40005</v>
      </c>
      <c r="H4375" s="81">
        <f t="shared" si="1475"/>
        <v>56849</v>
      </c>
      <c r="I4375" s="81">
        <f t="shared" si="1475"/>
        <v>0</v>
      </c>
      <c r="J4375" s="81">
        <f t="shared" si="1475"/>
        <v>0</v>
      </c>
      <c r="K4375" s="81">
        <f t="shared" si="1475"/>
        <v>36281</v>
      </c>
      <c r="L4375" s="81">
        <f t="shared" si="1475"/>
        <v>122409</v>
      </c>
      <c r="M4375" s="81">
        <f t="shared" si="1475"/>
        <v>0</v>
      </c>
      <c r="N4375" s="81">
        <f t="shared" si="1475"/>
        <v>0</v>
      </c>
      <c r="O4375" s="81">
        <f t="shared" si="1475"/>
        <v>72763</v>
      </c>
      <c r="P4375" s="81">
        <f t="shared" si="1475"/>
        <v>121905</v>
      </c>
      <c r="Q4375" s="81">
        <f t="shared" si="1475"/>
        <v>0</v>
      </c>
      <c r="R4375" s="81">
        <f t="shared" si="1475"/>
        <v>0</v>
      </c>
      <c r="S4375" s="81">
        <f t="shared" si="1475"/>
        <v>54409</v>
      </c>
      <c r="T4375" s="81">
        <f t="shared" si="1475"/>
        <v>0</v>
      </c>
      <c r="U4375" s="81">
        <f t="shared" si="1475"/>
        <v>0</v>
      </c>
      <c r="V4375" s="81">
        <f t="shared" si="1475"/>
        <v>0</v>
      </c>
      <c r="W4375" s="81">
        <f t="shared" si="1475"/>
        <v>0</v>
      </c>
      <c r="X4375" s="81">
        <f t="shared" si="1475"/>
        <v>0</v>
      </c>
      <c r="Y4375" s="81">
        <f t="shared" si="1475"/>
        <v>0</v>
      </c>
      <c r="Z4375" s="81">
        <f t="shared" si="1475"/>
        <v>0</v>
      </c>
      <c r="AA4375" s="81">
        <f t="shared" si="1475"/>
        <v>0</v>
      </c>
      <c r="AB4375" s="81">
        <f t="shared" si="1475"/>
        <v>580595</v>
      </c>
      <c r="AC4375" s="81">
        <f t="shared" si="1475"/>
        <v>585936</v>
      </c>
      <c r="AD4375" s="81">
        <f t="shared" si="1475"/>
        <v>290295</v>
      </c>
      <c r="AE4375" s="81">
        <f t="shared" si="1475"/>
        <v>0</v>
      </c>
      <c r="AF4375" s="81">
        <f t="shared" si="1475"/>
        <v>0</v>
      </c>
      <c r="AG4375" s="81">
        <f t="shared" si="1475"/>
        <v>0</v>
      </c>
      <c r="AH4375" s="81">
        <f t="shared" si="1475"/>
        <v>241734</v>
      </c>
      <c r="AI4375" s="81">
        <f t="shared" si="1475"/>
        <v>0</v>
      </c>
      <c r="AJ4375" s="81">
        <f t="shared" si="1475"/>
        <v>0</v>
      </c>
      <c r="AK4375" s="81">
        <f t="shared" si="1475"/>
        <v>127</v>
      </c>
      <c r="AL4375" s="81">
        <f t="shared" si="1475"/>
        <v>429558</v>
      </c>
      <c r="AM4375" s="81">
        <f t="shared" si="1475"/>
        <v>0</v>
      </c>
      <c r="AN4375" s="81">
        <f t="shared" si="1475"/>
        <v>0</v>
      </c>
      <c r="AO4375" s="81">
        <f t="shared" si="1475"/>
        <v>0</v>
      </c>
      <c r="AP4375" s="81">
        <f t="shared" si="1475"/>
        <v>286723</v>
      </c>
      <c r="AQ4375" s="81">
        <f t="shared" si="1475"/>
        <v>0</v>
      </c>
      <c r="AR4375" s="81">
        <f t="shared" si="1475"/>
        <v>0</v>
      </c>
      <c r="AS4375" s="81">
        <f t="shared" si="1475"/>
        <v>0</v>
      </c>
      <c r="AT4375" s="81">
        <f t="shared" si="1475"/>
        <v>0</v>
      </c>
      <c r="AU4375" s="81">
        <f t="shared" si="1475"/>
        <v>0</v>
      </c>
      <c r="AV4375" s="81">
        <f t="shared" si="1475"/>
        <v>0</v>
      </c>
      <c r="AW4375" s="81">
        <f t="shared" si="1475"/>
        <v>0</v>
      </c>
      <c r="AX4375" s="81">
        <f t="shared" si="1475"/>
        <v>0</v>
      </c>
      <c r="AY4375" s="81">
        <f t="shared" si="1475"/>
        <v>0</v>
      </c>
      <c r="AZ4375" s="81">
        <f t="shared" si="1475"/>
        <v>0</v>
      </c>
      <c r="BA4375" s="81">
        <f t="shared" si="1475"/>
        <v>0</v>
      </c>
      <c r="BB4375" s="81">
        <f t="shared" si="1475"/>
        <v>1248435</v>
      </c>
      <c r="BC4375" s="81">
        <f t="shared" si="1475"/>
        <v>1345784</v>
      </c>
      <c r="BD4375" s="81">
        <f t="shared" si="1475"/>
        <v>1829030</v>
      </c>
      <c r="BE4375" s="81">
        <f t="shared" si="1475"/>
        <v>1931720</v>
      </c>
      <c r="BF4375" s="404">
        <f t="shared" si="1454"/>
        <v>94.684012175677637</v>
      </c>
      <c r="BG4375" s="373">
        <f t="shared" si="1455"/>
        <v>102690</v>
      </c>
      <c r="BH4375" s="8">
        <f>BG4375-BE4375</f>
        <v>-1829030</v>
      </c>
    </row>
    <row r="4376" spans="1:60" s="68" customFormat="1" ht="22.5" hidden="1" customHeight="1" thickTop="1" thickBot="1">
      <c r="A4376" s="659" t="s">
        <v>1898</v>
      </c>
      <c r="B4376" s="659"/>
      <c r="C4376" s="659"/>
      <c r="D4376" s="512">
        <f t="shared" ref="D4376:BE4376" si="1476">D4356</f>
        <v>20</v>
      </c>
      <c r="E4376" s="512">
        <f t="shared" si="1476"/>
        <v>0</v>
      </c>
      <c r="F4376" s="512">
        <f t="shared" si="1476"/>
        <v>0</v>
      </c>
      <c r="G4376" s="512">
        <f t="shared" si="1476"/>
        <v>0</v>
      </c>
      <c r="H4376" s="512">
        <f t="shared" si="1476"/>
        <v>165</v>
      </c>
      <c r="I4376" s="512">
        <f t="shared" si="1476"/>
        <v>0</v>
      </c>
      <c r="J4376" s="512">
        <f t="shared" si="1476"/>
        <v>0</v>
      </c>
      <c r="K4376" s="512">
        <f t="shared" si="1476"/>
        <v>0</v>
      </c>
      <c r="L4376" s="512">
        <f t="shared" si="1476"/>
        <v>543</v>
      </c>
      <c r="M4376" s="512">
        <f t="shared" si="1476"/>
        <v>0</v>
      </c>
      <c r="N4376" s="512">
        <f t="shared" si="1476"/>
        <v>0</v>
      </c>
      <c r="O4376" s="512">
        <f t="shared" si="1476"/>
        <v>0</v>
      </c>
      <c r="P4376" s="512">
        <f t="shared" si="1476"/>
        <v>467</v>
      </c>
      <c r="Q4376" s="512">
        <f t="shared" si="1476"/>
        <v>0</v>
      </c>
      <c r="R4376" s="512">
        <f t="shared" si="1476"/>
        <v>0</v>
      </c>
      <c r="S4376" s="512">
        <f t="shared" si="1476"/>
        <v>0</v>
      </c>
      <c r="T4376" s="512">
        <f t="shared" si="1476"/>
        <v>0</v>
      </c>
      <c r="U4376" s="512">
        <f t="shared" si="1476"/>
        <v>0</v>
      </c>
      <c r="V4376" s="512">
        <f t="shared" si="1476"/>
        <v>0</v>
      </c>
      <c r="W4376" s="512">
        <f t="shared" si="1476"/>
        <v>0</v>
      </c>
      <c r="X4376" s="512">
        <f t="shared" si="1476"/>
        <v>0</v>
      </c>
      <c r="Y4376" s="512">
        <f t="shared" si="1476"/>
        <v>0</v>
      </c>
      <c r="Z4376" s="512">
        <f t="shared" si="1476"/>
        <v>0</v>
      </c>
      <c r="AA4376" s="512">
        <f t="shared" si="1476"/>
        <v>0</v>
      </c>
      <c r="AB4376" s="512">
        <f t="shared" si="1476"/>
        <v>1194</v>
      </c>
      <c r="AC4376" s="512">
        <f t="shared" si="1476"/>
        <v>2209</v>
      </c>
      <c r="AD4376" s="512">
        <f t="shared" si="1476"/>
        <v>77</v>
      </c>
      <c r="AE4376" s="512">
        <f t="shared" si="1476"/>
        <v>0</v>
      </c>
      <c r="AF4376" s="512">
        <f t="shared" si="1476"/>
        <v>0</v>
      </c>
      <c r="AG4376" s="512">
        <f t="shared" si="1476"/>
        <v>0</v>
      </c>
      <c r="AH4376" s="512">
        <f t="shared" si="1476"/>
        <v>517</v>
      </c>
      <c r="AI4376" s="512">
        <f t="shared" si="1476"/>
        <v>0</v>
      </c>
      <c r="AJ4376" s="512">
        <f t="shared" si="1476"/>
        <v>0</v>
      </c>
      <c r="AK4376" s="512">
        <f t="shared" si="1476"/>
        <v>0</v>
      </c>
      <c r="AL4376" s="512">
        <f t="shared" si="1476"/>
        <v>2479</v>
      </c>
      <c r="AM4376" s="512">
        <f t="shared" si="1476"/>
        <v>0</v>
      </c>
      <c r="AN4376" s="512">
        <f t="shared" si="1476"/>
        <v>0</v>
      </c>
      <c r="AO4376" s="512">
        <f t="shared" si="1476"/>
        <v>0</v>
      </c>
      <c r="AP4376" s="512">
        <f t="shared" si="1476"/>
        <v>2481</v>
      </c>
      <c r="AQ4376" s="512">
        <f t="shared" si="1476"/>
        <v>0</v>
      </c>
      <c r="AR4376" s="512">
        <f t="shared" si="1476"/>
        <v>0</v>
      </c>
      <c r="AS4376" s="512">
        <f t="shared" si="1476"/>
        <v>0</v>
      </c>
      <c r="AT4376" s="512">
        <f t="shared" si="1476"/>
        <v>0</v>
      </c>
      <c r="AU4376" s="512">
        <f t="shared" si="1476"/>
        <v>0</v>
      </c>
      <c r="AV4376" s="512">
        <f t="shared" si="1476"/>
        <v>0</v>
      </c>
      <c r="AW4376" s="512">
        <f t="shared" si="1476"/>
        <v>0</v>
      </c>
      <c r="AX4376" s="512">
        <f t="shared" si="1476"/>
        <v>0</v>
      </c>
      <c r="AY4376" s="512">
        <f t="shared" si="1476"/>
        <v>0</v>
      </c>
      <c r="AZ4376" s="512">
        <f t="shared" si="1476"/>
        <v>0</v>
      </c>
      <c r="BA4376" s="512">
        <f t="shared" si="1476"/>
        <v>0</v>
      </c>
      <c r="BB4376" s="512">
        <f t="shared" si="1476"/>
        <v>5552</v>
      </c>
      <c r="BC4376" s="512">
        <f t="shared" si="1476"/>
        <v>11572</v>
      </c>
      <c r="BD4376" s="512">
        <f t="shared" si="1476"/>
        <v>6746</v>
      </c>
      <c r="BE4376" s="512">
        <f t="shared" si="1476"/>
        <v>13781</v>
      </c>
      <c r="BF4376" s="404">
        <f t="shared" si="1454"/>
        <v>48.951454901676222</v>
      </c>
      <c r="BG4376" s="373">
        <f t="shared" si="1455"/>
        <v>7035</v>
      </c>
    </row>
    <row r="4377" spans="1:60" s="68" customFormat="1" ht="22.5" hidden="1" customHeight="1" thickTop="1" thickBot="1">
      <c r="A4377" s="658" t="s">
        <v>1899</v>
      </c>
      <c r="B4377" s="658"/>
      <c r="C4377" s="658"/>
      <c r="D4377" s="81">
        <f t="shared" ref="D4377:BE4377" si="1477">D4357+D4358</f>
        <v>75955</v>
      </c>
      <c r="E4377" s="81">
        <f t="shared" si="1477"/>
        <v>0</v>
      </c>
      <c r="F4377" s="81">
        <f t="shared" si="1477"/>
        <v>0</v>
      </c>
      <c r="G4377" s="81">
        <f t="shared" si="1477"/>
        <v>40005</v>
      </c>
      <c r="H4377" s="81">
        <f t="shared" si="1477"/>
        <v>56684</v>
      </c>
      <c r="I4377" s="81">
        <f t="shared" si="1477"/>
        <v>0</v>
      </c>
      <c r="J4377" s="81">
        <f t="shared" si="1477"/>
        <v>0</v>
      </c>
      <c r="K4377" s="81">
        <f t="shared" si="1477"/>
        <v>36281</v>
      </c>
      <c r="L4377" s="81">
        <f t="shared" si="1477"/>
        <v>121866</v>
      </c>
      <c r="M4377" s="81">
        <f t="shared" si="1477"/>
        <v>0</v>
      </c>
      <c r="N4377" s="81">
        <f t="shared" si="1477"/>
        <v>0</v>
      </c>
      <c r="O4377" s="81">
        <f t="shared" si="1477"/>
        <v>72763</v>
      </c>
      <c r="P4377" s="81">
        <f t="shared" si="1477"/>
        <v>121438</v>
      </c>
      <c r="Q4377" s="81">
        <f t="shared" si="1477"/>
        <v>0</v>
      </c>
      <c r="R4377" s="81">
        <f t="shared" si="1477"/>
        <v>0</v>
      </c>
      <c r="S4377" s="81">
        <f t="shared" si="1477"/>
        <v>54409</v>
      </c>
      <c r="T4377" s="81">
        <f t="shared" si="1477"/>
        <v>0</v>
      </c>
      <c r="U4377" s="81">
        <f t="shared" si="1477"/>
        <v>0</v>
      </c>
      <c r="V4377" s="81">
        <f t="shared" si="1477"/>
        <v>0</v>
      </c>
      <c r="W4377" s="81">
        <f t="shared" si="1477"/>
        <v>0</v>
      </c>
      <c r="X4377" s="81">
        <f t="shared" si="1477"/>
        <v>0</v>
      </c>
      <c r="Y4377" s="81">
        <f t="shared" si="1477"/>
        <v>0</v>
      </c>
      <c r="Z4377" s="81">
        <f t="shared" si="1477"/>
        <v>0</v>
      </c>
      <c r="AA4377" s="81">
        <f t="shared" si="1477"/>
        <v>0</v>
      </c>
      <c r="AB4377" s="81">
        <f t="shared" si="1477"/>
        <v>579401</v>
      </c>
      <c r="AC4377" s="81">
        <f t="shared" si="1477"/>
        <v>583717</v>
      </c>
      <c r="AD4377" s="81">
        <f t="shared" si="1477"/>
        <v>290218</v>
      </c>
      <c r="AE4377" s="81">
        <f t="shared" si="1477"/>
        <v>0</v>
      </c>
      <c r="AF4377" s="81">
        <f t="shared" si="1477"/>
        <v>0</v>
      </c>
      <c r="AG4377" s="81">
        <f t="shared" si="1477"/>
        <v>0</v>
      </c>
      <c r="AH4377" s="81">
        <f t="shared" si="1477"/>
        <v>241217</v>
      </c>
      <c r="AI4377" s="81">
        <f t="shared" si="1477"/>
        <v>0</v>
      </c>
      <c r="AJ4377" s="81">
        <f t="shared" si="1477"/>
        <v>0</v>
      </c>
      <c r="AK4377" s="81">
        <f t="shared" si="1477"/>
        <v>127</v>
      </c>
      <c r="AL4377" s="81">
        <f t="shared" si="1477"/>
        <v>427079</v>
      </c>
      <c r="AM4377" s="81">
        <f t="shared" si="1477"/>
        <v>0</v>
      </c>
      <c r="AN4377" s="81">
        <f t="shared" si="1477"/>
        <v>0</v>
      </c>
      <c r="AO4377" s="81">
        <f t="shared" si="1477"/>
        <v>0</v>
      </c>
      <c r="AP4377" s="81">
        <f t="shared" si="1477"/>
        <v>284242</v>
      </c>
      <c r="AQ4377" s="81">
        <f t="shared" si="1477"/>
        <v>0</v>
      </c>
      <c r="AR4377" s="81">
        <f t="shared" si="1477"/>
        <v>0</v>
      </c>
      <c r="AS4377" s="81">
        <f t="shared" si="1477"/>
        <v>0</v>
      </c>
      <c r="AT4377" s="81">
        <f t="shared" si="1477"/>
        <v>0</v>
      </c>
      <c r="AU4377" s="81">
        <f t="shared" si="1477"/>
        <v>0</v>
      </c>
      <c r="AV4377" s="81">
        <f t="shared" si="1477"/>
        <v>0</v>
      </c>
      <c r="AW4377" s="81">
        <f t="shared" si="1477"/>
        <v>0</v>
      </c>
      <c r="AX4377" s="81">
        <f t="shared" si="1477"/>
        <v>0</v>
      </c>
      <c r="AY4377" s="81">
        <f t="shared" si="1477"/>
        <v>0</v>
      </c>
      <c r="AZ4377" s="81">
        <f t="shared" si="1477"/>
        <v>0</v>
      </c>
      <c r="BA4377" s="81">
        <f t="shared" si="1477"/>
        <v>0</v>
      </c>
      <c r="BB4377" s="81">
        <f t="shared" si="1477"/>
        <v>1242883</v>
      </c>
      <c r="BC4377" s="81">
        <f t="shared" si="1477"/>
        <v>1334212</v>
      </c>
      <c r="BD4377" s="81">
        <f t="shared" si="1477"/>
        <v>1822284</v>
      </c>
      <c r="BE4377" s="81">
        <f t="shared" si="1477"/>
        <v>1917929</v>
      </c>
      <c r="BF4377" s="404">
        <f t="shared" si="1454"/>
        <v>95.013110495748279</v>
      </c>
      <c r="BG4377" s="373">
        <f t="shared" si="1455"/>
        <v>95645</v>
      </c>
    </row>
    <row r="4378" spans="1:60" s="68" customFormat="1" ht="30" hidden="1" customHeight="1" thickTop="1" thickBot="1">
      <c r="A4378" s="660" t="s">
        <v>1900</v>
      </c>
      <c r="B4378" s="660"/>
      <c r="C4378" s="660"/>
      <c r="D4378" s="82">
        <f t="shared" ref="D4378:BE4378" si="1478">SUM(D4376:D4377)</f>
        <v>75975</v>
      </c>
      <c r="E4378" s="82">
        <f t="shared" si="1478"/>
        <v>0</v>
      </c>
      <c r="F4378" s="82">
        <f t="shared" si="1478"/>
        <v>0</v>
      </c>
      <c r="G4378" s="82">
        <f t="shared" si="1478"/>
        <v>40005</v>
      </c>
      <c r="H4378" s="82">
        <f t="shared" si="1478"/>
        <v>56849</v>
      </c>
      <c r="I4378" s="82">
        <f t="shared" si="1478"/>
        <v>0</v>
      </c>
      <c r="J4378" s="82">
        <f t="shared" si="1478"/>
        <v>0</v>
      </c>
      <c r="K4378" s="82">
        <f t="shared" si="1478"/>
        <v>36281</v>
      </c>
      <c r="L4378" s="82">
        <f t="shared" si="1478"/>
        <v>122409</v>
      </c>
      <c r="M4378" s="82">
        <f t="shared" si="1478"/>
        <v>0</v>
      </c>
      <c r="N4378" s="82">
        <f t="shared" si="1478"/>
        <v>0</v>
      </c>
      <c r="O4378" s="82">
        <f t="shared" si="1478"/>
        <v>72763</v>
      </c>
      <c r="P4378" s="82">
        <f t="shared" si="1478"/>
        <v>121905</v>
      </c>
      <c r="Q4378" s="82">
        <f t="shared" si="1478"/>
        <v>0</v>
      </c>
      <c r="R4378" s="82">
        <f t="shared" si="1478"/>
        <v>0</v>
      </c>
      <c r="S4378" s="82">
        <f t="shared" si="1478"/>
        <v>54409</v>
      </c>
      <c r="T4378" s="82">
        <f t="shared" si="1478"/>
        <v>0</v>
      </c>
      <c r="U4378" s="82">
        <f t="shared" si="1478"/>
        <v>0</v>
      </c>
      <c r="V4378" s="82">
        <f t="shared" si="1478"/>
        <v>0</v>
      </c>
      <c r="W4378" s="82">
        <f t="shared" si="1478"/>
        <v>0</v>
      </c>
      <c r="X4378" s="82">
        <f t="shared" si="1478"/>
        <v>0</v>
      </c>
      <c r="Y4378" s="82">
        <f t="shared" si="1478"/>
        <v>0</v>
      </c>
      <c r="Z4378" s="82">
        <f t="shared" si="1478"/>
        <v>0</v>
      </c>
      <c r="AA4378" s="82">
        <f t="shared" si="1478"/>
        <v>0</v>
      </c>
      <c r="AB4378" s="82">
        <f t="shared" si="1478"/>
        <v>580595</v>
      </c>
      <c r="AC4378" s="82">
        <f t="shared" si="1478"/>
        <v>585926</v>
      </c>
      <c r="AD4378" s="82">
        <f t="shared" si="1478"/>
        <v>290295</v>
      </c>
      <c r="AE4378" s="82">
        <f t="shared" si="1478"/>
        <v>0</v>
      </c>
      <c r="AF4378" s="82">
        <f t="shared" si="1478"/>
        <v>0</v>
      </c>
      <c r="AG4378" s="82">
        <f t="shared" si="1478"/>
        <v>0</v>
      </c>
      <c r="AH4378" s="82">
        <f t="shared" si="1478"/>
        <v>241734</v>
      </c>
      <c r="AI4378" s="82">
        <f t="shared" si="1478"/>
        <v>0</v>
      </c>
      <c r="AJ4378" s="82">
        <f t="shared" si="1478"/>
        <v>0</v>
      </c>
      <c r="AK4378" s="82">
        <f t="shared" si="1478"/>
        <v>127</v>
      </c>
      <c r="AL4378" s="82">
        <f t="shared" si="1478"/>
        <v>429558</v>
      </c>
      <c r="AM4378" s="82">
        <f t="shared" si="1478"/>
        <v>0</v>
      </c>
      <c r="AN4378" s="82">
        <f t="shared" si="1478"/>
        <v>0</v>
      </c>
      <c r="AO4378" s="82">
        <f t="shared" si="1478"/>
        <v>0</v>
      </c>
      <c r="AP4378" s="82">
        <f t="shared" si="1478"/>
        <v>286723</v>
      </c>
      <c r="AQ4378" s="82">
        <f t="shared" si="1478"/>
        <v>0</v>
      </c>
      <c r="AR4378" s="82">
        <f t="shared" si="1478"/>
        <v>0</v>
      </c>
      <c r="AS4378" s="82">
        <f t="shared" si="1478"/>
        <v>0</v>
      </c>
      <c r="AT4378" s="82">
        <f t="shared" si="1478"/>
        <v>0</v>
      </c>
      <c r="AU4378" s="82">
        <f t="shared" si="1478"/>
        <v>0</v>
      </c>
      <c r="AV4378" s="82">
        <f t="shared" si="1478"/>
        <v>0</v>
      </c>
      <c r="AW4378" s="82">
        <f t="shared" si="1478"/>
        <v>0</v>
      </c>
      <c r="AX4378" s="82">
        <f t="shared" si="1478"/>
        <v>0</v>
      </c>
      <c r="AY4378" s="82">
        <f t="shared" si="1478"/>
        <v>0</v>
      </c>
      <c r="AZ4378" s="82">
        <f t="shared" si="1478"/>
        <v>0</v>
      </c>
      <c r="BA4378" s="82">
        <f t="shared" si="1478"/>
        <v>0</v>
      </c>
      <c r="BB4378" s="82">
        <f t="shared" si="1478"/>
        <v>1248435</v>
      </c>
      <c r="BC4378" s="82">
        <f t="shared" si="1478"/>
        <v>1345784</v>
      </c>
      <c r="BD4378" s="82">
        <f t="shared" si="1478"/>
        <v>1829030</v>
      </c>
      <c r="BE4378" s="82">
        <f t="shared" si="1478"/>
        <v>1931710</v>
      </c>
      <c r="BF4378" s="404">
        <f t="shared" si="1454"/>
        <v>94.684502332130606</v>
      </c>
      <c r="BG4378" s="373">
        <f t="shared" si="1455"/>
        <v>102680</v>
      </c>
    </row>
    <row r="4379" spans="1:60" s="68" customFormat="1" ht="31.5" hidden="1" customHeight="1" thickTop="1" thickBot="1">
      <c r="A4379" s="661" t="s">
        <v>1901</v>
      </c>
      <c r="B4379" s="661"/>
      <c r="C4379" s="661"/>
      <c r="D4379" s="83">
        <f t="shared" ref="D4379:BE4379" si="1479">D4378+D4374</f>
        <v>75975</v>
      </c>
      <c r="E4379" s="83">
        <f t="shared" si="1479"/>
        <v>0</v>
      </c>
      <c r="F4379" s="83">
        <f t="shared" si="1479"/>
        <v>0</v>
      </c>
      <c r="G4379" s="83">
        <f t="shared" si="1479"/>
        <v>40005</v>
      </c>
      <c r="H4379" s="83">
        <f t="shared" si="1479"/>
        <v>56849</v>
      </c>
      <c r="I4379" s="83">
        <f t="shared" si="1479"/>
        <v>0</v>
      </c>
      <c r="J4379" s="83">
        <f t="shared" si="1479"/>
        <v>0</v>
      </c>
      <c r="K4379" s="83">
        <f t="shared" si="1479"/>
        <v>36281</v>
      </c>
      <c r="L4379" s="83">
        <f t="shared" si="1479"/>
        <v>122409</v>
      </c>
      <c r="M4379" s="83">
        <f t="shared" si="1479"/>
        <v>0</v>
      </c>
      <c r="N4379" s="83">
        <f t="shared" si="1479"/>
        <v>0</v>
      </c>
      <c r="O4379" s="83">
        <f t="shared" si="1479"/>
        <v>72763</v>
      </c>
      <c r="P4379" s="83">
        <f t="shared" si="1479"/>
        <v>121905</v>
      </c>
      <c r="Q4379" s="83">
        <f t="shared" si="1479"/>
        <v>0</v>
      </c>
      <c r="R4379" s="83">
        <f t="shared" si="1479"/>
        <v>0</v>
      </c>
      <c r="S4379" s="83">
        <f t="shared" si="1479"/>
        <v>54409</v>
      </c>
      <c r="T4379" s="83">
        <f t="shared" si="1479"/>
        <v>0</v>
      </c>
      <c r="U4379" s="83">
        <f t="shared" si="1479"/>
        <v>0</v>
      </c>
      <c r="V4379" s="83">
        <f t="shared" si="1479"/>
        <v>0</v>
      </c>
      <c r="W4379" s="83">
        <f t="shared" si="1479"/>
        <v>0</v>
      </c>
      <c r="X4379" s="83">
        <f t="shared" si="1479"/>
        <v>0</v>
      </c>
      <c r="Y4379" s="83">
        <f t="shared" si="1479"/>
        <v>0</v>
      </c>
      <c r="Z4379" s="83">
        <f t="shared" si="1479"/>
        <v>0</v>
      </c>
      <c r="AA4379" s="83">
        <f t="shared" si="1479"/>
        <v>0</v>
      </c>
      <c r="AB4379" s="83">
        <f t="shared" si="1479"/>
        <v>580595</v>
      </c>
      <c r="AC4379" s="83">
        <f t="shared" si="1479"/>
        <v>585936</v>
      </c>
      <c r="AD4379" s="83">
        <f t="shared" si="1479"/>
        <v>290295</v>
      </c>
      <c r="AE4379" s="83">
        <f t="shared" si="1479"/>
        <v>0</v>
      </c>
      <c r="AF4379" s="83">
        <f t="shared" si="1479"/>
        <v>0</v>
      </c>
      <c r="AG4379" s="83">
        <f t="shared" si="1479"/>
        <v>0</v>
      </c>
      <c r="AH4379" s="83">
        <f t="shared" si="1479"/>
        <v>241734</v>
      </c>
      <c r="AI4379" s="83">
        <f t="shared" si="1479"/>
        <v>0</v>
      </c>
      <c r="AJ4379" s="83">
        <f t="shared" si="1479"/>
        <v>0</v>
      </c>
      <c r="AK4379" s="83">
        <f t="shared" si="1479"/>
        <v>127</v>
      </c>
      <c r="AL4379" s="83">
        <f t="shared" si="1479"/>
        <v>429558</v>
      </c>
      <c r="AM4379" s="83">
        <f t="shared" si="1479"/>
        <v>0</v>
      </c>
      <c r="AN4379" s="83">
        <f t="shared" si="1479"/>
        <v>0</v>
      </c>
      <c r="AO4379" s="83">
        <f t="shared" si="1479"/>
        <v>0</v>
      </c>
      <c r="AP4379" s="83">
        <f t="shared" si="1479"/>
        <v>286723</v>
      </c>
      <c r="AQ4379" s="83">
        <f t="shared" si="1479"/>
        <v>0</v>
      </c>
      <c r="AR4379" s="83">
        <f t="shared" si="1479"/>
        <v>0</v>
      </c>
      <c r="AS4379" s="83">
        <f t="shared" si="1479"/>
        <v>0</v>
      </c>
      <c r="AT4379" s="83">
        <f t="shared" si="1479"/>
        <v>0</v>
      </c>
      <c r="AU4379" s="83">
        <f t="shared" si="1479"/>
        <v>0</v>
      </c>
      <c r="AV4379" s="83">
        <f t="shared" si="1479"/>
        <v>0</v>
      </c>
      <c r="AW4379" s="83">
        <f t="shared" si="1479"/>
        <v>0</v>
      </c>
      <c r="AX4379" s="83">
        <f t="shared" si="1479"/>
        <v>0</v>
      </c>
      <c r="AY4379" s="83">
        <f t="shared" si="1479"/>
        <v>0</v>
      </c>
      <c r="AZ4379" s="83">
        <f t="shared" si="1479"/>
        <v>0</v>
      </c>
      <c r="BA4379" s="83">
        <f t="shared" si="1479"/>
        <v>0</v>
      </c>
      <c r="BB4379" s="83">
        <f t="shared" si="1479"/>
        <v>1248435</v>
      </c>
      <c r="BC4379" s="83">
        <f t="shared" si="1479"/>
        <v>1345784</v>
      </c>
      <c r="BD4379" s="83">
        <f t="shared" si="1479"/>
        <v>1829030</v>
      </c>
      <c r="BE4379" s="83">
        <f t="shared" si="1479"/>
        <v>1931720</v>
      </c>
      <c r="BF4379" s="404">
        <f t="shared" si="1454"/>
        <v>94.684012175677637</v>
      </c>
      <c r="BG4379" s="373">
        <f t="shared" si="1455"/>
        <v>102690</v>
      </c>
    </row>
    <row r="4380" spans="1:60" ht="11.1" customHeight="1" thickTop="1">
      <c r="A4380" s="70" t="s">
        <v>1902</v>
      </c>
      <c r="B4380" s="71"/>
      <c r="C4380" s="70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69"/>
      <c r="AE4380" s="69"/>
      <c r="AF4380" s="69"/>
      <c r="AG4380" s="69"/>
      <c r="AH4380" s="69"/>
      <c r="AI4380" s="69"/>
      <c r="AJ4380" s="69"/>
      <c r="AK4380" s="69"/>
      <c r="AL4380" s="69"/>
      <c r="AM4380" s="69"/>
      <c r="AN4380" s="69"/>
      <c r="AO4380" s="69"/>
      <c r="AP4380" s="69"/>
      <c r="AQ4380" s="69"/>
      <c r="AR4380" s="69"/>
      <c r="AS4380" s="69"/>
      <c r="AT4380" s="69"/>
      <c r="AU4380" s="69"/>
      <c r="AV4380" s="69"/>
      <c r="AW4380" s="69"/>
      <c r="AX4380" s="69"/>
      <c r="AY4380" s="69"/>
      <c r="AZ4380" s="69"/>
      <c r="BA4380" s="69"/>
      <c r="BB4380" s="69"/>
      <c r="BC4380" s="69"/>
      <c r="BD4380" s="69"/>
      <c r="BE4380" s="69"/>
      <c r="BF4380" s="69"/>
    </row>
    <row r="4381" spans="1:60" s="77" customFormat="1" ht="12.95" customHeight="1">
      <c r="A4381" s="70" t="s">
        <v>1903</v>
      </c>
      <c r="B4381" s="73"/>
      <c r="C4381" s="73"/>
      <c r="D4381" s="74"/>
      <c r="E4381" s="74"/>
      <c r="F4381" s="74"/>
      <c r="G4381" s="74"/>
      <c r="H4381" s="74"/>
      <c r="I4381" s="74"/>
      <c r="J4381" s="74"/>
      <c r="K4381" s="74"/>
      <c r="L4381" s="74"/>
      <c r="M4381" s="74"/>
      <c r="N4381" s="74"/>
      <c r="O4381" s="74"/>
      <c r="P4381" s="74"/>
      <c r="Q4381" s="74"/>
      <c r="R4381" s="74"/>
      <c r="S4381" s="74"/>
      <c r="T4381" s="74"/>
      <c r="U4381" s="74"/>
      <c r="V4381" s="74"/>
      <c r="W4381" s="74"/>
      <c r="X4381" s="74"/>
      <c r="Y4381" s="74"/>
      <c r="Z4381" s="74"/>
      <c r="AA4381" s="74"/>
      <c r="AB4381" s="74"/>
      <c r="AC4381" s="74"/>
      <c r="AD4381" s="75"/>
      <c r="AE4381" s="75"/>
      <c r="AF4381" s="75"/>
      <c r="AG4381" s="75"/>
      <c r="AH4381" s="75"/>
      <c r="AI4381" s="75"/>
      <c r="AJ4381" s="75"/>
      <c r="AK4381" s="75"/>
      <c r="AL4381" s="75"/>
      <c r="AM4381" s="75"/>
      <c r="AN4381" s="75"/>
      <c r="AO4381" s="75"/>
      <c r="AP4381" s="75"/>
      <c r="AQ4381" s="75"/>
      <c r="AR4381" s="75"/>
      <c r="AS4381" s="75"/>
      <c r="AT4381" s="75"/>
      <c r="AU4381" s="75"/>
      <c r="AV4381" s="75"/>
      <c r="AW4381" s="75"/>
      <c r="AX4381" s="75"/>
      <c r="AY4381" s="75"/>
      <c r="AZ4381" s="75"/>
      <c r="BA4381" s="75"/>
      <c r="BB4381" s="75"/>
      <c r="BC4381" s="75"/>
      <c r="BD4381" s="72"/>
      <c r="BE4381" s="76"/>
      <c r="BF4381" s="75"/>
      <c r="BG4381" s="371"/>
      <c r="BH4381" s="342"/>
    </row>
    <row r="4382" spans="1:60" ht="12.95" customHeight="1">
      <c r="A4382" s="70" t="s">
        <v>1904</v>
      </c>
      <c r="C4382" s="78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69"/>
      <c r="AE4382" s="69"/>
      <c r="AF4382" s="69"/>
      <c r="AG4382" s="69"/>
      <c r="AH4382" s="69"/>
      <c r="AI4382" s="69"/>
      <c r="AJ4382" s="69"/>
      <c r="AK4382" s="69"/>
      <c r="AL4382" s="69"/>
      <c r="AM4382" s="69"/>
      <c r="AN4382" s="69"/>
      <c r="AO4382" s="69"/>
      <c r="AP4382" s="69"/>
      <c r="AQ4382" s="69"/>
      <c r="AR4382" s="69"/>
      <c r="AS4382" s="69"/>
      <c r="AT4382" s="69"/>
      <c r="AU4382" s="69"/>
      <c r="AV4382" s="69"/>
      <c r="AW4382" s="69"/>
      <c r="AX4382" s="69"/>
      <c r="AY4382" s="69"/>
      <c r="AZ4382" s="69"/>
      <c r="BA4382" s="69"/>
      <c r="BB4382" s="69"/>
      <c r="BC4382" s="69"/>
      <c r="BD4382" s="76"/>
      <c r="BE4382" s="69"/>
      <c r="BF4382" s="69"/>
    </row>
    <row r="4383" spans="1:60" ht="40.5" customHeight="1">
      <c r="B4383" s="655" t="s">
        <v>1905</v>
      </c>
      <c r="C4383" s="655"/>
      <c r="D4383" s="655"/>
      <c r="E4383" s="655"/>
      <c r="F4383" s="655"/>
      <c r="G4383" s="655"/>
      <c r="H4383" s="655"/>
      <c r="I4383" s="655"/>
      <c r="J4383" s="655"/>
      <c r="K4383" s="655"/>
      <c r="L4383" s="655"/>
      <c r="M4383" s="655"/>
      <c r="N4383" s="655"/>
      <c r="O4383" s="655"/>
      <c r="P4383" s="655"/>
      <c r="Q4383" s="655"/>
      <c r="R4383" s="655"/>
      <c r="S4383" s="655"/>
      <c r="T4383" s="655"/>
      <c r="U4383" s="655"/>
      <c r="V4383" s="655"/>
      <c r="W4383" s="655"/>
      <c r="X4383" s="655"/>
      <c r="Y4383" s="655"/>
      <c r="Z4383" s="655"/>
      <c r="AA4383" s="655"/>
      <c r="AB4383" s="655"/>
      <c r="AC4383" s="655"/>
      <c r="AD4383" s="655"/>
      <c r="AE4383" s="655"/>
      <c r="AF4383" s="655"/>
      <c r="AG4383" s="655"/>
      <c r="AH4383" s="655"/>
      <c r="AI4383" s="655"/>
      <c r="AJ4383" s="655"/>
      <c r="AK4383" s="655"/>
      <c r="AL4383" s="655"/>
      <c r="AM4383" s="655"/>
      <c r="AN4383" s="655"/>
      <c r="AO4383" s="655"/>
      <c r="AP4383" s="655"/>
      <c r="AQ4383" s="655"/>
      <c r="AR4383" s="655"/>
      <c r="AS4383" s="655"/>
      <c r="AT4383" s="655"/>
      <c r="AU4383" s="655"/>
      <c r="AV4383" s="655"/>
      <c r="AW4383" s="655"/>
      <c r="AX4383" s="655"/>
      <c r="AY4383" s="655"/>
      <c r="AZ4383" s="655"/>
      <c r="BA4383" s="655"/>
      <c r="BB4383" s="655"/>
      <c r="BC4383" s="655"/>
      <c r="BD4383" s="655"/>
      <c r="BE4383" s="655"/>
      <c r="BF4383" s="227"/>
      <c r="BG4383" s="4"/>
    </row>
    <row r="4384" spans="1:60" ht="21.75" customHeight="1">
      <c r="B4384" s="656" t="s">
        <v>1906</v>
      </c>
      <c r="C4384" s="656"/>
      <c r="D4384" s="656"/>
      <c r="E4384" s="656"/>
      <c r="F4384" s="656"/>
      <c r="G4384" s="656"/>
      <c r="H4384" s="656"/>
      <c r="I4384" s="656"/>
      <c r="J4384" s="656"/>
      <c r="K4384" s="656"/>
      <c r="L4384" s="656"/>
      <c r="M4384" s="656"/>
      <c r="N4384" s="656"/>
      <c r="O4384" s="656"/>
      <c r="P4384" s="656"/>
      <c r="Q4384" s="656"/>
      <c r="R4384" s="656"/>
      <c r="S4384" s="656"/>
      <c r="T4384" s="656"/>
      <c r="U4384" s="656"/>
      <c r="V4384" s="656"/>
      <c r="W4384" s="656"/>
      <c r="X4384" s="656"/>
      <c r="Y4384" s="656"/>
      <c r="Z4384" s="656"/>
      <c r="AA4384" s="656"/>
      <c r="AB4384" s="656"/>
      <c r="AC4384" s="656"/>
      <c r="AD4384" s="656"/>
      <c r="AE4384" s="656"/>
      <c r="AF4384" s="656"/>
      <c r="AG4384" s="656"/>
      <c r="AH4384" s="656"/>
      <c r="AI4384" s="656"/>
      <c r="AJ4384" s="656"/>
      <c r="AK4384" s="656"/>
      <c r="AL4384" s="656"/>
      <c r="AM4384" s="656"/>
      <c r="AN4384" s="656"/>
      <c r="AO4384" s="656"/>
      <c r="AP4384" s="656"/>
      <c r="AQ4384" s="656"/>
      <c r="AR4384" s="656"/>
      <c r="AS4384" s="656"/>
      <c r="AT4384" s="656"/>
      <c r="AU4384" s="656"/>
      <c r="AV4384" s="656"/>
      <c r="AW4384" s="656"/>
      <c r="AX4384" s="656"/>
      <c r="AY4384" s="656"/>
      <c r="AZ4384" s="656"/>
      <c r="BA4384" s="656"/>
      <c r="BB4384" s="656"/>
      <c r="BC4384" s="656"/>
      <c r="BD4384" s="656"/>
      <c r="BE4384" s="656"/>
      <c r="BF4384" s="228"/>
      <c r="BG4384" s="7"/>
    </row>
    <row r="4385" spans="2:59" ht="10.5" customHeight="1">
      <c r="B4385" s="80"/>
      <c r="C4385" s="80"/>
      <c r="D4385" s="80"/>
      <c r="E4385" s="80"/>
      <c r="F4385" s="80"/>
      <c r="G4385" s="80"/>
      <c r="H4385" s="80"/>
      <c r="I4385" s="80"/>
      <c r="J4385" s="80"/>
      <c r="K4385" s="80"/>
      <c r="L4385" s="80"/>
      <c r="M4385" s="80"/>
      <c r="N4385" s="80"/>
      <c r="O4385" s="80"/>
      <c r="P4385" s="80"/>
      <c r="Q4385" s="80"/>
      <c r="R4385" s="80"/>
      <c r="S4385" s="80"/>
      <c r="T4385" s="80"/>
      <c r="U4385" s="80"/>
      <c r="V4385" s="80"/>
      <c r="W4385" s="80"/>
      <c r="X4385" s="80"/>
      <c r="Y4385" s="80"/>
      <c r="Z4385" s="80"/>
      <c r="AA4385" s="80"/>
      <c r="AB4385" s="80"/>
      <c r="AC4385" s="80"/>
      <c r="AD4385" s="80"/>
      <c r="AE4385" s="80"/>
      <c r="AF4385" s="80"/>
      <c r="AG4385" s="80"/>
      <c r="AH4385" s="80"/>
      <c r="AI4385" s="80"/>
      <c r="AJ4385" s="80"/>
      <c r="AK4385" s="80"/>
      <c r="AL4385" s="80"/>
      <c r="AM4385" s="80"/>
      <c r="AN4385" s="80"/>
      <c r="AO4385" s="80"/>
      <c r="AP4385" s="80"/>
      <c r="AQ4385" s="80"/>
      <c r="AR4385" s="80"/>
      <c r="AS4385" s="80"/>
      <c r="AT4385" s="80"/>
      <c r="AU4385" s="80"/>
      <c r="AV4385" s="80"/>
      <c r="AW4385" s="80"/>
      <c r="AX4385" s="80"/>
      <c r="AY4385" s="80"/>
      <c r="AZ4385" s="80"/>
      <c r="BA4385" s="80"/>
      <c r="BB4385" s="80"/>
      <c r="BC4385" s="80"/>
      <c r="BD4385" s="80"/>
      <c r="BG4385" s="7"/>
    </row>
    <row r="4386" spans="2:59" ht="30" customHeight="1">
      <c r="B4386" s="657" t="s">
        <v>2350</v>
      </c>
      <c r="C4386" s="657"/>
      <c r="D4386" s="657"/>
      <c r="E4386" s="657"/>
      <c r="F4386" s="657"/>
      <c r="G4386" s="657"/>
      <c r="H4386" s="657"/>
      <c r="I4386" s="657"/>
      <c r="J4386" s="657"/>
      <c r="K4386" s="657"/>
      <c r="L4386" s="657"/>
      <c r="M4386" s="657"/>
      <c r="N4386" s="657"/>
      <c r="O4386" s="657"/>
      <c r="P4386" s="657"/>
      <c r="Q4386" s="657"/>
      <c r="R4386" s="657"/>
      <c r="S4386" s="657"/>
      <c r="T4386" s="657"/>
      <c r="U4386" s="657"/>
      <c r="V4386" s="657"/>
      <c r="W4386" s="657"/>
      <c r="X4386" s="657"/>
      <c r="Y4386" s="657"/>
      <c r="Z4386" s="657"/>
      <c r="AA4386" s="657"/>
      <c r="AB4386" s="657"/>
      <c r="AC4386" s="657"/>
      <c r="AD4386" s="657"/>
      <c r="AE4386" s="657"/>
      <c r="AF4386" s="657"/>
      <c r="AG4386" s="657"/>
      <c r="AH4386" s="657"/>
      <c r="AI4386" s="657"/>
      <c r="AJ4386" s="657"/>
      <c r="AK4386" s="657"/>
      <c r="AL4386" s="657"/>
      <c r="AM4386" s="657"/>
      <c r="AN4386" s="657"/>
      <c r="AO4386" s="657"/>
      <c r="AP4386" s="657"/>
      <c r="AQ4386" s="657"/>
      <c r="AR4386" s="657"/>
      <c r="AS4386" s="657"/>
      <c r="AT4386" s="657"/>
      <c r="AU4386" s="657"/>
      <c r="AV4386" s="657"/>
      <c r="AW4386" s="657"/>
      <c r="AX4386" s="657"/>
      <c r="AY4386" s="657"/>
      <c r="AZ4386" s="657"/>
      <c r="BA4386" s="657"/>
      <c r="BB4386" s="657"/>
      <c r="BC4386" s="657"/>
      <c r="BD4386" s="657"/>
      <c r="BE4386" s="657"/>
      <c r="BF4386" s="657"/>
      <c r="BG4386" s="7"/>
    </row>
    <row r="4387" spans="2:59" ht="41.25" customHeight="1">
      <c r="B4387" s="657" t="s">
        <v>4030</v>
      </c>
      <c r="C4387" s="657"/>
      <c r="D4387" s="657"/>
      <c r="E4387" s="657"/>
      <c r="F4387" s="657"/>
      <c r="G4387" s="657"/>
      <c r="H4387" s="657"/>
      <c r="I4387" s="657"/>
      <c r="J4387" s="657"/>
      <c r="K4387" s="657"/>
      <c r="L4387" s="657"/>
      <c r="M4387" s="657"/>
      <c r="N4387" s="657"/>
      <c r="O4387" s="657"/>
      <c r="P4387" s="657"/>
      <c r="Q4387" s="657"/>
      <c r="R4387" s="657"/>
      <c r="S4387" s="657"/>
      <c r="T4387" s="657"/>
      <c r="U4387" s="657"/>
      <c r="V4387" s="657"/>
      <c r="W4387" s="657"/>
      <c r="X4387" s="657"/>
      <c r="Y4387" s="657"/>
      <c r="Z4387" s="657"/>
      <c r="AA4387" s="657"/>
      <c r="AB4387" s="657"/>
      <c r="AC4387" s="657"/>
      <c r="AD4387" s="657"/>
      <c r="AE4387" s="657"/>
      <c r="AF4387" s="657"/>
      <c r="AG4387" s="657"/>
      <c r="AH4387" s="657"/>
      <c r="AI4387" s="657"/>
      <c r="AJ4387" s="657"/>
      <c r="AK4387" s="657"/>
      <c r="AL4387" s="657"/>
      <c r="AM4387" s="657"/>
      <c r="AN4387" s="657"/>
      <c r="AO4387" s="657"/>
      <c r="AP4387" s="657"/>
      <c r="AQ4387" s="657"/>
      <c r="AR4387" s="657"/>
      <c r="AS4387" s="657"/>
      <c r="AT4387" s="657"/>
      <c r="AU4387" s="657"/>
      <c r="AV4387" s="657"/>
      <c r="AW4387" s="657"/>
      <c r="AX4387" s="657"/>
      <c r="AY4387" s="657"/>
      <c r="AZ4387" s="657"/>
      <c r="BA4387" s="657"/>
      <c r="BB4387" s="657"/>
      <c r="BC4387" s="657"/>
      <c r="BD4387" s="657"/>
      <c r="BE4387" s="657"/>
      <c r="BF4387" s="657"/>
      <c r="BG4387" s="7"/>
    </row>
    <row r="4388" spans="2:59" ht="15.75" customHeight="1">
      <c r="B4388" s="514"/>
      <c r="C4388" s="514"/>
      <c r="D4388" s="513"/>
      <c r="E4388" s="513"/>
      <c r="F4388" s="513"/>
      <c r="G4388" s="513"/>
      <c r="H4388" s="513"/>
      <c r="I4388" s="513"/>
      <c r="J4388" s="513"/>
      <c r="K4388" s="513"/>
      <c r="L4388" s="513"/>
      <c r="M4388" s="513"/>
      <c r="N4388" s="513"/>
      <c r="O4388" s="513"/>
      <c r="P4388" s="513"/>
      <c r="Q4388" s="513"/>
      <c r="R4388" s="513"/>
      <c r="S4388" s="513"/>
      <c r="T4388" s="513"/>
      <c r="U4388" s="513"/>
      <c r="V4388" s="513"/>
      <c r="W4388" s="513"/>
      <c r="X4388" s="513"/>
      <c r="Y4388" s="513"/>
      <c r="Z4388" s="513"/>
      <c r="AA4388" s="513"/>
      <c r="AB4388" s="514"/>
      <c r="AC4388" s="514"/>
      <c r="AD4388" s="513"/>
      <c r="AE4388" s="513"/>
      <c r="AF4388" s="513"/>
      <c r="AG4388" s="513"/>
      <c r="AH4388" s="513"/>
      <c r="AI4388" s="513"/>
      <c r="AJ4388" s="513"/>
      <c r="AK4388" s="513"/>
      <c r="AL4388" s="513"/>
      <c r="AM4388" s="513"/>
      <c r="AN4388" s="513"/>
      <c r="AO4388" s="513"/>
      <c r="AP4388" s="513"/>
      <c r="AQ4388" s="513"/>
      <c r="AR4388" s="513"/>
      <c r="AS4388" s="513"/>
      <c r="AT4388" s="513"/>
      <c r="AU4388" s="513"/>
      <c r="AV4388" s="513"/>
      <c r="AW4388" s="513"/>
      <c r="AX4388" s="513"/>
      <c r="AY4388" s="513"/>
      <c r="AZ4388" s="513"/>
      <c r="BA4388" s="513"/>
      <c r="BB4388" s="514"/>
      <c r="BC4388" s="514"/>
      <c r="BD4388" s="7"/>
      <c r="BE4388" s="7"/>
      <c r="BF4388" s="7"/>
      <c r="BG4388" s="7"/>
    </row>
    <row r="4389" spans="2:59" ht="11.1" customHeight="1"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</row>
    <row r="4390" spans="2:59" ht="11.1" customHeight="1"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</row>
    <row r="4391" spans="2:59" ht="11.1" customHeight="1"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</row>
    <row r="4392" spans="2:59" ht="11.1" customHeight="1"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</row>
    <row r="4393" spans="2:59" ht="11.1" customHeight="1"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</row>
    <row r="4394" spans="2:59" ht="24.95" customHeight="1"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</row>
    <row r="4395" spans="2:59" ht="24.95" customHeight="1"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</row>
    <row r="4396" spans="2:59" ht="24.95" customHeight="1"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</row>
    <row r="4397" spans="2:59" ht="24.95" customHeight="1"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</row>
    <row r="4398" spans="2:59" ht="24.95" customHeight="1">
      <c r="D4398" s="7"/>
      <c r="E4398" s="7"/>
      <c r="F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</row>
    <row r="4399" spans="2:59" ht="24.95" customHeight="1">
      <c r="D4399" s="7"/>
      <c r="E4399" s="7"/>
      <c r="F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</row>
    <row r="4400" spans="2:59" ht="24.95" customHeight="1">
      <c r="D4400" s="7"/>
      <c r="E4400" s="7"/>
      <c r="F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</row>
    <row r="4401" spans="4:59" ht="24.95" customHeight="1"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</row>
    <row r="4402" spans="4:59" ht="24.95" customHeight="1"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</row>
    <row r="4403" spans="4:59" ht="24.95" customHeight="1"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</row>
    <row r="4404" spans="4:59" ht="24.95" customHeight="1"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</row>
    <row r="4405" spans="4:59" ht="24.95" customHeight="1"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</row>
    <row r="4406" spans="4:59" ht="24.95" customHeight="1"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</row>
    <row r="4407" spans="4:59" ht="24.95" customHeight="1"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</row>
    <row r="4408" spans="4:59" ht="24.95" customHeight="1"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</row>
    <row r="4409" spans="4:59" ht="24.95" customHeight="1"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</row>
    <row r="4410" spans="4:59" ht="24.95" customHeight="1">
      <c r="D4410" s="7"/>
      <c r="E4410" s="7"/>
      <c r="F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</row>
    <row r="4411" spans="4:59" ht="24.95" customHeight="1"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</row>
    <row r="4412" spans="4:59" ht="24.95" customHeight="1">
      <c r="D4412" s="7"/>
      <c r="E4412" s="7"/>
      <c r="F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</row>
    <row r="4413" spans="4:59" ht="24.95" customHeight="1"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</row>
    <row r="4414" spans="4:59" ht="24.95" customHeight="1"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</row>
    <row r="4415" spans="4:59" ht="24.95" customHeight="1"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</row>
    <row r="4416" spans="4:59" ht="24.95" customHeight="1"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</row>
    <row r="4417" spans="4:59" ht="24.95" customHeight="1"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</row>
    <row r="4418" spans="4:59" ht="24.95" customHeight="1"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</row>
    <row r="4419" spans="4:59" ht="24.95" customHeight="1"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</row>
    <row r="4420" spans="4:59" ht="24.95" customHeight="1"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</row>
    <row r="4421" spans="4:59" ht="24.95" customHeight="1"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</row>
    <row r="4422" spans="4:59" ht="24.95" customHeight="1"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</row>
    <row r="4423" spans="4:59" ht="24.95" customHeight="1">
      <c r="D4423" s="7"/>
      <c r="E4423" s="7"/>
      <c r="F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</row>
    <row r="4424" spans="4:59" ht="24.95" customHeight="1"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</row>
    <row r="4425" spans="4:59" ht="24.95" customHeight="1"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</row>
    <row r="4426" spans="4:59" ht="24.95" customHeight="1"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</row>
    <row r="4427" spans="4:59" ht="24.95" customHeight="1"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</row>
    <row r="4428" spans="4:59" ht="24.95" customHeight="1"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</row>
    <row r="4429" spans="4:59" ht="24.95" customHeight="1"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</row>
    <row r="4430" spans="4:59" ht="24.95" customHeight="1"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</row>
    <row r="4431" spans="4:59" ht="24.95" customHeight="1"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</row>
    <row r="4432" spans="4:59" ht="24.95" customHeight="1"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</row>
    <row r="4433" spans="4:59" ht="24.95" customHeight="1"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</row>
    <row r="4434" spans="4:59" ht="24.95" customHeight="1"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</row>
    <row r="4435" spans="4:59" ht="24.95" customHeight="1"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</row>
    <row r="4436" spans="4:59" ht="24.95" customHeight="1"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</row>
    <row r="4437" spans="4:59" ht="24.95" customHeight="1"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</row>
    <row r="4438" spans="4:59" ht="24.95" customHeight="1"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</row>
    <row r="4439" spans="4:59" ht="24.95" customHeight="1"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</row>
    <row r="4440" spans="4:59" ht="24.95" customHeight="1"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</row>
    <row r="4441" spans="4:59" ht="24.95" customHeight="1"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</row>
    <row r="4442" spans="4:59" ht="24.95" customHeight="1"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</row>
    <row r="4443" spans="4:59" ht="24.95" customHeight="1"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</row>
    <row r="4444" spans="4:59" ht="24.95" customHeight="1"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</row>
    <row r="4445" spans="4:59" ht="24.95" customHeight="1"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</row>
    <row r="4446" spans="4:59" ht="24.95" customHeight="1"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</row>
    <row r="4447" spans="4:59" ht="24.95" customHeight="1"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</row>
    <row r="4448" spans="4:59" ht="24.95" customHeight="1"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</row>
    <row r="4449" spans="4:59" ht="24.95" customHeight="1"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</row>
    <row r="4450" spans="4:59" ht="24.95" customHeight="1"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</row>
    <row r="4451" spans="4:59" ht="24.95" customHeight="1"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</row>
    <row r="4452" spans="4:59" ht="24.95" customHeight="1"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</row>
    <row r="4453" spans="4:59" ht="24.95" customHeight="1"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</row>
    <row r="4454" spans="4:59" ht="24.95" customHeight="1"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</row>
    <row r="4455" spans="4:59" ht="24.95" customHeight="1"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</row>
    <row r="4456" spans="4:59" ht="24.95" customHeight="1"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</row>
    <row r="4457" spans="4:59" ht="24.95" customHeight="1"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</row>
    <row r="4458" spans="4:59" ht="24.95" customHeight="1"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</row>
    <row r="4459" spans="4:59" ht="24.95" customHeight="1"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</row>
    <row r="4460" spans="4:59" ht="24.95" customHeight="1"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</row>
    <row r="4461" spans="4:59" ht="24.95" customHeight="1"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</row>
    <row r="4462" spans="4:59" ht="24.95" customHeight="1"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</row>
    <row r="4463" spans="4:59" ht="24.95" customHeight="1"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</row>
    <row r="4464" spans="4:59" ht="24.95" customHeight="1"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</row>
    <row r="4465" spans="4:59" ht="24.95" customHeight="1"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</row>
    <row r="4466" spans="4:59" ht="24.95" customHeight="1"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</row>
    <row r="4467" spans="4:59" ht="24.95" customHeight="1"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</row>
    <row r="4468" spans="4:59" ht="24.95" customHeight="1"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</row>
    <row r="4469" spans="4:59" ht="24.95" customHeight="1"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</row>
    <row r="4470" spans="4:59" ht="24.95" customHeight="1"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</row>
    <row r="4471" spans="4:59" ht="24.95" customHeight="1"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</row>
    <row r="4472" spans="4:59" ht="24.95" customHeight="1"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</row>
    <row r="4473" spans="4:59" ht="24.95" customHeight="1"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</row>
    <row r="4474" spans="4:59" ht="24.95" customHeight="1"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</row>
    <row r="4475" spans="4:59" ht="24.95" customHeight="1"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</row>
    <row r="4476" spans="4:59" ht="24.95" customHeight="1"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</row>
    <row r="4477" spans="4:59" ht="24.95" customHeight="1"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</row>
    <row r="4478" spans="4:59" ht="24.95" customHeight="1"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</row>
    <row r="4479" spans="4:59" ht="24.95" customHeight="1"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</row>
  </sheetData>
  <sheetProtection password="CC71" sheet="1" objects="1" scenarios="1"/>
  <autoFilter ref="A9:BF4384"/>
  <sortState ref="A1092:BI1256">
    <sortCondition ref="B1092:B1256"/>
  </sortState>
  <mergeCells count="139">
    <mergeCell ref="B4387:BF4387"/>
    <mergeCell ref="A4356:C4356"/>
    <mergeCell ref="A4357:C4357"/>
    <mergeCell ref="A4358:C4358"/>
    <mergeCell ref="A4359:C4359"/>
    <mergeCell ref="A4360:C4360"/>
    <mergeCell ref="A4361:BE4361"/>
    <mergeCell ref="A4272:C4272"/>
    <mergeCell ref="A4288:C4288"/>
    <mergeCell ref="A4303:C4303"/>
    <mergeCell ref="A4348:C4348"/>
    <mergeCell ref="A4352:C4352"/>
    <mergeCell ref="A4354:C4354"/>
    <mergeCell ref="BH3:BH4"/>
    <mergeCell ref="B4383:BE4383"/>
    <mergeCell ref="B4384:BE4384"/>
    <mergeCell ref="B4386:BF4386"/>
    <mergeCell ref="A4374:C4374"/>
    <mergeCell ref="A4375:C4375"/>
    <mergeCell ref="A4376:C4376"/>
    <mergeCell ref="A4377:C4377"/>
    <mergeCell ref="A4378:C4378"/>
    <mergeCell ref="A4379:C4379"/>
    <mergeCell ref="A4159:C4159"/>
    <mergeCell ref="A4161:C4161"/>
    <mergeCell ref="A4186:C4186"/>
    <mergeCell ref="A4220:C4220"/>
    <mergeCell ref="A4250:C4250"/>
    <mergeCell ref="A4270:C4270"/>
    <mergeCell ref="A4095:C4095"/>
    <mergeCell ref="A4098:C4098"/>
    <mergeCell ref="A4114:C4114"/>
    <mergeCell ref="A4123:C4123"/>
    <mergeCell ref="A4125:C4125"/>
    <mergeCell ref="A4132:C4132"/>
    <mergeCell ref="A3969:C3969"/>
    <mergeCell ref="A3987:C3987"/>
    <mergeCell ref="A4004:C4004"/>
    <mergeCell ref="B4024:C4024"/>
    <mergeCell ref="A4044:C4044"/>
    <mergeCell ref="A4066:C4066"/>
    <mergeCell ref="A3904:C3904"/>
    <mergeCell ref="A3908:C3908"/>
    <mergeCell ref="A3914:C3914"/>
    <mergeCell ref="A3917:C3917"/>
    <mergeCell ref="A3918:C3918"/>
    <mergeCell ref="A3943:C3943"/>
    <mergeCell ref="A3699:C3699"/>
    <mergeCell ref="A3749:C3749"/>
    <mergeCell ref="A3761:C3761"/>
    <mergeCell ref="A3827:C3827"/>
    <mergeCell ref="A3852:C3852"/>
    <mergeCell ref="A3872:C3872"/>
    <mergeCell ref="A3488:C3488"/>
    <mergeCell ref="A3507:C3507"/>
    <mergeCell ref="A3574:C3574"/>
    <mergeCell ref="A3575:C3575"/>
    <mergeCell ref="A3615:C3615"/>
    <mergeCell ref="A3651:C3651"/>
    <mergeCell ref="A2779:C2779"/>
    <mergeCell ref="A2921:C2921"/>
    <mergeCell ref="A3109:C3109"/>
    <mergeCell ref="A3159:C3159"/>
    <mergeCell ref="A3178:C3178"/>
    <mergeCell ref="A3391:C3391"/>
    <mergeCell ref="A2153:C2153"/>
    <mergeCell ref="A2293:C2293"/>
    <mergeCell ref="A2338:C2338"/>
    <mergeCell ref="A2381:C2381"/>
    <mergeCell ref="A2614:C2614"/>
    <mergeCell ref="A2627:C2627"/>
    <mergeCell ref="A1620:C1620"/>
    <mergeCell ref="B1698:C1698"/>
    <mergeCell ref="A1808:C1808"/>
    <mergeCell ref="A1910:C1910"/>
    <mergeCell ref="A2006:C2006"/>
    <mergeCell ref="A2009:C2009"/>
    <mergeCell ref="A1086:C1086"/>
    <mergeCell ref="A1088:C1088"/>
    <mergeCell ref="A1091:C1091"/>
    <mergeCell ref="A1258:C1258"/>
    <mergeCell ref="A1409:C1409"/>
    <mergeCell ref="A1512:C1512"/>
    <mergeCell ref="A1028:C1028"/>
    <mergeCell ref="A1040:C1040"/>
    <mergeCell ref="A1043:C1043"/>
    <mergeCell ref="A1068:C1068"/>
    <mergeCell ref="A1081:C1081"/>
    <mergeCell ref="A1083:C1083"/>
    <mergeCell ref="A999:C999"/>
    <mergeCell ref="A1002:C1002"/>
    <mergeCell ref="A1005:C1005"/>
    <mergeCell ref="A1006:C1006"/>
    <mergeCell ref="A1018:C1018"/>
    <mergeCell ref="A1023:C1023"/>
    <mergeCell ref="A672:C672"/>
    <mergeCell ref="A741:C741"/>
    <mergeCell ref="A846:C846"/>
    <mergeCell ref="A853:C853"/>
    <mergeCell ref="A855:C855"/>
    <mergeCell ref="A989:C989"/>
    <mergeCell ref="A198:C198"/>
    <mergeCell ref="B253:C253"/>
    <mergeCell ref="A255:C255"/>
    <mergeCell ref="A257:C257"/>
    <mergeCell ref="A567:C567"/>
    <mergeCell ref="A569:C569"/>
    <mergeCell ref="B52:C52"/>
    <mergeCell ref="B55:C55"/>
    <mergeCell ref="A75:C75"/>
    <mergeCell ref="B78:C78"/>
    <mergeCell ref="A80:C80"/>
    <mergeCell ref="A82:C82"/>
    <mergeCell ref="AT8:AW8"/>
    <mergeCell ref="AX8:BA8"/>
    <mergeCell ref="A10:C10"/>
    <mergeCell ref="A22:C22"/>
    <mergeCell ref="B33:C33"/>
    <mergeCell ref="A47:C47"/>
    <mergeCell ref="A5:A8"/>
    <mergeCell ref="B5:B8"/>
    <mergeCell ref="C5:C8"/>
    <mergeCell ref="BF5:BF8"/>
    <mergeCell ref="AB7:AC7"/>
    <mergeCell ref="BB7:BC7"/>
    <mergeCell ref="BD7:BE7"/>
    <mergeCell ref="D8:G8"/>
    <mergeCell ref="H8:K8"/>
    <mergeCell ref="L8:O8"/>
    <mergeCell ref="P8:S8"/>
    <mergeCell ref="T8:W8"/>
    <mergeCell ref="X8:AA8"/>
    <mergeCell ref="AB5:AC6"/>
    <mergeCell ref="BB5:BC6"/>
    <mergeCell ref="BD5:BE6"/>
    <mergeCell ref="AD8:AG8"/>
    <mergeCell ref="AH8:AK8"/>
    <mergeCell ref="AL8:AO8"/>
    <mergeCell ref="AP8:AS8"/>
  </mergeCells>
  <pageMargins left="0.19685039370078741" right="0.19685039370078741" top="0.39370078740157483" bottom="0.39370078740157483" header="0.19685039370078741" footer="0.19685039370078741"/>
  <pageSetup paperSize="9" scale="95" orientation="landscape" r:id="rId1"/>
  <headerFooter alignWithMargins="0">
    <oddFooter>&amp;RСтр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F28"/>
  <sheetViews>
    <sheetView topLeftCell="A16" workbookViewId="0">
      <selection activeCell="D27" sqref="D27:E27"/>
    </sheetView>
  </sheetViews>
  <sheetFormatPr defaultRowHeight="15.75"/>
  <cols>
    <col min="1" max="1" width="11.5703125" style="85" customWidth="1"/>
    <col min="2" max="2" width="93.7109375" style="85" customWidth="1"/>
    <col min="3" max="4" width="12.140625" style="85" customWidth="1"/>
    <col min="5" max="5" width="11" style="85" customWidth="1"/>
    <col min="6" max="16384" width="9.140625" style="84"/>
  </cols>
  <sheetData>
    <row r="1" spans="1:6" ht="16.5" thickBot="1"/>
    <row r="2" spans="1:6" ht="38.25" customHeight="1" thickTop="1" thickBot="1">
      <c r="A2" s="676" t="s">
        <v>3621</v>
      </c>
      <c r="B2" s="676"/>
      <c r="C2" s="676"/>
      <c r="D2" s="676"/>
      <c r="E2" s="676"/>
    </row>
    <row r="3" spans="1:6" ht="16.5" thickTop="1"/>
    <row r="4" spans="1:6" ht="31.5" customHeight="1">
      <c r="A4" s="107" t="s">
        <v>2638</v>
      </c>
      <c r="B4" s="88" t="s">
        <v>1914</v>
      </c>
      <c r="C4" s="116" t="s">
        <v>1911</v>
      </c>
      <c r="D4" s="116" t="s">
        <v>1912</v>
      </c>
      <c r="E4" s="116" t="s">
        <v>1913</v>
      </c>
    </row>
    <row r="5" spans="1:6" ht="21" customHeight="1">
      <c r="A5" s="87">
        <v>1</v>
      </c>
      <c r="B5" s="87" t="s">
        <v>2639</v>
      </c>
      <c r="C5" s="102">
        <v>0</v>
      </c>
      <c r="D5" s="102">
        <v>5</v>
      </c>
      <c r="E5" s="88">
        <f>SUM(C5:D5)</f>
        <v>5</v>
      </c>
      <c r="F5" s="90"/>
    </row>
    <row r="6" spans="1:6" ht="21" customHeight="1">
      <c r="A6" s="87">
        <v>2</v>
      </c>
      <c r="B6" s="87" t="s">
        <v>3630</v>
      </c>
      <c r="C6" s="102">
        <v>0</v>
      </c>
      <c r="D6" s="102">
        <v>48</v>
      </c>
      <c r="E6" s="88">
        <f t="shared" ref="E6:E25" si="0">SUM(C6:D6)</f>
        <v>48</v>
      </c>
      <c r="F6" s="90"/>
    </row>
    <row r="7" spans="1:6" ht="21" customHeight="1">
      <c r="A7" s="87">
        <v>3</v>
      </c>
      <c r="B7" s="87" t="s">
        <v>3631</v>
      </c>
      <c r="C7" s="102">
        <v>0</v>
      </c>
      <c r="D7" s="102">
        <v>1</v>
      </c>
      <c r="E7" s="88">
        <f t="shared" si="0"/>
        <v>1</v>
      </c>
      <c r="F7" s="90"/>
    </row>
    <row r="8" spans="1:6" ht="21" customHeight="1">
      <c r="A8" s="87">
        <v>4</v>
      </c>
      <c r="B8" s="87" t="s">
        <v>3632</v>
      </c>
      <c r="C8" s="102">
        <v>0</v>
      </c>
      <c r="D8" s="102">
        <v>1</v>
      </c>
      <c r="E8" s="88">
        <f t="shared" si="0"/>
        <v>1</v>
      </c>
      <c r="F8" s="90"/>
    </row>
    <row r="9" spans="1:6" ht="21" customHeight="1">
      <c r="A9" s="87">
        <v>5</v>
      </c>
      <c r="B9" s="87" t="s">
        <v>3633</v>
      </c>
      <c r="C9" s="102">
        <v>0</v>
      </c>
      <c r="D9" s="102">
        <v>22</v>
      </c>
      <c r="E9" s="88">
        <f t="shared" si="0"/>
        <v>22</v>
      </c>
      <c r="F9" s="90"/>
    </row>
    <row r="10" spans="1:6" ht="21" customHeight="1">
      <c r="A10" s="87">
        <v>6</v>
      </c>
      <c r="B10" s="87" t="s">
        <v>2641</v>
      </c>
      <c r="C10" s="102">
        <v>7</v>
      </c>
      <c r="D10" s="102">
        <v>0</v>
      </c>
      <c r="E10" s="88">
        <f t="shared" si="0"/>
        <v>7</v>
      </c>
      <c r="F10" s="90"/>
    </row>
    <row r="11" spans="1:6" ht="21" customHeight="1">
      <c r="A11" s="87">
        <v>7</v>
      </c>
      <c r="B11" s="87" t="s">
        <v>3634</v>
      </c>
      <c r="C11" s="102">
        <v>1</v>
      </c>
      <c r="D11" s="102">
        <v>0</v>
      </c>
      <c r="E11" s="88">
        <f t="shared" si="0"/>
        <v>1</v>
      </c>
      <c r="F11" s="90"/>
    </row>
    <row r="12" spans="1:6" ht="21" customHeight="1">
      <c r="A12" s="87">
        <v>8</v>
      </c>
      <c r="B12" s="87" t="s">
        <v>3635</v>
      </c>
      <c r="C12" s="102">
        <v>1</v>
      </c>
      <c r="D12" s="102">
        <v>0</v>
      </c>
      <c r="E12" s="88">
        <f t="shared" si="0"/>
        <v>1</v>
      </c>
      <c r="F12" s="96"/>
    </row>
    <row r="13" spans="1:6" ht="21" customHeight="1">
      <c r="A13" s="87">
        <v>9</v>
      </c>
      <c r="B13" s="87" t="s">
        <v>3636</v>
      </c>
      <c r="C13" s="102">
        <v>1</v>
      </c>
      <c r="D13" s="102">
        <v>0</v>
      </c>
      <c r="E13" s="88">
        <f t="shared" si="0"/>
        <v>1</v>
      </c>
      <c r="F13" s="90"/>
    </row>
    <row r="14" spans="1:6" ht="21" customHeight="1">
      <c r="A14" s="87">
        <v>10</v>
      </c>
      <c r="B14" s="87" t="s">
        <v>3637</v>
      </c>
      <c r="C14" s="102">
        <v>5</v>
      </c>
      <c r="D14" s="102">
        <v>0</v>
      </c>
      <c r="E14" s="88">
        <f t="shared" si="0"/>
        <v>5</v>
      </c>
      <c r="F14" s="90"/>
    </row>
    <row r="15" spans="1:6" ht="21" customHeight="1">
      <c r="A15" s="87">
        <v>11</v>
      </c>
      <c r="B15" s="87" t="s">
        <v>3638</v>
      </c>
      <c r="C15" s="102">
        <v>5</v>
      </c>
      <c r="D15" s="102">
        <v>0</v>
      </c>
      <c r="E15" s="88">
        <f t="shared" si="0"/>
        <v>5</v>
      </c>
      <c r="F15" s="90"/>
    </row>
    <row r="16" spans="1:6" ht="21" customHeight="1">
      <c r="A16" s="87">
        <v>12</v>
      </c>
      <c r="B16" s="87"/>
      <c r="C16" s="102"/>
      <c r="D16" s="102"/>
      <c r="E16" s="88">
        <f t="shared" si="0"/>
        <v>0</v>
      </c>
      <c r="F16" s="90"/>
    </row>
    <row r="17" spans="1:6" ht="21" customHeight="1">
      <c r="A17" s="87">
        <v>13</v>
      </c>
      <c r="B17" s="87"/>
      <c r="C17" s="102"/>
      <c r="D17" s="102"/>
      <c r="E17" s="88">
        <f t="shared" si="0"/>
        <v>0</v>
      </c>
      <c r="F17" s="90"/>
    </row>
    <row r="18" spans="1:6" ht="21" customHeight="1">
      <c r="A18" s="87">
        <v>14</v>
      </c>
      <c r="B18" s="87"/>
      <c r="C18" s="102"/>
      <c r="D18" s="102"/>
      <c r="E18" s="88">
        <f t="shared" si="0"/>
        <v>0</v>
      </c>
      <c r="F18" s="90"/>
    </row>
    <row r="19" spans="1:6" ht="21" customHeight="1">
      <c r="A19" s="87">
        <v>15</v>
      </c>
      <c r="B19" s="87"/>
      <c r="C19" s="102"/>
      <c r="D19" s="102"/>
      <c r="E19" s="88">
        <f t="shared" si="0"/>
        <v>0</v>
      </c>
      <c r="F19" s="90"/>
    </row>
    <row r="20" spans="1:6" ht="21" customHeight="1">
      <c r="A20" s="87"/>
      <c r="B20" s="87"/>
      <c r="C20" s="102"/>
      <c r="D20" s="102"/>
      <c r="E20" s="88">
        <f t="shared" si="0"/>
        <v>0</v>
      </c>
      <c r="F20" s="90"/>
    </row>
    <row r="21" spans="1:6" ht="24.75" customHeight="1">
      <c r="A21" s="674" t="s">
        <v>2164</v>
      </c>
      <c r="B21" s="675"/>
      <c r="C21" s="88">
        <f>SUM(C5:C20)</f>
        <v>20</v>
      </c>
      <c r="D21" s="88">
        <f>SUM(D5:D20)</f>
        <v>77</v>
      </c>
      <c r="E21" s="88">
        <f t="shared" si="0"/>
        <v>97</v>
      </c>
      <c r="F21" s="90"/>
    </row>
    <row r="22" spans="1:6">
      <c r="A22" s="108"/>
      <c r="B22" s="108"/>
      <c r="C22" s="108"/>
      <c r="D22" s="108"/>
      <c r="E22" s="109">
        <f t="shared" si="0"/>
        <v>0</v>
      </c>
      <c r="F22" s="90"/>
    </row>
    <row r="23" spans="1:6">
      <c r="A23" s="108"/>
      <c r="B23" s="108"/>
      <c r="C23" s="108"/>
      <c r="D23" s="108"/>
      <c r="E23" s="109">
        <f t="shared" si="0"/>
        <v>0</v>
      </c>
      <c r="F23" s="90"/>
    </row>
    <row r="24" spans="1:6" ht="21" customHeight="1">
      <c r="A24" s="672" t="s">
        <v>2188</v>
      </c>
      <c r="B24" s="673"/>
      <c r="C24" s="109">
        <f>SUM(C22:C23)</f>
        <v>0</v>
      </c>
      <c r="D24" s="109">
        <f>SUM(D22:D23)</f>
        <v>0</v>
      </c>
      <c r="E24" s="109">
        <f t="shared" si="0"/>
        <v>0</v>
      </c>
      <c r="F24" s="90"/>
    </row>
    <row r="25" spans="1:6" ht="24" customHeight="1">
      <c r="A25" s="674" t="s">
        <v>2187</v>
      </c>
      <c r="B25" s="675"/>
      <c r="C25" s="88">
        <f>C21-C24</f>
        <v>20</v>
      </c>
      <c r="D25" s="88">
        <f>D21-D24</f>
        <v>77</v>
      </c>
      <c r="E25" s="88">
        <f t="shared" si="0"/>
        <v>97</v>
      </c>
      <c r="F25" s="90"/>
    </row>
    <row r="26" spans="1:6">
      <c r="C26" s="207">
        <f>'13-УСЛУГЕ-РФЗО 2021'!D4356</f>
        <v>20</v>
      </c>
      <c r="D26" s="207">
        <f>'13-УСЛУГЕ-РФЗО 2021'!AD4356</f>
        <v>77</v>
      </c>
      <c r="E26" s="207">
        <f>SUM(C26:D26)</f>
        <v>97</v>
      </c>
    </row>
    <row r="27" spans="1:6">
      <c r="C27" s="207">
        <f>C25-C26</f>
        <v>0</v>
      </c>
      <c r="D27" s="207">
        <f>D25-D26</f>
        <v>0</v>
      </c>
      <c r="E27" s="207">
        <f>E25-E26</f>
        <v>0</v>
      </c>
    </row>
    <row r="28" spans="1:6">
      <c r="C28" s="207"/>
      <c r="D28" s="207"/>
    </row>
  </sheetData>
  <mergeCells count="4">
    <mergeCell ref="A24:B24"/>
    <mergeCell ref="A25:B25"/>
    <mergeCell ref="A21:B21"/>
    <mergeCell ref="A2:E2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G69"/>
  <sheetViews>
    <sheetView topLeftCell="A58" workbookViewId="0">
      <selection activeCell="C70" sqref="C70"/>
    </sheetView>
  </sheetViews>
  <sheetFormatPr defaultRowHeight="15.75"/>
  <cols>
    <col min="1" max="1" width="14" style="89" customWidth="1"/>
    <col min="2" max="2" width="62.140625" style="89" customWidth="1"/>
    <col min="3" max="5" width="17.85546875" style="89" customWidth="1"/>
    <col min="6" max="32" width="0" style="90" hidden="1" customWidth="1"/>
    <col min="33" max="16384" width="9.140625" style="90"/>
  </cols>
  <sheetData>
    <row r="1" spans="1:5" ht="38.25" customHeight="1" thickTop="1" thickBot="1">
      <c r="A1" s="677" t="s">
        <v>3622</v>
      </c>
      <c r="B1" s="677"/>
      <c r="C1" s="677"/>
      <c r="D1" s="677"/>
      <c r="E1" s="677"/>
    </row>
    <row r="2" spans="1:5" ht="16.5" thickTop="1"/>
    <row r="3" spans="1:5" ht="30.75" customHeight="1">
      <c r="A3" s="115" t="s">
        <v>2638</v>
      </c>
      <c r="B3" s="201" t="s">
        <v>1914</v>
      </c>
      <c r="C3" s="201" t="s">
        <v>1912</v>
      </c>
      <c r="D3" s="201" t="s">
        <v>1911</v>
      </c>
      <c r="E3" s="201" t="s">
        <v>1913</v>
      </c>
    </row>
    <row r="4" spans="1:5" ht="16.5" customHeight="1">
      <c r="A4" s="86">
        <v>1</v>
      </c>
      <c r="B4" s="86" t="s">
        <v>3678</v>
      </c>
      <c r="C4" s="102">
        <v>0</v>
      </c>
      <c r="D4" s="102">
        <v>2</v>
      </c>
      <c r="E4" s="201">
        <f>SUM(C4:D4)</f>
        <v>2</v>
      </c>
    </row>
    <row r="5" spans="1:5" ht="16.5" customHeight="1">
      <c r="A5" s="86">
        <v>2</v>
      </c>
      <c r="B5" s="86" t="s">
        <v>3679</v>
      </c>
      <c r="C5" s="102">
        <v>0</v>
      </c>
      <c r="D5" s="102">
        <v>7</v>
      </c>
      <c r="E5" s="201">
        <f t="shared" ref="E5:E49" si="0">SUM(C5:D5)</f>
        <v>7</v>
      </c>
    </row>
    <row r="6" spans="1:5" ht="16.5" customHeight="1">
      <c r="A6" s="86">
        <v>3</v>
      </c>
      <c r="B6" s="86" t="s">
        <v>2363</v>
      </c>
      <c r="C6" s="102">
        <v>0</v>
      </c>
      <c r="D6" s="102">
        <v>712</v>
      </c>
      <c r="E6" s="201">
        <f t="shared" si="0"/>
        <v>712</v>
      </c>
    </row>
    <row r="7" spans="1:5" ht="16.5" customHeight="1">
      <c r="A7" s="86">
        <v>4</v>
      </c>
      <c r="B7" s="86" t="s">
        <v>2363</v>
      </c>
      <c r="C7" s="102">
        <v>4</v>
      </c>
      <c r="D7" s="102">
        <v>0</v>
      </c>
      <c r="E7" s="201">
        <f t="shared" si="0"/>
        <v>4</v>
      </c>
    </row>
    <row r="8" spans="1:5" ht="16.5" customHeight="1">
      <c r="A8" s="86">
        <v>5</v>
      </c>
      <c r="B8" s="86" t="s">
        <v>3650</v>
      </c>
      <c r="C8" s="102">
        <v>47334</v>
      </c>
      <c r="D8" s="102">
        <v>0</v>
      </c>
      <c r="E8" s="201">
        <f t="shared" si="0"/>
        <v>47334</v>
      </c>
    </row>
    <row r="9" spans="1:5" ht="16.5" customHeight="1">
      <c r="A9" s="86">
        <v>6</v>
      </c>
      <c r="B9" s="206" t="s">
        <v>3680</v>
      </c>
      <c r="C9" s="102">
        <v>3</v>
      </c>
      <c r="D9" s="102">
        <v>0</v>
      </c>
      <c r="E9" s="201">
        <f t="shared" si="0"/>
        <v>3</v>
      </c>
    </row>
    <row r="10" spans="1:5" ht="16.5" customHeight="1">
      <c r="A10" s="86">
        <v>7</v>
      </c>
      <c r="B10" s="86" t="s">
        <v>2639</v>
      </c>
      <c r="C10" s="102">
        <v>0</v>
      </c>
      <c r="D10" s="102">
        <v>22</v>
      </c>
      <c r="E10" s="201">
        <f t="shared" si="0"/>
        <v>22</v>
      </c>
    </row>
    <row r="11" spans="1:5" ht="16.5" customHeight="1">
      <c r="A11" s="86">
        <v>8</v>
      </c>
      <c r="B11" s="86" t="s">
        <v>2639</v>
      </c>
      <c r="C11" s="102">
        <v>0</v>
      </c>
      <c r="D11" s="102">
        <v>151</v>
      </c>
      <c r="E11" s="201">
        <f t="shared" si="0"/>
        <v>151</v>
      </c>
    </row>
    <row r="12" spans="1:5" ht="16.5" customHeight="1">
      <c r="A12" s="86">
        <v>9</v>
      </c>
      <c r="B12" s="86" t="s">
        <v>3310</v>
      </c>
      <c r="C12" s="102">
        <v>0</v>
      </c>
      <c r="D12" s="102">
        <v>3</v>
      </c>
      <c r="E12" s="201">
        <f t="shared" si="0"/>
        <v>3</v>
      </c>
    </row>
    <row r="13" spans="1:5" ht="16.5" customHeight="1">
      <c r="A13" s="86">
        <v>10</v>
      </c>
      <c r="B13" s="86" t="s">
        <v>2720</v>
      </c>
      <c r="C13" s="102">
        <v>0</v>
      </c>
      <c r="D13" s="102">
        <v>164</v>
      </c>
      <c r="E13" s="201">
        <f t="shared" si="0"/>
        <v>164</v>
      </c>
    </row>
    <row r="14" spans="1:5" ht="16.5" customHeight="1">
      <c r="A14" s="86">
        <v>11</v>
      </c>
      <c r="B14" s="86" t="s">
        <v>2720</v>
      </c>
      <c r="C14" s="102">
        <v>65</v>
      </c>
      <c r="D14" s="102">
        <v>0</v>
      </c>
      <c r="E14" s="201">
        <f t="shared" si="0"/>
        <v>65</v>
      </c>
    </row>
    <row r="15" spans="1:5" ht="16.5" customHeight="1">
      <c r="A15" s="86">
        <v>12</v>
      </c>
      <c r="B15" s="86" t="s">
        <v>2370</v>
      </c>
      <c r="C15" s="102">
        <v>42</v>
      </c>
      <c r="D15" s="102">
        <v>1</v>
      </c>
      <c r="E15" s="201">
        <f t="shared" si="0"/>
        <v>43</v>
      </c>
    </row>
    <row r="16" spans="1:5" ht="16.5" customHeight="1">
      <c r="A16" s="86">
        <v>13</v>
      </c>
      <c r="B16" s="86" t="s">
        <v>2370</v>
      </c>
      <c r="C16" s="102">
        <v>405</v>
      </c>
      <c r="D16" s="102">
        <v>0</v>
      </c>
      <c r="E16" s="201">
        <f t="shared" si="0"/>
        <v>405</v>
      </c>
    </row>
    <row r="17" spans="1:33" ht="16.5" customHeight="1">
      <c r="A17" s="86">
        <v>14</v>
      </c>
      <c r="B17" s="86" t="s">
        <v>3651</v>
      </c>
      <c r="C17" s="102">
        <v>0</v>
      </c>
      <c r="D17" s="102">
        <v>14359</v>
      </c>
      <c r="E17" s="201">
        <f t="shared" si="0"/>
        <v>14359</v>
      </c>
      <c r="F17" s="90" t="s">
        <v>1960</v>
      </c>
    </row>
    <row r="18" spans="1:33" ht="16.5" customHeight="1">
      <c r="A18" s="86">
        <v>15</v>
      </c>
      <c r="B18" s="86" t="s">
        <v>3630</v>
      </c>
      <c r="C18" s="102">
        <v>0</v>
      </c>
      <c r="D18" s="102">
        <v>22695</v>
      </c>
      <c r="E18" s="201">
        <f t="shared" si="0"/>
        <v>22695</v>
      </c>
    </row>
    <row r="19" spans="1:33" ht="16.5" customHeight="1">
      <c r="A19" s="86">
        <v>16</v>
      </c>
      <c r="B19" s="86" t="s">
        <v>3631</v>
      </c>
      <c r="C19" s="102">
        <v>0</v>
      </c>
      <c r="D19" s="102">
        <v>113198</v>
      </c>
      <c r="E19" s="201">
        <f t="shared" si="0"/>
        <v>113198</v>
      </c>
    </row>
    <row r="20" spans="1:33" ht="16.5" customHeight="1">
      <c r="A20" s="86">
        <v>17</v>
      </c>
      <c r="B20" s="86" t="s">
        <v>3632</v>
      </c>
      <c r="C20" s="102">
        <v>0</v>
      </c>
      <c r="D20" s="102">
        <v>12768</v>
      </c>
      <c r="E20" s="201">
        <f t="shared" si="0"/>
        <v>12768</v>
      </c>
    </row>
    <row r="21" spans="1:33" ht="16.5" customHeight="1">
      <c r="A21" s="86">
        <v>18</v>
      </c>
      <c r="B21" s="86" t="s">
        <v>3681</v>
      </c>
      <c r="C21" s="102">
        <v>0</v>
      </c>
      <c r="D21" s="102">
        <v>8541</v>
      </c>
      <c r="E21" s="201">
        <f t="shared" si="0"/>
        <v>8541</v>
      </c>
    </row>
    <row r="22" spans="1:33" ht="16.5" customHeight="1">
      <c r="A22" s="86">
        <v>19</v>
      </c>
      <c r="B22" s="86" t="s">
        <v>3633</v>
      </c>
      <c r="C22" s="102">
        <v>0</v>
      </c>
      <c r="D22" s="102">
        <v>111245</v>
      </c>
      <c r="E22" s="201">
        <f t="shared" si="0"/>
        <v>111245</v>
      </c>
    </row>
    <row r="23" spans="1:33" ht="16.5" customHeight="1">
      <c r="A23" s="86">
        <v>20</v>
      </c>
      <c r="B23" s="86" t="s">
        <v>3644</v>
      </c>
      <c r="C23" s="102">
        <v>0</v>
      </c>
      <c r="D23" s="102">
        <v>4598</v>
      </c>
      <c r="E23" s="201">
        <f t="shared" si="0"/>
        <v>4598</v>
      </c>
    </row>
    <row r="24" spans="1:33" ht="16.5" customHeight="1">
      <c r="A24" s="86">
        <v>21</v>
      </c>
      <c r="B24" s="86" t="s">
        <v>2722</v>
      </c>
      <c r="C24" s="102">
        <v>3</v>
      </c>
      <c r="D24" s="102">
        <v>308</v>
      </c>
      <c r="E24" s="201">
        <f t="shared" si="0"/>
        <v>311</v>
      </c>
    </row>
    <row r="25" spans="1:33" ht="16.5" customHeight="1">
      <c r="A25" s="86">
        <v>22</v>
      </c>
      <c r="B25" s="86" t="s">
        <v>2722</v>
      </c>
      <c r="C25" s="102">
        <v>82</v>
      </c>
      <c r="D25" s="102">
        <v>0</v>
      </c>
      <c r="E25" s="201">
        <f t="shared" si="0"/>
        <v>82</v>
      </c>
    </row>
    <row r="26" spans="1:33" ht="16.5" customHeight="1">
      <c r="A26" s="86">
        <v>23</v>
      </c>
      <c r="B26" s="86" t="s">
        <v>2722</v>
      </c>
      <c r="C26" s="102">
        <v>16</v>
      </c>
      <c r="D26" s="102">
        <v>0</v>
      </c>
      <c r="E26" s="201">
        <f t="shared" si="0"/>
        <v>16</v>
      </c>
    </row>
    <row r="27" spans="1:33" ht="16.5" customHeight="1">
      <c r="A27" s="86">
        <v>24</v>
      </c>
      <c r="B27" s="86" t="s">
        <v>3682</v>
      </c>
      <c r="C27" s="102">
        <v>1823</v>
      </c>
      <c r="D27" s="102">
        <v>0</v>
      </c>
      <c r="E27" s="201">
        <f t="shared" si="0"/>
        <v>1823</v>
      </c>
    </row>
    <row r="28" spans="1:33" ht="16.5" customHeight="1">
      <c r="A28" s="86">
        <v>25</v>
      </c>
      <c r="B28" s="86" t="s">
        <v>3683</v>
      </c>
      <c r="C28" s="102">
        <v>13</v>
      </c>
      <c r="D28" s="102">
        <v>0</v>
      </c>
      <c r="E28" s="201">
        <f t="shared" si="0"/>
        <v>13</v>
      </c>
      <c r="AG28" s="90" t="s">
        <v>3684</v>
      </c>
    </row>
    <row r="29" spans="1:33" ht="16.5" customHeight="1">
      <c r="A29" s="86">
        <v>26</v>
      </c>
      <c r="B29" s="86" t="s">
        <v>3685</v>
      </c>
      <c r="C29" s="102">
        <v>8</v>
      </c>
      <c r="D29" s="102">
        <v>2</v>
      </c>
      <c r="E29" s="201">
        <f t="shared" si="0"/>
        <v>10</v>
      </c>
    </row>
    <row r="30" spans="1:33" ht="16.5" customHeight="1">
      <c r="A30" s="86">
        <v>27</v>
      </c>
      <c r="B30" s="86" t="s">
        <v>2665</v>
      </c>
      <c r="C30" s="102">
        <v>813</v>
      </c>
      <c r="D30" s="102">
        <v>0</v>
      </c>
      <c r="E30" s="201">
        <f t="shared" si="0"/>
        <v>813</v>
      </c>
    </row>
    <row r="31" spans="1:33" ht="16.5" customHeight="1">
      <c r="A31" s="86">
        <v>28</v>
      </c>
      <c r="B31" s="86" t="s">
        <v>3686</v>
      </c>
      <c r="C31" s="102">
        <v>2</v>
      </c>
      <c r="D31" s="102">
        <v>0</v>
      </c>
      <c r="E31" s="201">
        <f t="shared" si="0"/>
        <v>2</v>
      </c>
    </row>
    <row r="32" spans="1:33" ht="16.5" customHeight="1">
      <c r="A32" s="86">
        <v>29</v>
      </c>
      <c r="B32" s="86" t="s">
        <v>3687</v>
      </c>
      <c r="C32" s="102">
        <v>33</v>
      </c>
      <c r="D32" s="102">
        <v>0</v>
      </c>
      <c r="E32" s="201">
        <f t="shared" si="0"/>
        <v>33</v>
      </c>
      <c r="F32" s="90" t="s">
        <v>1968</v>
      </c>
    </row>
    <row r="33" spans="1:33" ht="16.5" customHeight="1">
      <c r="A33" s="86">
        <v>30</v>
      </c>
      <c r="B33" s="86" t="s">
        <v>2665</v>
      </c>
      <c r="C33" s="102">
        <v>11</v>
      </c>
      <c r="D33" s="102">
        <v>0</v>
      </c>
      <c r="E33" s="201">
        <f t="shared" si="0"/>
        <v>11</v>
      </c>
    </row>
    <row r="34" spans="1:33" ht="16.5" customHeight="1">
      <c r="A34" s="86">
        <v>31</v>
      </c>
      <c r="B34" s="86" t="s">
        <v>3688</v>
      </c>
      <c r="C34" s="102">
        <v>6357</v>
      </c>
      <c r="D34" s="102">
        <v>0</v>
      </c>
      <c r="E34" s="201">
        <f t="shared" si="0"/>
        <v>6357</v>
      </c>
    </row>
    <row r="35" spans="1:33" ht="16.5" customHeight="1">
      <c r="A35" s="86">
        <v>32</v>
      </c>
      <c r="B35" s="86" t="s">
        <v>3689</v>
      </c>
      <c r="C35" s="102">
        <v>9</v>
      </c>
      <c r="D35" s="102">
        <v>0</v>
      </c>
      <c r="E35" s="201">
        <f t="shared" si="0"/>
        <v>9</v>
      </c>
      <c r="F35" s="90" t="s">
        <v>1966</v>
      </c>
    </row>
    <row r="36" spans="1:33" ht="16.5" customHeight="1">
      <c r="A36" s="86">
        <v>33</v>
      </c>
      <c r="B36" s="86" t="s">
        <v>2795</v>
      </c>
      <c r="C36" s="102">
        <v>1</v>
      </c>
      <c r="D36" s="102">
        <v>0</v>
      </c>
      <c r="E36" s="201">
        <f t="shared" si="0"/>
        <v>1</v>
      </c>
      <c r="F36" s="90" t="s">
        <v>1966</v>
      </c>
    </row>
    <row r="37" spans="1:33" ht="16.5" customHeight="1">
      <c r="A37" s="86">
        <v>34</v>
      </c>
      <c r="B37" s="86" t="s">
        <v>2659</v>
      </c>
      <c r="C37" s="102">
        <v>158</v>
      </c>
      <c r="D37" s="102">
        <v>0</v>
      </c>
      <c r="E37" s="201">
        <f t="shared" si="0"/>
        <v>158</v>
      </c>
    </row>
    <row r="38" spans="1:33" ht="16.5" customHeight="1">
      <c r="A38" s="86">
        <v>35</v>
      </c>
      <c r="B38" s="86" t="s">
        <v>3690</v>
      </c>
      <c r="C38" s="102">
        <v>161</v>
      </c>
      <c r="D38" s="102">
        <v>0</v>
      </c>
      <c r="E38" s="201">
        <f t="shared" si="0"/>
        <v>161</v>
      </c>
      <c r="F38" s="90" t="s">
        <v>1967</v>
      </c>
    </row>
    <row r="39" spans="1:33" ht="16.5" customHeight="1">
      <c r="A39" s="86">
        <v>36</v>
      </c>
      <c r="B39" s="86" t="s">
        <v>3691</v>
      </c>
      <c r="C39" s="102">
        <v>772</v>
      </c>
      <c r="D39" s="102">
        <v>0</v>
      </c>
      <c r="E39" s="201">
        <f t="shared" si="0"/>
        <v>772</v>
      </c>
      <c r="F39" s="90" t="s">
        <v>1966</v>
      </c>
    </row>
    <row r="40" spans="1:33" ht="16.5" customHeight="1">
      <c r="A40" s="86">
        <v>37</v>
      </c>
      <c r="B40" s="86" t="s">
        <v>3692</v>
      </c>
      <c r="C40" s="102">
        <v>1</v>
      </c>
      <c r="D40" s="102">
        <v>0</v>
      </c>
      <c r="E40" s="201">
        <f t="shared" si="0"/>
        <v>1</v>
      </c>
      <c r="AG40" s="90" t="s">
        <v>3710</v>
      </c>
    </row>
    <row r="41" spans="1:33" ht="16.5" customHeight="1">
      <c r="A41" s="86">
        <v>38</v>
      </c>
      <c r="B41" s="86" t="s">
        <v>3693</v>
      </c>
      <c r="C41" s="102">
        <v>38</v>
      </c>
      <c r="D41" s="102">
        <v>0</v>
      </c>
      <c r="E41" s="201">
        <f t="shared" si="0"/>
        <v>38</v>
      </c>
    </row>
    <row r="42" spans="1:33" ht="16.5" customHeight="1">
      <c r="A42" s="86">
        <v>39</v>
      </c>
      <c r="B42" s="86" t="s">
        <v>3694</v>
      </c>
      <c r="C42" s="102">
        <v>5943</v>
      </c>
      <c r="D42" s="102">
        <v>0</v>
      </c>
      <c r="E42" s="201">
        <f t="shared" si="0"/>
        <v>5943</v>
      </c>
    </row>
    <row r="43" spans="1:33" ht="16.5" customHeight="1">
      <c r="A43" s="86">
        <v>40</v>
      </c>
      <c r="B43" s="86" t="s">
        <v>3695</v>
      </c>
      <c r="C43" s="102">
        <v>1</v>
      </c>
      <c r="D43" s="102">
        <v>0</v>
      </c>
      <c r="E43" s="201">
        <f t="shared" si="0"/>
        <v>1</v>
      </c>
    </row>
    <row r="44" spans="1:33" ht="16.5" customHeight="1">
      <c r="A44" s="86">
        <v>41</v>
      </c>
      <c r="B44" s="86" t="s">
        <v>3696</v>
      </c>
      <c r="C44" s="102">
        <v>278</v>
      </c>
      <c r="D44" s="102">
        <v>0</v>
      </c>
      <c r="E44" s="201">
        <f t="shared" si="0"/>
        <v>278</v>
      </c>
      <c r="F44" s="90">
        <f>C35+C36+C39+C40+C41+C42+C43+C44</f>
        <v>7043</v>
      </c>
      <c r="G44" s="90">
        <f>D35+D36+D39+D40+D41+D42+D43+D44</f>
        <v>0</v>
      </c>
    </row>
    <row r="45" spans="1:33" ht="16.5" customHeight="1">
      <c r="A45" s="86">
        <v>42</v>
      </c>
      <c r="B45" s="86" t="s">
        <v>3697</v>
      </c>
      <c r="C45" s="102">
        <v>1</v>
      </c>
      <c r="D45" s="102">
        <v>0</v>
      </c>
      <c r="E45" s="201">
        <f t="shared" si="0"/>
        <v>1</v>
      </c>
    </row>
    <row r="46" spans="1:33" ht="16.5" customHeight="1">
      <c r="A46" s="86">
        <v>43</v>
      </c>
      <c r="B46" s="86" t="s">
        <v>2645</v>
      </c>
      <c r="C46" s="102">
        <v>1</v>
      </c>
      <c r="D46" s="102">
        <v>0</v>
      </c>
      <c r="E46" s="201">
        <f t="shared" si="0"/>
        <v>1</v>
      </c>
    </row>
    <row r="47" spans="1:33" ht="16.5" customHeight="1">
      <c r="A47" s="86">
        <v>44</v>
      </c>
      <c r="B47" s="86" t="s">
        <v>3698</v>
      </c>
      <c r="C47" s="102">
        <v>82</v>
      </c>
      <c r="D47" s="102">
        <v>0</v>
      </c>
      <c r="E47" s="201">
        <f t="shared" si="0"/>
        <v>82</v>
      </c>
    </row>
    <row r="48" spans="1:33" ht="16.5" customHeight="1">
      <c r="A48" s="86">
        <v>45</v>
      </c>
      <c r="B48" s="86" t="s">
        <v>2727</v>
      </c>
      <c r="C48" s="102">
        <v>137</v>
      </c>
      <c r="D48" s="102">
        <v>0</v>
      </c>
      <c r="E48" s="201">
        <f t="shared" si="0"/>
        <v>137</v>
      </c>
    </row>
    <row r="49" spans="1:5" ht="16.5" customHeight="1">
      <c r="A49" s="86">
        <v>46</v>
      </c>
      <c r="B49" s="86" t="s">
        <v>2672</v>
      </c>
      <c r="C49" s="102">
        <v>334</v>
      </c>
      <c r="D49" s="102">
        <v>0</v>
      </c>
      <c r="E49" s="201">
        <f t="shared" si="0"/>
        <v>334</v>
      </c>
    </row>
    <row r="50" spans="1:5" ht="16.5" customHeight="1">
      <c r="A50" s="86"/>
      <c r="B50" s="206"/>
      <c r="C50" s="102"/>
      <c r="D50" s="102"/>
      <c r="E50" s="205"/>
    </row>
    <row r="51" spans="1:5" ht="16.5" customHeight="1">
      <c r="A51" s="678"/>
      <c r="B51" s="679"/>
      <c r="C51" s="102"/>
      <c r="D51" s="102"/>
      <c r="E51" s="205"/>
    </row>
    <row r="52" spans="1:5" ht="16.5" customHeight="1">
      <c r="A52" s="86"/>
      <c r="B52" s="206"/>
      <c r="C52" s="102"/>
      <c r="D52" s="102"/>
      <c r="E52" s="205"/>
    </row>
    <row r="53" spans="1:5" ht="16.5" customHeight="1">
      <c r="A53" s="86"/>
      <c r="B53" s="206"/>
      <c r="C53" s="102"/>
      <c r="D53" s="102"/>
      <c r="E53" s="205"/>
    </row>
    <row r="54" spans="1:5" ht="16.5" customHeight="1">
      <c r="A54" s="86"/>
      <c r="B54" s="206"/>
      <c r="C54" s="102"/>
      <c r="D54" s="102"/>
      <c r="E54" s="205"/>
    </row>
    <row r="55" spans="1:5" ht="16.5" customHeight="1">
      <c r="A55" s="86"/>
      <c r="B55" s="206"/>
      <c r="C55" s="102"/>
      <c r="D55" s="102"/>
      <c r="E55" s="210"/>
    </row>
    <row r="56" spans="1:5" ht="16.5" customHeight="1">
      <c r="A56" s="86"/>
      <c r="B56" s="206"/>
      <c r="C56" s="102"/>
      <c r="D56" s="102"/>
      <c r="E56" s="210"/>
    </row>
    <row r="57" spans="1:5" ht="16.5" customHeight="1">
      <c r="A57" s="86"/>
      <c r="B57" s="206"/>
      <c r="C57" s="102"/>
      <c r="D57" s="102"/>
      <c r="E57" s="210"/>
    </row>
    <row r="58" spans="1:5" ht="16.5" customHeight="1">
      <c r="A58" s="86"/>
      <c r="B58" s="206"/>
      <c r="C58" s="102"/>
      <c r="D58" s="102"/>
      <c r="E58" s="205">
        <f t="shared" ref="E58:E65" si="1">SUM(C58:D58)</f>
        <v>0</v>
      </c>
    </row>
    <row r="59" spans="1:5" ht="43.5" customHeight="1">
      <c r="A59" s="678" t="s">
        <v>2164</v>
      </c>
      <c r="B59" s="679"/>
      <c r="C59" s="201">
        <f>SUM(C4:C58)</f>
        <v>64931</v>
      </c>
      <c r="D59" s="209">
        <f>SUM(D4:D58)</f>
        <v>288776</v>
      </c>
      <c r="E59" s="201">
        <f t="shared" si="1"/>
        <v>353707</v>
      </c>
    </row>
    <row r="60" spans="1:5" ht="15" customHeight="1">
      <c r="A60" s="114"/>
      <c r="B60" s="114"/>
      <c r="C60" s="114"/>
      <c r="D60" s="114"/>
      <c r="E60" s="106">
        <f t="shared" si="1"/>
        <v>0</v>
      </c>
    </row>
    <row r="61" spans="1:5">
      <c r="A61" s="114"/>
      <c r="B61" s="114"/>
      <c r="C61" s="114"/>
      <c r="D61" s="114"/>
      <c r="E61" s="106">
        <f t="shared" si="1"/>
        <v>0</v>
      </c>
    </row>
    <row r="62" spans="1:5">
      <c r="A62" s="114"/>
      <c r="B62" s="114"/>
      <c r="C62" s="114"/>
      <c r="D62" s="114"/>
      <c r="E62" s="106">
        <f t="shared" si="1"/>
        <v>0</v>
      </c>
    </row>
    <row r="63" spans="1:5">
      <c r="A63" s="114"/>
      <c r="B63" s="114"/>
      <c r="C63" s="114"/>
      <c r="D63" s="114"/>
      <c r="E63" s="106">
        <f t="shared" si="1"/>
        <v>0</v>
      </c>
    </row>
    <row r="64" spans="1:5" ht="45" customHeight="1">
      <c r="A64" s="680" t="s">
        <v>2186</v>
      </c>
      <c r="B64" s="681"/>
      <c r="C64" s="106">
        <f>SUM(C60:C63)</f>
        <v>0</v>
      </c>
      <c r="D64" s="106">
        <f>SUM(D60:D63)</f>
        <v>0</v>
      </c>
      <c r="E64" s="106">
        <f t="shared" si="1"/>
        <v>0</v>
      </c>
    </row>
    <row r="65" spans="1:5" ht="47.25" customHeight="1">
      <c r="A65" s="682" t="s">
        <v>2187</v>
      </c>
      <c r="B65" s="682"/>
      <c r="C65" s="201">
        <f>C59-C64-C40</f>
        <v>64930</v>
      </c>
      <c r="D65" s="201">
        <f>D59-D64</f>
        <v>288776</v>
      </c>
      <c r="E65" s="201">
        <f t="shared" si="1"/>
        <v>353706</v>
      </c>
    </row>
    <row r="67" spans="1:5">
      <c r="C67" s="124">
        <f>'13-УСЛУГЕ-РФЗО 2021'!D4357</f>
        <v>64930</v>
      </c>
      <c r="D67" s="124">
        <f>'13-УСЛУГЕ-РФЗО 2021'!AD4357</f>
        <v>288799</v>
      </c>
      <c r="E67" s="124">
        <f>SUM(C67:D67)</f>
        <v>353729</v>
      </c>
    </row>
    <row r="68" spans="1:5">
      <c r="C68" s="124">
        <f>C65-C67</f>
        <v>0</v>
      </c>
      <c r="D68" s="124">
        <f>D65-D67</f>
        <v>-23</v>
      </c>
      <c r="E68" s="124">
        <f>SUM(C68:D68)</f>
        <v>-23</v>
      </c>
    </row>
    <row r="69" spans="1:5">
      <c r="C69" s="124" t="s">
        <v>3715</v>
      </c>
      <c r="D69" s="203"/>
    </row>
  </sheetData>
  <mergeCells count="5">
    <mergeCell ref="A1:E1"/>
    <mergeCell ref="A59:B59"/>
    <mergeCell ref="A64:B64"/>
    <mergeCell ref="A65:B65"/>
    <mergeCell ref="A51:B51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E23"/>
  <sheetViews>
    <sheetView topLeftCell="A7" workbookViewId="0">
      <selection activeCell="F8" sqref="F8"/>
    </sheetView>
  </sheetViews>
  <sheetFormatPr defaultRowHeight="15.75"/>
  <cols>
    <col min="1" max="1" width="14" style="89" customWidth="1"/>
    <col min="2" max="2" width="71.140625" style="89" customWidth="1"/>
    <col min="3" max="5" width="17.85546875" style="89" customWidth="1"/>
    <col min="6" max="16384" width="9.140625" style="90"/>
  </cols>
  <sheetData>
    <row r="1" spans="1:5" ht="24.75" customHeight="1" thickTop="1" thickBot="1">
      <c r="A1" s="688" t="s">
        <v>3623</v>
      </c>
      <c r="B1" s="688"/>
      <c r="C1" s="688"/>
      <c r="D1" s="688"/>
      <c r="E1" s="688"/>
    </row>
    <row r="2" spans="1:5" ht="16.5" thickTop="1"/>
    <row r="3" spans="1:5" ht="30.75" customHeight="1">
      <c r="A3" s="248" t="s">
        <v>2638</v>
      </c>
      <c r="B3" s="110" t="s">
        <v>1914</v>
      </c>
      <c r="C3" s="110" t="s">
        <v>1911</v>
      </c>
      <c r="D3" s="110" t="s">
        <v>1912</v>
      </c>
      <c r="E3" s="110" t="s">
        <v>1913</v>
      </c>
    </row>
    <row r="4" spans="1:5" ht="20.25" customHeight="1">
      <c r="A4" s="111">
        <v>1</v>
      </c>
      <c r="B4" s="111" t="s">
        <v>2798</v>
      </c>
      <c r="C4" s="102">
        <v>0</v>
      </c>
      <c r="D4" s="102">
        <v>695</v>
      </c>
      <c r="E4" s="110">
        <f>SUM(C4:D4)</f>
        <v>695</v>
      </c>
    </row>
    <row r="5" spans="1:5" ht="20.25" customHeight="1">
      <c r="A5" s="111">
        <v>2</v>
      </c>
      <c r="B5" s="111" t="s">
        <v>3641</v>
      </c>
      <c r="C5" s="102">
        <v>0</v>
      </c>
      <c r="D5" s="102">
        <v>1128</v>
      </c>
      <c r="E5" s="110">
        <f t="shared" ref="E5:E20" si="0">SUM(C5:D5)</f>
        <v>1128</v>
      </c>
    </row>
    <row r="6" spans="1:5" ht="20.25" customHeight="1">
      <c r="A6" s="111">
        <v>3</v>
      </c>
      <c r="B6" s="111" t="s">
        <v>3642</v>
      </c>
      <c r="C6" s="102">
        <v>0</v>
      </c>
      <c r="D6" s="102">
        <v>2659</v>
      </c>
      <c r="E6" s="110">
        <f t="shared" si="0"/>
        <v>2659</v>
      </c>
    </row>
    <row r="7" spans="1:5" ht="20.25" customHeight="1">
      <c r="A7" s="111">
        <v>4</v>
      </c>
      <c r="B7" s="111" t="s">
        <v>3632</v>
      </c>
      <c r="C7" s="102">
        <v>0</v>
      </c>
      <c r="D7" s="102">
        <v>699</v>
      </c>
      <c r="E7" s="110">
        <f t="shared" si="0"/>
        <v>699</v>
      </c>
    </row>
    <row r="8" spans="1:5" ht="20.25" customHeight="1">
      <c r="A8" s="111">
        <v>5</v>
      </c>
      <c r="B8" s="111" t="s">
        <v>3643</v>
      </c>
      <c r="C8" s="102">
        <v>0</v>
      </c>
      <c r="D8" s="102">
        <v>134</v>
      </c>
      <c r="E8" s="110">
        <f t="shared" si="0"/>
        <v>134</v>
      </c>
    </row>
    <row r="9" spans="1:5" ht="20.25" customHeight="1">
      <c r="A9" s="111">
        <v>6</v>
      </c>
      <c r="B9" s="111" t="s">
        <v>3633</v>
      </c>
      <c r="C9" s="102">
        <v>0</v>
      </c>
      <c r="D9" s="102">
        <v>4668</v>
      </c>
      <c r="E9" s="244">
        <f t="shared" si="0"/>
        <v>4668</v>
      </c>
    </row>
    <row r="10" spans="1:5" ht="20.25" customHeight="1">
      <c r="A10" s="111">
        <v>7</v>
      </c>
      <c r="B10" s="111" t="s">
        <v>3644</v>
      </c>
      <c r="C10" s="102">
        <v>0</v>
      </c>
      <c r="D10" s="102">
        <v>17</v>
      </c>
      <c r="E10" s="110">
        <f t="shared" si="0"/>
        <v>17</v>
      </c>
    </row>
    <row r="11" spans="1:5" ht="20.25" customHeight="1">
      <c r="A11" s="111">
        <v>8</v>
      </c>
      <c r="B11" s="111" t="s">
        <v>3645</v>
      </c>
      <c r="C11" s="102">
        <v>0</v>
      </c>
      <c r="D11" s="102">
        <v>108</v>
      </c>
      <c r="E11" s="110">
        <f t="shared" si="0"/>
        <v>108</v>
      </c>
    </row>
    <row r="12" spans="1:5" ht="20.25" customHeight="1">
      <c r="A12" s="111">
        <v>9</v>
      </c>
      <c r="B12" s="111" t="s">
        <v>3646</v>
      </c>
      <c r="C12" s="102">
        <v>4771</v>
      </c>
      <c r="D12" s="102">
        <v>0</v>
      </c>
      <c r="E12" s="110">
        <f t="shared" si="0"/>
        <v>4771</v>
      </c>
    </row>
    <row r="13" spans="1:5" ht="20.25" customHeight="1">
      <c r="A13" s="111">
        <v>10</v>
      </c>
      <c r="B13" s="111" t="s">
        <v>3647</v>
      </c>
      <c r="C13" s="102">
        <v>0</v>
      </c>
      <c r="D13" s="102">
        <v>1</v>
      </c>
      <c r="E13" s="110">
        <f t="shared" si="0"/>
        <v>1</v>
      </c>
    </row>
    <row r="14" spans="1:5" ht="20.25" customHeight="1">
      <c r="A14" s="111">
        <v>11</v>
      </c>
      <c r="B14" s="111" t="s">
        <v>3646</v>
      </c>
      <c r="C14" s="102">
        <v>47</v>
      </c>
      <c r="D14" s="102">
        <v>0</v>
      </c>
      <c r="E14" s="110">
        <f t="shared" si="0"/>
        <v>47</v>
      </c>
    </row>
    <row r="15" spans="1:5" ht="20.25" customHeight="1">
      <c r="A15" s="111">
        <v>12</v>
      </c>
      <c r="B15" s="111" t="s">
        <v>3648</v>
      </c>
      <c r="C15" s="102">
        <v>3</v>
      </c>
      <c r="D15" s="102">
        <v>0</v>
      </c>
      <c r="E15" s="110">
        <f t="shared" si="0"/>
        <v>3</v>
      </c>
    </row>
    <row r="16" spans="1:5" ht="20.25" customHeight="1">
      <c r="A16" s="111"/>
      <c r="B16" s="111"/>
      <c r="C16" s="102"/>
      <c r="D16" s="102"/>
      <c r="E16" s="244">
        <f t="shared" si="0"/>
        <v>0</v>
      </c>
    </row>
    <row r="17" spans="1:5" ht="23.25" customHeight="1">
      <c r="A17" s="686" t="s">
        <v>2164</v>
      </c>
      <c r="B17" s="687"/>
      <c r="C17" s="110">
        <f>SUM(C4:C16)</f>
        <v>4821</v>
      </c>
      <c r="D17" s="110">
        <f>SUM(D4:D16)</f>
        <v>10109</v>
      </c>
      <c r="E17" s="110">
        <f t="shared" si="0"/>
        <v>14930</v>
      </c>
    </row>
    <row r="18" spans="1:5" ht="21.75" customHeight="1">
      <c r="A18" s="113"/>
      <c r="B18" s="113"/>
      <c r="C18" s="113"/>
      <c r="D18" s="113"/>
      <c r="E18" s="112">
        <f t="shared" si="0"/>
        <v>0</v>
      </c>
    </row>
    <row r="19" spans="1:5" ht="21.75" customHeight="1">
      <c r="A19" s="683" t="s">
        <v>2186</v>
      </c>
      <c r="B19" s="684"/>
      <c r="C19" s="112">
        <f>SUM(C18:C18)</f>
        <v>0</v>
      </c>
      <c r="D19" s="112">
        <f>SUM(D18:D18)</f>
        <v>0</v>
      </c>
      <c r="E19" s="112">
        <f t="shared" si="0"/>
        <v>0</v>
      </c>
    </row>
    <row r="20" spans="1:5" ht="21.75" customHeight="1">
      <c r="A20" s="685" t="s">
        <v>2187</v>
      </c>
      <c r="B20" s="685"/>
      <c r="C20" s="110">
        <f>C17-C19</f>
        <v>4821</v>
      </c>
      <c r="D20" s="110">
        <f>D17-D19</f>
        <v>10109</v>
      </c>
      <c r="E20" s="110">
        <f t="shared" si="0"/>
        <v>14930</v>
      </c>
    </row>
    <row r="21" spans="1:5">
      <c r="C21" s="124">
        <f>'13-УСЛУГЕ-РФЗО 2021'!D4358+'13-УСЛУГЕ-РФЗО 2021'!G4358</f>
        <v>13511</v>
      </c>
      <c r="D21" s="124">
        <f>'13-УСЛУГЕ-РФЗО 2021'!AD4358+'13-УСЛУГЕ-РФЗО 2021'!AG4358</f>
        <v>1419</v>
      </c>
      <c r="E21" s="124">
        <f>SUM(C21:D21)</f>
        <v>14930</v>
      </c>
    </row>
    <row r="22" spans="1:5">
      <c r="C22" s="124"/>
      <c r="D22" s="124"/>
      <c r="E22" s="124">
        <f>E20-E21</f>
        <v>0</v>
      </c>
    </row>
    <row r="23" spans="1:5">
      <c r="C23" s="124"/>
      <c r="D23" s="124"/>
      <c r="E23" s="124"/>
    </row>
  </sheetData>
  <mergeCells count="4">
    <mergeCell ref="A19:B19"/>
    <mergeCell ref="A20:B20"/>
    <mergeCell ref="A17:B17"/>
    <mergeCell ref="A1:E1"/>
  </mergeCells>
  <pageMargins left="0.7" right="0.7" top="0.75" bottom="0.75" header="0.3" footer="0.3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F52"/>
  <sheetViews>
    <sheetView topLeftCell="A37" workbookViewId="0">
      <selection activeCell="E52" sqref="E52"/>
    </sheetView>
  </sheetViews>
  <sheetFormatPr defaultRowHeight="15.75"/>
  <cols>
    <col min="1" max="1" width="14" style="89" customWidth="1"/>
    <col min="2" max="2" width="62.140625" style="89" customWidth="1"/>
    <col min="3" max="5" width="17.85546875" style="89" customWidth="1"/>
    <col min="6" max="32" width="0" style="90" hidden="1" customWidth="1"/>
    <col min="33" max="16384" width="9.140625" style="90"/>
  </cols>
  <sheetData>
    <row r="1" spans="1:5" ht="38.25" customHeight="1" thickTop="1" thickBot="1">
      <c r="A1" s="677" t="s">
        <v>3624</v>
      </c>
      <c r="B1" s="677"/>
      <c r="C1" s="677"/>
      <c r="D1" s="677"/>
      <c r="E1" s="677"/>
    </row>
    <row r="2" spans="1:5" ht="16.5" thickTop="1"/>
    <row r="3" spans="1:5" ht="30.75" customHeight="1">
      <c r="A3" s="115" t="s">
        <v>2638</v>
      </c>
      <c r="B3" s="128" t="s">
        <v>1914</v>
      </c>
      <c r="C3" s="128" t="s">
        <v>1912</v>
      </c>
      <c r="D3" s="128" t="s">
        <v>1911</v>
      </c>
      <c r="E3" s="128" t="s">
        <v>1913</v>
      </c>
    </row>
    <row r="4" spans="1:5" ht="22.5" customHeight="1">
      <c r="A4" s="86">
        <v>1</v>
      </c>
      <c r="B4" s="86" t="s">
        <v>2661</v>
      </c>
      <c r="C4" s="102">
        <v>0</v>
      </c>
      <c r="D4" s="102">
        <v>3</v>
      </c>
      <c r="E4" s="128">
        <f>SUM(C4:D4)</f>
        <v>3</v>
      </c>
    </row>
    <row r="5" spans="1:5" ht="22.5" customHeight="1">
      <c r="A5" s="86">
        <v>2</v>
      </c>
      <c r="B5" s="86" t="s">
        <v>3649</v>
      </c>
      <c r="C5" s="102">
        <v>0</v>
      </c>
      <c r="D5" s="102">
        <v>109</v>
      </c>
      <c r="E5" s="128">
        <f t="shared" ref="E5:E41" si="0">SUM(C5:D5)</f>
        <v>109</v>
      </c>
    </row>
    <row r="6" spans="1:5" ht="22.5" customHeight="1">
      <c r="A6" s="86">
        <v>3</v>
      </c>
      <c r="B6" s="86" t="s">
        <v>3650</v>
      </c>
      <c r="C6" s="102">
        <v>1790</v>
      </c>
      <c r="D6" s="102">
        <v>0</v>
      </c>
      <c r="E6" s="128">
        <f t="shared" si="0"/>
        <v>1790</v>
      </c>
    </row>
    <row r="7" spans="1:5" ht="22.5" customHeight="1">
      <c r="A7" s="86">
        <v>4</v>
      </c>
      <c r="B7" s="86" t="s">
        <v>2720</v>
      </c>
      <c r="C7" s="102">
        <v>0</v>
      </c>
      <c r="D7" s="102">
        <v>16</v>
      </c>
      <c r="E7" s="128">
        <f t="shared" si="0"/>
        <v>16</v>
      </c>
    </row>
    <row r="8" spans="1:5" ht="22.5" customHeight="1">
      <c r="A8" s="86">
        <v>5</v>
      </c>
      <c r="B8" s="86" t="s">
        <v>2720</v>
      </c>
      <c r="C8" s="102">
        <v>1</v>
      </c>
      <c r="D8" s="102">
        <v>0</v>
      </c>
      <c r="E8" s="128">
        <f t="shared" si="0"/>
        <v>1</v>
      </c>
    </row>
    <row r="9" spans="1:5" ht="22.5" customHeight="1">
      <c r="A9" s="86">
        <v>6</v>
      </c>
      <c r="B9" s="86" t="s">
        <v>2370</v>
      </c>
      <c r="C9" s="102">
        <v>1299</v>
      </c>
      <c r="D9" s="102">
        <v>1843</v>
      </c>
      <c r="E9" s="128">
        <f t="shared" si="0"/>
        <v>3142</v>
      </c>
    </row>
    <row r="10" spans="1:5" ht="22.5" customHeight="1">
      <c r="A10" s="86">
        <v>7</v>
      </c>
      <c r="B10" s="86" t="s">
        <v>2370</v>
      </c>
      <c r="C10" s="102">
        <v>29</v>
      </c>
      <c r="D10" s="102">
        <v>260</v>
      </c>
      <c r="E10" s="128">
        <f t="shared" si="0"/>
        <v>289</v>
      </c>
    </row>
    <row r="11" spans="1:5" ht="22.5" customHeight="1">
      <c r="A11" s="86">
        <v>8</v>
      </c>
      <c r="B11" s="86" t="s">
        <v>3651</v>
      </c>
      <c r="C11" s="102">
        <v>0</v>
      </c>
      <c r="D11" s="102">
        <v>1481</v>
      </c>
      <c r="E11" s="128">
        <f t="shared" si="0"/>
        <v>1481</v>
      </c>
    </row>
    <row r="12" spans="1:5" ht="22.5" customHeight="1">
      <c r="A12" s="86">
        <v>9</v>
      </c>
      <c r="B12" s="86" t="s">
        <v>3630</v>
      </c>
      <c r="C12" s="102">
        <v>0</v>
      </c>
      <c r="D12" s="102">
        <v>6013</v>
      </c>
      <c r="E12" s="128">
        <f t="shared" si="0"/>
        <v>6013</v>
      </c>
    </row>
    <row r="13" spans="1:5" ht="22.5" customHeight="1">
      <c r="A13" s="86">
        <v>10</v>
      </c>
      <c r="B13" s="86" t="s">
        <v>3631</v>
      </c>
      <c r="C13" s="102">
        <v>0</v>
      </c>
      <c r="D13" s="102">
        <v>12645</v>
      </c>
      <c r="E13" s="128">
        <f t="shared" si="0"/>
        <v>12645</v>
      </c>
    </row>
    <row r="14" spans="1:5" ht="22.5" customHeight="1">
      <c r="A14" s="86">
        <v>11</v>
      </c>
      <c r="B14" s="86" t="s">
        <v>3652</v>
      </c>
      <c r="C14" s="102">
        <v>0</v>
      </c>
      <c r="D14" s="102">
        <v>571</v>
      </c>
      <c r="E14" s="128">
        <f t="shared" si="0"/>
        <v>571</v>
      </c>
    </row>
    <row r="15" spans="1:5" ht="22.5" customHeight="1">
      <c r="A15" s="86">
        <v>12</v>
      </c>
      <c r="B15" s="86" t="s">
        <v>3653</v>
      </c>
      <c r="C15" s="102">
        <v>0</v>
      </c>
      <c r="D15" s="102">
        <v>602</v>
      </c>
      <c r="E15" s="128">
        <f t="shared" si="0"/>
        <v>602</v>
      </c>
    </row>
    <row r="16" spans="1:5" ht="22.5" customHeight="1">
      <c r="A16" s="86">
        <v>13</v>
      </c>
      <c r="B16" s="86" t="s">
        <v>3633</v>
      </c>
      <c r="C16" s="102">
        <v>0</v>
      </c>
      <c r="D16" s="102">
        <v>5480</v>
      </c>
      <c r="E16" s="128">
        <f t="shared" si="0"/>
        <v>5480</v>
      </c>
    </row>
    <row r="17" spans="1:6" ht="22.5" customHeight="1">
      <c r="A17" s="86">
        <v>14</v>
      </c>
      <c r="B17" s="86" t="s">
        <v>3644</v>
      </c>
      <c r="C17" s="102">
        <v>0</v>
      </c>
      <c r="D17" s="102">
        <v>971</v>
      </c>
      <c r="E17" s="128">
        <f t="shared" si="0"/>
        <v>971</v>
      </c>
      <c r="F17" s="90" t="s">
        <v>1960</v>
      </c>
    </row>
    <row r="18" spans="1:6" ht="22.5" customHeight="1">
      <c r="A18" s="86">
        <v>15</v>
      </c>
      <c r="B18" s="86" t="s">
        <v>3654</v>
      </c>
      <c r="C18" s="102">
        <v>3</v>
      </c>
      <c r="D18" s="102">
        <v>211</v>
      </c>
      <c r="E18" s="128">
        <f t="shared" si="0"/>
        <v>214</v>
      </c>
    </row>
    <row r="19" spans="1:6" ht="22.5" customHeight="1">
      <c r="A19" s="86">
        <v>16</v>
      </c>
      <c r="B19" s="86" t="s">
        <v>3655</v>
      </c>
      <c r="C19" s="102">
        <v>126</v>
      </c>
      <c r="D19" s="102">
        <v>0</v>
      </c>
      <c r="E19" s="128">
        <f t="shared" si="0"/>
        <v>126</v>
      </c>
    </row>
    <row r="20" spans="1:6" ht="22.5" customHeight="1">
      <c r="A20" s="86">
        <v>17</v>
      </c>
      <c r="B20" s="86" t="s">
        <v>3656</v>
      </c>
      <c r="C20" s="102">
        <v>98</v>
      </c>
      <c r="D20" s="102">
        <v>0</v>
      </c>
      <c r="E20" s="128">
        <f t="shared" si="0"/>
        <v>98</v>
      </c>
    </row>
    <row r="21" spans="1:6" ht="22.5" customHeight="1">
      <c r="A21" s="86">
        <v>18</v>
      </c>
      <c r="B21" s="86" t="s">
        <v>3657</v>
      </c>
      <c r="C21" s="102">
        <v>7</v>
      </c>
      <c r="D21" s="102">
        <v>0</v>
      </c>
      <c r="E21" s="128">
        <f t="shared" si="0"/>
        <v>7</v>
      </c>
    </row>
    <row r="22" spans="1:6" ht="22.5" customHeight="1">
      <c r="A22" s="86">
        <v>19</v>
      </c>
      <c r="B22" s="86" t="s">
        <v>3658</v>
      </c>
      <c r="C22" s="102">
        <v>8</v>
      </c>
      <c r="D22" s="102">
        <v>0</v>
      </c>
      <c r="E22" s="128">
        <f t="shared" si="0"/>
        <v>8</v>
      </c>
    </row>
    <row r="23" spans="1:6" ht="22.5" customHeight="1">
      <c r="A23" s="86">
        <v>20</v>
      </c>
      <c r="B23" s="86" t="s">
        <v>3659</v>
      </c>
      <c r="C23" s="102">
        <v>687</v>
      </c>
      <c r="D23" s="102">
        <v>0</v>
      </c>
      <c r="E23" s="128">
        <f t="shared" si="0"/>
        <v>687</v>
      </c>
    </row>
    <row r="24" spans="1:6" ht="22.5" customHeight="1">
      <c r="A24" s="86">
        <v>21</v>
      </c>
      <c r="B24" s="86" t="s">
        <v>3660</v>
      </c>
      <c r="C24" s="102">
        <v>148</v>
      </c>
      <c r="D24" s="102">
        <v>0</v>
      </c>
      <c r="E24" s="128">
        <f t="shared" si="0"/>
        <v>148</v>
      </c>
    </row>
    <row r="25" spans="1:6" ht="22.5" customHeight="1">
      <c r="A25" s="86">
        <v>22</v>
      </c>
      <c r="B25" s="86" t="s">
        <v>3661</v>
      </c>
      <c r="C25" s="102">
        <v>288</v>
      </c>
      <c r="D25" s="102">
        <v>0</v>
      </c>
      <c r="E25" s="128">
        <f t="shared" si="0"/>
        <v>288</v>
      </c>
    </row>
    <row r="26" spans="1:6" ht="22.5" customHeight="1">
      <c r="A26" s="86">
        <v>23</v>
      </c>
      <c r="B26" s="86" t="s">
        <v>3662</v>
      </c>
      <c r="C26" s="102">
        <v>1</v>
      </c>
      <c r="D26" s="102">
        <v>0</v>
      </c>
      <c r="E26" s="128">
        <f t="shared" si="0"/>
        <v>1</v>
      </c>
    </row>
    <row r="27" spans="1:6" ht="22.5" customHeight="1">
      <c r="A27" s="86">
        <v>24</v>
      </c>
      <c r="B27" s="86" t="s">
        <v>3663</v>
      </c>
      <c r="C27" s="102">
        <v>233</v>
      </c>
      <c r="D27" s="102">
        <v>0</v>
      </c>
      <c r="E27" s="128">
        <f t="shared" si="0"/>
        <v>233</v>
      </c>
    </row>
    <row r="28" spans="1:6" ht="22.5" customHeight="1">
      <c r="A28" s="86">
        <v>25</v>
      </c>
      <c r="B28" s="86" t="s">
        <v>3664</v>
      </c>
      <c r="C28" s="102">
        <v>997</v>
      </c>
      <c r="D28" s="102">
        <v>0</v>
      </c>
      <c r="E28" s="128">
        <f t="shared" si="0"/>
        <v>997</v>
      </c>
    </row>
    <row r="29" spans="1:6" ht="22.5" customHeight="1">
      <c r="A29" s="86">
        <v>26</v>
      </c>
      <c r="B29" s="86" t="s">
        <v>3665</v>
      </c>
      <c r="C29" s="102">
        <v>93</v>
      </c>
      <c r="D29" s="102">
        <v>0</v>
      </c>
      <c r="E29" s="128">
        <f t="shared" si="0"/>
        <v>93</v>
      </c>
    </row>
    <row r="30" spans="1:6" ht="22.5" customHeight="1">
      <c r="A30" s="86">
        <v>27</v>
      </c>
      <c r="B30" s="86" t="s">
        <v>3666</v>
      </c>
      <c r="C30" s="102">
        <v>423</v>
      </c>
      <c r="D30" s="102">
        <v>0</v>
      </c>
      <c r="E30" s="128">
        <f t="shared" si="0"/>
        <v>423</v>
      </c>
    </row>
    <row r="31" spans="1:6" ht="22.5" customHeight="1">
      <c r="A31" s="86">
        <v>28</v>
      </c>
      <c r="B31" s="86" t="s">
        <v>3667</v>
      </c>
      <c r="C31" s="102">
        <v>14</v>
      </c>
      <c r="D31" s="102">
        <v>0</v>
      </c>
      <c r="E31" s="128">
        <f t="shared" si="0"/>
        <v>14</v>
      </c>
    </row>
    <row r="32" spans="1:6" ht="22.5" customHeight="1">
      <c r="A32" s="86">
        <v>29</v>
      </c>
      <c r="B32" s="86" t="s">
        <v>3668</v>
      </c>
      <c r="C32" s="102">
        <v>156</v>
      </c>
      <c r="D32" s="102">
        <v>0</v>
      </c>
      <c r="E32" s="128">
        <f t="shared" si="0"/>
        <v>156</v>
      </c>
      <c r="F32" s="90" t="s">
        <v>1968</v>
      </c>
    </row>
    <row r="33" spans="1:6" ht="22.5" customHeight="1">
      <c r="A33" s="86">
        <v>30</v>
      </c>
      <c r="B33" s="86" t="s">
        <v>3669</v>
      </c>
      <c r="C33" s="102">
        <v>4</v>
      </c>
      <c r="D33" s="102">
        <v>0</v>
      </c>
      <c r="E33" s="128">
        <f t="shared" si="0"/>
        <v>4</v>
      </c>
    </row>
    <row r="34" spans="1:6" ht="22.5" customHeight="1">
      <c r="A34" s="86">
        <v>31</v>
      </c>
      <c r="B34" s="86" t="s">
        <v>3670</v>
      </c>
      <c r="C34" s="102">
        <v>145</v>
      </c>
      <c r="D34" s="102">
        <v>0</v>
      </c>
      <c r="E34" s="128">
        <f t="shared" si="0"/>
        <v>145</v>
      </c>
    </row>
    <row r="35" spans="1:6" ht="22.5" customHeight="1">
      <c r="A35" s="86">
        <v>32</v>
      </c>
      <c r="B35" s="86" t="s">
        <v>3671</v>
      </c>
      <c r="C35" s="102">
        <v>1</v>
      </c>
      <c r="D35" s="102">
        <v>0</v>
      </c>
      <c r="E35" s="128">
        <f t="shared" si="0"/>
        <v>1</v>
      </c>
      <c r="F35" s="90" t="s">
        <v>1966</v>
      </c>
    </row>
    <row r="36" spans="1:6" ht="22.5" customHeight="1">
      <c r="A36" s="86">
        <v>33</v>
      </c>
      <c r="B36" s="86" t="s">
        <v>3672</v>
      </c>
      <c r="C36" s="102">
        <v>2</v>
      </c>
      <c r="D36" s="102">
        <v>0</v>
      </c>
      <c r="E36" s="128">
        <f t="shared" si="0"/>
        <v>2</v>
      </c>
      <c r="F36" s="90" t="s">
        <v>1966</v>
      </c>
    </row>
    <row r="37" spans="1:6" ht="22.5" customHeight="1">
      <c r="A37" s="86">
        <v>34</v>
      </c>
      <c r="B37" s="86" t="s">
        <v>3673</v>
      </c>
      <c r="C37" s="102">
        <v>41</v>
      </c>
      <c r="D37" s="102">
        <v>0</v>
      </c>
      <c r="E37" s="128">
        <f t="shared" si="0"/>
        <v>41</v>
      </c>
    </row>
    <row r="38" spans="1:6" ht="22.5" customHeight="1">
      <c r="A38" s="86">
        <v>35</v>
      </c>
      <c r="B38" s="86" t="s">
        <v>3674</v>
      </c>
      <c r="C38" s="102">
        <v>46</v>
      </c>
      <c r="D38" s="102">
        <v>0</v>
      </c>
      <c r="E38" s="128">
        <f t="shared" si="0"/>
        <v>46</v>
      </c>
      <c r="F38" s="90" t="s">
        <v>1967</v>
      </c>
    </row>
    <row r="39" spans="1:6" ht="22.5" customHeight="1">
      <c r="A39" s="86">
        <v>36</v>
      </c>
      <c r="B39" s="86" t="s">
        <v>2727</v>
      </c>
      <c r="C39" s="102">
        <v>255</v>
      </c>
      <c r="D39" s="102">
        <v>0</v>
      </c>
      <c r="E39" s="128">
        <f t="shared" si="0"/>
        <v>255</v>
      </c>
      <c r="F39" s="90" t="s">
        <v>1966</v>
      </c>
    </row>
    <row r="40" spans="1:6" ht="22.5" customHeight="1">
      <c r="A40" s="86">
        <v>37</v>
      </c>
      <c r="B40" s="86" t="s">
        <v>2672</v>
      </c>
      <c r="C40" s="102">
        <v>419</v>
      </c>
      <c r="D40" s="102">
        <v>0</v>
      </c>
      <c r="E40" s="128">
        <f t="shared" si="0"/>
        <v>419</v>
      </c>
    </row>
    <row r="41" spans="1:6" ht="22.5" customHeight="1">
      <c r="A41" s="86">
        <v>38</v>
      </c>
      <c r="B41" s="86"/>
      <c r="C41" s="102"/>
      <c r="D41" s="102"/>
      <c r="E41" s="251">
        <f t="shared" si="0"/>
        <v>0</v>
      </c>
    </row>
    <row r="42" spans="1:6" ht="43.5" customHeight="1">
      <c r="A42" s="678" t="s">
        <v>2164</v>
      </c>
      <c r="B42" s="679"/>
      <c r="C42" s="128">
        <f>SUM(C4:C41)</f>
        <v>7314</v>
      </c>
      <c r="D42" s="128">
        <f>SUM(D4:D41)</f>
        <v>30205</v>
      </c>
      <c r="E42" s="128">
        <f t="shared" ref="E42:E48" si="1">SUM(C42:D42)</f>
        <v>37519</v>
      </c>
    </row>
    <row r="43" spans="1:6" ht="15" customHeight="1">
      <c r="A43" s="114"/>
      <c r="B43" s="114"/>
      <c r="C43" s="114"/>
      <c r="D43" s="114"/>
      <c r="E43" s="106">
        <f t="shared" si="1"/>
        <v>0</v>
      </c>
    </row>
    <row r="44" spans="1:6">
      <c r="A44" s="114"/>
      <c r="B44" s="114"/>
      <c r="C44" s="114"/>
      <c r="D44" s="114"/>
      <c r="E44" s="106">
        <f t="shared" si="1"/>
        <v>0</v>
      </c>
    </row>
    <row r="45" spans="1:6">
      <c r="A45" s="114"/>
      <c r="B45" s="114"/>
      <c r="C45" s="114"/>
      <c r="D45" s="114"/>
      <c r="E45" s="106">
        <f t="shared" si="1"/>
        <v>0</v>
      </c>
    </row>
    <row r="46" spans="1:6">
      <c r="A46" s="114"/>
      <c r="B46" s="114"/>
      <c r="C46" s="114"/>
      <c r="D46" s="114"/>
      <c r="E46" s="106">
        <f t="shared" si="1"/>
        <v>0</v>
      </c>
    </row>
    <row r="47" spans="1:6" ht="45" customHeight="1">
      <c r="A47" s="680" t="s">
        <v>2186</v>
      </c>
      <c r="B47" s="681"/>
      <c r="C47" s="106">
        <f>SUM(C43:C46)</f>
        <v>0</v>
      </c>
      <c r="D47" s="106">
        <f>SUM(D43:D46)</f>
        <v>0</v>
      </c>
      <c r="E47" s="106">
        <f t="shared" si="1"/>
        <v>0</v>
      </c>
    </row>
    <row r="48" spans="1:6" ht="47.25" customHeight="1">
      <c r="A48" s="682" t="s">
        <v>2187</v>
      </c>
      <c r="B48" s="682"/>
      <c r="C48" s="128">
        <f>C42-C47</f>
        <v>7314</v>
      </c>
      <c r="D48" s="128">
        <f>D42-D47</f>
        <v>30205</v>
      </c>
      <c r="E48" s="128">
        <f t="shared" si="1"/>
        <v>37519</v>
      </c>
    </row>
    <row r="50" spans="3:5">
      <c r="C50" s="124">
        <f>'13-УСЛУГЕ-РФЗО 2021'!G4357</f>
        <v>37519</v>
      </c>
      <c r="D50" s="124">
        <f>'13-УСЛУГЕ-РФЗО 2021'!H4357</f>
        <v>42250</v>
      </c>
      <c r="E50" s="410">
        <f>SUM(C50:D50)</f>
        <v>79769</v>
      </c>
    </row>
    <row r="51" spans="3:5">
      <c r="C51" s="124">
        <f>C48-C50</f>
        <v>-30205</v>
      </c>
      <c r="D51" s="124">
        <f>D48-D50</f>
        <v>-12045</v>
      </c>
      <c r="E51" s="410">
        <f>E48-E50</f>
        <v>-42250</v>
      </c>
    </row>
    <row r="52" spans="3:5">
      <c r="D52" s="204"/>
    </row>
  </sheetData>
  <mergeCells count="4">
    <mergeCell ref="A1:E1"/>
    <mergeCell ref="A42:B42"/>
    <mergeCell ref="A47:B47"/>
    <mergeCell ref="A48:B4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5" sqref="F15"/>
    </sheetView>
  </sheetViews>
  <sheetFormatPr defaultRowHeight="15"/>
  <sheetData/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F16"/>
  <sheetViews>
    <sheetView workbookViewId="0">
      <selection activeCell="H12" sqref="H12"/>
    </sheetView>
  </sheetViews>
  <sheetFormatPr defaultRowHeight="15.75"/>
  <cols>
    <col min="1" max="1" width="35.5703125" style="202" customWidth="1"/>
    <col min="2" max="2" width="19.140625" style="202" customWidth="1"/>
    <col min="3" max="3" width="48.28515625" style="202" customWidth="1"/>
    <col min="4" max="4" width="20.7109375" style="202" customWidth="1"/>
    <col min="5" max="5" width="18.28515625" style="202" customWidth="1"/>
    <col min="6" max="6" width="17.42578125" style="202" customWidth="1"/>
    <col min="7" max="16384" width="9.140625" style="202"/>
  </cols>
  <sheetData>
    <row r="1" spans="1:6" s="97" customFormat="1">
      <c r="A1" s="97" t="s">
        <v>2635</v>
      </c>
      <c r="D1" s="202"/>
      <c r="E1" s="202"/>
    </row>
    <row r="2" spans="1:6" s="97" customFormat="1" ht="33" customHeight="1">
      <c r="A2" s="223" t="s">
        <v>2535</v>
      </c>
      <c r="B2" s="223" t="s">
        <v>2536</v>
      </c>
      <c r="C2" s="223" t="s">
        <v>2537</v>
      </c>
      <c r="D2" s="225" t="s">
        <v>2616</v>
      </c>
      <c r="E2" s="223" t="s">
        <v>2633</v>
      </c>
      <c r="F2" s="241" t="s">
        <v>2634</v>
      </c>
    </row>
    <row r="3" spans="1:6">
      <c r="A3" s="599" t="s">
        <v>2527</v>
      </c>
      <c r="B3" s="37" t="s">
        <v>787</v>
      </c>
      <c r="C3" s="39" t="s">
        <v>788</v>
      </c>
      <c r="D3" s="212"/>
      <c r="E3" s="218"/>
      <c r="F3" s="223"/>
    </row>
    <row r="4" spans="1:6" ht="21">
      <c r="A4" s="599"/>
      <c r="B4" s="37" t="s">
        <v>791</v>
      </c>
      <c r="C4" s="39" t="s">
        <v>792</v>
      </c>
      <c r="D4" s="212"/>
      <c r="E4" s="212"/>
      <c r="F4" s="212"/>
    </row>
    <row r="5" spans="1:6" ht="21">
      <c r="A5" s="599"/>
      <c r="B5" s="224" t="s">
        <v>793</v>
      </c>
      <c r="C5" s="100" t="s">
        <v>794</v>
      </c>
      <c r="D5" s="212"/>
      <c r="E5" s="219"/>
      <c r="F5" s="226"/>
    </row>
    <row r="6" spans="1:6" ht="21">
      <c r="A6" s="599"/>
      <c r="B6" s="224" t="s">
        <v>795</v>
      </c>
      <c r="C6" s="100" t="s">
        <v>796</v>
      </c>
      <c r="D6" s="212"/>
      <c r="E6" s="219"/>
      <c r="F6" s="223"/>
    </row>
    <row r="7" spans="1:6" ht="21">
      <c r="A7" s="599"/>
      <c r="B7" s="224" t="s">
        <v>797</v>
      </c>
      <c r="C7" s="100" t="s">
        <v>798</v>
      </c>
      <c r="D7" s="212"/>
      <c r="E7" s="219"/>
      <c r="F7" s="223"/>
    </row>
    <row r="8" spans="1:6" ht="21">
      <c r="A8" s="599"/>
      <c r="B8" s="224" t="s">
        <v>799</v>
      </c>
      <c r="C8" s="100" t="s">
        <v>800</v>
      </c>
      <c r="D8" s="212"/>
      <c r="E8" s="219"/>
      <c r="F8" s="223"/>
    </row>
    <row r="9" spans="1:6" ht="21">
      <c r="A9" s="599"/>
      <c r="B9" s="224" t="s">
        <v>801</v>
      </c>
      <c r="C9" s="100" t="s">
        <v>802</v>
      </c>
      <c r="D9" s="212"/>
      <c r="E9" s="219"/>
      <c r="F9" s="223"/>
    </row>
    <row r="10" spans="1:6" ht="21">
      <c r="A10" s="599"/>
      <c r="B10" s="136" t="s">
        <v>803</v>
      </c>
      <c r="C10" s="138" t="s">
        <v>2346</v>
      </c>
      <c r="D10" s="212"/>
      <c r="E10" s="212"/>
      <c r="F10" s="223"/>
    </row>
    <row r="11" spans="1:6" ht="21">
      <c r="A11" s="599"/>
      <c r="B11" s="136" t="s">
        <v>2342</v>
      </c>
      <c r="C11" s="138" t="s">
        <v>2343</v>
      </c>
      <c r="D11" s="212"/>
      <c r="E11" s="212"/>
      <c r="F11" s="223"/>
    </row>
    <row r="12" spans="1:6">
      <c r="A12" s="599"/>
      <c r="B12" s="136" t="s">
        <v>2340</v>
      </c>
      <c r="C12" s="139" t="s">
        <v>2341</v>
      </c>
      <c r="D12" s="212"/>
      <c r="E12" s="212"/>
      <c r="F12" s="223"/>
    </row>
    <row r="13" spans="1:6">
      <c r="A13" s="599"/>
      <c r="B13" s="37" t="s">
        <v>804</v>
      </c>
      <c r="C13" s="38" t="s">
        <v>805</v>
      </c>
      <c r="D13" s="212"/>
      <c r="E13" s="212"/>
      <c r="F13" s="223"/>
    </row>
    <row r="14" spans="1:6" ht="21">
      <c r="A14" s="599"/>
      <c r="B14" s="37" t="s">
        <v>808</v>
      </c>
      <c r="C14" s="39" t="s">
        <v>809</v>
      </c>
      <c r="D14" s="212"/>
      <c r="E14" s="212"/>
      <c r="F14" s="223"/>
    </row>
    <row r="15" spans="1:6" ht="31.5">
      <c r="A15" s="599"/>
      <c r="B15" s="37" t="s">
        <v>816</v>
      </c>
      <c r="C15" s="39" t="s">
        <v>817</v>
      </c>
      <c r="D15" s="212"/>
      <c r="E15" s="212"/>
      <c r="F15" s="223"/>
    </row>
    <row r="16" spans="1:6">
      <c r="A16" s="599"/>
      <c r="B16" s="136" t="s">
        <v>2344</v>
      </c>
      <c r="C16" s="139" t="s">
        <v>2345</v>
      </c>
      <c r="D16" s="212"/>
      <c r="E16" s="212"/>
      <c r="F16" s="223"/>
    </row>
  </sheetData>
  <mergeCells count="1">
    <mergeCell ref="A3:A16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NASLOVNICE NAŠE</vt:lpstr>
      <vt:lpstr>SPEC.ŠIFRE PROEK I DEKI-ТАААААА</vt:lpstr>
      <vt:lpstr>13-УСЛУГЕ-РФЗО 2021</vt:lpstr>
      <vt:lpstr>OPERACIJE JAN-MART 2021</vt:lpstr>
      <vt:lpstr>DTI JAN-MART 2021</vt:lpstr>
      <vt:lpstr>FIZIKALNE JAN-MART 2021</vt:lpstr>
      <vt:lpstr>ZU-ZAJEDNIČKE US JAN-MART 2021</vt:lpstr>
      <vt:lpstr>Sheet1</vt:lpstr>
      <vt:lpstr>ZA DRAGANA ZA PLAN 2020</vt:lpstr>
      <vt:lpstr>OPERACIJE APRIL-JUN 2021 </vt:lpstr>
      <vt:lpstr>DTI APRIL-JUN 2021</vt:lpstr>
      <vt:lpstr>FIZIKALNE APRIL-JUN 2021</vt:lpstr>
      <vt:lpstr>ZU-ZAJEDNIČKE US APRIL-JUN 2021</vt:lpstr>
      <vt:lpstr>OPERACIJE JUL-SEPTEMBAR 2021 </vt:lpstr>
      <vt:lpstr>DTI JUL-SEPTEMBAR 2021</vt:lpstr>
      <vt:lpstr>FIZIKALNE JUL-SEPTEMBAR 2021</vt:lpstr>
      <vt:lpstr>ZU-ZAJEDNIČKE US JUL-SEP 2021</vt:lpstr>
      <vt:lpstr>OPERACIJE OKTOBAR-DECEMBAR 2021</vt:lpstr>
      <vt:lpstr>DTI  OKTOBAR-DECEMBAR 2021</vt:lpstr>
      <vt:lpstr>FIZIKALNE OKTOBAR-DECEMBAR 2021</vt:lpstr>
      <vt:lpstr>ZU-ZAJEDNIČKE US OKTO-DECE 2021</vt:lpstr>
      <vt:lpstr>KARDIOLOGIJA 2021</vt:lpstr>
      <vt:lpstr>'13-УСЛУГЕ-РФЗО 2021'!Print_Titles</vt:lpstr>
      <vt:lpstr>'DTI JUL-SEPTEMBAR 2021'!Print_Titles</vt:lpstr>
      <vt:lpstr>'OPERACIJE APRIL-JUN 2021 '!Print_Titles</vt:lpstr>
      <vt:lpstr>'OPERACIJE JAN-MART 2021'!Print_Titles</vt:lpstr>
      <vt:lpstr>'OPERACIJE JUL-SEPTEMBAR 2021 '!Print_Titles</vt:lpstr>
      <vt:lpstr>'OPERACIJE OKTOBAR-DECEMBAR 2021'!Print_Titles</vt:lpstr>
      <vt:lpstr>'SPEC.ŠIFRE PROEK I DEKI-ТАААААА'!Print_Titles</vt:lpstr>
      <vt:lpstr>'ZA DRAGANA ZA PLAN 2020'!Print_Titles</vt:lpstr>
      <vt:lpstr>'ZU-ZAJEDNIČKE US APRIL-JUN 2021'!Print_Titles</vt:lpstr>
      <vt:lpstr>'ZU-ZAJEDNIČKE US JAN-MART 2021'!Print_Titles</vt:lpstr>
      <vt:lpstr>'ZU-ZAJEDNIČKE US JUL-SEP 2021'!Print_Titles</vt:lpstr>
      <vt:lpstr>'ZU-ZAJEDNIČKE US OKTO-DECE 2021'!Print_Titles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2023-01-26T13:39:04Z</dcterms:modified>
</cp:coreProperties>
</file>